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AAA work\1 - WORKING Area\Marketing 4\SUEZ Valuation\Analysis\"/>
    </mc:Choice>
  </mc:AlternateContent>
  <bookViews>
    <workbookView xWindow="0" yWindow="0" windowWidth="28800" windowHeight="11310" activeTab="5"/>
  </bookViews>
  <sheets>
    <sheet name="Ex 12 muni" sheetId="1" r:id="rId1"/>
    <sheet name="13" sheetId="2" r:id="rId2"/>
    <sheet name="water muni" sheetId="3" r:id="rId3"/>
    <sheet name="water iou" sheetId="4" r:id="rId4"/>
    <sheet name="swer muni" sheetId="5" r:id="rId5"/>
    <sheet name="sewer iou" sheetId="6" r:id="rId6"/>
  </sheets>
  <externalReferences>
    <externalReference r:id="rId7"/>
    <externalReference r:id="rId8"/>
    <externalReference r:id="rId9"/>
  </externalReferences>
  <definedNames>
    <definedName name="name">[1]Sheet1!$B$3</definedName>
    <definedName name="_xlnm.Print_Area" localSheetId="1">'13'!$H$286:$AA$461</definedName>
    <definedName name="_xlnm.Print_Area" localSheetId="0">'Ex 12 muni'!$H$286:$AA$464</definedName>
    <definedName name="_xlnm.Print_Area" localSheetId="5">'sewer iou'!$H$287:$AA$460</definedName>
    <definedName name="_xlnm.Print_Area" localSheetId="4">'swer muni'!$H$287:$AA$459</definedName>
    <definedName name="_xlnm.Print_Area" localSheetId="3">'water iou'!$H$287:$AA$461</definedName>
    <definedName name="_xlnm.Print_Area" localSheetId="2">'water muni'!$H$286:$AA$459</definedName>
    <definedName name="_xlnm.Print_Titles" localSheetId="1">'13'!$D:$G,'13'!$284:$285</definedName>
    <definedName name="_xlnm.Print_Titles" localSheetId="0">'Ex 12 muni'!$D:$G,'Ex 12 muni'!$284:$285</definedName>
    <definedName name="_xlnm.Print_Titles" localSheetId="5">'sewer iou'!$D:$G,'sewer iou'!$284:$285</definedName>
    <definedName name="_xlnm.Print_Titles" localSheetId="4">'swer muni'!$D:$G,'swer muni'!$284:$285</definedName>
    <definedName name="_xlnm.Print_Titles" localSheetId="3">'water iou'!$D:$G,'water iou'!$284:$285</definedName>
    <definedName name="_xlnm.Print_Titles" localSheetId="2">'water muni'!$D:$G,'water muni'!$284:$285</definedName>
    <definedName name="sew">[2]Sheet1!$B$3</definedName>
    <definedName name="sewm">[2]Sheet1!$B$3</definedName>
    <definedName name="SPWS_WBID">"205857034906745"</definedName>
    <definedName name="SPWS_WSID" localSheetId="1" hidden="1">"117626381999254"</definedName>
    <definedName name="SPWS_WSID" localSheetId="0" hidden="1">"125749679848552"</definedName>
    <definedName name="SPWS_WSID" localSheetId="5" hidden="1">"16062919292748"</definedName>
    <definedName name="SPWS_WSID" localSheetId="4" hidden="1">"109826815398932"</definedName>
    <definedName name="SPWS_WSID" localSheetId="3" hidden="1">"839168935704231"</definedName>
    <definedName name="SPWS_WSID" localSheetId="2" hidden="1">"105685125389695"</definedName>
    <definedName name="water">[3]Sheet1!$B$3</definedName>
    <definedName name="waterm">[3]Sheet1!$B$3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57" i="5" l="1"/>
  <c r="K455" i="5"/>
  <c r="L459" i="5"/>
  <c r="L453" i="5"/>
  <c r="L455" i="5" s="1"/>
  <c r="P451" i="5"/>
  <c r="O451" i="5"/>
  <c r="Q451" i="5" s="1"/>
  <c r="K451" i="5"/>
  <c r="L450" i="5"/>
  <c r="L449" i="5"/>
  <c r="K408" i="5"/>
  <c r="L408" i="5" s="1"/>
  <c r="M408" i="5" s="1"/>
  <c r="K407" i="5"/>
  <c r="L407" i="5" s="1"/>
  <c r="M407" i="5" s="1"/>
  <c r="K406" i="5"/>
  <c r="L406" i="5" s="1"/>
  <c r="M406" i="5" s="1"/>
  <c r="H403" i="5"/>
  <c r="L400" i="5"/>
  <c r="K400" i="5"/>
  <c r="J400" i="5"/>
  <c r="K398" i="5"/>
  <c r="K397" i="5"/>
  <c r="L390" i="5"/>
  <c r="AA360" i="5"/>
  <c r="J353" i="5"/>
  <c r="J350" i="5"/>
  <c r="K345" i="5"/>
  <c r="S344" i="5"/>
  <c r="T344" i="5" s="1"/>
  <c r="U344" i="5" s="1"/>
  <c r="V344" i="5" s="1"/>
  <c r="W344" i="5" s="1"/>
  <c r="X344" i="5" s="1"/>
  <c r="Y344" i="5" s="1"/>
  <c r="Z344" i="5" s="1"/>
  <c r="K343" i="5"/>
  <c r="M342" i="5"/>
  <c r="J335" i="5"/>
  <c r="I335" i="5"/>
  <c r="L333" i="5"/>
  <c r="K333" i="5" s="1"/>
  <c r="K332" i="5"/>
  <c r="J332" i="5"/>
  <c r="I332" i="5"/>
  <c r="H332" i="5"/>
  <c r="H336" i="5" s="1"/>
  <c r="M323" i="5"/>
  <c r="M300" i="5" s="1"/>
  <c r="K314" i="5"/>
  <c r="L311" i="5" s="1"/>
  <c r="N308" i="5"/>
  <c r="O308" i="5" s="1"/>
  <c r="N305" i="5"/>
  <c r="M305" i="5"/>
  <c r="M306" i="5" s="1"/>
  <c r="M304" i="5"/>
  <c r="M309" i="5" s="1"/>
  <c r="M310" i="5" s="1"/>
  <c r="L304" i="5"/>
  <c r="L309" i="5" s="1"/>
  <c r="R303" i="5"/>
  <c r="S303" i="5" s="1"/>
  <c r="T303" i="5" s="1"/>
  <c r="U303" i="5" s="1"/>
  <c r="V303" i="5" s="1"/>
  <c r="T301" i="5"/>
  <c r="S301" i="5"/>
  <c r="R301" i="5"/>
  <c r="Q301" i="5"/>
  <c r="P301" i="5"/>
  <c r="O301" i="5"/>
  <c r="N301" i="5"/>
  <c r="L300" i="5"/>
  <c r="K296" i="5"/>
  <c r="L305" i="5" s="1"/>
  <c r="L306" i="5" s="1"/>
  <c r="K292" i="5"/>
  <c r="L292" i="5" s="1"/>
  <c r="M292" i="5" s="1"/>
  <c r="N292" i="5" s="1"/>
  <c r="J292" i="5"/>
  <c r="I292" i="5"/>
  <c r="H292" i="5"/>
  <c r="K291" i="5"/>
  <c r="J291" i="5"/>
  <c r="J293" i="5" s="1"/>
  <c r="I291" i="5"/>
  <c r="I293" i="5" s="1"/>
  <c r="H291" i="5"/>
  <c r="H293" i="5" s="1"/>
  <c r="J288" i="5"/>
  <c r="I288" i="5"/>
  <c r="H288" i="5"/>
  <c r="J287" i="5"/>
  <c r="J397" i="5" s="1"/>
  <c r="I287" i="5"/>
  <c r="H287" i="5"/>
  <c r="H289" i="5" s="1"/>
  <c r="H285" i="5"/>
  <c r="G264" i="5"/>
  <c r="G263" i="5"/>
  <c r="D263" i="5"/>
  <c r="G262" i="5"/>
  <c r="D262" i="5"/>
  <c r="G261" i="5"/>
  <c r="D261" i="5"/>
  <c r="G260" i="5"/>
  <c r="G259" i="5"/>
  <c r="D259" i="5"/>
  <c r="G258" i="5"/>
  <c r="D258" i="5"/>
  <c r="G257" i="5"/>
  <c r="D257" i="5"/>
  <c r="G256" i="5"/>
  <c r="D256" i="5"/>
  <c r="G252" i="5"/>
  <c r="T251" i="5"/>
  <c r="T252" i="5" s="1"/>
  <c r="H251" i="5"/>
  <c r="G251" i="5"/>
  <c r="D251" i="5"/>
  <c r="H250" i="5"/>
  <c r="G250" i="5"/>
  <c r="D250" i="5"/>
  <c r="G249" i="5"/>
  <c r="G248" i="5"/>
  <c r="G247" i="5"/>
  <c r="G246" i="5"/>
  <c r="D233" i="5"/>
  <c r="D225" i="5"/>
  <c r="D224" i="5"/>
  <c r="D220" i="5"/>
  <c r="D216" i="5"/>
  <c r="D213" i="5"/>
  <c r="D209" i="5"/>
  <c r="D204" i="5"/>
  <c r="Q120" i="5"/>
  <c r="K169" i="5" s="1"/>
  <c r="K120" i="5"/>
  <c r="K153" i="5" s="1"/>
  <c r="Q119" i="5"/>
  <c r="K168" i="5" s="1"/>
  <c r="K119" i="5"/>
  <c r="K152" i="5" s="1"/>
  <c r="AE84" i="5"/>
  <c r="AE150" i="5" s="1"/>
  <c r="T149" i="5" s="1"/>
  <c r="AE83" i="5"/>
  <c r="AE165" i="5" s="1"/>
  <c r="T164" i="5" s="1"/>
  <c r="D77" i="5"/>
  <c r="D76" i="5"/>
  <c r="F75" i="5"/>
  <c r="D75" i="5"/>
  <c r="D74" i="5"/>
  <c r="F73" i="5"/>
  <c r="D73" i="5"/>
  <c r="D72" i="5"/>
  <c r="F71" i="5"/>
  <c r="D71" i="5"/>
  <c r="AC70" i="5"/>
  <c r="AB145" i="5" s="1"/>
  <c r="K144" i="5" s="1"/>
  <c r="D70" i="5"/>
  <c r="F69" i="5"/>
  <c r="D69" i="5"/>
  <c r="D68" i="5"/>
  <c r="F67" i="5"/>
  <c r="D67" i="5"/>
  <c r="D66" i="5"/>
  <c r="F65" i="5"/>
  <c r="D65" i="5"/>
  <c r="D64" i="5"/>
  <c r="F63" i="5"/>
  <c r="D63" i="5"/>
  <c r="D62" i="5"/>
  <c r="F61" i="5"/>
  <c r="D61" i="5"/>
  <c r="D60" i="5"/>
  <c r="F59" i="5"/>
  <c r="D59" i="5"/>
  <c r="AC58" i="5"/>
  <c r="AB95" i="5" s="1"/>
  <c r="D58" i="5"/>
  <c r="F57" i="5"/>
  <c r="D57" i="5"/>
  <c r="D56" i="5"/>
  <c r="F55" i="5"/>
  <c r="D55" i="5"/>
  <c r="AC54" i="5"/>
  <c r="D54" i="5"/>
  <c r="N53" i="5"/>
  <c r="N57" i="5" s="1"/>
  <c r="N61" i="5" s="1"/>
  <c r="N65" i="5" s="1"/>
  <c r="N69" i="5" s="1"/>
  <c r="D53" i="5"/>
  <c r="F51" i="5"/>
  <c r="K49" i="5"/>
  <c r="J49" i="5"/>
  <c r="I49" i="5"/>
  <c r="H49" i="5"/>
  <c r="F46" i="5"/>
  <c r="Z45" i="5"/>
  <c r="Y45" i="5"/>
  <c r="X45" i="5"/>
  <c r="W45" i="5"/>
  <c r="V45" i="5"/>
  <c r="U45" i="5"/>
  <c r="T45" i="5"/>
  <c r="S45" i="5"/>
  <c r="R45" i="5"/>
  <c r="Q45" i="5"/>
  <c r="P45" i="5"/>
  <c r="O45" i="5"/>
  <c r="N45" i="5"/>
  <c r="F43" i="5"/>
  <c r="F39" i="5"/>
  <c r="F37" i="5"/>
  <c r="K35" i="5"/>
  <c r="K48" i="5" s="1"/>
  <c r="J35" i="5"/>
  <c r="I35" i="5"/>
  <c r="I48" i="5" s="1"/>
  <c r="H35" i="5"/>
  <c r="B35" i="5"/>
  <c r="K34" i="5"/>
  <c r="J34" i="5"/>
  <c r="I34" i="5"/>
  <c r="H34" i="5"/>
  <c r="Z33" i="5"/>
  <c r="Y33" i="5"/>
  <c r="X33" i="5"/>
  <c r="W33" i="5"/>
  <c r="V33" i="5"/>
  <c r="U33" i="5"/>
  <c r="T33" i="5"/>
  <c r="S33" i="5"/>
  <c r="R33" i="5"/>
  <c r="Q33" i="5"/>
  <c r="P33" i="5"/>
  <c r="O33" i="5"/>
  <c r="N33" i="5"/>
  <c r="D33" i="5"/>
  <c r="D32" i="5"/>
  <c r="D31" i="5"/>
  <c r="AC30" i="5"/>
  <c r="AC31" i="5" s="1"/>
  <c r="AC32" i="5" s="1"/>
  <c r="D30" i="5"/>
  <c r="D29" i="5"/>
  <c r="L28" i="5"/>
  <c r="L34" i="5" s="1"/>
  <c r="G27" i="5"/>
  <c r="F26" i="5"/>
  <c r="AA24" i="5"/>
  <c r="K24" i="5"/>
  <c r="J24" i="5"/>
  <c r="I24" i="5"/>
  <c r="I40" i="5" s="1"/>
  <c r="I50" i="5" s="1"/>
  <c r="H24" i="5"/>
  <c r="H40" i="5" s="1"/>
  <c r="H50" i="5" s="1"/>
  <c r="D23" i="5"/>
  <c r="L22" i="5"/>
  <c r="M22" i="5" s="1"/>
  <c r="N22" i="5" s="1"/>
  <c r="O22" i="5" s="1"/>
  <c r="P22" i="5" s="1"/>
  <c r="Q22" i="5" s="1"/>
  <c r="R22" i="5" s="1"/>
  <c r="S22" i="5" s="1"/>
  <c r="T22" i="5" s="1"/>
  <c r="U22" i="5" s="1"/>
  <c r="V22" i="5" s="1"/>
  <c r="W22" i="5" s="1"/>
  <c r="X22" i="5" s="1"/>
  <c r="Y22" i="5" s="1"/>
  <c r="Z22" i="5" s="1"/>
  <c r="M21" i="5"/>
  <c r="M332" i="5" s="1"/>
  <c r="L21" i="5"/>
  <c r="G20" i="5"/>
  <c r="I19" i="5"/>
  <c r="J19" i="5" s="1"/>
  <c r="F19" i="5"/>
  <c r="M18" i="5"/>
  <c r="F18" i="5"/>
  <c r="C18" i="5"/>
  <c r="M14" i="5"/>
  <c r="U14" i="5" s="1"/>
  <c r="U13" i="5"/>
  <c r="D13" i="5"/>
  <c r="M12" i="5"/>
  <c r="U12" i="5" s="1"/>
  <c r="U11" i="5"/>
  <c r="U10" i="5"/>
  <c r="H9" i="5"/>
  <c r="L6" i="5"/>
  <c r="L5" i="5"/>
  <c r="L4" i="5"/>
  <c r="K457" i="6"/>
  <c r="K455" i="6"/>
  <c r="L459" i="6"/>
  <c r="L453" i="6"/>
  <c r="L455" i="6" s="1"/>
  <c r="P451" i="6"/>
  <c r="O451" i="6"/>
  <c r="Q451" i="6" s="1"/>
  <c r="K451" i="6"/>
  <c r="L450" i="6"/>
  <c r="L449" i="6"/>
  <c r="K408" i="6"/>
  <c r="L408" i="6" s="1"/>
  <c r="M408" i="6" s="1"/>
  <c r="K407" i="6"/>
  <c r="L407" i="6" s="1"/>
  <c r="M407" i="6" s="1"/>
  <c r="K406" i="6"/>
  <c r="L406" i="6" s="1"/>
  <c r="M406" i="6" s="1"/>
  <c r="H403" i="6"/>
  <c r="L400" i="6"/>
  <c r="K400" i="6"/>
  <c r="J400" i="6"/>
  <c r="K398" i="6"/>
  <c r="K397" i="6"/>
  <c r="L390" i="6"/>
  <c r="AA360" i="6"/>
  <c r="J353" i="6"/>
  <c r="J350" i="6"/>
  <c r="K345" i="6"/>
  <c r="S344" i="6"/>
  <c r="T344" i="6" s="1"/>
  <c r="U344" i="6" s="1"/>
  <c r="V344" i="6" s="1"/>
  <c r="W344" i="6" s="1"/>
  <c r="X344" i="6" s="1"/>
  <c r="Y344" i="6" s="1"/>
  <c r="Z344" i="6" s="1"/>
  <c r="K343" i="6"/>
  <c r="M342" i="6"/>
  <c r="J335" i="6"/>
  <c r="I335" i="6"/>
  <c r="L333" i="6"/>
  <c r="M334" i="6" s="1"/>
  <c r="K332" i="6"/>
  <c r="J332" i="6"/>
  <c r="I332" i="6"/>
  <c r="H332" i="6"/>
  <c r="H336" i="6" s="1"/>
  <c r="M323" i="6"/>
  <c r="M304" i="6" s="1"/>
  <c r="K314" i="6"/>
  <c r="L311" i="6" s="1"/>
  <c r="N308" i="6"/>
  <c r="N305" i="6"/>
  <c r="O305" i="6" s="1"/>
  <c r="P305" i="6" s="1"/>
  <c r="Q305" i="6" s="1"/>
  <c r="M305" i="6"/>
  <c r="M306" i="6" s="1"/>
  <c r="L304" i="6"/>
  <c r="L309" i="6" s="1"/>
  <c r="R303" i="6"/>
  <c r="S303" i="6" s="1"/>
  <c r="T303" i="6" s="1"/>
  <c r="U303" i="6" s="1"/>
  <c r="T301" i="6"/>
  <c r="S301" i="6"/>
  <c r="R301" i="6"/>
  <c r="Q301" i="6"/>
  <c r="P301" i="6"/>
  <c r="O301" i="6"/>
  <c r="N301" i="6"/>
  <c r="L300" i="6"/>
  <c r="K296" i="6"/>
  <c r="L305" i="6" s="1"/>
  <c r="L306" i="6" s="1"/>
  <c r="K292" i="6"/>
  <c r="L292" i="6" s="1"/>
  <c r="M292" i="6" s="1"/>
  <c r="N292" i="6" s="1"/>
  <c r="J292" i="6"/>
  <c r="I292" i="6"/>
  <c r="H292" i="6"/>
  <c r="K291" i="6"/>
  <c r="L291" i="6" s="1"/>
  <c r="J291" i="6"/>
  <c r="I291" i="6"/>
  <c r="I293" i="6" s="1"/>
  <c r="H291" i="6"/>
  <c r="J288" i="6"/>
  <c r="I288" i="6"/>
  <c r="H288" i="6"/>
  <c r="J287" i="6"/>
  <c r="J397" i="6" s="1"/>
  <c r="I287" i="6"/>
  <c r="H287" i="6"/>
  <c r="H285" i="6"/>
  <c r="G264" i="6"/>
  <c r="G263" i="6"/>
  <c r="D263" i="6"/>
  <c r="G262" i="6"/>
  <c r="D262" i="6"/>
  <c r="G261" i="6"/>
  <c r="D261" i="6"/>
  <c r="G260" i="6"/>
  <c r="G259" i="6"/>
  <c r="D259" i="6"/>
  <c r="G258" i="6"/>
  <c r="D258" i="6"/>
  <c r="G257" i="6"/>
  <c r="D257" i="6"/>
  <c r="G256" i="6"/>
  <c r="D256" i="6"/>
  <c r="G252" i="6"/>
  <c r="T251" i="6"/>
  <c r="T252" i="6" s="1"/>
  <c r="H251" i="6"/>
  <c r="G251" i="6"/>
  <c r="D251" i="6"/>
  <c r="H250" i="6"/>
  <c r="G250" i="6"/>
  <c r="D250" i="6"/>
  <c r="G249" i="6"/>
  <c r="G248" i="6"/>
  <c r="G247" i="6"/>
  <c r="G246" i="6"/>
  <c r="D233" i="6"/>
  <c r="D225" i="6"/>
  <c r="D224" i="6"/>
  <c r="D220" i="6"/>
  <c r="D216" i="6"/>
  <c r="D213" i="6"/>
  <c r="D209" i="6"/>
  <c r="D204" i="6"/>
  <c r="Q120" i="6"/>
  <c r="K169" i="6" s="1"/>
  <c r="K120" i="6"/>
  <c r="K153" i="6" s="1"/>
  <c r="Q119" i="6"/>
  <c r="K168" i="6" s="1"/>
  <c r="K119" i="6"/>
  <c r="K152" i="6" s="1"/>
  <c r="AE84" i="6"/>
  <c r="AE83" i="6"/>
  <c r="AE165" i="6" s="1"/>
  <c r="T164" i="6" s="1"/>
  <c r="D77" i="6"/>
  <c r="D76" i="6"/>
  <c r="F75" i="6"/>
  <c r="D75" i="6"/>
  <c r="D74" i="6"/>
  <c r="F73" i="6"/>
  <c r="D73" i="6"/>
  <c r="D72" i="6"/>
  <c r="F71" i="6"/>
  <c r="D71" i="6"/>
  <c r="AC70" i="6"/>
  <c r="AB145" i="6" s="1"/>
  <c r="K144" i="6" s="1"/>
  <c r="D70" i="6"/>
  <c r="F69" i="6"/>
  <c r="D69" i="6"/>
  <c r="D68" i="6"/>
  <c r="F67" i="6"/>
  <c r="D67" i="6"/>
  <c r="D66" i="6"/>
  <c r="F65" i="6"/>
  <c r="D65" i="6"/>
  <c r="D64" i="6"/>
  <c r="F63" i="6"/>
  <c r="D63" i="6"/>
  <c r="D62" i="6"/>
  <c r="F61" i="6"/>
  <c r="D61" i="6"/>
  <c r="D60" i="6"/>
  <c r="F59" i="6"/>
  <c r="D59" i="6"/>
  <c r="AC58" i="6"/>
  <c r="AB95" i="6" s="1"/>
  <c r="D58" i="6"/>
  <c r="F57" i="6"/>
  <c r="D57" i="6"/>
  <c r="D56" i="6"/>
  <c r="F55" i="6"/>
  <c r="D55" i="6"/>
  <c r="AC54" i="6"/>
  <c r="D54" i="6"/>
  <c r="N53" i="6"/>
  <c r="N57" i="6" s="1"/>
  <c r="N61" i="6" s="1"/>
  <c r="N65" i="6" s="1"/>
  <c r="N69" i="6" s="1"/>
  <c r="N73" i="6" s="1"/>
  <c r="D53" i="6"/>
  <c r="F51" i="6"/>
  <c r="K49" i="6"/>
  <c r="J49" i="6"/>
  <c r="I49" i="6"/>
  <c r="H49" i="6"/>
  <c r="F46" i="6"/>
  <c r="F43" i="6"/>
  <c r="F39" i="6"/>
  <c r="F37" i="6"/>
  <c r="K35" i="6"/>
  <c r="K48" i="6" s="1"/>
  <c r="J35" i="6"/>
  <c r="I35" i="6"/>
  <c r="I48" i="6" s="1"/>
  <c r="H35" i="6"/>
  <c r="H48" i="6" s="1"/>
  <c r="B35" i="6"/>
  <c r="K34" i="6"/>
  <c r="J34" i="6"/>
  <c r="I34" i="6"/>
  <c r="H34" i="6"/>
  <c r="D33" i="6"/>
  <c r="D32" i="6"/>
  <c r="D31" i="6"/>
  <c r="AC30" i="6"/>
  <c r="AC31" i="6" s="1"/>
  <c r="AC32" i="6" s="1"/>
  <c r="D30" i="6"/>
  <c r="D29" i="6"/>
  <c r="L28" i="6"/>
  <c r="G27" i="6"/>
  <c r="F26" i="6"/>
  <c r="AA24" i="6"/>
  <c r="K24" i="6"/>
  <c r="K347" i="6" s="1"/>
  <c r="J24" i="6"/>
  <c r="I24" i="6"/>
  <c r="I40" i="6" s="1"/>
  <c r="I50" i="6" s="1"/>
  <c r="H24" i="6"/>
  <c r="H40" i="6" s="1"/>
  <c r="H50" i="6" s="1"/>
  <c r="D23" i="6"/>
  <c r="L22" i="6"/>
  <c r="M22" i="6" s="1"/>
  <c r="N22" i="6" s="1"/>
  <c r="O22" i="6" s="1"/>
  <c r="P22" i="6" s="1"/>
  <c r="Q22" i="6" s="1"/>
  <c r="R22" i="6" s="1"/>
  <c r="S22" i="6" s="1"/>
  <c r="T22" i="6" s="1"/>
  <c r="U22" i="6" s="1"/>
  <c r="V22" i="6" s="1"/>
  <c r="W22" i="6" s="1"/>
  <c r="X22" i="6" s="1"/>
  <c r="Y22" i="6" s="1"/>
  <c r="Z22" i="6" s="1"/>
  <c r="M21" i="6"/>
  <c r="M332" i="6" s="1"/>
  <c r="L21" i="6"/>
  <c r="G20" i="6"/>
  <c r="I19" i="6"/>
  <c r="J19" i="6" s="1"/>
  <c r="F19" i="6"/>
  <c r="M18" i="6"/>
  <c r="F18" i="6"/>
  <c r="C18" i="6"/>
  <c r="M14" i="6"/>
  <c r="U14" i="6" s="1"/>
  <c r="U13" i="6"/>
  <c r="D13" i="6"/>
  <c r="M12" i="6"/>
  <c r="U12" i="6" s="1"/>
  <c r="U11" i="6"/>
  <c r="U10" i="6"/>
  <c r="H9" i="6"/>
  <c r="L6" i="6"/>
  <c r="L5" i="6"/>
  <c r="L4" i="6"/>
  <c r="L49" i="6" l="1"/>
  <c r="AE149" i="6"/>
  <c r="T148" i="6" s="1"/>
  <c r="I296" i="6"/>
  <c r="H289" i="6"/>
  <c r="N32" i="6"/>
  <c r="O32" i="6" s="1"/>
  <c r="P32" i="6" s="1"/>
  <c r="Q32" i="6" s="1"/>
  <c r="R32" i="6" s="1"/>
  <c r="S32" i="6" s="1"/>
  <c r="T32" i="6" s="1"/>
  <c r="U32" i="6" s="1"/>
  <c r="V32" i="6" s="1"/>
  <c r="W32" i="6" s="1"/>
  <c r="X32" i="6" s="1"/>
  <c r="Y32" i="6" s="1"/>
  <c r="Z32" i="6" s="1"/>
  <c r="AC62" i="6"/>
  <c r="AE116" i="6"/>
  <c r="N31" i="6"/>
  <c r="O31" i="6" s="1"/>
  <c r="P31" i="6" s="1"/>
  <c r="Q31" i="6" s="1"/>
  <c r="R31" i="6" s="1"/>
  <c r="S31" i="6" s="1"/>
  <c r="T31" i="6" s="1"/>
  <c r="U31" i="6" s="1"/>
  <c r="V31" i="6" s="1"/>
  <c r="W31" i="6" s="1"/>
  <c r="X31" i="6" s="1"/>
  <c r="Y31" i="6" s="1"/>
  <c r="Z31" i="6" s="1"/>
  <c r="L49" i="5"/>
  <c r="I296" i="5"/>
  <c r="M49" i="5"/>
  <c r="K40" i="6"/>
  <c r="K50" i="6" s="1"/>
  <c r="M300" i="6"/>
  <c r="N306" i="6"/>
  <c r="I36" i="6"/>
  <c r="H296" i="6"/>
  <c r="L451" i="6"/>
  <c r="M309" i="6"/>
  <c r="M310" i="6" s="1"/>
  <c r="M49" i="6"/>
  <c r="H293" i="6"/>
  <c r="M307" i="6"/>
  <c r="N18" i="6"/>
  <c r="N58" i="6"/>
  <c r="T82" i="6"/>
  <c r="AE132" i="6"/>
  <c r="T131" i="6" s="1"/>
  <c r="K293" i="6"/>
  <c r="O53" i="6"/>
  <c r="O18" i="6" s="1"/>
  <c r="K36" i="6"/>
  <c r="K38" i="6" s="1"/>
  <c r="L310" i="6"/>
  <c r="L293" i="6"/>
  <c r="L384" i="6" s="1"/>
  <c r="M334" i="5"/>
  <c r="L307" i="5"/>
  <c r="I36" i="5"/>
  <c r="I38" i="5" s="1"/>
  <c r="N58" i="5"/>
  <c r="AE99" i="5"/>
  <c r="T98" i="5" s="1"/>
  <c r="AE149" i="5"/>
  <c r="T148" i="5" s="1"/>
  <c r="I338" i="5"/>
  <c r="L451" i="5"/>
  <c r="AC66" i="5"/>
  <c r="N18" i="5"/>
  <c r="O53" i="5"/>
  <c r="O18" i="5" s="1"/>
  <c r="AE117" i="5"/>
  <c r="AE166" i="5"/>
  <c r="T165" i="5" s="1"/>
  <c r="N31" i="5"/>
  <c r="O31" i="5" s="1"/>
  <c r="P31" i="5" s="1"/>
  <c r="Q31" i="5" s="1"/>
  <c r="R31" i="5" s="1"/>
  <c r="S31" i="5" s="1"/>
  <c r="T31" i="5" s="1"/>
  <c r="U31" i="5" s="1"/>
  <c r="V31" i="5" s="1"/>
  <c r="W31" i="5" s="1"/>
  <c r="X31" i="5" s="1"/>
  <c r="Y31" i="5" s="1"/>
  <c r="Z31" i="5" s="1"/>
  <c r="AE100" i="5"/>
  <c r="T99" i="5" s="1"/>
  <c r="N32" i="5"/>
  <c r="O32" i="5" s="1"/>
  <c r="P32" i="5" s="1"/>
  <c r="Q32" i="5" s="1"/>
  <c r="R32" i="5" s="1"/>
  <c r="S32" i="5" s="1"/>
  <c r="T32" i="5" s="1"/>
  <c r="U32" i="5" s="1"/>
  <c r="V32" i="5" s="1"/>
  <c r="W32" i="5" s="1"/>
  <c r="X32" i="5" s="1"/>
  <c r="Y32" i="5" s="1"/>
  <c r="Z32" i="5" s="1"/>
  <c r="K36" i="5"/>
  <c r="T83" i="5"/>
  <c r="AE133" i="5"/>
  <c r="T132" i="5" s="1"/>
  <c r="I289" i="5"/>
  <c r="J347" i="5"/>
  <c r="J40" i="5"/>
  <c r="J50" i="5" s="1"/>
  <c r="L332" i="5"/>
  <c r="L24" i="5"/>
  <c r="AB128" i="5"/>
  <c r="N66" i="5"/>
  <c r="I403" i="5"/>
  <c r="I285" i="5"/>
  <c r="K347" i="5"/>
  <c r="K38" i="5"/>
  <c r="M28" i="5"/>
  <c r="N30" i="5"/>
  <c r="O30" i="5" s="1"/>
  <c r="P30" i="5" s="1"/>
  <c r="Q30" i="5" s="1"/>
  <c r="R30" i="5" s="1"/>
  <c r="S30" i="5" s="1"/>
  <c r="T30" i="5" s="1"/>
  <c r="U30" i="5" s="1"/>
  <c r="V30" i="5" s="1"/>
  <c r="W30" i="5" s="1"/>
  <c r="X30" i="5" s="1"/>
  <c r="Y30" i="5" s="1"/>
  <c r="Z30" i="5" s="1"/>
  <c r="B40" i="5"/>
  <c r="G35" i="5"/>
  <c r="J48" i="5"/>
  <c r="J296" i="5" s="1"/>
  <c r="J36" i="5"/>
  <c r="J38" i="5" s="1"/>
  <c r="AC62" i="5"/>
  <c r="AB79" i="5"/>
  <c r="N54" i="5"/>
  <c r="AD95" i="5"/>
  <c r="Q94" i="5" s="1"/>
  <c r="K94" i="5"/>
  <c r="N99" i="5"/>
  <c r="K40" i="5"/>
  <c r="K50" i="5" s="1"/>
  <c r="J403" i="5"/>
  <c r="J285" i="5"/>
  <c r="C19" i="5"/>
  <c r="K19" i="5"/>
  <c r="M24" i="5"/>
  <c r="H48" i="5"/>
  <c r="H296" i="5" s="1"/>
  <c r="H36" i="5"/>
  <c r="H38" i="5" s="1"/>
  <c r="N73" i="5"/>
  <c r="N70" i="5"/>
  <c r="AC74" i="5"/>
  <c r="W303" i="5"/>
  <c r="P308" i="5"/>
  <c r="J338" i="5"/>
  <c r="J336" i="5"/>
  <c r="M344" i="5"/>
  <c r="M346" i="5" s="1"/>
  <c r="M333" i="5"/>
  <c r="M335" i="5" s="1"/>
  <c r="M338" i="5" s="1"/>
  <c r="M330" i="5"/>
  <c r="AD145" i="5"/>
  <c r="Q144" i="5" s="1"/>
  <c r="N149" i="5"/>
  <c r="K293" i="5"/>
  <c r="L291" i="5"/>
  <c r="J289" i="5"/>
  <c r="J398" i="5" s="1"/>
  <c r="L397" i="5"/>
  <c r="L385" i="5"/>
  <c r="L398" i="5"/>
  <c r="M371" i="5"/>
  <c r="L386" i="5"/>
  <c r="M311" i="5"/>
  <c r="T82" i="5"/>
  <c r="AE116" i="5"/>
  <c r="AE132" i="5"/>
  <c r="T131" i="5" s="1"/>
  <c r="M287" i="5"/>
  <c r="N311" i="5" s="1"/>
  <c r="N306" i="5"/>
  <c r="O305" i="5"/>
  <c r="M307" i="5"/>
  <c r="L310" i="5"/>
  <c r="L335" i="5"/>
  <c r="K335" i="5"/>
  <c r="K338" i="5" s="1"/>
  <c r="K336" i="5"/>
  <c r="I336" i="5"/>
  <c r="K350" i="5"/>
  <c r="L345" i="5" s="1"/>
  <c r="K353" i="5"/>
  <c r="L457" i="5"/>
  <c r="J347" i="6"/>
  <c r="J40" i="6"/>
  <c r="J50" i="6" s="1"/>
  <c r="J48" i="6"/>
  <c r="J296" i="6" s="1"/>
  <c r="J36" i="6"/>
  <c r="J38" i="6" s="1"/>
  <c r="I38" i="6"/>
  <c r="L332" i="6"/>
  <c r="L24" i="6"/>
  <c r="AB112" i="6"/>
  <c r="N62" i="6"/>
  <c r="L34" i="6"/>
  <c r="M28" i="6"/>
  <c r="AE166" i="6"/>
  <c r="T165" i="6" s="1"/>
  <c r="AE150" i="6"/>
  <c r="T149" i="6" s="1"/>
  <c r="AE133" i="6"/>
  <c r="T132" i="6" s="1"/>
  <c r="AE117" i="6"/>
  <c r="AE100" i="6"/>
  <c r="T99" i="6" s="1"/>
  <c r="T83" i="6"/>
  <c r="I403" i="6"/>
  <c r="I285" i="6"/>
  <c r="K349" i="6"/>
  <c r="N30" i="6"/>
  <c r="O30" i="6" s="1"/>
  <c r="P30" i="6" s="1"/>
  <c r="Q30" i="6" s="1"/>
  <c r="R30" i="6" s="1"/>
  <c r="S30" i="6" s="1"/>
  <c r="T30" i="6" s="1"/>
  <c r="U30" i="6" s="1"/>
  <c r="V30" i="6" s="1"/>
  <c r="W30" i="6" s="1"/>
  <c r="X30" i="6" s="1"/>
  <c r="Y30" i="6" s="1"/>
  <c r="Z30" i="6" s="1"/>
  <c r="G35" i="6"/>
  <c r="M344" i="6"/>
  <c r="M346" i="6" s="1"/>
  <c r="M330" i="6"/>
  <c r="K94" i="6"/>
  <c r="N99" i="6"/>
  <c r="AD95" i="6"/>
  <c r="Q94" i="6" s="1"/>
  <c r="J403" i="6"/>
  <c r="J285" i="6"/>
  <c r="C19" i="6"/>
  <c r="K19" i="6"/>
  <c r="M24" i="6"/>
  <c r="H36" i="6"/>
  <c r="H38" i="6" s="1"/>
  <c r="B40" i="6"/>
  <c r="G40" i="6" s="1"/>
  <c r="N54" i="6"/>
  <c r="N70" i="6"/>
  <c r="AC74" i="6"/>
  <c r="AB79" i="6"/>
  <c r="I289" i="6"/>
  <c r="J293" i="6"/>
  <c r="Q306" i="6"/>
  <c r="R305" i="6"/>
  <c r="N149" i="6"/>
  <c r="AD145" i="6"/>
  <c r="Q144" i="6" s="1"/>
  <c r="AC66" i="6"/>
  <c r="AE99" i="6"/>
  <c r="T98" i="6" s="1"/>
  <c r="L397" i="6"/>
  <c r="L385" i="6"/>
  <c r="M311" i="6"/>
  <c r="L398" i="6"/>
  <c r="M371" i="6"/>
  <c r="L386" i="6"/>
  <c r="M291" i="6"/>
  <c r="L307" i="6"/>
  <c r="L312" i="6" s="1"/>
  <c r="V303" i="6"/>
  <c r="O308" i="6"/>
  <c r="J289" i="6"/>
  <c r="J398" i="6" s="1"/>
  <c r="P306" i="6"/>
  <c r="I338" i="6"/>
  <c r="I336" i="6"/>
  <c r="O306" i="6"/>
  <c r="J338" i="6"/>
  <c r="J336" i="6"/>
  <c r="K333" i="6"/>
  <c r="K336" i="6" s="1"/>
  <c r="K350" i="6"/>
  <c r="L345" i="6" s="1"/>
  <c r="M335" i="6"/>
  <c r="M338" i="6" s="1"/>
  <c r="M333" i="6"/>
  <c r="L457" i="6"/>
  <c r="K353" i="6" l="1"/>
  <c r="L312" i="5"/>
  <c r="O54" i="5"/>
  <c r="P53" i="5"/>
  <c r="P54" i="5" s="1"/>
  <c r="O57" i="5"/>
  <c r="O58" i="5" s="1"/>
  <c r="P53" i="6"/>
  <c r="P54" i="6" s="1"/>
  <c r="M287" i="6"/>
  <c r="N311" i="6" s="1"/>
  <c r="O54" i="6"/>
  <c r="M312" i="6"/>
  <c r="N323" i="6" s="1"/>
  <c r="N300" i="6" s="1"/>
  <c r="N304" i="6" s="1"/>
  <c r="O57" i="6"/>
  <c r="B41" i="6"/>
  <c r="G41" i="6" s="1"/>
  <c r="M312" i="5"/>
  <c r="M288" i="5" s="1"/>
  <c r="J42" i="5"/>
  <c r="J44" i="5" s="1"/>
  <c r="J47" i="5" s="1"/>
  <c r="J52" i="5" s="1"/>
  <c r="J41" i="5"/>
  <c r="K285" i="5"/>
  <c r="K403" i="5"/>
  <c r="L19" i="5"/>
  <c r="N28" i="5"/>
  <c r="M34" i="5"/>
  <c r="L338" i="5"/>
  <c r="L336" i="5"/>
  <c r="L353" i="5"/>
  <c r="L350" i="5"/>
  <c r="N372" i="5"/>
  <c r="M347" i="5"/>
  <c r="M40" i="5"/>
  <c r="M50" i="5" s="1"/>
  <c r="C20" i="5"/>
  <c r="Q53" i="5"/>
  <c r="P57" i="5"/>
  <c r="P18" i="5"/>
  <c r="N83" i="5"/>
  <c r="AD79" i="5"/>
  <c r="Q78" i="5" s="1"/>
  <c r="K78" i="5"/>
  <c r="K41" i="5"/>
  <c r="K42" i="5"/>
  <c r="K44" i="5" s="1"/>
  <c r="K47" i="5" s="1"/>
  <c r="K52" i="5" s="1"/>
  <c r="J352" i="5"/>
  <c r="J349" i="5"/>
  <c r="N334" i="5"/>
  <c r="N333" i="5" s="1"/>
  <c r="Q308" i="5"/>
  <c r="X303" i="5"/>
  <c r="N74" i="5"/>
  <c r="AB161" i="5"/>
  <c r="I41" i="5"/>
  <c r="I42" i="5"/>
  <c r="I44" i="5" s="1"/>
  <c r="I47" i="5" s="1"/>
  <c r="I52" i="5" s="1"/>
  <c r="O61" i="5"/>
  <c r="O65" i="5" s="1"/>
  <c r="AB112" i="5"/>
  <c r="N62" i="5"/>
  <c r="K349" i="5"/>
  <c r="K352" i="5"/>
  <c r="N323" i="5"/>
  <c r="N300" i="5" s="1"/>
  <c r="N304" i="5" s="1"/>
  <c r="N307" i="5" s="1"/>
  <c r="M35" i="5"/>
  <c r="P305" i="5"/>
  <c r="O306" i="5"/>
  <c r="M289" i="5"/>
  <c r="M397" i="5"/>
  <c r="L314" i="5"/>
  <c r="L35" i="5"/>
  <c r="L293" i="5"/>
  <c r="L384" i="5" s="1"/>
  <c r="M291" i="5"/>
  <c r="M345" i="5"/>
  <c r="M366" i="5"/>
  <c r="M400" i="5"/>
  <c r="H42" i="5"/>
  <c r="H44" i="5" s="1"/>
  <c r="H47" i="5" s="1"/>
  <c r="H52" i="5" s="1"/>
  <c r="H41" i="5"/>
  <c r="B41" i="5"/>
  <c r="G40" i="5"/>
  <c r="AD128" i="5"/>
  <c r="Q127" i="5" s="1"/>
  <c r="Q111" i="5"/>
  <c r="T116" i="5"/>
  <c r="M372" i="5"/>
  <c r="M373" i="5" s="1"/>
  <c r="L347" i="5"/>
  <c r="L40" i="5"/>
  <c r="H41" i="6"/>
  <c r="H42" i="6"/>
  <c r="H44" i="6" s="1"/>
  <c r="H47" i="6" s="1"/>
  <c r="H52" i="6" s="1"/>
  <c r="L353" i="6"/>
  <c r="L350" i="6"/>
  <c r="M345" i="6" s="1"/>
  <c r="N372" i="6"/>
  <c r="M347" i="6"/>
  <c r="M40" i="6"/>
  <c r="M50" i="6" s="1"/>
  <c r="B42" i="6"/>
  <c r="G42" i="6" s="1"/>
  <c r="L335" i="6"/>
  <c r="K335" i="6"/>
  <c r="K338" i="6" s="1"/>
  <c r="Q53" i="6"/>
  <c r="P57" i="6"/>
  <c r="P18" i="6"/>
  <c r="K42" i="6"/>
  <c r="K44" i="6" s="1"/>
  <c r="K47" i="6" s="1"/>
  <c r="K52" i="6" s="1"/>
  <c r="K41" i="6"/>
  <c r="J42" i="6"/>
  <c r="J44" i="6" s="1"/>
  <c r="J47" i="6" s="1"/>
  <c r="J52" i="6" s="1"/>
  <c r="J41" i="6"/>
  <c r="I41" i="6"/>
  <c r="I42" i="6"/>
  <c r="I44" i="6" s="1"/>
  <c r="I47" i="6" s="1"/>
  <c r="I52" i="6" s="1"/>
  <c r="L338" i="6"/>
  <c r="L336" i="6"/>
  <c r="N334" i="6"/>
  <c r="N333" i="6" s="1"/>
  <c r="P308" i="6"/>
  <c r="W303" i="6"/>
  <c r="L314" i="6"/>
  <c r="L35" i="6"/>
  <c r="M293" i="6"/>
  <c r="N291" i="6"/>
  <c r="N293" i="6" s="1"/>
  <c r="M397" i="6"/>
  <c r="AB128" i="6"/>
  <c r="N66" i="6"/>
  <c r="S305" i="6"/>
  <c r="R306" i="6"/>
  <c r="K78" i="6"/>
  <c r="AD79" i="6"/>
  <c r="Q78" i="6" s="1"/>
  <c r="N83" i="6"/>
  <c r="K285" i="6"/>
  <c r="K403" i="6"/>
  <c r="L19" i="6"/>
  <c r="K352" i="6"/>
  <c r="N28" i="6"/>
  <c r="M34" i="6"/>
  <c r="N116" i="6"/>
  <c r="K111" i="6"/>
  <c r="AD112" i="6"/>
  <c r="J352" i="6"/>
  <c r="J349" i="6"/>
  <c r="AB161" i="6"/>
  <c r="N74" i="6"/>
  <c r="C20" i="6"/>
  <c r="O61" i="6"/>
  <c r="O58" i="6"/>
  <c r="M366" i="6"/>
  <c r="M400" i="6"/>
  <c r="M372" i="6"/>
  <c r="M373" i="6" s="1"/>
  <c r="L347" i="6"/>
  <c r="L40" i="6"/>
  <c r="O62" i="5" l="1"/>
  <c r="M35" i="6"/>
  <c r="M288" i="6"/>
  <c r="M289" i="6" s="1"/>
  <c r="L387" i="5"/>
  <c r="L50" i="5"/>
  <c r="N291" i="5"/>
  <c r="N293" i="5" s="1"/>
  <c r="M293" i="5"/>
  <c r="R308" i="5"/>
  <c r="R53" i="5"/>
  <c r="Q57" i="5"/>
  <c r="Q18" i="5"/>
  <c r="Q54" i="5"/>
  <c r="M352" i="5"/>
  <c r="M349" i="5"/>
  <c r="L403" i="5"/>
  <c r="L285" i="5"/>
  <c r="L329" i="5" s="1"/>
  <c r="M19" i="5"/>
  <c r="L349" i="5"/>
  <c r="L352" i="5"/>
  <c r="Q305" i="5"/>
  <c r="P306" i="5"/>
  <c r="O334" i="5"/>
  <c r="M353" i="5"/>
  <c r="M350" i="5"/>
  <c r="L48" i="5"/>
  <c r="L36" i="5"/>
  <c r="L38" i="5" s="1"/>
  <c r="M398" i="5"/>
  <c r="N371" i="5"/>
  <c r="N373" i="5" s="1"/>
  <c r="M36" i="5"/>
  <c r="M38" i="5" s="1"/>
  <c r="M48" i="5"/>
  <c r="AD112" i="5"/>
  <c r="N116" i="5"/>
  <c r="K111" i="5"/>
  <c r="K160" i="5"/>
  <c r="N165" i="5"/>
  <c r="AD161" i="5"/>
  <c r="Q160" i="5" s="1"/>
  <c r="N344" i="5"/>
  <c r="N346" i="5" s="1"/>
  <c r="N330" i="5"/>
  <c r="C21" i="5"/>
  <c r="G41" i="5"/>
  <c r="B42" i="5"/>
  <c r="Y303" i="5"/>
  <c r="N309" i="5"/>
  <c r="N49" i="5"/>
  <c r="O69" i="5"/>
  <c r="O66" i="5"/>
  <c r="N335" i="5"/>
  <c r="N332" i="5" s="1"/>
  <c r="P61" i="5"/>
  <c r="P58" i="5"/>
  <c r="N34" i="5"/>
  <c r="O28" i="5"/>
  <c r="O334" i="6"/>
  <c r="O333" i="6" s="1"/>
  <c r="N335" i="6"/>
  <c r="N332" i="6" s="1"/>
  <c r="Q308" i="6"/>
  <c r="M352" i="6"/>
  <c r="M349" i="6"/>
  <c r="L387" i="6"/>
  <c r="L50" i="6"/>
  <c r="M353" i="6"/>
  <c r="M350" i="6"/>
  <c r="C21" i="6"/>
  <c r="T305" i="6"/>
  <c r="S306" i="6"/>
  <c r="AD128" i="6"/>
  <c r="Q127" i="6" s="1"/>
  <c r="Q111" i="6"/>
  <c r="T116" i="6"/>
  <c r="X303" i="6"/>
  <c r="R53" i="6"/>
  <c r="Q57" i="6"/>
  <c r="Q54" i="6"/>
  <c r="Q18" i="6"/>
  <c r="N49" i="6"/>
  <c r="N309" i="6"/>
  <c r="N307" i="6"/>
  <c r="L349" i="6"/>
  <c r="L352" i="6"/>
  <c r="O65" i="6"/>
  <c r="O62" i="6"/>
  <c r="L403" i="6"/>
  <c r="L285" i="6"/>
  <c r="L329" i="6" s="1"/>
  <c r="M19" i="6"/>
  <c r="M398" i="6"/>
  <c r="N371" i="6"/>
  <c r="N373" i="6" s="1"/>
  <c r="N33" i="6" s="1"/>
  <c r="N344" i="6"/>
  <c r="N346" i="6" s="1"/>
  <c r="N330" i="6"/>
  <c r="B49" i="6"/>
  <c r="P61" i="6"/>
  <c r="P58" i="6"/>
  <c r="M48" i="6"/>
  <c r="M36" i="6"/>
  <c r="M38" i="6" s="1"/>
  <c r="N165" i="6"/>
  <c r="AD161" i="6"/>
  <c r="Q160" i="6" s="1"/>
  <c r="K160" i="6"/>
  <c r="O28" i="6"/>
  <c r="N34" i="6"/>
  <c r="L48" i="6"/>
  <c r="L36" i="6"/>
  <c r="L38" i="6" s="1"/>
  <c r="O34" i="5" l="1"/>
  <c r="P28" i="5"/>
  <c r="L42" i="5"/>
  <c r="L41" i="5"/>
  <c r="L388" i="5" s="1"/>
  <c r="Q306" i="5"/>
  <c r="R305" i="5"/>
  <c r="R57" i="5"/>
  <c r="R18" i="5"/>
  <c r="S53" i="5"/>
  <c r="R54" i="5"/>
  <c r="M41" i="5"/>
  <c r="M42" i="5"/>
  <c r="M44" i="5" s="1"/>
  <c r="M47" i="5" s="1"/>
  <c r="M52" i="5" s="1"/>
  <c r="O344" i="5"/>
  <c r="O346" i="5" s="1"/>
  <c r="O330" i="5"/>
  <c r="N310" i="5"/>
  <c r="N312" i="5" s="1"/>
  <c r="N287" i="5"/>
  <c r="Z303" i="5"/>
  <c r="G42" i="5"/>
  <c r="L360" i="5"/>
  <c r="M365" i="5" s="1"/>
  <c r="M355" i="5"/>
  <c r="M363" i="5"/>
  <c r="S308" i="5"/>
  <c r="O70" i="5"/>
  <c r="O73" i="5"/>
  <c r="O74" i="5" s="1"/>
  <c r="B49" i="5"/>
  <c r="G49" i="5" s="1"/>
  <c r="P65" i="5"/>
  <c r="P62" i="5"/>
  <c r="F21" i="5"/>
  <c r="C22" i="5"/>
  <c r="N345" i="5"/>
  <c r="N363" i="5"/>
  <c r="N366" i="5"/>
  <c r="N23" i="5" s="1"/>
  <c r="N25" i="5" s="1"/>
  <c r="O333" i="5"/>
  <c r="M403" i="5"/>
  <c r="M285" i="5"/>
  <c r="N19" i="5"/>
  <c r="N355" i="5"/>
  <c r="M360" i="5"/>
  <c r="Q58" i="5"/>
  <c r="Q61" i="5"/>
  <c r="P334" i="6"/>
  <c r="P333" i="6" s="1"/>
  <c r="O335" i="6"/>
  <c r="O332" i="6" s="1"/>
  <c r="N310" i="6"/>
  <c r="N312" i="6" s="1"/>
  <c r="N287" i="6"/>
  <c r="T306" i="6"/>
  <c r="U305" i="6"/>
  <c r="P28" i="6"/>
  <c r="Q58" i="6"/>
  <c r="Q61" i="6"/>
  <c r="Y303" i="6"/>
  <c r="N355" i="6"/>
  <c r="M360" i="6"/>
  <c r="G49" i="6"/>
  <c r="B50" i="6"/>
  <c r="L360" i="6"/>
  <c r="M365" i="6" s="1"/>
  <c r="M363" i="6"/>
  <c r="M355" i="6"/>
  <c r="R57" i="6"/>
  <c r="S53" i="6"/>
  <c r="R18" i="6"/>
  <c r="R54" i="6"/>
  <c r="R308" i="6"/>
  <c r="O344" i="6"/>
  <c r="O346" i="6" s="1"/>
  <c r="O330" i="6"/>
  <c r="M41" i="6"/>
  <c r="M42" i="6"/>
  <c r="M44" i="6" s="1"/>
  <c r="M47" i="6" s="1"/>
  <c r="M52" i="6" s="1"/>
  <c r="N345" i="6"/>
  <c r="N363" i="6"/>
  <c r="N366" i="6"/>
  <c r="N23" i="6" s="1"/>
  <c r="N25" i="6" s="1"/>
  <c r="O69" i="6"/>
  <c r="O66" i="6"/>
  <c r="L41" i="6"/>
  <c r="L388" i="6" s="1"/>
  <c r="L42" i="6"/>
  <c r="P65" i="6"/>
  <c r="P62" i="6"/>
  <c r="M403" i="6"/>
  <c r="M285" i="6"/>
  <c r="N19" i="6"/>
  <c r="F21" i="6"/>
  <c r="C22" i="6"/>
  <c r="C23" i="6" s="1"/>
  <c r="F23" i="6" s="1"/>
  <c r="R306" i="5" l="1"/>
  <c r="S305" i="5"/>
  <c r="M358" i="5"/>
  <c r="M329" i="5"/>
  <c r="F22" i="5"/>
  <c r="C23" i="5"/>
  <c r="O311" i="5"/>
  <c r="S57" i="5"/>
  <c r="T53" i="5"/>
  <c r="S18" i="5"/>
  <c r="S54" i="5"/>
  <c r="L389" i="5"/>
  <c r="L44" i="5"/>
  <c r="L47" i="5" s="1"/>
  <c r="L52" i="5" s="1"/>
  <c r="P34" i="5"/>
  <c r="Q28" i="5"/>
  <c r="N365" i="5"/>
  <c r="N21" i="5" s="1"/>
  <c r="N24" i="5" s="1"/>
  <c r="AB360" i="5"/>
  <c r="O323" i="5"/>
  <c r="O300" i="5" s="1"/>
  <c r="O304" i="5" s="1"/>
  <c r="N35" i="5"/>
  <c r="N288" i="5"/>
  <c r="N289" i="5" s="1"/>
  <c r="O371" i="5" s="1"/>
  <c r="Q65" i="5"/>
  <c r="Q62" i="5"/>
  <c r="N285" i="5"/>
  <c r="N358" i="5" s="1"/>
  <c r="O19" i="5"/>
  <c r="N350" i="5"/>
  <c r="O345" i="5" s="1"/>
  <c r="N353" i="5"/>
  <c r="B50" i="5"/>
  <c r="B54" i="5" s="1"/>
  <c r="P334" i="5"/>
  <c r="P333" i="5" s="1"/>
  <c r="O335" i="5"/>
  <c r="O332" i="5" s="1"/>
  <c r="P69" i="5"/>
  <c r="P66" i="5"/>
  <c r="T308" i="5"/>
  <c r="R61" i="5"/>
  <c r="R58" i="5"/>
  <c r="O323" i="6"/>
  <c r="O300" i="6" s="1"/>
  <c r="O304" i="6" s="1"/>
  <c r="N35" i="6"/>
  <c r="N288" i="6"/>
  <c r="G50" i="6"/>
  <c r="B54" i="6"/>
  <c r="B58" i="6" s="1"/>
  <c r="Q28" i="6"/>
  <c r="F22" i="6"/>
  <c r="N285" i="6"/>
  <c r="N358" i="6" s="1"/>
  <c r="O19" i="6"/>
  <c r="P69" i="6"/>
  <c r="P66" i="6"/>
  <c r="S57" i="6"/>
  <c r="S54" i="6"/>
  <c r="T53" i="6"/>
  <c r="S18" i="6"/>
  <c r="Z303" i="6"/>
  <c r="N289" i="6"/>
  <c r="O371" i="6" s="1"/>
  <c r="O311" i="6"/>
  <c r="P344" i="6"/>
  <c r="P330" i="6"/>
  <c r="Q334" i="6"/>
  <c r="C24" i="6"/>
  <c r="M358" i="6"/>
  <c r="M329" i="6"/>
  <c r="L389" i="6"/>
  <c r="L44" i="6"/>
  <c r="L47" i="6" s="1"/>
  <c r="L52" i="6" s="1"/>
  <c r="P346" i="6"/>
  <c r="R61" i="6"/>
  <c r="R58" i="6"/>
  <c r="N365" i="6"/>
  <c r="N21" i="6" s="1"/>
  <c r="N24" i="6" s="1"/>
  <c r="AB360" i="6"/>
  <c r="Q65" i="6"/>
  <c r="Q62" i="6"/>
  <c r="U306" i="6"/>
  <c r="V305" i="6"/>
  <c r="P335" i="6"/>
  <c r="P332" i="6" s="1"/>
  <c r="O73" i="6"/>
  <c r="O74" i="6" s="1"/>
  <c r="O70" i="6"/>
  <c r="N350" i="6"/>
  <c r="O345" i="6" s="1"/>
  <c r="N353" i="6"/>
  <c r="S308" i="6"/>
  <c r="C24" i="5" l="1"/>
  <c r="F24" i="5" s="1"/>
  <c r="B247" i="5" s="1"/>
  <c r="H247" i="5" s="1"/>
  <c r="B70" i="5"/>
  <c r="G70" i="5" s="1"/>
  <c r="B62" i="5"/>
  <c r="G62" i="5" s="1"/>
  <c r="B184" i="5"/>
  <c r="B117" i="5"/>
  <c r="B84" i="5"/>
  <c r="K83" i="5" s="1"/>
  <c r="K116" i="5" s="1"/>
  <c r="K149" i="5" s="1"/>
  <c r="G54" i="5"/>
  <c r="B58" i="5"/>
  <c r="O350" i="5"/>
  <c r="O353" i="5"/>
  <c r="Q334" i="5"/>
  <c r="P335" i="5"/>
  <c r="P332" i="5" s="1"/>
  <c r="Q69" i="5"/>
  <c r="Q66" i="5"/>
  <c r="N48" i="5"/>
  <c r="N36" i="5"/>
  <c r="N38" i="5" s="1"/>
  <c r="U308" i="5"/>
  <c r="O285" i="5"/>
  <c r="O358" i="5" s="1"/>
  <c r="P19" i="5"/>
  <c r="O49" i="5"/>
  <c r="O309" i="5"/>
  <c r="O310" i="5" s="1"/>
  <c r="O307" i="5"/>
  <c r="R28" i="5"/>
  <c r="Q34" i="5"/>
  <c r="F23" i="5"/>
  <c r="G50" i="5"/>
  <c r="R65" i="5"/>
  <c r="R62" i="5"/>
  <c r="P344" i="5"/>
  <c r="P346" i="5" s="1"/>
  <c r="P330" i="5"/>
  <c r="T57" i="5"/>
  <c r="U53" i="5"/>
  <c r="T18" i="5"/>
  <c r="T54" i="5"/>
  <c r="T305" i="5"/>
  <c r="S306" i="5"/>
  <c r="P73" i="5"/>
  <c r="P74" i="5" s="1"/>
  <c r="P70" i="5"/>
  <c r="O372" i="5"/>
  <c r="O373" i="5" s="1"/>
  <c r="N347" i="5"/>
  <c r="N40" i="5"/>
  <c r="N50" i="5" s="1"/>
  <c r="O312" i="5"/>
  <c r="S61" i="5"/>
  <c r="S58" i="5"/>
  <c r="O350" i="6"/>
  <c r="O353" i="6"/>
  <c r="B193" i="6"/>
  <c r="B74" i="6"/>
  <c r="G74" i="6" s="1"/>
  <c r="G58" i="6"/>
  <c r="B100" i="6"/>
  <c r="K99" i="6" s="1"/>
  <c r="Q116" i="6" s="1"/>
  <c r="K165" i="6" s="1"/>
  <c r="B66" i="6"/>
  <c r="G66" i="6" s="1"/>
  <c r="B182" i="6"/>
  <c r="Q69" i="6"/>
  <c r="Q66" i="6"/>
  <c r="R65" i="6"/>
  <c r="R62" i="6"/>
  <c r="O285" i="6"/>
  <c r="O358" i="6" s="1"/>
  <c r="P19" i="6"/>
  <c r="T308" i="6"/>
  <c r="W305" i="6"/>
  <c r="V306" i="6"/>
  <c r="S61" i="6"/>
  <c r="S58" i="6"/>
  <c r="O372" i="6"/>
  <c r="O373" i="6" s="1"/>
  <c r="O33" i="6" s="1"/>
  <c r="O34" i="6" s="1"/>
  <c r="N347" i="6"/>
  <c r="N40" i="6"/>
  <c r="N50" i="6" s="1"/>
  <c r="P345" i="6"/>
  <c r="Q346" i="6"/>
  <c r="Q344" i="6"/>
  <c r="Q330" i="6"/>
  <c r="C25" i="6"/>
  <c r="R28" i="6"/>
  <c r="B184" i="6"/>
  <c r="B84" i="6"/>
  <c r="K83" i="6" s="1"/>
  <c r="K116" i="6" s="1"/>
  <c r="K149" i="6" s="1"/>
  <c r="B62" i="6"/>
  <c r="G62" i="6" s="1"/>
  <c r="B117" i="6"/>
  <c r="G54" i="6"/>
  <c r="B70" i="6"/>
  <c r="G70" i="6" s="1"/>
  <c r="N48" i="6"/>
  <c r="N36" i="6"/>
  <c r="N38" i="6" s="1"/>
  <c r="F24" i="6"/>
  <c r="B247" i="6" s="1"/>
  <c r="H247" i="6" s="1"/>
  <c r="Q333" i="6"/>
  <c r="U53" i="6"/>
  <c r="T57" i="6"/>
  <c r="T18" i="6"/>
  <c r="T54" i="6"/>
  <c r="P73" i="6"/>
  <c r="P74" i="6" s="1"/>
  <c r="P70" i="6"/>
  <c r="O49" i="6"/>
  <c r="O309" i="6"/>
  <c r="O307" i="6"/>
  <c r="C25" i="5" l="1"/>
  <c r="P323" i="5"/>
  <c r="P300" i="5" s="1"/>
  <c r="P304" i="5" s="1"/>
  <c r="O35" i="5"/>
  <c r="N352" i="5"/>
  <c r="N349" i="5"/>
  <c r="V53" i="5"/>
  <c r="U57" i="5"/>
  <c r="U54" i="5"/>
  <c r="U18" i="5"/>
  <c r="R69" i="5"/>
  <c r="R66" i="5"/>
  <c r="R34" i="5"/>
  <c r="S28" i="5"/>
  <c r="V308" i="5"/>
  <c r="Q70" i="5"/>
  <c r="Q73" i="5"/>
  <c r="Q74" i="5" s="1"/>
  <c r="Q344" i="5"/>
  <c r="Q330" i="5"/>
  <c r="O288" i="5"/>
  <c r="O287" i="5"/>
  <c r="T61" i="5"/>
  <c r="T58" i="5"/>
  <c r="P285" i="5"/>
  <c r="P358" i="5" s="1"/>
  <c r="Q19" i="5"/>
  <c r="B193" i="5"/>
  <c r="B100" i="5"/>
  <c r="K99" i="5" s="1"/>
  <c r="Q116" i="5" s="1"/>
  <c r="K165" i="5" s="1"/>
  <c r="B74" i="5"/>
  <c r="G58" i="5"/>
  <c r="B66" i="5"/>
  <c r="B182" i="5"/>
  <c r="N42" i="5"/>
  <c r="N44" i="5" s="1"/>
  <c r="N47" i="5" s="1"/>
  <c r="N52" i="5" s="1"/>
  <c r="N41" i="5"/>
  <c r="U305" i="5"/>
  <c r="T306" i="5"/>
  <c r="P345" i="5"/>
  <c r="Q346" i="5"/>
  <c r="S65" i="5"/>
  <c r="S62" i="5"/>
  <c r="Q333" i="5"/>
  <c r="N42" i="6"/>
  <c r="N44" i="6" s="1"/>
  <c r="N41" i="6"/>
  <c r="R346" i="6"/>
  <c r="Q73" i="6"/>
  <c r="Q74" i="6" s="1"/>
  <c r="Q70" i="6"/>
  <c r="R334" i="6"/>
  <c r="R330" i="6" s="1"/>
  <c r="Q335" i="6"/>
  <c r="Q332" i="6" s="1"/>
  <c r="F25" i="6"/>
  <c r="C26" i="6"/>
  <c r="N352" i="6"/>
  <c r="N349" i="6"/>
  <c r="S65" i="6"/>
  <c r="S62" i="6"/>
  <c r="B191" i="6"/>
  <c r="V53" i="6"/>
  <c r="U57" i="6"/>
  <c r="U54" i="6"/>
  <c r="U18" i="6"/>
  <c r="S28" i="6"/>
  <c r="P353" i="6"/>
  <c r="P350" i="6"/>
  <c r="Q345" i="6" s="1"/>
  <c r="X305" i="6"/>
  <c r="W306" i="6"/>
  <c r="P285" i="6"/>
  <c r="P358" i="6" s="1"/>
  <c r="Q19" i="6"/>
  <c r="R69" i="6"/>
  <c r="R66" i="6"/>
  <c r="U308" i="6"/>
  <c r="B83" i="6"/>
  <c r="B86" i="6" s="1"/>
  <c r="B119" i="6" s="1"/>
  <c r="T61" i="6"/>
  <c r="T58" i="6"/>
  <c r="O310" i="6"/>
  <c r="O312" i="6" s="1"/>
  <c r="O287" i="6"/>
  <c r="R333" i="6" l="1"/>
  <c r="C26" i="5"/>
  <c r="C27" i="5" s="1"/>
  <c r="F25" i="5"/>
  <c r="S69" i="5"/>
  <c r="S66" i="5"/>
  <c r="U306" i="5"/>
  <c r="V305" i="5"/>
  <c r="N76" i="5"/>
  <c r="N68" i="5"/>
  <c r="N72" i="5"/>
  <c r="N64" i="5"/>
  <c r="N56" i="5"/>
  <c r="N60" i="5"/>
  <c r="B191" i="5"/>
  <c r="T65" i="5"/>
  <c r="T62" i="5"/>
  <c r="U61" i="5"/>
  <c r="U58" i="5"/>
  <c r="O36" i="5"/>
  <c r="O48" i="5"/>
  <c r="G74" i="5"/>
  <c r="B83" i="5"/>
  <c r="P353" i="5"/>
  <c r="P350" i="5"/>
  <c r="G66" i="5"/>
  <c r="O289" i="5"/>
  <c r="P371" i="5" s="1"/>
  <c r="P311" i="5"/>
  <c r="W308" i="5"/>
  <c r="R73" i="5"/>
  <c r="R74" i="5" s="1"/>
  <c r="R70" i="5"/>
  <c r="V57" i="5"/>
  <c r="V18" i="5"/>
  <c r="W53" i="5"/>
  <c r="V54" i="5"/>
  <c r="P49" i="5"/>
  <c r="P309" i="5"/>
  <c r="P310" i="5" s="1"/>
  <c r="P307" i="5"/>
  <c r="R334" i="5"/>
  <c r="R330" i="5" s="1"/>
  <c r="Q335" i="5"/>
  <c r="Q332" i="5" s="1"/>
  <c r="Q345" i="5"/>
  <c r="R346" i="5"/>
  <c r="F27" i="5"/>
  <c r="C28" i="5"/>
  <c r="Q285" i="5"/>
  <c r="Q358" i="5" s="1"/>
  <c r="R19" i="5"/>
  <c r="T28" i="5"/>
  <c r="S34" i="5"/>
  <c r="O355" i="5"/>
  <c r="N360" i="5"/>
  <c r="O363" i="5"/>
  <c r="Q353" i="6"/>
  <c r="Q350" i="6"/>
  <c r="R345" i="6" s="1"/>
  <c r="P323" i="6"/>
  <c r="P300" i="6" s="1"/>
  <c r="P304" i="6" s="1"/>
  <c r="O35" i="6"/>
  <c r="O288" i="6"/>
  <c r="Q285" i="6"/>
  <c r="Q358" i="6" s="1"/>
  <c r="R19" i="6"/>
  <c r="V57" i="6"/>
  <c r="V18" i="6"/>
  <c r="W53" i="6"/>
  <c r="V54" i="6"/>
  <c r="O355" i="6"/>
  <c r="N360" i="6"/>
  <c r="O363" i="6"/>
  <c r="T28" i="6"/>
  <c r="S334" i="6"/>
  <c r="S330" i="6" s="1"/>
  <c r="N45" i="6"/>
  <c r="N47" i="6" s="1"/>
  <c r="N52" i="6" s="1"/>
  <c r="X306" i="6"/>
  <c r="Y305" i="6"/>
  <c r="S69" i="6"/>
  <c r="S66" i="6"/>
  <c r="C27" i="6"/>
  <c r="T65" i="6"/>
  <c r="T62" i="6"/>
  <c r="O289" i="6"/>
  <c r="P371" i="6" s="1"/>
  <c r="P311" i="6"/>
  <c r="B99" i="6"/>
  <c r="K98" i="6" s="1"/>
  <c r="Q115" i="6" s="1"/>
  <c r="K164" i="6" s="1"/>
  <c r="B116" i="6"/>
  <c r="K82" i="6"/>
  <c r="K115" i="6" s="1"/>
  <c r="K148" i="6" s="1"/>
  <c r="V308" i="6"/>
  <c r="R73" i="6"/>
  <c r="R74" i="6" s="1"/>
  <c r="R70" i="6"/>
  <c r="U58" i="6"/>
  <c r="U61" i="6"/>
  <c r="S346" i="6"/>
  <c r="R333" i="5" l="1"/>
  <c r="T69" i="5"/>
  <c r="T66" i="5"/>
  <c r="F28" i="5"/>
  <c r="C29" i="5"/>
  <c r="X308" i="5"/>
  <c r="P287" i="5"/>
  <c r="B116" i="5"/>
  <c r="B99" i="5"/>
  <c r="K82" i="5"/>
  <c r="K115" i="5" s="1"/>
  <c r="K148" i="5" s="1"/>
  <c r="B86" i="5"/>
  <c r="B119" i="5" s="1"/>
  <c r="S346" i="5"/>
  <c r="S334" i="5"/>
  <c r="S330" i="5" s="1"/>
  <c r="V58" i="5"/>
  <c r="V61" i="5"/>
  <c r="U65" i="5"/>
  <c r="U62" i="5"/>
  <c r="V306" i="5"/>
  <c r="W305" i="5"/>
  <c r="S70" i="5"/>
  <c r="S73" i="5"/>
  <c r="S74" i="5" s="1"/>
  <c r="R285" i="5"/>
  <c r="R358" i="5" s="1"/>
  <c r="S19" i="5"/>
  <c r="Q353" i="5"/>
  <c r="Q350" i="5"/>
  <c r="R345" i="5" s="1"/>
  <c r="W57" i="5"/>
  <c r="X53" i="5"/>
  <c r="W18" i="5"/>
  <c r="W54" i="5"/>
  <c r="T34" i="5"/>
  <c r="U28" i="5"/>
  <c r="O360" i="5"/>
  <c r="O365" i="5"/>
  <c r="O21" i="5" s="1"/>
  <c r="P312" i="5"/>
  <c r="V61" i="6"/>
  <c r="V58" i="6"/>
  <c r="T346" i="6"/>
  <c r="W308" i="6"/>
  <c r="N64" i="6"/>
  <c r="N68" i="6"/>
  <c r="N72" i="6"/>
  <c r="N56" i="6"/>
  <c r="N60" i="6"/>
  <c r="N76" i="6"/>
  <c r="R285" i="6"/>
  <c r="R358" i="6" s="1"/>
  <c r="S19" i="6"/>
  <c r="P49" i="6"/>
  <c r="P307" i="6"/>
  <c r="P309" i="6"/>
  <c r="U65" i="6"/>
  <c r="U62" i="6"/>
  <c r="U28" i="6"/>
  <c r="O48" i="6"/>
  <c r="O36" i="6"/>
  <c r="T69" i="6"/>
  <c r="T66" i="6"/>
  <c r="F27" i="6"/>
  <c r="C28" i="6"/>
  <c r="Y306" i="6"/>
  <c r="Z305" i="6"/>
  <c r="W57" i="6"/>
  <c r="W54" i="6"/>
  <c r="X53" i="6"/>
  <c r="W18" i="6"/>
  <c r="S73" i="6"/>
  <c r="S74" i="6" s="1"/>
  <c r="S70" i="6"/>
  <c r="R350" i="6"/>
  <c r="S345" i="6" s="1"/>
  <c r="R353" i="6"/>
  <c r="B102" i="6"/>
  <c r="B105" i="6" s="1"/>
  <c r="T80" i="6" s="1"/>
  <c r="T96" i="6" s="1"/>
  <c r="T146" i="6" s="1"/>
  <c r="T162" i="6" s="1"/>
  <c r="S333" i="6"/>
  <c r="O360" i="6"/>
  <c r="O365" i="6"/>
  <c r="O21" i="6" s="1"/>
  <c r="S285" i="5" l="1"/>
  <c r="S358" i="5" s="1"/>
  <c r="T19" i="5"/>
  <c r="U69" i="5"/>
  <c r="U66" i="5"/>
  <c r="K98" i="5"/>
  <c r="Q115" i="5" s="1"/>
  <c r="K164" i="5" s="1"/>
  <c r="B102" i="5"/>
  <c r="B105" i="5" s="1"/>
  <c r="T80" i="5" s="1"/>
  <c r="T96" i="5" s="1"/>
  <c r="T146" i="5" s="1"/>
  <c r="T162" i="5" s="1"/>
  <c r="W61" i="5"/>
  <c r="W58" i="5"/>
  <c r="X305" i="5"/>
  <c r="W306" i="5"/>
  <c r="R350" i="5"/>
  <c r="S345" i="5" s="1"/>
  <c r="R353" i="5"/>
  <c r="Q323" i="5"/>
  <c r="Q300" i="5" s="1"/>
  <c r="Q304" i="5" s="1"/>
  <c r="P35" i="5"/>
  <c r="P288" i="5"/>
  <c r="V28" i="5"/>
  <c r="U34" i="5"/>
  <c r="S333" i="5"/>
  <c r="Y53" i="5"/>
  <c r="X57" i="5"/>
  <c r="X18" i="5"/>
  <c r="X54" i="5"/>
  <c r="Y308" i="5"/>
  <c r="P360" i="5"/>
  <c r="P365" i="5"/>
  <c r="P21" i="5" s="1"/>
  <c r="O361" i="5"/>
  <c r="O366" i="5" s="1"/>
  <c r="O23" i="5" s="1"/>
  <c r="O25" i="5" s="1"/>
  <c r="V65" i="5"/>
  <c r="V62" i="5"/>
  <c r="T346" i="5"/>
  <c r="Q311" i="5"/>
  <c r="F29" i="5"/>
  <c r="C30" i="5"/>
  <c r="T73" i="5"/>
  <c r="T74" i="5" s="1"/>
  <c r="T70" i="5"/>
  <c r="S350" i="6"/>
  <c r="S353" i="6"/>
  <c r="T334" i="6"/>
  <c r="T330" i="6" s="1"/>
  <c r="S285" i="6"/>
  <c r="S358" i="6" s="1"/>
  <c r="T19" i="6"/>
  <c r="X308" i="6"/>
  <c r="P360" i="6"/>
  <c r="P365" i="6"/>
  <c r="P21" i="6" s="1"/>
  <c r="O361" i="6"/>
  <c r="O366" i="6" s="1"/>
  <c r="O23" i="6" s="1"/>
  <c r="O25" i="6" s="1"/>
  <c r="Y53" i="6"/>
  <c r="X57" i="6"/>
  <c r="X18" i="6"/>
  <c r="X54" i="6"/>
  <c r="Z306" i="6"/>
  <c r="T73" i="6"/>
  <c r="T74" i="6" s="1"/>
  <c r="T70" i="6"/>
  <c r="V28" i="6"/>
  <c r="P310" i="6"/>
  <c r="P312" i="6" s="1"/>
  <c r="P287" i="6"/>
  <c r="F28" i="6"/>
  <c r="C29" i="6"/>
  <c r="V65" i="6"/>
  <c r="V62" i="6"/>
  <c r="U69" i="6"/>
  <c r="U66" i="6"/>
  <c r="W61" i="6"/>
  <c r="W58" i="6"/>
  <c r="T345" i="6"/>
  <c r="U346" i="6"/>
  <c r="O24" i="6" l="1"/>
  <c r="S350" i="5"/>
  <c r="S353" i="5"/>
  <c r="Z53" i="5"/>
  <c r="Y57" i="5"/>
  <c r="Y18" i="5"/>
  <c r="Y54" i="5"/>
  <c r="T345" i="5"/>
  <c r="U346" i="5"/>
  <c r="Z308" i="5"/>
  <c r="P289" i="5"/>
  <c r="Q371" i="5" s="1"/>
  <c r="O24" i="5"/>
  <c r="P48" i="5"/>
  <c r="P36" i="5"/>
  <c r="W65" i="5"/>
  <c r="W62" i="5"/>
  <c r="U70" i="5"/>
  <c r="U73" i="5"/>
  <c r="U74" i="5" s="1"/>
  <c r="F30" i="5"/>
  <c r="C31" i="5"/>
  <c r="Q365" i="5"/>
  <c r="Q21" i="5" s="1"/>
  <c r="P361" i="5"/>
  <c r="P366" i="5" s="1"/>
  <c r="P23" i="5" s="1"/>
  <c r="P25" i="5" s="1"/>
  <c r="Q360" i="5"/>
  <c r="P363" i="5"/>
  <c r="T334" i="5"/>
  <c r="T330" i="5" s="1"/>
  <c r="Q49" i="5"/>
  <c r="Q309" i="5"/>
  <c r="Q307" i="5"/>
  <c r="T285" i="5"/>
  <c r="T358" i="5" s="1"/>
  <c r="U19" i="5"/>
  <c r="V69" i="5"/>
  <c r="V66" i="5"/>
  <c r="X58" i="5"/>
  <c r="X61" i="5"/>
  <c r="V34" i="5"/>
  <c r="W28" i="5"/>
  <c r="Y305" i="5"/>
  <c r="X306" i="5"/>
  <c r="X61" i="6"/>
  <c r="X58" i="6"/>
  <c r="Q365" i="6"/>
  <c r="Q21" i="6" s="1"/>
  <c r="P361" i="6"/>
  <c r="P366" i="6" s="1"/>
  <c r="P23" i="6" s="1"/>
  <c r="P25" i="6" s="1"/>
  <c r="Q360" i="6"/>
  <c r="P363" i="6"/>
  <c r="T285" i="6"/>
  <c r="T358" i="6" s="1"/>
  <c r="U19" i="6"/>
  <c r="O347" i="6"/>
  <c r="P372" i="6"/>
  <c r="P373" i="6" s="1"/>
  <c r="P33" i="6" s="1"/>
  <c r="P34" i="6" s="1"/>
  <c r="O40" i="6"/>
  <c r="O50" i="6" s="1"/>
  <c r="O38" i="6"/>
  <c r="T350" i="6"/>
  <c r="W65" i="6"/>
  <c r="W62" i="6"/>
  <c r="V69" i="6"/>
  <c r="V66" i="6"/>
  <c r="W28" i="6"/>
  <c r="Z53" i="6"/>
  <c r="Y57" i="6"/>
  <c r="Y54" i="6"/>
  <c r="Y18" i="6"/>
  <c r="F29" i="6"/>
  <c r="C30" i="6"/>
  <c r="Q311" i="6"/>
  <c r="Y308" i="6"/>
  <c r="T333" i="6"/>
  <c r="T353" i="6" s="1"/>
  <c r="U345" i="6"/>
  <c r="V346" i="6"/>
  <c r="U73" i="6"/>
  <c r="U74" i="6" s="1"/>
  <c r="U70" i="6"/>
  <c r="Q323" i="6"/>
  <c r="Q300" i="6" s="1"/>
  <c r="Q304" i="6" s="1"/>
  <c r="P35" i="6"/>
  <c r="P288" i="6"/>
  <c r="P24" i="6"/>
  <c r="U285" i="5" l="1"/>
  <c r="U358" i="5" s="1"/>
  <c r="V19" i="5"/>
  <c r="W69" i="5"/>
  <c r="W66" i="5"/>
  <c r="O347" i="5"/>
  <c r="P372" i="5"/>
  <c r="P373" i="5" s="1"/>
  <c r="O38" i="5"/>
  <c r="O40" i="5"/>
  <c r="O50" i="5" s="1"/>
  <c r="T350" i="5"/>
  <c r="Z57" i="5"/>
  <c r="Z18" i="5"/>
  <c r="A80" i="5"/>
  <c r="Z54" i="5"/>
  <c r="AB86" i="5" s="1"/>
  <c r="Y306" i="5"/>
  <c r="Z305" i="5"/>
  <c r="T333" i="5"/>
  <c r="P24" i="5"/>
  <c r="W34" i="5"/>
  <c r="X28" i="5"/>
  <c r="X65" i="5"/>
  <c r="X62" i="5"/>
  <c r="Q361" i="5"/>
  <c r="Q366" i="5" s="1"/>
  <c r="Q23" i="5" s="1"/>
  <c r="Q25" i="5" s="1"/>
  <c r="R360" i="5"/>
  <c r="R365" i="5"/>
  <c r="R21" i="5" s="1"/>
  <c r="V73" i="5"/>
  <c r="V74" i="5" s="1"/>
  <c r="V70" i="5"/>
  <c r="Q310" i="5"/>
  <c r="Q312" i="5" s="1"/>
  <c r="Q287" i="5"/>
  <c r="F31" i="5"/>
  <c r="C32" i="5"/>
  <c r="U345" i="5"/>
  <c r="V346" i="5"/>
  <c r="Y61" i="5"/>
  <c r="Y58" i="5"/>
  <c r="W346" i="6"/>
  <c r="W69" i="6"/>
  <c r="W66" i="6"/>
  <c r="Q49" i="6"/>
  <c r="Q307" i="6"/>
  <c r="Q309" i="6"/>
  <c r="Z308" i="6"/>
  <c r="F30" i="6"/>
  <c r="C31" i="6"/>
  <c r="Y58" i="6"/>
  <c r="Y61" i="6"/>
  <c r="P48" i="6"/>
  <c r="P36" i="6"/>
  <c r="P38" i="6" s="1"/>
  <c r="Q372" i="6"/>
  <c r="P347" i="6"/>
  <c r="P40" i="6"/>
  <c r="P50" i="6" s="1"/>
  <c r="U350" i="6"/>
  <c r="V345" i="6" s="1"/>
  <c r="A80" i="6"/>
  <c r="Z57" i="6"/>
  <c r="Z18" i="6"/>
  <c r="Z54" i="6"/>
  <c r="AB86" i="6" s="1"/>
  <c r="V73" i="6"/>
  <c r="V74" i="6" s="1"/>
  <c r="V70" i="6"/>
  <c r="O349" i="6"/>
  <c r="P355" i="6" s="1"/>
  <c r="O352" i="6"/>
  <c r="Q361" i="6"/>
  <c r="Q366" i="6" s="1"/>
  <c r="Q23" i="6" s="1"/>
  <c r="Q25" i="6" s="1"/>
  <c r="R360" i="6"/>
  <c r="R365" i="6"/>
  <c r="R21" i="6" s="1"/>
  <c r="X65" i="6"/>
  <c r="X62" i="6"/>
  <c r="X28" i="6"/>
  <c r="U334" i="6"/>
  <c r="U330" i="6" s="1"/>
  <c r="P289" i="6"/>
  <c r="Q371" i="6" s="1"/>
  <c r="O42" i="6"/>
  <c r="O44" i="6" s="1"/>
  <c r="O41" i="6"/>
  <c r="U285" i="6"/>
  <c r="U358" i="6" s="1"/>
  <c r="V19" i="6"/>
  <c r="U333" i="6" l="1"/>
  <c r="R323" i="5"/>
  <c r="R300" i="5" s="1"/>
  <c r="R304" i="5" s="1"/>
  <c r="Q35" i="5"/>
  <c r="Q288" i="5"/>
  <c r="Q289" i="5" s="1"/>
  <c r="R371" i="5" s="1"/>
  <c r="Q24" i="5"/>
  <c r="Q372" i="5"/>
  <c r="Q373" i="5" s="1"/>
  <c r="P347" i="5"/>
  <c r="P40" i="5"/>
  <c r="P50" i="5" s="1"/>
  <c r="P38" i="5"/>
  <c r="Z61" i="5"/>
  <c r="Z58" i="5"/>
  <c r="AB102" i="5" s="1"/>
  <c r="O41" i="5"/>
  <c r="O42" i="5"/>
  <c r="O44" i="5" s="1"/>
  <c r="O47" i="5" s="1"/>
  <c r="O52" i="5" s="1"/>
  <c r="W70" i="5"/>
  <c r="W73" i="5"/>
  <c r="W74" i="5" s="1"/>
  <c r="U350" i="5"/>
  <c r="V345" i="5" s="1"/>
  <c r="R311" i="5"/>
  <c r="X34" i="5"/>
  <c r="Y28" i="5"/>
  <c r="U334" i="5"/>
  <c r="U330" i="5" s="1"/>
  <c r="N85" i="5"/>
  <c r="U85" i="5"/>
  <c r="V285" i="5"/>
  <c r="V358" i="5" s="1"/>
  <c r="W19" i="5"/>
  <c r="X69" i="5"/>
  <c r="X66" i="5"/>
  <c r="Z306" i="5"/>
  <c r="A86" i="5"/>
  <c r="A85" i="5"/>
  <c r="K84" i="5" s="1"/>
  <c r="A89" i="5"/>
  <c r="K88" i="5" s="1"/>
  <c r="T353" i="5"/>
  <c r="O349" i="5"/>
  <c r="P355" i="5" s="1"/>
  <c r="O352" i="5"/>
  <c r="Y65" i="5"/>
  <c r="Y62" i="5"/>
  <c r="W346" i="5"/>
  <c r="F32" i="5"/>
  <c r="C33" i="5"/>
  <c r="S360" i="5"/>
  <c r="S365" i="5"/>
  <c r="S21" i="5" s="1"/>
  <c r="R361" i="5"/>
  <c r="R366" i="5" s="1"/>
  <c r="R23" i="5" s="1"/>
  <c r="R25" i="5" s="1"/>
  <c r="V350" i="6"/>
  <c r="P41" i="6"/>
  <c r="P42" i="6"/>
  <c r="P44" i="6" s="1"/>
  <c r="V285" i="6"/>
  <c r="V358" i="6" s="1"/>
  <c r="W19" i="6"/>
  <c r="V334" i="6"/>
  <c r="V330" i="6" s="1"/>
  <c r="S360" i="6"/>
  <c r="S365" i="6"/>
  <c r="S21" i="6" s="1"/>
  <c r="R361" i="6"/>
  <c r="R366" i="6" s="1"/>
  <c r="R23" i="6" s="1"/>
  <c r="R25" i="6" s="1"/>
  <c r="U353" i="6"/>
  <c r="F31" i="6"/>
  <c r="C32" i="6"/>
  <c r="A89" i="6"/>
  <c r="K88" i="6" s="1"/>
  <c r="A86" i="6"/>
  <c r="A85" i="6"/>
  <c r="K84" i="6" s="1"/>
  <c r="Q24" i="6"/>
  <c r="X346" i="6"/>
  <c r="W345" i="6"/>
  <c r="Z61" i="6"/>
  <c r="Z58" i="6"/>
  <c r="AB102" i="6" s="1"/>
  <c r="Q310" i="6"/>
  <c r="Q312" i="6" s="1"/>
  <c r="Q287" i="6"/>
  <c r="X69" i="6"/>
  <c r="X66" i="6"/>
  <c r="N85" i="6"/>
  <c r="U85" i="6"/>
  <c r="Y65" i="6"/>
  <c r="Y62" i="6"/>
  <c r="W73" i="6"/>
  <c r="W74" i="6" s="1"/>
  <c r="W70" i="6"/>
  <c r="O45" i="6"/>
  <c r="Q373" i="6"/>
  <c r="Q33" i="6" s="1"/>
  <c r="Q34" i="6" s="1"/>
  <c r="Y28" i="6"/>
  <c r="R24" i="6"/>
  <c r="P349" i="6"/>
  <c r="P352" i="6"/>
  <c r="V333" i="6" l="1"/>
  <c r="U333" i="5"/>
  <c r="A102" i="5"/>
  <c r="K101" i="5" s="1"/>
  <c r="K85" i="5"/>
  <c r="X73" i="5"/>
  <c r="X74" i="5" s="1"/>
  <c r="X70" i="5"/>
  <c r="Z28" i="5"/>
  <c r="Z34" i="5" s="1"/>
  <c r="Y34" i="5"/>
  <c r="P42" i="5"/>
  <c r="P44" i="5" s="1"/>
  <c r="P47" i="5" s="1"/>
  <c r="P52" i="5" s="1"/>
  <c r="P41" i="5"/>
  <c r="R372" i="5"/>
  <c r="R373" i="5" s="1"/>
  <c r="Q347" i="5"/>
  <c r="Q40" i="5"/>
  <c r="Q50" i="5" s="1"/>
  <c r="R24" i="5"/>
  <c r="N118" i="5"/>
  <c r="T360" i="5"/>
  <c r="T365" i="5"/>
  <c r="T21" i="5" s="1"/>
  <c r="S361" i="5"/>
  <c r="S366" i="5" s="1"/>
  <c r="S23" i="5" s="1"/>
  <c r="S25" i="5" s="1"/>
  <c r="X346" i="5"/>
  <c r="K104" i="5"/>
  <c r="Q121" i="5" s="1"/>
  <c r="K170" i="5" s="1"/>
  <c r="K121" i="5"/>
  <c r="K154" i="5" s="1"/>
  <c r="Q88" i="5"/>
  <c r="W285" i="5"/>
  <c r="W358" i="5" s="1"/>
  <c r="X19" i="5"/>
  <c r="V334" i="5"/>
  <c r="V330" i="5" s="1"/>
  <c r="U353" i="5"/>
  <c r="O64" i="5"/>
  <c r="O72" i="5"/>
  <c r="O76" i="5"/>
  <c r="O56" i="5"/>
  <c r="O60" i="5"/>
  <c r="O68" i="5"/>
  <c r="U101" i="5"/>
  <c r="N101" i="5"/>
  <c r="P349" i="5"/>
  <c r="P352" i="5"/>
  <c r="Q36" i="5"/>
  <c r="Q38" i="5" s="1"/>
  <c r="Q48" i="5"/>
  <c r="F33" i="5"/>
  <c r="C34" i="5"/>
  <c r="V350" i="5"/>
  <c r="W345" i="5" s="1"/>
  <c r="Y69" i="5"/>
  <c r="Y66" i="5"/>
  <c r="K117" i="5"/>
  <c r="K150" i="5" s="1"/>
  <c r="K100" i="5"/>
  <c r="Q117" i="5" s="1"/>
  <c r="K166" i="5" s="1"/>
  <c r="Z65" i="5"/>
  <c r="Z62" i="5"/>
  <c r="AB119" i="5" s="1"/>
  <c r="AD119" i="5" s="1"/>
  <c r="R49" i="5"/>
  <c r="R309" i="5"/>
  <c r="R307" i="5"/>
  <c r="R311" i="6"/>
  <c r="F32" i="6"/>
  <c r="C33" i="6"/>
  <c r="W285" i="6"/>
  <c r="W358" i="6" s="1"/>
  <c r="X19" i="6"/>
  <c r="Z28" i="6"/>
  <c r="O47" i="6"/>
  <c r="O52" i="6" s="1"/>
  <c r="Y69" i="6"/>
  <c r="Y66" i="6"/>
  <c r="N118" i="6"/>
  <c r="R323" i="6"/>
  <c r="R300" i="6" s="1"/>
  <c r="R304" i="6" s="1"/>
  <c r="Q35" i="6"/>
  <c r="Q288" i="6"/>
  <c r="Y346" i="6"/>
  <c r="K85" i="6"/>
  <c r="A102" i="6"/>
  <c r="K101" i="6" s="1"/>
  <c r="T360" i="6"/>
  <c r="T365" i="6"/>
  <c r="T21" i="6" s="1"/>
  <c r="S361" i="6"/>
  <c r="S366" i="6" s="1"/>
  <c r="S23" i="6" s="1"/>
  <c r="S25" i="6" s="1"/>
  <c r="S372" i="6"/>
  <c r="R347" i="6"/>
  <c r="R40" i="6"/>
  <c r="R50" i="6" s="1"/>
  <c r="W350" i="6"/>
  <c r="X345" i="6" s="1"/>
  <c r="U101" i="6"/>
  <c r="N101" i="6"/>
  <c r="K121" i="6"/>
  <c r="K154" i="6" s="1"/>
  <c r="K104" i="6"/>
  <c r="Q121" i="6" s="1"/>
  <c r="K170" i="6" s="1"/>
  <c r="Q88" i="6"/>
  <c r="W334" i="6"/>
  <c r="W330" i="6" s="1"/>
  <c r="P45" i="6"/>
  <c r="P47" i="6" s="1"/>
  <c r="P52" i="6" s="1"/>
  <c r="V353" i="6"/>
  <c r="K100" i="6"/>
  <c r="Q117" i="6" s="1"/>
  <c r="K166" i="6" s="1"/>
  <c r="K117" i="6"/>
  <c r="K150" i="6" s="1"/>
  <c r="Q355" i="6"/>
  <c r="Q363" i="6"/>
  <c r="X73" i="6"/>
  <c r="X74" i="6" s="1"/>
  <c r="X70" i="6"/>
  <c r="Z65" i="6"/>
  <c r="Z62" i="6"/>
  <c r="AB119" i="6" s="1"/>
  <c r="AD119" i="6" s="1"/>
  <c r="R372" i="6"/>
  <c r="Q347" i="6"/>
  <c r="Q40" i="6"/>
  <c r="Q50" i="6" s="1"/>
  <c r="W333" i="6" l="1"/>
  <c r="W350" i="5"/>
  <c r="Q41" i="5"/>
  <c r="Q42" i="5"/>
  <c r="Q44" i="5" s="1"/>
  <c r="Q47" i="5" s="1"/>
  <c r="Q52" i="5" s="1"/>
  <c r="R310" i="5"/>
  <c r="R312" i="5" s="1"/>
  <c r="R287" i="5"/>
  <c r="U134" i="5"/>
  <c r="Y70" i="5"/>
  <c r="Y73" i="5"/>
  <c r="Y74" i="5" s="1"/>
  <c r="F34" i="5"/>
  <c r="C35" i="5"/>
  <c r="V333" i="5"/>
  <c r="Q352" i="5"/>
  <c r="Q349" i="5"/>
  <c r="P68" i="5"/>
  <c r="P76" i="5"/>
  <c r="P56" i="5"/>
  <c r="P64" i="5"/>
  <c r="P60" i="5"/>
  <c r="P72" i="5"/>
  <c r="Q355" i="5"/>
  <c r="Q363" i="5"/>
  <c r="Q170" i="5"/>
  <c r="Q104" i="5"/>
  <c r="Q154" i="5"/>
  <c r="Q137" i="5"/>
  <c r="X345" i="5"/>
  <c r="Y346" i="5"/>
  <c r="U365" i="5"/>
  <c r="U21" i="5" s="1"/>
  <c r="T361" i="5"/>
  <c r="T366" i="5" s="1"/>
  <c r="T23" i="5" s="1"/>
  <c r="T25" i="5" s="1"/>
  <c r="U360" i="5"/>
  <c r="S372" i="5"/>
  <c r="R347" i="5"/>
  <c r="R40" i="5"/>
  <c r="R50" i="5" s="1"/>
  <c r="K118" i="5"/>
  <c r="K151" i="5" s="1"/>
  <c r="Q151" i="5" s="1"/>
  <c r="Q85" i="5"/>
  <c r="Z69" i="5"/>
  <c r="Z66" i="5"/>
  <c r="AB135" i="5" s="1"/>
  <c r="AD135" i="5" s="1"/>
  <c r="S24" i="5"/>
  <c r="T118" i="5"/>
  <c r="X285" i="5"/>
  <c r="X358" i="5" s="1"/>
  <c r="Y19" i="5"/>
  <c r="Q118" i="5"/>
  <c r="Q101" i="5"/>
  <c r="X350" i="6"/>
  <c r="T118" i="6"/>
  <c r="Q85" i="6"/>
  <c r="K118" i="6"/>
  <c r="K151" i="6" s="1"/>
  <c r="Q151" i="6" s="1"/>
  <c r="S24" i="6"/>
  <c r="Q289" i="6"/>
  <c r="R371" i="6" s="1"/>
  <c r="R373" i="6" s="1"/>
  <c r="R33" i="6" s="1"/>
  <c r="R34" i="6" s="1"/>
  <c r="X334" i="6"/>
  <c r="X330" i="6" s="1"/>
  <c r="O68" i="6"/>
  <c r="O72" i="6"/>
  <c r="O56" i="6"/>
  <c r="O76" i="6"/>
  <c r="O60" i="6"/>
  <c r="O64" i="6"/>
  <c r="Z69" i="6"/>
  <c r="Z66" i="6"/>
  <c r="AB135" i="6" s="1"/>
  <c r="AD135" i="6" s="1"/>
  <c r="P72" i="6"/>
  <c r="P56" i="6"/>
  <c r="P76" i="6"/>
  <c r="P60" i="6"/>
  <c r="P64" i="6"/>
  <c r="P68" i="6"/>
  <c r="Q170" i="6"/>
  <c r="Q154" i="6"/>
  <c r="Q104" i="6"/>
  <c r="Q137" i="6"/>
  <c r="U134" i="6"/>
  <c r="Y345" i="6"/>
  <c r="Z346" i="6"/>
  <c r="Q48" i="6"/>
  <c r="Q36" i="6"/>
  <c r="Q38" i="6" s="1"/>
  <c r="F33" i="6"/>
  <c r="C34" i="6"/>
  <c r="Q118" i="6"/>
  <c r="Q101" i="6"/>
  <c r="Q352" i="6"/>
  <c r="Q349" i="6"/>
  <c r="W353" i="6"/>
  <c r="R352" i="6"/>
  <c r="R349" i="6"/>
  <c r="U365" i="6"/>
  <c r="U21" i="6" s="1"/>
  <c r="T361" i="6"/>
  <c r="T366" i="6" s="1"/>
  <c r="T23" i="6" s="1"/>
  <c r="T25" i="6" s="1"/>
  <c r="U360" i="6"/>
  <c r="R49" i="6"/>
  <c r="R307" i="6"/>
  <c r="R309" i="6"/>
  <c r="R310" i="6" s="1"/>
  <c r="Y73" i="6"/>
  <c r="Y74" i="6" s="1"/>
  <c r="Y70" i="6"/>
  <c r="X285" i="6"/>
  <c r="X358" i="6" s="1"/>
  <c r="Y19" i="6"/>
  <c r="R312" i="6" l="1"/>
  <c r="X333" i="6"/>
  <c r="T24" i="5"/>
  <c r="Z346" i="5"/>
  <c r="F35" i="5"/>
  <c r="C36" i="5"/>
  <c r="S323" i="5"/>
  <c r="S300" i="5" s="1"/>
  <c r="S304" i="5" s="1"/>
  <c r="R35" i="5"/>
  <c r="R288" i="5"/>
  <c r="R289" i="5" s="1"/>
  <c r="S371" i="5" s="1"/>
  <c r="S373" i="5" s="1"/>
  <c r="U361" i="5"/>
  <c r="U366" i="5" s="1"/>
  <c r="U23" i="5" s="1"/>
  <c r="U25" i="5" s="1"/>
  <c r="V360" i="5"/>
  <c r="V365" i="5"/>
  <c r="V21" i="5" s="1"/>
  <c r="W334" i="5"/>
  <c r="W330" i="5" s="1"/>
  <c r="V353" i="5"/>
  <c r="X350" i="5"/>
  <c r="Y345" i="5" s="1"/>
  <c r="Q348" i="5"/>
  <c r="R355" i="5"/>
  <c r="R363" i="5"/>
  <c r="Q72" i="5"/>
  <c r="Q64" i="5"/>
  <c r="Q76" i="5"/>
  <c r="Q60" i="5"/>
  <c r="Q68" i="5"/>
  <c r="Q56" i="5"/>
  <c r="S347" i="5"/>
  <c r="T372" i="5"/>
  <c r="S40" i="5"/>
  <c r="S50" i="5" s="1"/>
  <c r="U372" i="5"/>
  <c r="T347" i="5"/>
  <c r="T40" i="5"/>
  <c r="T50" i="5" s="1"/>
  <c r="Q134" i="5"/>
  <c r="K167" i="5"/>
  <c r="Q167" i="5" s="1"/>
  <c r="Z73" i="5"/>
  <c r="Z74" i="5" s="1"/>
  <c r="Z70" i="5"/>
  <c r="Y285" i="5"/>
  <c r="Y358" i="5" s="1"/>
  <c r="Z19" i="5"/>
  <c r="R352" i="5"/>
  <c r="R349" i="5"/>
  <c r="S311" i="5"/>
  <c r="S323" i="6"/>
  <c r="S300" i="6" s="1"/>
  <c r="S304" i="6" s="1"/>
  <c r="R35" i="6"/>
  <c r="R288" i="6"/>
  <c r="Q41" i="6"/>
  <c r="Q42" i="6"/>
  <c r="Q44" i="6" s="1"/>
  <c r="Q348" i="6"/>
  <c r="R355" i="6"/>
  <c r="R363" i="6"/>
  <c r="F34" i="6"/>
  <c r="C35" i="6"/>
  <c r="T24" i="6"/>
  <c r="S347" i="6"/>
  <c r="T372" i="6"/>
  <c r="S40" i="6"/>
  <c r="S50" i="6" s="1"/>
  <c r="Y350" i="6"/>
  <c r="Z345" i="6" s="1"/>
  <c r="S355" i="6"/>
  <c r="S363" i="6"/>
  <c r="Y334" i="6"/>
  <c r="Y330" i="6" s="1"/>
  <c r="X353" i="6"/>
  <c r="Y285" i="6"/>
  <c r="Y358" i="6" s="1"/>
  <c r="Z19" i="6"/>
  <c r="K167" i="6"/>
  <c r="Q167" i="6" s="1"/>
  <c r="Q134" i="6"/>
  <c r="U361" i="6"/>
  <c r="U366" i="6" s="1"/>
  <c r="U23" i="6" s="1"/>
  <c r="U25" i="6" s="1"/>
  <c r="V360" i="6"/>
  <c r="V365" i="6"/>
  <c r="V21" i="6" s="1"/>
  <c r="Z73" i="6"/>
  <c r="Z74" i="6" s="1"/>
  <c r="Z70" i="6"/>
  <c r="R287" i="6"/>
  <c r="W333" i="5" l="1"/>
  <c r="U24" i="6"/>
  <c r="V372" i="6" s="1"/>
  <c r="U24" i="5"/>
  <c r="U40" i="5" s="1"/>
  <c r="U50" i="5" s="1"/>
  <c r="Y350" i="5"/>
  <c r="Z345" i="5" s="1"/>
  <c r="AB152" i="5"/>
  <c r="AB168" i="5"/>
  <c r="AD168" i="5" s="1"/>
  <c r="U167" i="5" s="1"/>
  <c r="R48" i="5"/>
  <c r="R36" i="5"/>
  <c r="R38" i="5" s="1"/>
  <c r="W360" i="5"/>
  <c r="W365" i="5"/>
  <c r="W21" i="5" s="1"/>
  <c r="V361" i="5"/>
  <c r="V366" i="5" s="1"/>
  <c r="V23" i="5" s="1"/>
  <c r="V25" i="5" s="1"/>
  <c r="S49" i="5"/>
  <c r="S309" i="5"/>
  <c r="S307" i="5"/>
  <c r="T349" i="5"/>
  <c r="T352" i="5"/>
  <c r="X334" i="5"/>
  <c r="X330" i="5" s="1"/>
  <c r="W353" i="5"/>
  <c r="S355" i="5"/>
  <c r="S363" i="5"/>
  <c r="Z285" i="5"/>
  <c r="AA19" i="5"/>
  <c r="V372" i="5"/>
  <c r="U347" i="5"/>
  <c r="S349" i="5"/>
  <c r="S352" i="5"/>
  <c r="F36" i="5"/>
  <c r="C37" i="5"/>
  <c r="C38" i="5" s="1"/>
  <c r="Z285" i="6"/>
  <c r="AA19" i="6"/>
  <c r="Z350" i="6"/>
  <c r="Q45" i="6"/>
  <c r="AB168" i="6"/>
  <c r="AD168" i="6" s="1"/>
  <c r="U167" i="6" s="1"/>
  <c r="AB152" i="6"/>
  <c r="U372" i="6"/>
  <c r="T347" i="6"/>
  <c r="T40" i="6"/>
  <c r="T50" i="6" s="1"/>
  <c r="R48" i="6"/>
  <c r="R36" i="6"/>
  <c r="R38" i="6" s="1"/>
  <c r="W360" i="6"/>
  <c r="W365" i="6"/>
  <c r="W21" i="6" s="1"/>
  <c r="V361" i="6"/>
  <c r="V366" i="6" s="1"/>
  <c r="V23" i="6" s="1"/>
  <c r="V25" i="6" s="1"/>
  <c r="Y333" i="6"/>
  <c r="R289" i="6"/>
  <c r="S371" i="6" s="1"/>
  <c r="S373" i="6" s="1"/>
  <c r="S33" i="6" s="1"/>
  <c r="S34" i="6" s="1"/>
  <c r="S311" i="6"/>
  <c r="S349" i="6"/>
  <c r="S352" i="6"/>
  <c r="F35" i="6"/>
  <c r="C36" i="6"/>
  <c r="S49" i="6"/>
  <c r="S307" i="6"/>
  <c r="S309" i="6"/>
  <c r="S310" i="6" s="1"/>
  <c r="U347" i="6" l="1"/>
  <c r="U40" i="6"/>
  <c r="U50" i="6" s="1"/>
  <c r="S312" i="6"/>
  <c r="S288" i="6" s="1"/>
  <c r="R42" i="5"/>
  <c r="R44" i="5" s="1"/>
  <c r="R47" i="5" s="1"/>
  <c r="R52" i="5" s="1"/>
  <c r="R41" i="5"/>
  <c r="N151" i="5"/>
  <c r="AD152" i="5"/>
  <c r="U151" i="5" s="1"/>
  <c r="T355" i="5"/>
  <c r="T363" i="5"/>
  <c r="S310" i="5"/>
  <c r="S312" i="5" s="1"/>
  <c r="S287" i="5"/>
  <c r="Z358" i="5"/>
  <c r="AA285" i="5"/>
  <c r="Z350" i="5"/>
  <c r="C39" i="5"/>
  <c r="C40" i="5" s="1"/>
  <c r="F38" i="5"/>
  <c r="B248" i="5" s="1"/>
  <c r="X360" i="5"/>
  <c r="X365" i="5"/>
  <c r="X21" i="5" s="1"/>
  <c r="W361" i="5"/>
  <c r="W366" i="5" s="1"/>
  <c r="W23" i="5" s="1"/>
  <c r="W25" i="5" s="1"/>
  <c r="U352" i="5"/>
  <c r="U349" i="5"/>
  <c r="X333" i="5"/>
  <c r="U355" i="5"/>
  <c r="T348" i="5"/>
  <c r="U363" i="5"/>
  <c r="V24" i="5"/>
  <c r="C37" i="6"/>
  <c r="C38" i="6" s="1"/>
  <c r="F36" i="6"/>
  <c r="Z334" i="6"/>
  <c r="Z330" i="6" s="1"/>
  <c r="Y353" i="6"/>
  <c r="R42" i="6"/>
  <c r="R44" i="6" s="1"/>
  <c r="R41" i="6"/>
  <c r="T349" i="6"/>
  <c r="T352" i="6"/>
  <c r="Q47" i="6"/>
  <c r="Q52" i="6" s="1"/>
  <c r="Z358" i="6"/>
  <c r="AA285" i="6"/>
  <c r="T355" i="6"/>
  <c r="T363" i="6"/>
  <c r="X360" i="6"/>
  <c r="X365" i="6"/>
  <c r="X21" i="6" s="1"/>
  <c r="W361" i="6"/>
  <c r="W366" i="6" s="1"/>
  <c r="W23" i="6" s="1"/>
  <c r="W25" i="6" s="1"/>
  <c r="T323" i="6"/>
  <c r="T300" i="6" s="1"/>
  <c r="T304" i="6" s="1"/>
  <c r="S35" i="6"/>
  <c r="U352" i="6"/>
  <c r="U349" i="6"/>
  <c r="S287" i="6"/>
  <c r="N151" i="6"/>
  <c r="AD152" i="6"/>
  <c r="U151" i="6" s="1"/>
  <c r="V24" i="6"/>
  <c r="W24" i="5" l="1"/>
  <c r="W347" i="5"/>
  <c r="X372" i="5"/>
  <c r="W40" i="5"/>
  <c r="W50" i="5" s="1"/>
  <c r="Y334" i="5"/>
  <c r="Y330" i="5" s="1"/>
  <c r="X353" i="5"/>
  <c r="T311" i="5"/>
  <c r="V355" i="5"/>
  <c r="V363" i="5"/>
  <c r="Y365" i="5"/>
  <c r="Y21" i="5" s="1"/>
  <c r="X361" i="5"/>
  <c r="X366" i="5" s="1"/>
  <c r="X23" i="5" s="1"/>
  <c r="X25" i="5" s="1"/>
  <c r="Y360" i="5"/>
  <c r="AC360" i="5"/>
  <c r="T323" i="5"/>
  <c r="T300" i="5" s="1"/>
  <c r="T304" i="5" s="1"/>
  <c r="S35" i="5"/>
  <c r="S288" i="5"/>
  <c r="N167" i="5"/>
  <c r="R76" i="5"/>
  <c r="R68" i="5"/>
  <c r="R64" i="5"/>
  <c r="R72" i="5"/>
  <c r="R56" i="5"/>
  <c r="R60" i="5"/>
  <c r="B249" i="5"/>
  <c r="H249" i="5" s="1"/>
  <c r="H248" i="5"/>
  <c r="X24" i="5"/>
  <c r="W372" i="5"/>
  <c r="V347" i="5"/>
  <c r="V40" i="5"/>
  <c r="V50" i="5" s="1"/>
  <c r="F40" i="5"/>
  <c r="C41" i="5"/>
  <c r="W24" i="6"/>
  <c r="S48" i="6"/>
  <c r="S36" i="6"/>
  <c r="S38" i="6" s="1"/>
  <c r="U355" i="6"/>
  <c r="T348" i="6"/>
  <c r="U363" i="6"/>
  <c r="N167" i="6"/>
  <c r="W372" i="6"/>
  <c r="V347" i="6"/>
  <c r="V40" i="6"/>
  <c r="V50" i="6" s="1"/>
  <c r="S289" i="6"/>
  <c r="T371" i="6" s="1"/>
  <c r="T373" i="6" s="1"/>
  <c r="T33" i="6" s="1"/>
  <c r="T34" i="6" s="1"/>
  <c r="T311" i="6"/>
  <c r="T49" i="6"/>
  <c r="T307" i="6"/>
  <c r="T309" i="6"/>
  <c r="T310" i="6" s="1"/>
  <c r="Y365" i="6"/>
  <c r="Y21" i="6" s="1"/>
  <c r="X361" i="6"/>
  <c r="X366" i="6" s="1"/>
  <c r="X23" i="6" s="1"/>
  <c r="X25" i="6" s="1"/>
  <c r="Y360" i="6"/>
  <c r="AC360" i="6"/>
  <c r="C39" i="6"/>
  <c r="C40" i="6" s="1"/>
  <c r="F38" i="6"/>
  <c r="B248" i="6" s="1"/>
  <c r="V355" i="6"/>
  <c r="V363" i="6"/>
  <c r="Q76" i="6"/>
  <c r="Q60" i="6"/>
  <c r="Q64" i="6"/>
  <c r="Q68" i="6"/>
  <c r="Q72" i="6"/>
  <c r="Q56" i="6"/>
  <c r="R45" i="6"/>
  <c r="R47" i="6" s="1"/>
  <c r="R52" i="6" s="1"/>
  <c r="Z333" i="6"/>
  <c r="Z353" i="6" s="1"/>
  <c r="T312" i="6" l="1"/>
  <c r="X24" i="6"/>
  <c r="Y372" i="5"/>
  <c r="X347" i="5"/>
  <c r="X40" i="5"/>
  <c r="X50" i="5" s="1"/>
  <c r="S48" i="5"/>
  <c r="S36" i="5"/>
  <c r="S38" i="5" s="1"/>
  <c r="Y361" i="5"/>
  <c r="Y366" i="5" s="1"/>
  <c r="Y23" i="5" s="1"/>
  <c r="Y25" i="5" s="1"/>
  <c r="Z360" i="5"/>
  <c r="Z361" i="5" s="1"/>
  <c r="Z366" i="5" s="1"/>
  <c r="Z23" i="5" s="1"/>
  <c r="Z25" i="5" s="1"/>
  <c r="Z365" i="5"/>
  <c r="Z21" i="5" s="1"/>
  <c r="T49" i="5"/>
  <c r="T309" i="5"/>
  <c r="T307" i="5"/>
  <c r="F41" i="5"/>
  <c r="C42" i="5"/>
  <c r="V352" i="5"/>
  <c r="V349" i="5"/>
  <c r="S289" i="5"/>
  <c r="T371" i="5" s="1"/>
  <c r="T373" i="5" s="1"/>
  <c r="Y333" i="5"/>
  <c r="W349" i="5"/>
  <c r="W352" i="5"/>
  <c r="F40" i="6"/>
  <c r="C41" i="6"/>
  <c r="T287" i="6"/>
  <c r="V352" i="6"/>
  <c r="V349" i="6"/>
  <c r="S41" i="6"/>
  <c r="S42" i="6"/>
  <c r="S44" i="6" s="1"/>
  <c r="R64" i="6"/>
  <c r="R68" i="6"/>
  <c r="R72" i="6"/>
  <c r="R56" i="6"/>
  <c r="R60" i="6"/>
  <c r="R76" i="6"/>
  <c r="Y372" i="6"/>
  <c r="X347" i="6"/>
  <c r="X40" i="6"/>
  <c r="X50" i="6" s="1"/>
  <c r="Y361" i="6"/>
  <c r="Y366" i="6" s="1"/>
  <c r="Y23" i="6" s="1"/>
  <c r="Y25" i="6" s="1"/>
  <c r="Z360" i="6"/>
  <c r="Z361" i="6" s="1"/>
  <c r="Z366" i="6" s="1"/>
  <c r="Z23" i="6" s="1"/>
  <c r="Z25" i="6" s="1"/>
  <c r="Z365" i="6"/>
  <c r="Z21" i="6" s="1"/>
  <c r="T35" i="6"/>
  <c r="T288" i="6"/>
  <c r="B249" i="6"/>
  <c r="H249" i="6" s="1"/>
  <c r="H248" i="6"/>
  <c r="W347" i="6"/>
  <c r="X372" i="6"/>
  <c r="W40" i="6"/>
  <c r="W50" i="6" s="1"/>
  <c r="Z24" i="6" l="1"/>
  <c r="Y24" i="5"/>
  <c r="Y40" i="5" s="1"/>
  <c r="Y50" i="5" s="1"/>
  <c r="X355" i="5"/>
  <c r="X363" i="5"/>
  <c r="W355" i="5"/>
  <c r="W363" i="5"/>
  <c r="Z24" i="5"/>
  <c r="Z334" i="5"/>
  <c r="Z330" i="5" s="1"/>
  <c r="Y353" i="5"/>
  <c r="S41" i="5"/>
  <c r="S42" i="5"/>
  <c r="S44" i="5" s="1"/>
  <c r="S47" i="5" s="1"/>
  <c r="S52" i="5" s="1"/>
  <c r="X349" i="5"/>
  <c r="X352" i="5"/>
  <c r="C43" i="5"/>
  <c r="C44" i="5" s="1"/>
  <c r="F42" i="5"/>
  <c r="T310" i="5"/>
  <c r="T312" i="5" s="1"/>
  <c r="T287" i="5"/>
  <c r="T289" i="6"/>
  <c r="U371" i="6" s="1"/>
  <c r="U373" i="6" s="1"/>
  <c r="U33" i="6" s="1"/>
  <c r="U34" i="6" s="1"/>
  <c r="U304" i="6"/>
  <c r="U311" i="6"/>
  <c r="W349" i="6"/>
  <c r="W352" i="6"/>
  <c r="X349" i="6"/>
  <c r="X352" i="6"/>
  <c r="Z347" i="6"/>
  <c r="Z40" i="6"/>
  <c r="Z50" i="6" s="1"/>
  <c r="S45" i="6"/>
  <c r="S47" i="6" s="1"/>
  <c r="S52" i="6" s="1"/>
  <c r="W355" i="6"/>
  <c r="W363" i="6"/>
  <c r="F41" i="6"/>
  <c r="C42" i="6"/>
  <c r="T48" i="6"/>
  <c r="T36" i="6"/>
  <c r="T38" i="6" s="1"/>
  <c r="Y24" i="6"/>
  <c r="Y347" i="5" l="1"/>
  <c r="Z372" i="5"/>
  <c r="Z333" i="5"/>
  <c r="Z353" i="5" s="1"/>
  <c r="T35" i="5"/>
  <c r="T288" i="5"/>
  <c r="T289" i="5" s="1"/>
  <c r="U371" i="5" s="1"/>
  <c r="U373" i="5" s="1"/>
  <c r="U304" i="5"/>
  <c r="U311" i="5"/>
  <c r="Y355" i="5"/>
  <c r="Y363" i="5"/>
  <c r="Y352" i="5"/>
  <c r="Y349" i="5"/>
  <c r="Z347" i="5"/>
  <c r="Z40" i="5"/>
  <c r="Z50" i="5" s="1"/>
  <c r="F44" i="5"/>
  <c r="C45" i="5"/>
  <c r="S64" i="5"/>
  <c r="S72" i="5"/>
  <c r="S68" i="5"/>
  <c r="S56" i="5"/>
  <c r="S60" i="5"/>
  <c r="S76" i="5"/>
  <c r="T41" i="6"/>
  <c r="T42" i="6"/>
  <c r="T44" i="6" s="1"/>
  <c r="Y355" i="6"/>
  <c r="Y363" i="6"/>
  <c r="U49" i="6"/>
  <c r="U307" i="6"/>
  <c r="U309" i="6"/>
  <c r="U310" i="6" s="1"/>
  <c r="S68" i="6"/>
  <c r="S72" i="6"/>
  <c r="S56" i="6"/>
  <c r="S76" i="6"/>
  <c r="S60" i="6"/>
  <c r="S64" i="6"/>
  <c r="Z372" i="6"/>
  <c r="Y347" i="6"/>
  <c r="Y40" i="6"/>
  <c r="Y50" i="6" s="1"/>
  <c r="C43" i="6"/>
  <c r="C44" i="6" s="1"/>
  <c r="F42" i="6"/>
  <c r="Z352" i="6"/>
  <c r="Z349" i="6"/>
  <c r="X355" i="6"/>
  <c r="X363" i="6"/>
  <c r="U312" i="6" l="1"/>
  <c r="F45" i="5"/>
  <c r="C46" i="5"/>
  <c r="C47" i="5" s="1"/>
  <c r="Z352" i="5"/>
  <c r="Z349" i="5"/>
  <c r="Z355" i="5"/>
  <c r="Z363" i="5"/>
  <c r="U49" i="5"/>
  <c r="U309" i="5"/>
  <c r="U310" i="5" s="1"/>
  <c r="U307" i="5"/>
  <c r="T48" i="5"/>
  <c r="T36" i="5"/>
  <c r="T38" i="5" s="1"/>
  <c r="U35" i="6"/>
  <c r="U288" i="6"/>
  <c r="U287" i="6"/>
  <c r="Y352" i="6"/>
  <c r="Y349" i="6"/>
  <c r="F44" i="6"/>
  <c r="C45" i="6"/>
  <c r="T45" i="6"/>
  <c r="U312" i="5" l="1"/>
  <c r="U35" i="5"/>
  <c r="U288" i="5"/>
  <c r="F47" i="5"/>
  <c r="C48" i="5"/>
  <c r="T42" i="5"/>
  <c r="T44" i="5" s="1"/>
  <c r="T47" i="5" s="1"/>
  <c r="T52" i="5" s="1"/>
  <c r="T41" i="5"/>
  <c r="U287" i="5"/>
  <c r="C46" i="6"/>
  <c r="C47" i="6" s="1"/>
  <c r="F45" i="6"/>
  <c r="U289" i="6"/>
  <c r="V371" i="6" s="1"/>
  <c r="V373" i="6" s="1"/>
  <c r="V33" i="6" s="1"/>
  <c r="V34" i="6" s="1"/>
  <c r="V304" i="6"/>
  <c r="V311" i="6"/>
  <c r="T47" i="6"/>
  <c r="T52" i="6" s="1"/>
  <c r="Z355" i="6"/>
  <c r="Z363" i="6"/>
  <c r="U48" i="6"/>
  <c r="U36" i="6"/>
  <c r="U38" i="6" s="1"/>
  <c r="F48" i="5" l="1"/>
  <c r="C49" i="5"/>
  <c r="T68" i="5"/>
  <c r="T76" i="5"/>
  <c r="T56" i="5"/>
  <c r="T72" i="5"/>
  <c r="T60" i="5"/>
  <c r="T64" i="5"/>
  <c r="U289" i="5"/>
  <c r="V371" i="5" s="1"/>
  <c r="V373" i="5" s="1"/>
  <c r="V304" i="5"/>
  <c r="V311" i="5"/>
  <c r="U36" i="5"/>
  <c r="U38" i="5" s="1"/>
  <c r="U48" i="5"/>
  <c r="U41" i="6"/>
  <c r="U42" i="6"/>
  <c r="U44" i="6" s="1"/>
  <c r="T72" i="6"/>
  <c r="T56" i="6"/>
  <c r="T76" i="6"/>
  <c r="T60" i="6"/>
  <c r="T64" i="6"/>
  <c r="T68" i="6"/>
  <c r="V49" i="6"/>
  <c r="V307" i="6"/>
  <c r="V309" i="6"/>
  <c r="V310" i="6" s="1"/>
  <c r="F47" i="6"/>
  <c r="C48" i="6"/>
  <c r="V312" i="6" l="1"/>
  <c r="V49" i="5"/>
  <c r="V309" i="5"/>
  <c r="V307" i="5"/>
  <c r="F49" i="5"/>
  <c r="C50" i="5"/>
  <c r="U41" i="5"/>
  <c r="U42" i="5"/>
  <c r="U44" i="5" s="1"/>
  <c r="U47" i="5" s="1"/>
  <c r="U52" i="5" s="1"/>
  <c r="V35" i="6"/>
  <c r="V288" i="6"/>
  <c r="F48" i="6"/>
  <c r="C49" i="6"/>
  <c r="U45" i="6"/>
  <c r="V287" i="6"/>
  <c r="V310" i="5" l="1"/>
  <c r="V312" i="5" s="1"/>
  <c r="V287" i="5"/>
  <c r="C51" i="5"/>
  <c r="C52" i="5" s="1"/>
  <c r="F50" i="5"/>
  <c r="U72" i="5"/>
  <c r="U64" i="5"/>
  <c r="U68" i="5"/>
  <c r="U60" i="5"/>
  <c r="U76" i="5"/>
  <c r="U56" i="5"/>
  <c r="F49" i="6"/>
  <c r="C50" i="6"/>
  <c r="V289" i="6"/>
  <c r="W371" i="6" s="1"/>
  <c r="W373" i="6" s="1"/>
  <c r="W33" i="6" s="1"/>
  <c r="W34" i="6" s="1"/>
  <c r="W304" i="6"/>
  <c r="W311" i="6"/>
  <c r="U47" i="6"/>
  <c r="U52" i="6" s="1"/>
  <c r="V48" i="6"/>
  <c r="V36" i="6"/>
  <c r="V38" i="6" s="1"/>
  <c r="V35" i="5" l="1"/>
  <c r="V288" i="5"/>
  <c r="V289" i="5" s="1"/>
  <c r="W371" i="5" s="1"/>
  <c r="W373" i="5" s="1"/>
  <c r="F52" i="5"/>
  <c r="B260" i="5" s="1"/>
  <c r="H260" i="5" s="1"/>
  <c r="C53" i="5"/>
  <c r="C182" i="5"/>
  <c r="W304" i="5"/>
  <c r="W311" i="5"/>
  <c r="V42" i="6"/>
  <c r="V44" i="6" s="1"/>
  <c r="V41" i="6"/>
  <c r="C51" i="6"/>
  <c r="C52" i="6" s="1"/>
  <c r="F50" i="6"/>
  <c r="U76" i="6"/>
  <c r="U60" i="6"/>
  <c r="U64" i="6"/>
  <c r="U68" i="6"/>
  <c r="U56" i="6"/>
  <c r="U72" i="6"/>
  <c r="W49" i="6"/>
  <c r="W307" i="6"/>
  <c r="W309" i="6"/>
  <c r="W310" i="6" s="1"/>
  <c r="W312" i="6" l="1"/>
  <c r="W49" i="5"/>
  <c r="W309" i="5"/>
  <c r="W310" i="5" s="1"/>
  <c r="W307" i="5"/>
  <c r="W312" i="5" s="1"/>
  <c r="W35" i="5" s="1"/>
  <c r="F53" i="5"/>
  <c r="C54" i="5"/>
  <c r="C183" i="5"/>
  <c r="C184" i="5" s="1"/>
  <c r="V48" i="5"/>
  <c r="V36" i="5"/>
  <c r="V38" i="5" s="1"/>
  <c r="W35" i="6"/>
  <c r="W288" i="6"/>
  <c r="V45" i="6"/>
  <c r="V47" i="6" s="1"/>
  <c r="V52" i="6" s="1"/>
  <c r="F52" i="6"/>
  <c r="B260" i="6" s="1"/>
  <c r="H260" i="6" s="1"/>
  <c r="C53" i="6"/>
  <c r="C182" i="6"/>
  <c r="W287" i="6"/>
  <c r="W287" i="5" l="1"/>
  <c r="X304" i="5" s="1"/>
  <c r="X311" i="5"/>
  <c r="V42" i="5"/>
  <c r="V44" i="5" s="1"/>
  <c r="V47" i="5" s="1"/>
  <c r="V52" i="5" s="1"/>
  <c r="V41" i="5"/>
  <c r="C55" i="5"/>
  <c r="C56" i="5" s="1"/>
  <c r="F54" i="5"/>
  <c r="W36" i="5"/>
  <c r="W38" i="5" s="1"/>
  <c r="W48" i="5"/>
  <c r="C185" i="5"/>
  <c r="W288" i="5"/>
  <c r="V64" i="6"/>
  <c r="V68" i="6"/>
  <c r="V72" i="6"/>
  <c r="V56" i="6"/>
  <c r="V76" i="6"/>
  <c r="V60" i="6"/>
  <c r="C183" i="6"/>
  <c r="C184" i="6" s="1"/>
  <c r="W289" i="6"/>
  <c r="X371" i="6" s="1"/>
  <c r="X373" i="6" s="1"/>
  <c r="X33" i="6" s="1"/>
  <c r="X34" i="6" s="1"/>
  <c r="X304" i="6"/>
  <c r="X311" i="6"/>
  <c r="F53" i="6"/>
  <c r="C54" i="6"/>
  <c r="W48" i="6"/>
  <c r="W36" i="6"/>
  <c r="W38" i="6" s="1"/>
  <c r="C186" i="5" l="1"/>
  <c r="C187" i="5" s="1"/>
  <c r="C188" i="5" s="1"/>
  <c r="C189" i="5" s="1"/>
  <c r="C190" i="5" s="1"/>
  <c r="C191" i="5" s="1"/>
  <c r="X49" i="5"/>
  <c r="X309" i="5"/>
  <c r="X310" i="5" s="1"/>
  <c r="X307" i="5"/>
  <c r="X312" i="5" s="1"/>
  <c r="X35" i="5" s="1"/>
  <c r="F56" i="5"/>
  <c r="C57" i="5"/>
  <c r="C58" i="5" s="1"/>
  <c r="V76" i="5"/>
  <c r="V68" i="5"/>
  <c r="V72" i="5"/>
  <c r="V64" i="5"/>
  <c r="V56" i="5"/>
  <c r="V60" i="5"/>
  <c r="W289" i="5"/>
  <c r="X371" i="5" s="1"/>
  <c r="X373" i="5" s="1"/>
  <c r="W41" i="5"/>
  <c r="W42" i="5"/>
  <c r="W44" i="5" s="1"/>
  <c r="W47" i="5" s="1"/>
  <c r="W52" i="5" s="1"/>
  <c r="X287" i="5"/>
  <c r="X49" i="6"/>
  <c r="X307" i="6"/>
  <c r="X309" i="6"/>
  <c r="W42" i="6"/>
  <c r="W44" i="6" s="1"/>
  <c r="W41" i="6"/>
  <c r="C185" i="6"/>
  <c r="C55" i="6"/>
  <c r="C56" i="6" s="1"/>
  <c r="F54" i="6"/>
  <c r="B261" i="6" s="1"/>
  <c r="H261" i="6" s="1"/>
  <c r="Y304" i="5" l="1"/>
  <c r="Y311" i="5"/>
  <c r="X48" i="5"/>
  <c r="X36" i="5"/>
  <c r="X38" i="5" s="1"/>
  <c r="X288" i="5"/>
  <c r="W64" i="5"/>
  <c r="W72" i="5"/>
  <c r="W76" i="5"/>
  <c r="W56" i="5"/>
  <c r="W60" i="5"/>
  <c r="W68" i="5"/>
  <c r="C192" i="5"/>
  <c r="C193" i="5" s="1"/>
  <c r="C59" i="5"/>
  <c r="C60" i="5" s="1"/>
  <c r="F58" i="5"/>
  <c r="C186" i="6"/>
  <c r="C187" i="6" s="1"/>
  <c r="C188" i="6" s="1"/>
  <c r="C189" i="6" s="1"/>
  <c r="C190" i="6" s="1"/>
  <c r="C191" i="6" s="1"/>
  <c r="F56" i="6"/>
  <c r="C57" i="6"/>
  <c r="C58" i="6" s="1"/>
  <c r="W45" i="6"/>
  <c r="X310" i="6"/>
  <c r="X312" i="6" s="1"/>
  <c r="X287" i="6"/>
  <c r="X42" i="5" l="1"/>
  <c r="X44" i="5" s="1"/>
  <c r="X47" i="5" s="1"/>
  <c r="X52" i="5" s="1"/>
  <c r="X41" i="5"/>
  <c r="F60" i="5"/>
  <c r="C61" i="5"/>
  <c r="C62" i="5" s="1"/>
  <c r="Y49" i="5"/>
  <c r="Y309" i="5"/>
  <c r="Y310" i="5" s="1"/>
  <c r="Y312" i="5" s="1"/>
  <c r="Y307" i="5"/>
  <c r="X289" i="5"/>
  <c r="Y371" i="5" s="1"/>
  <c r="Y373" i="5" s="1"/>
  <c r="C194" i="5"/>
  <c r="C192" i="6"/>
  <c r="C193" i="6" s="1"/>
  <c r="W47" i="6"/>
  <c r="W52" i="6" s="1"/>
  <c r="Y304" i="6"/>
  <c r="Y311" i="6"/>
  <c r="C59" i="6"/>
  <c r="C60" i="6" s="1"/>
  <c r="F58" i="6"/>
  <c r="B262" i="6" s="1"/>
  <c r="H262" i="6" s="1"/>
  <c r="X35" i="6"/>
  <c r="X288" i="6"/>
  <c r="X289" i="6" s="1"/>
  <c r="Y371" i="6" s="1"/>
  <c r="Y373" i="6" s="1"/>
  <c r="Y33" i="6" s="1"/>
  <c r="Y34" i="6" s="1"/>
  <c r="C195" i="5" l="1"/>
  <c r="Y35" i="5"/>
  <c r="Y288" i="5"/>
  <c r="Y287" i="5"/>
  <c r="C63" i="5"/>
  <c r="C64" i="5" s="1"/>
  <c r="F62" i="5"/>
  <c r="X68" i="5"/>
  <c r="X76" i="5"/>
  <c r="X56" i="5"/>
  <c r="X64" i="5"/>
  <c r="X60" i="5"/>
  <c r="X72" i="5"/>
  <c r="F60" i="6"/>
  <c r="C61" i="6"/>
  <c r="C62" i="6" s="1"/>
  <c r="W68" i="6"/>
  <c r="W72" i="6"/>
  <c r="W56" i="6"/>
  <c r="W76" i="6"/>
  <c r="W60" i="6"/>
  <c r="W64" i="6"/>
  <c r="X48" i="6"/>
  <c r="X36" i="6"/>
  <c r="X38" i="6" s="1"/>
  <c r="Y49" i="6"/>
  <c r="Y307" i="6"/>
  <c r="Y309" i="6"/>
  <c r="Y310" i="6" s="1"/>
  <c r="C194" i="6"/>
  <c r="Y312" i="6" l="1"/>
  <c r="Y36" i="5"/>
  <c r="Y38" i="5" s="1"/>
  <c r="Y48" i="5"/>
  <c r="Y289" i="5"/>
  <c r="Z371" i="5" s="1"/>
  <c r="Z373" i="5" s="1"/>
  <c r="Z304" i="5"/>
  <c r="Z311" i="5"/>
  <c r="F64" i="5"/>
  <c r="C65" i="5"/>
  <c r="C66" i="5" s="1"/>
  <c r="C195" i="6"/>
  <c r="Y35" i="6"/>
  <c r="Y288" i="6"/>
  <c r="C63" i="6"/>
  <c r="C64" i="6" s="1"/>
  <c r="F62" i="6"/>
  <c r="X42" i="6"/>
  <c r="X44" i="6" s="1"/>
  <c r="X41" i="6"/>
  <c r="Y287" i="6"/>
  <c r="Z49" i="5" l="1"/>
  <c r="Z309" i="5"/>
  <c r="Z310" i="5" s="1"/>
  <c r="Z307" i="5"/>
  <c r="Y41" i="5"/>
  <c r="Y42" i="5"/>
  <c r="Y44" i="5" s="1"/>
  <c r="Y47" i="5" s="1"/>
  <c r="Y52" i="5" s="1"/>
  <c r="C67" i="5"/>
  <c r="C68" i="5" s="1"/>
  <c r="F66" i="5"/>
  <c r="Y289" i="6"/>
  <c r="Z371" i="6" s="1"/>
  <c r="Z373" i="6" s="1"/>
  <c r="Z33" i="6" s="1"/>
  <c r="Z34" i="6" s="1"/>
  <c r="Z304" i="6"/>
  <c r="Z311" i="6"/>
  <c r="Y48" i="6"/>
  <c r="Y36" i="6"/>
  <c r="Y38" i="6" s="1"/>
  <c r="X45" i="6"/>
  <c r="F64" i="6"/>
  <c r="C65" i="6"/>
  <c r="C66" i="6" s="1"/>
  <c r="Z312" i="5" l="1"/>
  <c r="Z35" i="5" s="1"/>
  <c r="Z287" i="5"/>
  <c r="Z288" i="5"/>
  <c r="Z289" i="5" s="1"/>
  <c r="F68" i="5"/>
  <c r="C69" i="5"/>
  <c r="C70" i="5" s="1"/>
  <c r="Y72" i="5"/>
  <c r="Y64" i="5"/>
  <c r="Y76" i="5"/>
  <c r="Y60" i="5"/>
  <c r="Y68" i="5"/>
  <c r="Y56" i="5"/>
  <c r="C67" i="6"/>
  <c r="C68" i="6" s="1"/>
  <c r="F66" i="6"/>
  <c r="Z49" i="6"/>
  <c r="Z307" i="6"/>
  <c r="Z309" i="6"/>
  <c r="Z310" i="6" s="1"/>
  <c r="Y41" i="6"/>
  <c r="Y42" i="6"/>
  <c r="Y44" i="6" s="1"/>
  <c r="X47" i="6"/>
  <c r="X52" i="6" s="1"/>
  <c r="Z312" i="6" l="1"/>
  <c r="Z288" i="6" s="1"/>
  <c r="C71" i="5"/>
  <c r="C72" i="5" s="1"/>
  <c r="F70" i="5"/>
  <c r="Z48" i="5"/>
  <c r="Z36" i="5"/>
  <c r="Z38" i="5" s="1"/>
  <c r="Z35" i="6"/>
  <c r="X72" i="6"/>
  <c r="X56" i="6"/>
  <c r="X76" i="6"/>
  <c r="X60" i="6"/>
  <c r="X64" i="6"/>
  <c r="X68" i="6"/>
  <c r="Y45" i="6"/>
  <c r="Z287" i="6"/>
  <c r="F68" i="6"/>
  <c r="C69" i="6"/>
  <c r="C70" i="6" s="1"/>
  <c r="Z289" i="6" l="1"/>
  <c r="Z42" i="5"/>
  <c r="Z41" i="5"/>
  <c r="B262" i="5"/>
  <c r="H262" i="5" s="1"/>
  <c r="B261" i="5"/>
  <c r="H261" i="5" s="1"/>
  <c r="F72" i="5"/>
  <c r="C73" i="5"/>
  <c r="C74" i="5" s="1"/>
  <c r="C71" i="6"/>
  <c r="C72" i="6" s="1"/>
  <c r="F70" i="6"/>
  <c r="Y47" i="6"/>
  <c r="Y52" i="6" s="1"/>
  <c r="Z48" i="6"/>
  <c r="Z36" i="6"/>
  <c r="Z38" i="6" s="1"/>
  <c r="AD149" i="5" l="1"/>
  <c r="AD116" i="5"/>
  <c r="AD132" i="5" s="1"/>
  <c r="S131" i="5" s="1"/>
  <c r="U131" i="5" s="1"/>
  <c r="AD83" i="5"/>
  <c r="Z44" i="5"/>
  <c r="Z47" i="5" s="1"/>
  <c r="Z52" i="5" s="1"/>
  <c r="AD150" i="5"/>
  <c r="AD117" i="5"/>
  <c r="AD133" i="5" s="1"/>
  <c r="S132" i="5" s="1"/>
  <c r="U132" i="5" s="1"/>
  <c r="AD84" i="5"/>
  <c r="C75" i="5"/>
  <c r="C76" i="5" s="1"/>
  <c r="F76" i="5" s="1"/>
  <c r="F74" i="5"/>
  <c r="Y76" i="6"/>
  <c r="Y60" i="6"/>
  <c r="Y64" i="6"/>
  <c r="Y68" i="6"/>
  <c r="Y56" i="6"/>
  <c r="Y72" i="6"/>
  <c r="Z42" i="6"/>
  <c r="Z41" i="6"/>
  <c r="F72" i="6"/>
  <c r="C73" i="6"/>
  <c r="C74" i="6" s="1"/>
  <c r="Z76" i="5" l="1"/>
  <c r="AB76" i="5" s="1"/>
  <c r="Z68" i="5"/>
  <c r="AB68" i="5" s="1"/>
  <c r="Z64" i="5"/>
  <c r="AB64" i="5" s="1"/>
  <c r="AB52" i="5"/>
  <c r="Z72" i="5"/>
  <c r="AB72" i="5" s="1"/>
  <c r="Z56" i="5"/>
  <c r="AB56" i="5" s="1"/>
  <c r="Z60" i="5"/>
  <c r="AB60" i="5" s="1"/>
  <c r="AD100" i="5"/>
  <c r="S99" i="5" s="1"/>
  <c r="U99" i="5" s="1"/>
  <c r="S83" i="5"/>
  <c r="U83" i="5" s="1"/>
  <c r="AD99" i="5"/>
  <c r="S98" i="5" s="1"/>
  <c r="U98" i="5" s="1"/>
  <c r="S82" i="5"/>
  <c r="U82" i="5" s="1"/>
  <c r="U133" i="5"/>
  <c r="U135" i="5" s="1"/>
  <c r="AD166" i="5"/>
  <c r="S165" i="5" s="1"/>
  <c r="U165" i="5" s="1"/>
  <c r="S149" i="5"/>
  <c r="U149" i="5" s="1"/>
  <c r="AD165" i="5"/>
  <c r="S164" i="5" s="1"/>
  <c r="U164" i="5" s="1"/>
  <c r="S148" i="5"/>
  <c r="U148" i="5" s="1"/>
  <c r="AD84" i="6"/>
  <c r="AD117" i="6"/>
  <c r="AD133" i="6" s="1"/>
  <c r="S132" i="6" s="1"/>
  <c r="U132" i="6" s="1"/>
  <c r="AD150" i="6"/>
  <c r="C75" i="6"/>
  <c r="C76" i="6" s="1"/>
  <c r="F76" i="6" s="1"/>
  <c r="F74" i="6"/>
  <c r="AD149" i="6"/>
  <c r="AD116" i="6"/>
  <c r="AD132" i="6" s="1"/>
  <c r="S131" i="6" s="1"/>
  <c r="U131" i="6" s="1"/>
  <c r="U133" i="6" s="1"/>
  <c r="U135" i="6" s="1"/>
  <c r="AD83" i="6"/>
  <c r="Z44" i="6"/>
  <c r="U166" i="5" l="1"/>
  <c r="U168" i="5" s="1"/>
  <c r="U84" i="5"/>
  <c r="U86" i="5" s="1"/>
  <c r="U100" i="5"/>
  <c r="U102" i="5" s="1"/>
  <c r="U150" i="5"/>
  <c r="U152" i="5" s="1"/>
  <c r="AB83" i="5"/>
  <c r="N82" i="5" s="1"/>
  <c r="N84" i="5" s="1"/>
  <c r="N86" i="5" s="1"/>
  <c r="AB165" i="5"/>
  <c r="N164" i="5" s="1"/>
  <c r="N166" i="5" s="1"/>
  <c r="N168" i="5" s="1"/>
  <c r="AB132" i="5"/>
  <c r="T115" i="5" s="1"/>
  <c r="T117" i="5" s="1"/>
  <c r="T119" i="5" s="1"/>
  <c r="AB116" i="5"/>
  <c r="N115" i="5" s="1"/>
  <c r="N117" i="5" s="1"/>
  <c r="N119" i="5" s="1"/>
  <c r="AB149" i="5"/>
  <c r="N148" i="5" s="1"/>
  <c r="N150" i="5" s="1"/>
  <c r="N152" i="5" s="1"/>
  <c r="AB99" i="5"/>
  <c r="N98" i="5" s="1"/>
  <c r="N100" i="5" s="1"/>
  <c r="N102" i="5" s="1"/>
  <c r="AB138" i="5"/>
  <c r="AB105" i="5"/>
  <c r="AB89" i="5"/>
  <c r="AB122" i="5"/>
  <c r="AB171" i="5"/>
  <c r="AB155" i="5"/>
  <c r="AD166" i="6"/>
  <c r="S165" i="6" s="1"/>
  <c r="U165" i="6" s="1"/>
  <c r="S149" i="6"/>
  <c r="U149" i="6" s="1"/>
  <c r="AD165" i="6"/>
  <c r="S164" i="6" s="1"/>
  <c r="U164" i="6" s="1"/>
  <c r="S148" i="6"/>
  <c r="U148" i="6" s="1"/>
  <c r="S82" i="6"/>
  <c r="U82" i="6" s="1"/>
  <c r="AD99" i="6"/>
  <c r="S98" i="6" s="1"/>
  <c r="U98" i="6" s="1"/>
  <c r="Z45" i="6"/>
  <c r="AD100" i="6"/>
  <c r="S99" i="6" s="1"/>
  <c r="U99" i="6" s="1"/>
  <c r="S83" i="6"/>
  <c r="U83" i="6" s="1"/>
  <c r="U150" i="6" l="1"/>
  <c r="U152" i="6" s="1"/>
  <c r="U166" i="6"/>
  <c r="U168" i="6" s="1"/>
  <c r="AD122" i="5"/>
  <c r="N121" i="5"/>
  <c r="N123" i="5" s="1"/>
  <c r="N88" i="5"/>
  <c r="N90" i="5" s="1"/>
  <c r="U88" i="5"/>
  <c r="U90" i="5" s="1"/>
  <c r="AD171" i="5"/>
  <c r="U170" i="5" s="1"/>
  <c r="U172" i="5" s="1"/>
  <c r="N170" i="5"/>
  <c r="N172" i="5" s="1"/>
  <c r="U104" i="5"/>
  <c r="U106" i="5" s="1"/>
  <c r="N104" i="5"/>
  <c r="N106" i="5" s="1"/>
  <c r="AD138" i="5"/>
  <c r="T121" i="5"/>
  <c r="T123" i="5" s="1"/>
  <c r="U137" i="5"/>
  <c r="U139" i="5" s="1"/>
  <c r="AD155" i="5"/>
  <c r="U154" i="5" s="1"/>
  <c r="U156" i="5" s="1"/>
  <c r="N154" i="5"/>
  <c r="N156" i="5" s="1"/>
  <c r="U100" i="6"/>
  <c r="U102" i="6" s="1"/>
  <c r="Z47" i="6"/>
  <c r="Z52" i="6" s="1"/>
  <c r="U84" i="6"/>
  <c r="U86" i="6" s="1"/>
  <c r="Z64" i="6" l="1"/>
  <c r="AB64" i="6" s="1"/>
  <c r="AB52" i="6"/>
  <c r="Z68" i="6"/>
  <c r="AB68" i="6" s="1"/>
  <c r="Z72" i="6"/>
  <c r="AB72" i="6" s="1"/>
  <c r="Z56" i="6"/>
  <c r="AB56" i="6" s="1"/>
  <c r="Z76" i="6"/>
  <c r="AB76" i="6" s="1"/>
  <c r="Z60" i="6"/>
  <c r="AB60" i="6" s="1"/>
  <c r="AB122" i="6" l="1"/>
  <c r="AB89" i="6"/>
  <c r="AB138" i="6"/>
  <c r="AB105" i="6"/>
  <c r="AB165" i="6"/>
  <c r="N164" i="6" s="1"/>
  <c r="N166" i="6" s="1"/>
  <c r="N168" i="6" s="1"/>
  <c r="AB149" i="6"/>
  <c r="N148" i="6" s="1"/>
  <c r="N150" i="6" s="1"/>
  <c r="N152" i="6" s="1"/>
  <c r="AB132" i="6"/>
  <c r="T115" i="6" s="1"/>
  <c r="T117" i="6" s="1"/>
  <c r="T119" i="6" s="1"/>
  <c r="AB116" i="6"/>
  <c r="N115" i="6" s="1"/>
  <c r="N117" i="6" s="1"/>
  <c r="N119" i="6" s="1"/>
  <c r="AB99" i="6"/>
  <c r="N98" i="6" s="1"/>
  <c r="N100" i="6" s="1"/>
  <c r="N102" i="6" s="1"/>
  <c r="AB83" i="6"/>
  <c r="N82" i="6" s="1"/>
  <c r="N84" i="6" s="1"/>
  <c r="N86" i="6" s="1"/>
  <c r="AB171" i="6"/>
  <c r="AB155" i="6"/>
  <c r="AD155" i="6" l="1"/>
  <c r="U154" i="6" s="1"/>
  <c r="U156" i="6" s="1"/>
  <c r="N154" i="6"/>
  <c r="N156" i="6" s="1"/>
  <c r="N104" i="6"/>
  <c r="U104" i="6"/>
  <c r="U106" i="6" s="1"/>
  <c r="U88" i="6"/>
  <c r="U90" i="6" s="1"/>
  <c r="N88" i="6"/>
  <c r="N90" i="6" s="1"/>
  <c r="AD171" i="6"/>
  <c r="U170" i="6" s="1"/>
  <c r="U172" i="6" s="1"/>
  <c r="N170" i="6"/>
  <c r="N172" i="6" s="1"/>
  <c r="AD138" i="6"/>
  <c r="U137" i="6"/>
  <c r="U139" i="6" s="1"/>
  <c r="T121" i="6"/>
  <c r="T123" i="6" s="1"/>
  <c r="N106" i="6"/>
  <c r="AD122" i="6"/>
  <c r="N121" i="6"/>
  <c r="N123" i="6" s="1"/>
  <c r="K457" i="3" l="1"/>
  <c r="K455" i="3"/>
  <c r="L459" i="3"/>
  <c r="L453" i="3"/>
  <c r="L455" i="3" s="1"/>
  <c r="P451" i="3"/>
  <c r="K451" i="3"/>
  <c r="L450" i="3"/>
  <c r="O451" i="3"/>
  <c r="Q451" i="3" s="1"/>
  <c r="K408" i="3"/>
  <c r="L408" i="3" s="1"/>
  <c r="M408" i="3" s="1"/>
  <c r="L407" i="3"/>
  <c r="M407" i="3" s="1"/>
  <c r="K407" i="3"/>
  <c r="K406" i="3"/>
  <c r="L406" i="3" s="1"/>
  <c r="M406" i="3" s="1"/>
  <c r="H403" i="3"/>
  <c r="L400" i="3"/>
  <c r="K400" i="3"/>
  <c r="J400" i="3"/>
  <c r="K398" i="3"/>
  <c r="K397" i="3"/>
  <c r="L390" i="3"/>
  <c r="AA360" i="3"/>
  <c r="J353" i="3"/>
  <c r="J350" i="3"/>
  <c r="K345" i="3"/>
  <c r="K350" i="3" s="1"/>
  <c r="L345" i="3" s="1"/>
  <c r="T344" i="3"/>
  <c r="U344" i="3" s="1"/>
  <c r="V344" i="3" s="1"/>
  <c r="W344" i="3" s="1"/>
  <c r="X344" i="3" s="1"/>
  <c r="Y344" i="3" s="1"/>
  <c r="Z344" i="3" s="1"/>
  <c r="S344" i="3"/>
  <c r="K343" i="3"/>
  <c r="M342" i="3"/>
  <c r="J335" i="3"/>
  <c r="I335" i="3"/>
  <c r="M334" i="3"/>
  <c r="M344" i="3" s="1"/>
  <c r="K333" i="3"/>
  <c r="K332" i="3"/>
  <c r="J332" i="3"/>
  <c r="I332" i="3"/>
  <c r="H332" i="3"/>
  <c r="H336" i="3" s="1"/>
  <c r="M323" i="3"/>
  <c r="M304" i="3" s="1"/>
  <c r="M309" i="3" s="1"/>
  <c r="K314" i="3"/>
  <c r="L311" i="3" s="1"/>
  <c r="N308" i="3"/>
  <c r="O308" i="3" s="1"/>
  <c r="N305" i="3"/>
  <c r="O305" i="3" s="1"/>
  <c r="M305" i="3"/>
  <c r="M306" i="3" s="1"/>
  <c r="L304" i="3"/>
  <c r="L309" i="3" s="1"/>
  <c r="R303" i="3"/>
  <c r="S303" i="3" s="1"/>
  <c r="T303" i="3" s="1"/>
  <c r="U303" i="3" s="1"/>
  <c r="V303" i="3" s="1"/>
  <c r="T301" i="3"/>
  <c r="S301" i="3"/>
  <c r="R301" i="3"/>
  <c r="Q301" i="3"/>
  <c r="P301" i="3"/>
  <c r="O301" i="3"/>
  <c r="N301" i="3"/>
  <c r="L300" i="3"/>
  <c r="K296" i="3"/>
  <c r="L305" i="3" s="1"/>
  <c r="L306" i="3" s="1"/>
  <c r="L307" i="3" s="1"/>
  <c r="K292" i="3"/>
  <c r="L292" i="3" s="1"/>
  <c r="M292" i="3" s="1"/>
  <c r="N292" i="3" s="1"/>
  <c r="J292" i="3"/>
  <c r="I292" i="3"/>
  <c r="H292" i="3"/>
  <c r="K291" i="3"/>
  <c r="L291" i="3" s="1"/>
  <c r="M291" i="3" s="1"/>
  <c r="J291" i="3"/>
  <c r="I291" i="3"/>
  <c r="I293" i="3" s="1"/>
  <c r="H291" i="3"/>
  <c r="H293" i="3" s="1"/>
  <c r="J288" i="3"/>
  <c r="I288" i="3"/>
  <c r="H288" i="3"/>
  <c r="J287" i="3"/>
  <c r="J397" i="3" s="1"/>
  <c r="I287" i="3"/>
  <c r="H287" i="3"/>
  <c r="H285" i="3"/>
  <c r="G264" i="3"/>
  <c r="G263" i="3"/>
  <c r="D263" i="3"/>
  <c r="G262" i="3"/>
  <c r="D262" i="3"/>
  <c r="G261" i="3"/>
  <c r="D261" i="3"/>
  <c r="G260" i="3"/>
  <c r="G259" i="3"/>
  <c r="D259" i="3"/>
  <c r="G258" i="3"/>
  <c r="D258" i="3"/>
  <c r="G257" i="3"/>
  <c r="D257" i="3"/>
  <c r="G256" i="3"/>
  <c r="D256" i="3"/>
  <c r="G252" i="3"/>
  <c r="T251" i="3"/>
  <c r="T252" i="3" s="1"/>
  <c r="H251" i="3"/>
  <c r="G251" i="3"/>
  <c r="D251" i="3"/>
  <c r="H250" i="3"/>
  <c r="G250" i="3"/>
  <c r="D250" i="3"/>
  <c r="G249" i="3"/>
  <c r="G248" i="3"/>
  <c r="G247" i="3"/>
  <c r="G246" i="3"/>
  <c r="D233" i="3"/>
  <c r="D225" i="3"/>
  <c r="D224" i="3"/>
  <c r="D220" i="3"/>
  <c r="D216" i="3"/>
  <c r="D213" i="3"/>
  <c r="D209" i="3"/>
  <c r="D204" i="3"/>
  <c r="Q120" i="3"/>
  <c r="K169" i="3" s="1"/>
  <c r="K120" i="3"/>
  <c r="K153" i="3" s="1"/>
  <c r="Q119" i="3"/>
  <c r="K168" i="3" s="1"/>
  <c r="K119" i="3"/>
  <c r="K152" i="3" s="1"/>
  <c r="AE84" i="3"/>
  <c r="T83" i="3" s="1"/>
  <c r="AE83" i="3"/>
  <c r="AE116" i="3" s="1"/>
  <c r="D77" i="3"/>
  <c r="D76" i="3"/>
  <c r="F75" i="3"/>
  <c r="D75" i="3"/>
  <c r="D74" i="3"/>
  <c r="F73" i="3"/>
  <c r="D73" i="3"/>
  <c r="D72" i="3"/>
  <c r="F71" i="3"/>
  <c r="D71" i="3"/>
  <c r="AC70" i="3"/>
  <c r="AB145" i="3" s="1"/>
  <c r="N149" i="3" s="1"/>
  <c r="D70" i="3"/>
  <c r="F69" i="3"/>
  <c r="D69" i="3"/>
  <c r="D68" i="3"/>
  <c r="F67" i="3"/>
  <c r="D67" i="3"/>
  <c r="D66" i="3"/>
  <c r="F65" i="3"/>
  <c r="D65" i="3"/>
  <c r="D64" i="3"/>
  <c r="F63" i="3"/>
  <c r="D63" i="3"/>
  <c r="D62" i="3"/>
  <c r="F61" i="3"/>
  <c r="D61" i="3"/>
  <c r="D60" i="3"/>
  <c r="F59" i="3"/>
  <c r="D59" i="3"/>
  <c r="AC58" i="3"/>
  <c r="AB95" i="3" s="1"/>
  <c r="D58" i="3"/>
  <c r="F57" i="3"/>
  <c r="D57" i="3"/>
  <c r="D56" i="3"/>
  <c r="F55" i="3"/>
  <c r="D55" i="3"/>
  <c r="AC54" i="3"/>
  <c r="D54" i="3"/>
  <c r="N53" i="3"/>
  <c r="N57" i="3" s="1"/>
  <c r="N61" i="3" s="1"/>
  <c r="N65" i="3" s="1"/>
  <c r="N69" i="3" s="1"/>
  <c r="N73" i="3" s="1"/>
  <c r="D53" i="3"/>
  <c r="F51" i="3"/>
  <c r="L49" i="3"/>
  <c r="K49" i="3"/>
  <c r="J49" i="3"/>
  <c r="I49" i="3"/>
  <c r="H49" i="3"/>
  <c r="F46" i="3"/>
  <c r="Z45" i="3"/>
  <c r="Y45" i="3"/>
  <c r="X45" i="3"/>
  <c r="W45" i="3"/>
  <c r="V45" i="3"/>
  <c r="U45" i="3"/>
  <c r="T45" i="3"/>
  <c r="S45" i="3"/>
  <c r="R45" i="3"/>
  <c r="Q45" i="3"/>
  <c r="P45" i="3"/>
  <c r="O45" i="3"/>
  <c r="N45" i="3"/>
  <c r="F43" i="3"/>
  <c r="F39" i="3"/>
  <c r="F37" i="3"/>
  <c r="K35" i="3"/>
  <c r="K48" i="3" s="1"/>
  <c r="J35" i="3"/>
  <c r="J48" i="3" s="1"/>
  <c r="J296" i="3" s="1"/>
  <c r="I35" i="3"/>
  <c r="I48" i="3" s="1"/>
  <c r="H35" i="3"/>
  <c r="H48" i="3" s="1"/>
  <c r="H296" i="3" s="1"/>
  <c r="B35" i="3"/>
  <c r="K34" i="3"/>
  <c r="J34" i="3"/>
  <c r="I34" i="3"/>
  <c r="H34" i="3"/>
  <c r="Z33" i="3"/>
  <c r="Y33" i="3"/>
  <c r="X33" i="3"/>
  <c r="W33" i="3"/>
  <c r="V33" i="3"/>
  <c r="U33" i="3"/>
  <c r="T33" i="3"/>
  <c r="S33" i="3"/>
  <c r="R33" i="3"/>
  <c r="Q33" i="3"/>
  <c r="P33" i="3"/>
  <c r="O33" i="3"/>
  <c r="N33" i="3"/>
  <c r="D33" i="3"/>
  <c r="D32" i="3"/>
  <c r="D31" i="3"/>
  <c r="AC30" i="3"/>
  <c r="AC31" i="3" s="1"/>
  <c r="D30" i="3"/>
  <c r="D29" i="3"/>
  <c r="L28" i="3"/>
  <c r="L34" i="3" s="1"/>
  <c r="G27" i="3"/>
  <c r="F26" i="3"/>
  <c r="AA24" i="3"/>
  <c r="K24" i="3"/>
  <c r="K347" i="3" s="1"/>
  <c r="J24" i="3"/>
  <c r="J347" i="3" s="1"/>
  <c r="I24" i="3"/>
  <c r="H24" i="3"/>
  <c r="H40" i="3" s="1"/>
  <c r="H50" i="3" s="1"/>
  <c r="D23" i="3"/>
  <c r="L22" i="3"/>
  <c r="M22" i="3" s="1"/>
  <c r="N22" i="3" s="1"/>
  <c r="O22" i="3" s="1"/>
  <c r="P22" i="3" s="1"/>
  <c r="Q22" i="3" s="1"/>
  <c r="R22" i="3" s="1"/>
  <c r="S22" i="3" s="1"/>
  <c r="T22" i="3" s="1"/>
  <c r="U22" i="3" s="1"/>
  <c r="V22" i="3" s="1"/>
  <c r="W22" i="3" s="1"/>
  <c r="X22" i="3" s="1"/>
  <c r="Y22" i="3" s="1"/>
  <c r="Z22" i="3" s="1"/>
  <c r="M21" i="3"/>
  <c r="M332" i="3" s="1"/>
  <c r="L21" i="3"/>
  <c r="L332" i="3" s="1"/>
  <c r="G20" i="3"/>
  <c r="I19" i="3"/>
  <c r="F19" i="3"/>
  <c r="N18" i="3"/>
  <c r="M18" i="3"/>
  <c r="F18" i="3"/>
  <c r="C18" i="3"/>
  <c r="M14" i="3"/>
  <c r="U14" i="3" s="1"/>
  <c r="U13" i="3"/>
  <c r="D13" i="3"/>
  <c r="M12" i="3"/>
  <c r="U12" i="3" s="1"/>
  <c r="U11" i="3"/>
  <c r="U10" i="3"/>
  <c r="H9" i="3"/>
  <c r="L6" i="3"/>
  <c r="L5" i="3"/>
  <c r="L4" i="3"/>
  <c r="K457" i="4"/>
  <c r="K455" i="4"/>
  <c r="L459" i="4"/>
  <c r="L453" i="4"/>
  <c r="L455" i="4" s="1"/>
  <c r="P451" i="4"/>
  <c r="K451" i="4"/>
  <c r="L450" i="4"/>
  <c r="O451" i="4"/>
  <c r="L449" i="4"/>
  <c r="K408" i="4"/>
  <c r="L408" i="4" s="1"/>
  <c r="M408" i="4" s="1"/>
  <c r="K407" i="4"/>
  <c r="L407" i="4" s="1"/>
  <c r="M407" i="4" s="1"/>
  <c r="K406" i="4"/>
  <c r="L406" i="4" s="1"/>
  <c r="M406" i="4" s="1"/>
  <c r="H403" i="4"/>
  <c r="L400" i="4"/>
  <c r="K400" i="4"/>
  <c r="J400" i="4"/>
  <c r="K398" i="4"/>
  <c r="K397" i="4"/>
  <c r="L390" i="4"/>
  <c r="AA360" i="4"/>
  <c r="J353" i="4"/>
  <c r="J350" i="4"/>
  <c r="K345" i="4"/>
  <c r="S344" i="4"/>
  <c r="T344" i="4" s="1"/>
  <c r="U344" i="4" s="1"/>
  <c r="V344" i="4" s="1"/>
  <c r="W344" i="4" s="1"/>
  <c r="X344" i="4" s="1"/>
  <c r="Y344" i="4" s="1"/>
  <c r="Z344" i="4" s="1"/>
  <c r="K343" i="4"/>
  <c r="M342" i="4"/>
  <c r="J335" i="4"/>
  <c r="I335" i="4"/>
  <c r="M334" i="4"/>
  <c r="M344" i="4" s="1"/>
  <c r="K333" i="4"/>
  <c r="L335" i="4" s="1"/>
  <c r="K332" i="4"/>
  <c r="J332" i="4"/>
  <c r="I332" i="4"/>
  <c r="H332" i="4"/>
  <c r="H336" i="4" s="1"/>
  <c r="M330" i="4"/>
  <c r="M323" i="4"/>
  <c r="K314" i="4"/>
  <c r="L311" i="4"/>
  <c r="N308" i="4"/>
  <c r="O308" i="4" s="1"/>
  <c r="N305" i="4"/>
  <c r="O305" i="4" s="1"/>
  <c r="M305" i="4"/>
  <c r="M306" i="4" s="1"/>
  <c r="L304" i="4"/>
  <c r="L309" i="4" s="1"/>
  <c r="R303" i="4"/>
  <c r="S303" i="4" s="1"/>
  <c r="T303" i="4" s="1"/>
  <c r="U303" i="4" s="1"/>
  <c r="T301" i="4"/>
  <c r="S301" i="4"/>
  <c r="R301" i="4"/>
  <c r="Q301" i="4"/>
  <c r="P301" i="4"/>
  <c r="O301" i="4"/>
  <c r="N301" i="4"/>
  <c r="L300" i="4"/>
  <c r="K296" i="4"/>
  <c r="L305" i="4" s="1"/>
  <c r="L306" i="4" s="1"/>
  <c r="L307" i="4" s="1"/>
  <c r="K292" i="4"/>
  <c r="L292" i="4" s="1"/>
  <c r="M292" i="4" s="1"/>
  <c r="N292" i="4" s="1"/>
  <c r="J292" i="4"/>
  <c r="I292" i="4"/>
  <c r="H292" i="4"/>
  <c r="K291" i="4"/>
  <c r="J291" i="4"/>
  <c r="J293" i="4" s="1"/>
  <c r="I291" i="4"/>
  <c r="I293" i="4" s="1"/>
  <c r="H291" i="4"/>
  <c r="H293" i="4" s="1"/>
  <c r="J288" i="4"/>
  <c r="I288" i="4"/>
  <c r="H288" i="4"/>
  <c r="J287" i="4"/>
  <c r="J397" i="4" s="1"/>
  <c r="I287" i="4"/>
  <c r="H287" i="4"/>
  <c r="H285" i="4"/>
  <c r="G264" i="4"/>
  <c r="G263" i="4"/>
  <c r="D263" i="4"/>
  <c r="G262" i="4"/>
  <c r="D262" i="4"/>
  <c r="G261" i="4"/>
  <c r="D261" i="4"/>
  <c r="G260" i="4"/>
  <c r="G259" i="4"/>
  <c r="D259" i="4"/>
  <c r="G258" i="4"/>
  <c r="D258" i="4"/>
  <c r="G257" i="4"/>
  <c r="D257" i="4"/>
  <c r="G256" i="4"/>
  <c r="D256" i="4"/>
  <c r="G252" i="4"/>
  <c r="T251" i="4"/>
  <c r="T252" i="4" s="1"/>
  <c r="H251" i="4"/>
  <c r="G251" i="4"/>
  <c r="D251" i="4"/>
  <c r="H250" i="4"/>
  <c r="G250" i="4"/>
  <c r="D250" i="4"/>
  <c r="G249" i="4"/>
  <c r="G248" i="4"/>
  <c r="G247" i="4"/>
  <c r="G246" i="4"/>
  <c r="D233" i="4"/>
  <c r="D225" i="4"/>
  <c r="D224" i="4"/>
  <c r="D220" i="4"/>
  <c r="D216" i="4"/>
  <c r="D213" i="4"/>
  <c r="D209" i="4"/>
  <c r="D204" i="4"/>
  <c r="Q120" i="4"/>
  <c r="K169" i="4" s="1"/>
  <c r="K120" i="4"/>
  <c r="K153" i="4" s="1"/>
  <c r="Q119" i="4"/>
  <c r="K168" i="4" s="1"/>
  <c r="K119" i="4"/>
  <c r="K152" i="4" s="1"/>
  <c r="AE84" i="4"/>
  <c r="AE150" i="4" s="1"/>
  <c r="T149" i="4" s="1"/>
  <c r="AE83" i="4"/>
  <c r="AE165" i="4" s="1"/>
  <c r="T164" i="4" s="1"/>
  <c r="T83" i="4"/>
  <c r="D77" i="4"/>
  <c r="D76" i="4"/>
  <c r="F75" i="4"/>
  <c r="D75" i="4"/>
  <c r="D74" i="4"/>
  <c r="F73" i="4"/>
  <c r="D73" i="4"/>
  <c r="D72" i="4"/>
  <c r="F71" i="4"/>
  <c r="D71" i="4"/>
  <c r="AC70" i="4"/>
  <c r="AB145" i="4" s="1"/>
  <c r="K144" i="4" s="1"/>
  <c r="D70" i="4"/>
  <c r="F69" i="4"/>
  <c r="D69" i="4"/>
  <c r="D68" i="4"/>
  <c r="F67" i="4"/>
  <c r="D67" i="4"/>
  <c r="D66" i="4"/>
  <c r="F65" i="4"/>
  <c r="D65" i="4"/>
  <c r="D64" i="4"/>
  <c r="F63" i="4"/>
  <c r="D63" i="4"/>
  <c r="D62" i="4"/>
  <c r="F61" i="4"/>
  <c r="D61" i="4"/>
  <c r="D60" i="4"/>
  <c r="F59" i="4"/>
  <c r="D59" i="4"/>
  <c r="AC58" i="4"/>
  <c r="AB95" i="4" s="1"/>
  <c r="D58" i="4"/>
  <c r="F57" i="4"/>
  <c r="D57" i="4"/>
  <c r="D56" i="4"/>
  <c r="F55" i="4"/>
  <c r="D55" i="4"/>
  <c r="AC54" i="4"/>
  <c r="AB79" i="4" s="1"/>
  <c r="D54" i="4"/>
  <c r="N53" i="4"/>
  <c r="D53" i="4"/>
  <c r="F51" i="4"/>
  <c r="L49" i="4"/>
  <c r="K49" i="4"/>
  <c r="J49" i="4"/>
  <c r="I49" i="4"/>
  <c r="H49" i="4"/>
  <c r="F46" i="4"/>
  <c r="F43" i="4"/>
  <c r="F39" i="4"/>
  <c r="F37" i="4"/>
  <c r="K35" i="4"/>
  <c r="K48" i="4" s="1"/>
  <c r="J35" i="4"/>
  <c r="J48" i="4" s="1"/>
  <c r="J296" i="4" s="1"/>
  <c r="I35" i="4"/>
  <c r="I48" i="4" s="1"/>
  <c r="H35" i="4"/>
  <c r="B35" i="4"/>
  <c r="K34" i="4"/>
  <c r="K36" i="4" s="1"/>
  <c r="J34" i="4"/>
  <c r="I34" i="4"/>
  <c r="H34" i="4"/>
  <c r="D33" i="4"/>
  <c r="D32" i="4"/>
  <c r="D31" i="4"/>
  <c r="AC30" i="4"/>
  <c r="D30" i="4"/>
  <c r="D29" i="4"/>
  <c r="L28" i="4"/>
  <c r="L34" i="4" s="1"/>
  <c r="G27" i="4"/>
  <c r="F26" i="4"/>
  <c r="AA24" i="4"/>
  <c r="K24" i="4"/>
  <c r="K40" i="4" s="1"/>
  <c r="K50" i="4" s="1"/>
  <c r="J24" i="4"/>
  <c r="I24" i="4"/>
  <c r="I40" i="4" s="1"/>
  <c r="I50" i="4" s="1"/>
  <c r="H24" i="4"/>
  <c r="D23" i="4"/>
  <c r="L22" i="4"/>
  <c r="L24" i="4" s="1"/>
  <c r="M21" i="4"/>
  <c r="M332" i="4" s="1"/>
  <c r="L21" i="4"/>
  <c r="L332" i="4" s="1"/>
  <c r="G20" i="4"/>
  <c r="I19" i="4"/>
  <c r="J19" i="4" s="1"/>
  <c r="F19" i="4"/>
  <c r="N18" i="4"/>
  <c r="M18" i="4"/>
  <c r="F18" i="4"/>
  <c r="C18" i="4"/>
  <c r="M14" i="4"/>
  <c r="U14" i="4" s="1"/>
  <c r="U13" i="4"/>
  <c r="D13" i="4"/>
  <c r="M12" i="4"/>
  <c r="U12" i="4" s="1"/>
  <c r="U11" i="4"/>
  <c r="U10" i="4"/>
  <c r="H9" i="4"/>
  <c r="AC66" i="4" s="1"/>
  <c r="L6" i="4"/>
  <c r="L5" i="4"/>
  <c r="L4" i="4"/>
  <c r="H289" i="4" l="1"/>
  <c r="AE166" i="4"/>
  <c r="T165" i="4" s="1"/>
  <c r="I338" i="4"/>
  <c r="M310" i="3"/>
  <c r="H289" i="3"/>
  <c r="O53" i="3"/>
  <c r="O57" i="3" s="1"/>
  <c r="M300" i="3"/>
  <c r="I296" i="4"/>
  <c r="M346" i="4"/>
  <c r="AE99" i="4"/>
  <c r="T98" i="4" s="1"/>
  <c r="L451" i="4"/>
  <c r="AE100" i="4"/>
  <c r="T99" i="4" s="1"/>
  <c r="M22" i="4"/>
  <c r="N22" i="4" s="1"/>
  <c r="O22" i="4" s="1"/>
  <c r="P22" i="4" s="1"/>
  <c r="Q22" i="4" s="1"/>
  <c r="R22" i="4" s="1"/>
  <c r="S22" i="4" s="1"/>
  <c r="T22" i="4" s="1"/>
  <c r="U22" i="4" s="1"/>
  <c r="V22" i="4" s="1"/>
  <c r="W22" i="4" s="1"/>
  <c r="X22" i="4" s="1"/>
  <c r="Y22" i="4" s="1"/>
  <c r="Z22" i="4" s="1"/>
  <c r="M28" i="4"/>
  <c r="I289" i="4"/>
  <c r="K335" i="4"/>
  <c r="K338" i="4" s="1"/>
  <c r="H36" i="4"/>
  <c r="AE117" i="4"/>
  <c r="Q451" i="4"/>
  <c r="J36" i="4"/>
  <c r="J38" i="4" s="1"/>
  <c r="AE133" i="4"/>
  <c r="T132" i="4" s="1"/>
  <c r="L310" i="4"/>
  <c r="M28" i="3"/>
  <c r="N28" i="3" s="1"/>
  <c r="N30" i="3"/>
  <c r="O30" i="3" s="1"/>
  <c r="P30" i="3" s="1"/>
  <c r="Q30" i="3" s="1"/>
  <c r="R30" i="3" s="1"/>
  <c r="S30" i="3" s="1"/>
  <c r="T30" i="3" s="1"/>
  <c r="U30" i="3" s="1"/>
  <c r="V30" i="3" s="1"/>
  <c r="W30" i="3" s="1"/>
  <c r="X30" i="3" s="1"/>
  <c r="Y30" i="3" s="1"/>
  <c r="Z30" i="3" s="1"/>
  <c r="O18" i="3"/>
  <c r="L310" i="3"/>
  <c r="I289" i="3"/>
  <c r="J36" i="3"/>
  <c r="I296" i="3"/>
  <c r="K293" i="3"/>
  <c r="M333" i="3"/>
  <c r="M335" i="3" s="1"/>
  <c r="M338" i="3" s="1"/>
  <c r="M346" i="3"/>
  <c r="M49" i="3"/>
  <c r="M287" i="3"/>
  <c r="N311" i="3" s="1"/>
  <c r="M330" i="3"/>
  <c r="O28" i="3"/>
  <c r="N31" i="3"/>
  <c r="O31" i="3" s="1"/>
  <c r="P31" i="3" s="1"/>
  <c r="Q31" i="3" s="1"/>
  <c r="R31" i="3" s="1"/>
  <c r="S31" i="3" s="1"/>
  <c r="T31" i="3" s="1"/>
  <c r="U31" i="3" s="1"/>
  <c r="V31" i="3" s="1"/>
  <c r="W31" i="3" s="1"/>
  <c r="X31" i="3" s="1"/>
  <c r="Y31" i="3" s="1"/>
  <c r="Z31" i="3" s="1"/>
  <c r="AC32" i="3"/>
  <c r="N32" i="3" s="1"/>
  <c r="O32" i="3" s="1"/>
  <c r="P32" i="3" s="1"/>
  <c r="Q32" i="3" s="1"/>
  <c r="R32" i="3" s="1"/>
  <c r="S32" i="3" s="1"/>
  <c r="T32" i="3" s="1"/>
  <c r="U32" i="3" s="1"/>
  <c r="V32" i="3" s="1"/>
  <c r="W32" i="3" s="1"/>
  <c r="X32" i="3" s="1"/>
  <c r="Y32" i="3" s="1"/>
  <c r="Z32" i="3" s="1"/>
  <c r="L336" i="3"/>
  <c r="J352" i="3"/>
  <c r="J349" i="3"/>
  <c r="M34" i="3"/>
  <c r="I36" i="3"/>
  <c r="I38" i="3" s="1"/>
  <c r="J38" i="3"/>
  <c r="I40" i="3"/>
  <c r="I50" i="3" s="1"/>
  <c r="O61" i="3"/>
  <c r="O65" i="3" s="1"/>
  <c r="O69" i="3" s="1"/>
  <c r="O58" i="3"/>
  <c r="O54" i="3"/>
  <c r="I403" i="3"/>
  <c r="I285" i="3"/>
  <c r="K349" i="3"/>
  <c r="K352" i="3"/>
  <c r="G35" i="3"/>
  <c r="J40" i="3"/>
  <c r="J50" i="3" s="1"/>
  <c r="P53" i="3"/>
  <c r="AB79" i="3"/>
  <c r="AC62" i="3"/>
  <c r="N99" i="3"/>
  <c r="AD95" i="3"/>
  <c r="Q94" i="3" s="1"/>
  <c r="K94" i="3"/>
  <c r="J19" i="3"/>
  <c r="L24" i="3"/>
  <c r="K36" i="3"/>
  <c r="K38" i="3" s="1"/>
  <c r="K40" i="3"/>
  <c r="K50" i="3" s="1"/>
  <c r="C19" i="3"/>
  <c r="M24" i="3"/>
  <c r="H36" i="3"/>
  <c r="H38" i="3" s="1"/>
  <c r="B40" i="3"/>
  <c r="G40" i="3" s="1"/>
  <c r="N54" i="3"/>
  <c r="AC66" i="3"/>
  <c r="AE166" i="3"/>
  <c r="T165" i="3" s="1"/>
  <c r="AE150" i="3"/>
  <c r="T149" i="3" s="1"/>
  <c r="AE133" i="3"/>
  <c r="T132" i="3" s="1"/>
  <c r="N58" i="3"/>
  <c r="T82" i="3"/>
  <c r="AE100" i="3"/>
  <c r="T99" i="3" s="1"/>
  <c r="AD145" i="3"/>
  <c r="Q144" i="3" s="1"/>
  <c r="M293" i="3"/>
  <c r="N291" i="3"/>
  <c r="N293" i="3" s="1"/>
  <c r="N70" i="3"/>
  <c r="AC74" i="3"/>
  <c r="P308" i="3"/>
  <c r="K144" i="3"/>
  <c r="AE165" i="3"/>
  <c r="T164" i="3" s="1"/>
  <c r="AE132" i="3"/>
  <c r="T131" i="3" s="1"/>
  <c r="AE149" i="3"/>
  <c r="T148" i="3" s="1"/>
  <c r="AE99" i="3"/>
  <c r="T98" i="3" s="1"/>
  <c r="AE117" i="3"/>
  <c r="M397" i="3"/>
  <c r="L293" i="3"/>
  <c r="L384" i="3" s="1"/>
  <c r="L312" i="3"/>
  <c r="J338" i="3"/>
  <c r="J336" i="3"/>
  <c r="J293" i="3"/>
  <c r="M307" i="3"/>
  <c r="N306" i="3"/>
  <c r="M311" i="3"/>
  <c r="L335" i="3"/>
  <c r="L338" i="3" s="1"/>
  <c r="K335" i="3"/>
  <c r="K338" i="3" s="1"/>
  <c r="P305" i="3"/>
  <c r="O306" i="3"/>
  <c r="L397" i="3"/>
  <c r="L385" i="3"/>
  <c r="L398" i="3"/>
  <c r="M371" i="3"/>
  <c r="L386" i="3"/>
  <c r="W303" i="3"/>
  <c r="I338" i="3"/>
  <c r="I336" i="3"/>
  <c r="K336" i="3"/>
  <c r="N334" i="3"/>
  <c r="M366" i="3"/>
  <c r="M400" i="3"/>
  <c r="L353" i="3"/>
  <c r="L350" i="3"/>
  <c r="M345" i="3" s="1"/>
  <c r="J289" i="3"/>
  <c r="J398" i="3" s="1"/>
  <c r="L449" i="3"/>
  <c r="L451" i="3" s="1"/>
  <c r="K353" i="3"/>
  <c r="L457" i="3"/>
  <c r="M372" i="4"/>
  <c r="L347" i="4"/>
  <c r="L40" i="4"/>
  <c r="N30" i="4"/>
  <c r="O30" i="4" s="1"/>
  <c r="P30" i="4" s="1"/>
  <c r="Q30" i="4" s="1"/>
  <c r="R30" i="4" s="1"/>
  <c r="S30" i="4" s="1"/>
  <c r="T30" i="4" s="1"/>
  <c r="U30" i="4" s="1"/>
  <c r="V30" i="4" s="1"/>
  <c r="W30" i="4" s="1"/>
  <c r="X30" i="4" s="1"/>
  <c r="Y30" i="4" s="1"/>
  <c r="Z30" i="4" s="1"/>
  <c r="AC31" i="4"/>
  <c r="J403" i="4"/>
  <c r="J285" i="4"/>
  <c r="K19" i="4"/>
  <c r="H38" i="4"/>
  <c r="H40" i="4"/>
  <c r="H50" i="4" s="1"/>
  <c r="AB128" i="4"/>
  <c r="H48" i="4"/>
  <c r="H296" i="4" s="1"/>
  <c r="C19" i="4"/>
  <c r="M24" i="4"/>
  <c r="N57" i="4"/>
  <c r="O53" i="4"/>
  <c r="L338" i="4"/>
  <c r="L336" i="4"/>
  <c r="J347" i="4"/>
  <c r="J40" i="4"/>
  <c r="J50" i="4" s="1"/>
  <c r="I36" i="4"/>
  <c r="I38" i="4" s="1"/>
  <c r="N83" i="4"/>
  <c r="AD79" i="4"/>
  <c r="Q78" i="4" s="1"/>
  <c r="K78" i="4"/>
  <c r="AD95" i="4"/>
  <c r="Q94" i="4" s="1"/>
  <c r="K94" i="4"/>
  <c r="N99" i="4"/>
  <c r="I403" i="4"/>
  <c r="I285" i="4"/>
  <c r="K347" i="4"/>
  <c r="K38" i="4"/>
  <c r="G35" i="4"/>
  <c r="B40" i="4"/>
  <c r="G40" i="4" s="1"/>
  <c r="AC62" i="4"/>
  <c r="N54" i="4"/>
  <c r="AC74" i="4"/>
  <c r="K293" i="4"/>
  <c r="L291" i="4"/>
  <c r="AD145" i="4"/>
  <c r="Q144" i="4" s="1"/>
  <c r="N149" i="4"/>
  <c r="M366" i="4"/>
  <c r="M400" i="4"/>
  <c r="J289" i="4"/>
  <c r="J398" i="4" s="1"/>
  <c r="M311" i="4"/>
  <c r="L312" i="4"/>
  <c r="AE149" i="4"/>
  <c r="T148" i="4" s="1"/>
  <c r="L397" i="4"/>
  <c r="L385" i="4"/>
  <c r="L398" i="4"/>
  <c r="M371" i="4"/>
  <c r="L386" i="4"/>
  <c r="V303" i="4"/>
  <c r="O306" i="4"/>
  <c r="P308" i="4"/>
  <c r="M304" i="4"/>
  <c r="M300" i="4"/>
  <c r="T82" i="4"/>
  <c r="AE116" i="4"/>
  <c r="AE132" i="4"/>
  <c r="T131" i="4" s="1"/>
  <c r="P305" i="4"/>
  <c r="N306" i="4"/>
  <c r="J338" i="4"/>
  <c r="J336" i="4"/>
  <c r="I336" i="4"/>
  <c r="K350" i="4"/>
  <c r="L345" i="4" s="1"/>
  <c r="K353" i="4"/>
  <c r="K336" i="4"/>
  <c r="M333" i="4"/>
  <c r="L457" i="4"/>
  <c r="M373" i="4" l="1"/>
  <c r="J42" i="4"/>
  <c r="J44" i="4" s="1"/>
  <c r="J47" i="4" s="1"/>
  <c r="J41" i="4"/>
  <c r="M34" i="4"/>
  <c r="N28" i="4"/>
  <c r="O28" i="4" s="1"/>
  <c r="P28" i="4" s="1"/>
  <c r="B41" i="3"/>
  <c r="G41" i="3" s="1"/>
  <c r="I41" i="3"/>
  <c r="I42" i="3"/>
  <c r="I44" i="3" s="1"/>
  <c r="I47" i="3" s="1"/>
  <c r="I52" i="3" s="1"/>
  <c r="H41" i="3"/>
  <c r="H42" i="3"/>
  <c r="H44" i="3" s="1"/>
  <c r="H47" i="3" s="1"/>
  <c r="H52" i="3" s="1"/>
  <c r="K41" i="3"/>
  <c r="K42" i="3"/>
  <c r="K44" i="3" s="1"/>
  <c r="K47" i="3" s="1"/>
  <c r="K52" i="3" s="1"/>
  <c r="N344" i="3"/>
  <c r="N346" i="3" s="1"/>
  <c r="N330" i="3"/>
  <c r="J403" i="3"/>
  <c r="J285" i="3"/>
  <c r="K19" i="3"/>
  <c r="M353" i="3"/>
  <c r="M350" i="3"/>
  <c r="M312" i="3"/>
  <c r="O70" i="3"/>
  <c r="O73" i="3"/>
  <c r="O74" i="3" s="1"/>
  <c r="C20" i="3"/>
  <c r="N34" i="3"/>
  <c r="N333" i="3"/>
  <c r="X303" i="3"/>
  <c r="P57" i="3"/>
  <c r="Q53" i="3"/>
  <c r="P54" i="3"/>
  <c r="P18" i="3"/>
  <c r="P306" i="3"/>
  <c r="Q305" i="3"/>
  <c r="L314" i="3"/>
  <c r="L35" i="3"/>
  <c r="B42" i="3"/>
  <c r="G42" i="3" s="1"/>
  <c r="Q308" i="3"/>
  <c r="M372" i="3"/>
  <c r="M373" i="3" s="1"/>
  <c r="L347" i="3"/>
  <c r="L40" i="3"/>
  <c r="O62" i="3"/>
  <c r="AB112" i="3"/>
  <c r="N62" i="3"/>
  <c r="O34" i="3"/>
  <c r="P28" i="3"/>
  <c r="AB161" i="3"/>
  <c r="N74" i="3"/>
  <c r="AB128" i="3"/>
  <c r="N66" i="3"/>
  <c r="O66" i="3"/>
  <c r="N372" i="3"/>
  <c r="M347" i="3"/>
  <c r="M40" i="3"/>
  <c r="M50" i="3" s="1"/>
  <c r="B49" i="3"/>
  <c r="G49" i="3" s="1"/>
  <c r="AD79" i="3"/>
  <c r="Q78" i="3" s="1"/>
  <c r="N83" i="3"/>
  <c r="K78" i="3"/>
  <c r="J42" i="3"/>
  <c r="J44" i="3" s="1"/>
  <c r="J47" i="3" s="1"/>
  <c r="J52" i="3" s="1"/>
  <c r="J41" i="3"/>
  <c r="AD128" i="4"/>
  <c r="Q127" i="4" s="1"/>
  <c r="Q111" i="4"/>
  <c r="T116" i="4"/>
  <c r="L387" i="4"/>
  <c r="L50" i="4"/>
  <c r="O54" i="4"/>
  <c r="P53" i="4"/>
  <c r="O57" i="4"/>
  <c r="O18" i="4"/>
  <c r="J52" i="4"/>
  <c r="C20" i="4"/>
  <c r="L353" i="4"/>
  <c r="L350" i="4"/>
  <c r="M345" i="4" s="1"/>
  <c r="K349" i="4"/>
  <c r="K352" i="4"/>
  <c r="I42" i="4"/>
  <c r="I44" i="4" s="1"/>
  <c r="I47" i="4" s="1"/>
  <c r="I52" i="4" s="1"/>
  <c r="I41" i="4"/>
  <c r="B41" i="4"/>
  <c r="N61" i="4"/>
  <c r="N65" i="4" s="1"/>
  <c r="N58" i="4"/>
  <c r="N372" i="4"/>
  <c r="M347" i="4"/>
  <c r="M40" i="4"/>
  <c r="M50" i="4" s="1"/>
  <c r="H42" i="4"/>
  <c r="H44" i="4" s="1"/>
  <c r="H47" i="4" s="1"/>
  <c r="H52" i="4" s="1"/>
  <c r="H41" i="4"/>
  <c r="AC32" i="4"/>
  <c r="N32" i="4" s="1"/>
  <c r="O32" i="4" s="1"/>
  <c r="P32" i="4" s="1"/>
  <c r="Q32" i="4" s="1"/>
  <c r="R32" i="4" s="1"/>
  <c r="S32" i="4" s="1"/>
  <c r="T32" i="4" s="1"/>
  <c r="U32" i="4" s="1"/>
  <c r="V32" i="4" s="1"/>
  <c r="W32" i="4" s="1"/>
  <c r="X32" i="4" s="1"/>
  <c r="Y32" i="4" s="1"/>
  <c r="Z32" i="4" s="1"/>
  <c r="N31" i="4"/>
  <c r="L349" i="4"/>
  <c r="L352" i="4"/>
  <c r="M335" i="4"/>
  <c r="M338" i="4" s="1"/>
  <c r="N334" i="4"/>
  <c r="M309" i="4"/>
  <c r="M310" i="4" s="1"/>
  <c r="M49" i="4"/>
  <c r="L293" i="4"/>
  <c r="L384" i="4" s="1"/>
  <c r="M291" i="4"/>
  <c r="J352" i="4"/>
  <c r="J349" i="4"/>
  <c r="P306" i="4"/>
  <c r="Q305" i="4"/>
  <c r="Q308" i="4"/>
  <c r="W303" i="4"/>
  <c r="M307" i="4"/>
  <c r="M312" i="4" s="1"/>
  <c r="L314" i="4"/>
  <c r="L35" i="4"/>
  <c r="AB161" i="4"/>
  <c r="AB112" i="4"/>
  <c r="N62" i="4"/>
  <c r="K41" i="4"/>
  <c r="K42" i="4"/>
  <c r="K44" i="4" s="1"/>
  <c r="K47" i="4" s="1"/>
  <c r="K52" i="4" s="1"/>
  <c r="B42" i="4"/>
  <c r="G42" i="4" s="1"/>
  <c r="K403" i="4"/>
  <c r="K285" i="4"/>
  <c r="L19" i="4"/>
  <c r="B49" i="4" l="1"/>
  <c r="M287" i="4"/>
  <c r="B50" i="3"/>
  <c r="G50" i="3" s="1"/>
  <c r="K160" i="3"/>
  <c r="N165" i="3"/>
  <c r="AD161" i="3"/>
  <c r="Q160" i="3" s="1"/>
  <c r="O334" i="3"/>
  <c r="O333" i="3" s="1"/>
  <c r="N335" i="3"/>
  <c r="N332" i="3" s="1"/>
  <c r="N323" i="3"/>
  <c r="N300" i="3" s="1"/>
  <c r="N304" i="3" s="1"/>
  <c r="M35" i="3"/>
  <c r="M288" i="3"/>
  <c r="M352" i="3"/>
  <c r="M349" i="3"/>
  <c r="N363" i="3" s="1"/>
  <c r="AD128" i="3"/>
  <c r="Q127" i="3" s="1"/>
  <c r="Q111" i="3"/>
  <c r="T116" i="3"/>
  <c r="Q306" i="3"/>
  <c r="R305" i="3"/>
  <c r="C21" i="3"/>
  <c r="K111" i="3"/>
  <c r="N116" i="3"/>
  <c r="AD112" i="3"/>
  <c r="L387" i="3"/>
  <c r="L50" i="3"/>
  <c r="B54" i="3"/>
  <c r="R308" i="3"/>
  <c r="Q57" i="3"/>
  <c r="R53" i="3"/>
  <c r="Q18" i="3"/>
  <c r="Q54" i="3"/>
  <c r="Y303" i="3"/>
  <c r="P34" i="3"/>
  <c r="Q28" i="3"/>
  <c r="L349" i="3"/>
  <c r="L352" i="3"/>
  <c r="L48" i="3"/>
  <c r="L36" i="3"/>
  <c r="L38" i="3" s="1"/>
  <c r="P58" i="3"/>
  <c r="P61" i="3"/>
  <c r="K403" i="3"/>
  <c r="K285" i="3"/>
  <c r="L19" i="3"/>
  <c r="N345" i="3"/>
  <c r="N366" i="3"/>
  <c r="N23" i="3" s="1"/>
  <c r="N25" i="3" s="1"/>
  <c r="G49" i="4"/>
  <c r="N323" i="4"/>
  <c r="N300" i="4" s="1"/>
  <c r="N304" i="4" s="1"/>
  <c r="M35" i="4"/>
  <c r="M288" i="4"/>
  <c r="M289" i="4" s="1"/>
  <c r="Q28" i="4"/>
  <c r="L403" i="4"/>
  <c r="L285" i="4"/>
  <c r="L329" i="4" s="1"/>
  <c r="M19" i="4"/>
  <c r="O31" i="4"/>
  <c r="L360" i="4"/>
  <c r="M365" i="4" s="1"/>
  <c r="M363" i="4"/>
  <c r="M355" i="4"/>
  <c r="Q53" i="4"/>
  <c r="P57" i="4"/>
  <c r="P54" i="4"/>
  <c r="P18" i="4"/>
  <c r="K160" i="4"/>
  <c r="N165" i="4"/>
  <c r="AD161" i="4"/>
  <c r="Q160" i="4" s="1"/>
  <c r="M397" i="4"/>
  <c r="N311" i="4"/>
  <c r="R308" i="4"/>
  <c r="R305" i="4"/>
  <c r="Q306" i="4"/>
  <c r="N291" i="4"/>
  <c r="N293" i="4" s="1"/>
  <c r="M293" i="4"/>
  <c r="N69" i="4"/>
  <c r="N66" i="4"/>
  <c r="X303" i="4"/>
  <c r="N344" i="4"/>
  <c r="N346" i="4" s="1"/>
  <c r="N330" i="4"/>
  <c r="AD112" i="4"/>
  <c r="N116" i="4"/>
  <c r="K111" i="4"/>
  <c r="L48" i="4"/>
  <c r="L36" i="4"/>
  <c r="L38" i="4" s="1"/>
  <c r="N333" i="4"/>
  <c r="M352" i="4"/>
  <c r="M349" i="4"/>
  <c r="G41" i="4"/>
  <c r="B50" i="4"/>
  <c r="G50" i="4" s="1"/>
  <c r="M353" i="4"/>
  <c r="M350" i="4"/>
  <c r="O61" i="4"/>
  <c r="O58" i="4"/>
  <c r="C21" i="4"/>
  <c r="B54" i="4" l="1"/>
  <c r="N350" i="3"/>
  <c r="N353" i="3"/>
  <c r="L360" i="3"/>
  <c r="M365" i="3" s="1"/>
  <c r="M355" i="3"/>
  <c r="M363" i="3"/>
  <c r="F21" i="3"/>
  <c r="M289" i="3"/>
  <c r="B58" i="3"/>
  <c r="P65" i="3"/>
  <c r="P62" i="3"/>
  <c r="R28" i="3"/>
  <c r="Q34" i="3"/>
  <c r="S308" i="3"/>
  <c r="S305" i="3"/>
  <c r="R306" i="3"/>
  <c r="N355" i="3"/>
  <c r="M360" i="3"/>
  <c r="M48" i="3"/>
  <c r="M36" i="3"/>
  <c r="M38" i="3" s="1"/>
  <c r="O344" i="3"/>
  <c r="O346" i="3" s="1"/>
  <c r="O330" i="3"/>
  <c r="L403" i="3"/>
  <c r="L285" i="3"/>
  <c r="L329" i="3" s="1"/>
  <c r="M19" i="3"/>
  <c r="R54" i="3"/>
  <c r="R18" i="3"/>
  <c r="R57" i="3"/>
  <c r="S53" i="3"/>
  <c r="N49" i="3"/>
  <c r="N309" i="3"/>
  <c r="N310" i="3" s="1"/>
  <c r="N307" i="3"/>
  <c r="P334" i="3"/>
  <c r="P333" i="3" s="1"/>
  <c r="L41" i="3"/>
  <c r="L388" i="3" s="1"/>
  <c r="L42" i="3"/>
  <c r="Z303" i="3"/>
  <c r="Q61" i="3"/>
  <c r="Q58" i="3"/>
  <c r="B184" i="3"/>
  <c r="B117" i="3"/>
  <c r="B62" i="3"/>
  <c r="G62" i="3" s="1"/>
  <c r="B70" i="3"/>
  <c r="G70" i="3" s="1"/>
  <c r="B84" i="3"/>
  <c r="K83" i="3" s="1"/>
  <c r="K116" i="3" s="1"/>
  <c r="K149" i="3" s="1"/>
  <c r="G54" i="3"/>
  <c r="C22" i="3"/>
  <c r="O335" i="3"/>
  <c r="O332" i="3" s="1"/>
  <c r="Y303" i="4"/>
  <c r="N309" i="4"/>
  <c r="N310" i="4" s="1"/>
  <c r="N312" i="4" s="1"/>
  <c r="N49" i="4"/>
  <c r="N307" i="4"/>
  <c r="N355" i="4"/>
  <c r="M360" i="4"/>
  <c r="N73" i="4"/>
  <c r="N74" i="4" s="1"/>
  <c r="N70" i="4"/>
  <c r="Q57" i="4"/>
  <c r="Q54" i="4"/>
  <c r="Q18" i="4"/>
  <c r="R53" i="4"/>
  <c r="R28" i="4"/>
  <c r="B58" i="4"/>
  <c r="F21" i="4"/>
  <c r="C22" i="4"/>
  <c r="F22" i="4" s="1"/>
  <c r="O334" i="4"/>
  <c r="N335" i="4"/>
  <c r="N332" i="4" s="1"/>
  <c r="S308" i="4"/>
  <c r="M398" i="4"/>
  <c r="N371" i="4"/>
  <c r="N373" i="4" s="1"/>
  <c r="N33" i="4" s="1"/>
  <c r="N34" i="4" s="1"/>
  <c r="P58" i="4"/>
  <c r="P61" i="4"/>
  <c r="M403" i="4"/>
  <c r="M285" i="4"/>
  <c r="N19" i="4"/>
  <c r="O65" i="4"/>
  <c r="O62" i="4"/>
  <c r="L42" i="4"/>
  <c r="L41" i="4"/>
  <c r="L388" i="4" s="1"/>
  <c r="N345" i="4"/>
  <c r="N363" i="4"/>
  <c r="N366" i="4"/>
  <c r="N23" i="4" s="1"/>
  <c r="N25" i="4" s="1"/>
  <c r="P31" i="4"/>
  <c r="B62" i="4"/>
  <c r="G62" i="4" s="1"/>
  <c r="B117" i="4"/>
  <c r="B84" i="4"/>
  <c r="K83" i="4" s="1"/>
  <c r="K116" i="4" s="1"/>
  <c r="K149" i="4" s="1"/>
  <c r="B184" i="4"/>
  <c r="B70" i="4"/>
  <c r="G70" i="4" s="1"/>
  <c r="G54" i="4"/>
  <c r="S305" i="4"/>
  <c r="R306" i="4"/>
  <c r="M48" i="4"/>
  <c r="M36" i="4"/>
  <c r="M38" i="4" s="1"/>
  <c r="F22" i="3" l="1"/>
  <c r="C23" i="3"/>
  <c r="F23" i="3" s="1"/>
  <c r="Q65" i="3"/>
  <c r="Q62" i="3"/>
  <c r="Q334" i="3"/>
  <c r="Q333" i="3"/>
  <c r="Q335" i="3" s="1"/>
  <c r="Q332" i="3" s="1"/>
  <c r="M41" i="3"/>
  <c r="M42" i="3"/>
  <c r="M44" i="3" s="1"/>
  <c r="M47" i="3" s="1"/>
  <c r="M52" i="3" s="1"/>
  <c r="P344" i="3"/>
  <c r="P346" i="3" s="1"/>
  <c r="P330" i="3"/>
  <c r="N287" i="3"/>
  <c r="P69" i="3"/>
  <c r="P66" i="3"/>
  <c r="P335" i="3"/>
  <c r="P332" i="3" s="1"/>
  <c r="S57" i="3"/>
  <c r="S18" i="3"/>
  <c r="T53" i="3"/>
  <c r="S54" i="3"/>
  <c r="M403" i="3"/>
  <c r="M285" i="3"/>
  <c r="N19" i="3"/>
  <c r="N365" i="3"/>
  <c r="N21" i="3" s="1"/>
  <c r="N24" i="3" s="1"/>
  <c r="AB360" i="3"/>
  <c r="T305" i="3"/>
  <c r="S306" i="3"/>
  <c r="T308" i="3"/>
  <c r="S28" i="3"/>
  <c r="R34" i="3"/>
  <c r="B193" i="3"/>
  <c r="B100" i="3"/>
  <c r="K99" i="3" s="1"/>
  <c r="Q116" i="3" s="1"/>
  <c r="K165" i="3" s="1"/>
  <c r="B66" i="3"/>
  <c r="B74" i="3"/>
  <c r="G74" i="3" s="1"/>
  <c r="G58" i="3"/>
  <c r="L389" i="3"/>
  <c r="L44" i="3"/>
  <c r="L47" i="3" s="1"/>
  <c r="L52" i="3" s="1"/>
  <c r="N312" i="3"/>
  <c r="R61" i="3"/>
  <c r="R58" i="3"/>
  <c r="O345" i="3"/>
  <c r="M398" i="3"/>
  <c r="N371" i="3"/>
  <c r="N373" i="3" s="1"/>
  <c r="B182" i="3"/>
  <c r="S306" i="4"/>
  <c r="T305" i="4"/>
  <c r="O323" i="4"/>
  <c r="O300" i="4" s="1"/>
  <c r="O304" i="4" s="1"/>
  <c r="N35" i="4"/>
  <c r="O69" i="4"/>
  <c r="O66" i="4"/>
  <c r="P65" i="4"/>
  <c r="P62" i="4"/>
  <c r="B193" i="4"/>
  <c r="B100" i="4"/>
  <c r="K99" i="4" s="1"/>
  <c r="Q116" i="4" s="1"/>
  <c r="K165" i="4" s="1"/>
  <c r="B66" i="4"/>
  <c r="B74" i="4"/>
  <c r="G74" i="4" s="1"/>
  <c r="G58" i="4"/>
  <c r="R57" i="4"/>
  <c r="S53" i="4"/>
  <c r="R18" i="4"/>
  <c r="R54" i="4"/>
  <c r="N365" i="4"/>
  <c r="N21" i="4" s="1"/>
  <c r="N24" i="4" s="1"/>
  <c r="AB360" i="4"/>
  <c r="N287" i="4"/>
  <c r="Q31" i="4"/>
  <c r="N350" i="4"/>
  <c r="N353" i="4"/>
  <c r="N285" i="4"/>
  <c r="N358" i="4" s="1"/>
  <c r="O19" i="4"/>
  <c r="T308" i="4"/>
  <c r="O344" i="4"/>
  <c r="O346" i="4" s="1"/>
  <c r="O330" i="4"/>
  <c r="S28" i="4"/>
  <c r="M41" i="4"/>
  <c r="M42" i="4"/>
  <c r="M44" i="4" s="1"/>
  <c r="M47" i="4" s="1"/>
  <c r="M52" i="4" s="1"/>
  <c r="B182" i="4"/>
  <c r="M358" i="4"/>
  <c r="M329" i="4"/>
  <c r="Z303" i="4"/>
  <c r="N288" i="4"/>
  <c r="L389" i="4"/>
  <c r="L44" i="4"/>
  <c r="L47" i="4" s="1"/>
  <c r="L52" i="4" s="1"/>
  <c r="O333" i="4"/>
  <c r="Q61" i="4"/>
  <c r="Q58" i="4"/>
  <c r="C23" i="4"/>
  <c r="B83" i="4" l="1"/>
  <c r="C24" i="3"/>
  <c r="B191" i="3"/>
  <c r="O350" i="3"/>
  <c r="O353" i="3"/>
  <c r="R65" i="3"/>
  <c r="R62" i="3"/>
  <c r="O372" i="3"/>
  <c r="N347" i="3"/>
  <c r="N40" i="3"/>
  <c r="N50" i="3" s="1"/>
  <c r="P73" i="3"/>
  <c r="P74" i="3" s="1"/>
  <c r="P70" i="3"/>
  <c r="O311" i="3"/>
  <c r="Q344" i="3"/>
  <c r="Q346" i="3" s="1"/>
  <c r="Q330" i="3"/>
  <c r="P345" i="3"/>
  <c r="G66" i="3"/>
  <c r="S34" i="3"/>
  <c r="T28" i="3"/>
  <c r="N285" i="3"/>
  <c r="N358" i="3" s="1"/>
  <c r="O19" i="3"/>
  <c r="T57" i="3"/>
  <c r="U53" i="3"/>
  <c r="T54" i="3"/>
  <c r="T18" i="3"/>
  <c r="O323" i="3"/>
  <c r="O300" i="3" s="1"/>
  <c r="O304" i="3" s="1"/>
  <c r="N35" i="3"/>
  <c r="N288" i="3"/>
  <c r="N289" i="3" s="1"/>
  <c r="O371" i="3" s="1"/>
  <c r="T306" i="3"/>
  <c r="U305" i="3"/>
  <c r="M358" i="3"/>
  <c r="M329" i="3"/>
  <c r="U308" i="3"/>
  <c r="S61" i="3"/>
  <c r="S58" i="3"/>
  <c r="R334" i="3"/>
  <c r="R330" i="3" s="1"/>
  <c r="Q69" i="3"/>
  <c r="Q66" i="3"/>
  <c r="B83" i="3"/>
  <c r="B191" i="4"/>
  <c r="R31" i="4"/>
  <c r="O49" i="4"/>
  <c r="O309" i="4"/>
  <c r="O310" i="4" s="1"/>
  <c r="O307" i="4"/>
  <c r="U308" i="4"/>
  <c r="S54" i="4"/>
  <c r="T53" i="4"/>
  <c r="S57" i="4"/>
  <c r="S18" i="4"/>
  <c r="T306" i="4"/>
  <c r="U305" i="4"/>
  <c r="P334" i="4"/>
  <c r="P333" i="4" s="1"/>
  <c r="O335" i="4"/>
  <c r="O332" i="4" s="1"/>
  <c r="T28" i="4"/>
  <c r="N289" i="4"/>
  <c r="O371" i="4" s="1"/>
  <c r="O311" i="4"/>
  <c r="B116" i="4"/>
  <c r="B99" i="4"/>
  <c r="K98" i="4" s="1"/>
  <c r="Q115" i="4" s="1"/>
  <c r="K164" i="4" s="1"/>
  <c r="K82" i="4"/>
  <c r="K115" i="4" s="1"/>
  <c r="K148" i="4" s="1"/>
  <c r="P69" i="4"/>
  <c r="P66" i="4"/>
  <c r="O285" i="4"/>
  <c r="O358" i="4" s="1"/>
  <c r="P19" i="4"/>
  <c r="O372" i="4"/>
  <c r="N347" i="4"/>
  <c r="N40" i="4"/>
  <c r="N50" i="4" s="1"/>
  <c r="R61" i="4"/>
  <c r="R58" i="4"/>
  <c r="O70" i="4"/>
  <c r="O73" i="4"/>
  <c r="O74" i="4" s="1"/>
  <c r="F23" i="4"/>
  <c r="Q65" i="4"/>
  <c r="Q62" i="4"/>
  <c r="B86" i="4"/>
  <c r="B119" i="4" s="1"/>
  <c r="O345" i="4"/>
  <c r="C24" i="4"/>
  <c r="F24" i="4" s="1"/>
  <c r="B247" i="4" s="1"/>
  <c r="H247" i="4" s="1"/>
  <c r="G66" i="4"/>
  <c r="N48" i="4"/>
  <c r="N36" i="4"/>
  <c r="N38" i="4" s="1"/>
  <c r="B102" i="4" l="1"/>
  <c r="O373" i="3"/>
  <c r="F24" i="3"/>
  <c r="B247" i="3" s="1"/>
  <c r="H247" i="3" s="1"/>
  <c r="C25" i="3"/>
  <c r="O287" i="4"/>
  <c r="P311" i="4" s="1"/>
  <c r="N48" i="3"/>
  <c r="N36" i="3"/>
  <c r="N38" i="3" s="1"/>
  <c r="N352" i="3"/>
  <c r="N349" i="3"/>
  <c r="O49" i="3"/>
  <c r="O309" i="3"/>
  <c r="O310" i="3" s="1"/>
  <c r="O307" i="3"/>
  <c r="U57" i="3"/>
  <c r="V53" i="3"/>
  <c r="U18" i="3"/>
  <c r="U54" i="3"/>
  <c r="T34" i="3"/>
  <c r="U28" i="3"/>
  <c r="R346" i="3"/>
  <c r="Q73" i="3"/>
  <c r="Q74" i="3" s="1"/>
  <c r="Q70" i="3"/>
  <c r="R333" i="3"/>
  <c r="V308" i="3"/>
  <c r="T58" i="3"/>
  <c r="T61" i="3"/>
  <c r="R69" i="3"/>
  <c r="R66" i="3"/>
  <c r="K82" i="3"/>
  <c r="K115" i="3" s="1"/>
  <c r="K148" i="3" s="1"/>
  <c r="B116" i="3"/>
  <c r="B99" i="3"/>
  <c r="K98" i="3" s="1"/>
  <c r="Q115" i="3" s="1"/>
  <c r="K164" i="3" s="1"/>
  <c r="S65" i="3"/>
  <c r="S62" i="3"/>
  <c r="U306" i="3"/>
  <c r="V305" i="3"/>
  <c r="O285" i="3"/>
  <c r="O358" i="3" s="1"/>
  <c r="P19" i="3"/>
  <c r="B86" i="3"/>
  <c r="B119" i="3" s="1"/>
  <c r="P353" i="3"/>
  <c r="P350" i="3"/>
  <c r="Q345" i="3" s="1"/>
  <c r="N41" i="4"/>
  <c r="N42" i="4"/>
  <c r="N44" i="4" s="1"/>
  <c r="O350" i="4"/>
  <c r="O353" i="4"/>
  <c r="N352" i="4"/>
  <c r="N349" i="4"/>
  <c r="S61" i="4"/>
  <c r="S58" i="4"/>
  <c r="Q69" i="4"/>
  <c r="Q66" i="4"/>
  <c r="R65" i="4"/>
  <c r="R62" i="4"/>
  <c r="U28" i="4"/>
  <c r="Q334" i="4"/>
  <c r="Q333" i="4" s="1"/>
  <c r="V305" i="4"/>
  <c r="U306" i="4"/>
  <c r="U53" i="4"/>
  <c r="T57" i="4"/>
  <c r="T18" i="4"/>
  <c r="T54" i="4"/>
  <c r="S31" i="4"/>
  <c r="B105" i="4"/>
  <c r="T80" i="4" s="1"/>
  <c r="T96" i="4" s="1"/>
  <c r="T146" i="4" s="1"/>
  <c r="T162" i="4" s="1"/>
  <c r="C25" i="4"/>
  <c r="P73" i="4"/>
  <c r="P74" i="4" s="1"/>
  <c r="P70" i="4"/>
  <c r="O312" i="4"/>
  <c r="P344" i="4"/>
  <c r="P346" i="4" s="1"/>
  <c r="P330" i="4"/>
  <c r="V308" i="4"/>
  <c r="P285" i="4"/>
  <c r="P358" i="4" s="1"/>
  <c r="Q19" i="4"/>
  <c r="O373" i="4"/>
  <c r="O33" i="4" s="1"/>
  <c r="O34" i="4" s="1"/>
  <c r="P335" i="4"/>
  <c r="P332" i="4" s="1"/>
  <c r="O287" i="3" l="1"/>
  <c r="O312" i="3"/>
  <c r="P323" i="3" s="1"/>
  <c r="P300" i="3" s="1"/>
  <c r="P304" i="3" s="1"/>
  <c r="F25" i="3"/>
  <c r="C26" i="3"/>
  <c r="O35" i="3"/>
  <c r="Q353" i="3"/>
  <c r="Q350" i="3"/>
  <c r="R345" i="3" s="1"/>
  <c r="R73" i="3"/>
  <c r="R74" i="3" s="1"/>
  <c r="R70" i="3"/>
  <c r="S334" i="3"/>
  <c r="S330" i="3" s="1"/>
  <c r="N42" i="3"/>
  <c r="N44" i="3" s="1"/>
  <c r="N47" i="3" s="1"/>
  <c r="N52" i="3" s="1"/>
  <c r="N41" i="3"/>
  <c r="P311" i="3"/>
  <c r="P285" i="3"/>
  <c r="P358" i="3" s="1"/>
  <c r="Q19" i="3"/>
  <c r="T65" i="3"/>
  <c r="T62" i="3"/>
  <c r="W308" i="3"/>
  <c r="S346" i="3"/>
  <c r="V28" i="3"/>
  <c r="U34" i="3"/>
  <c r="V57" i="3"/>
  <c r="V18" i="3"/>
  <c r="V54" i="3"/>
  <c r="W53" i="3"/>
  <c r="W305" i="3"/>
  <c r="V306" i="3"/>
  <c r="S69" i="3"/>
  <c r="S66" i="3"/>
  <c r="U61" i="3"/>
  <c r="U58" i="3"/>
  <c r="O355" i="3"/>
  <c r="N360" i="3"/>
  <c r="O363" i="3"/>
  <c r="B102" i="3"/>
  <c r="B105" i="3" s="1"/>
  <c r="T80" i="3" s="1"/>
  <c r="T96" i="3" s="1"/>
  <c r="T146" i="3" s="1"/>
  <c r="T162" i="3" s="1"/>
  <c r="R334" i="4"/>
  <c r="R330" i="4" s="1"/>
  <c r="O355" i="4"/>
  <c r="N360" i="4"/>
  <c r="O363" i="4"/>
  <c r="P323" i="4"/>
  <c r="P300" i="4" s="1"/>
  <c r="P304" i="4" s="1"/>
  <c r="O35" i="4"/>
  <c r="O288" i="4"/>
  <c r="N45" i="4"/>
  <c r="Q285" i="4"/>
  <c r="Q358" i="4" s="1"/>
  <c r="R19" i="4"/>
  <c r="Q335" i="4"/>
  <c r="Q332" i="4" s="1"/>
  <c r="R69" i="4"/>
  <c r="R66" i="4"/>
  <c r="T58" i="4"/>
  <c r="T61" i="4"/>
  <c r="W305" i="4"/>
  <c r="V306" i="4"/>
  <c r="W308" i="4"/>
  <c r="P345" i="4"/>
  <c r="C26" i="4"/>
  <c r="F25" i="4"/>
  <c r="T31" i="4"/>
  <c r="U57" i="4"/>
  <c r="U54" i="4"/>
  <c r="V53" i="4"/>
  <c r="U18" i="4"/>
  <c r="Q344" i="4"/>
  <c r="Q346" i="4" s="1"/>
  <c r="Q330" i="4"/>
  <c r="V28" i="4"/>
  <c r="Q73" i="4"/>
  <c r="Q74" i="4" s="1"/>
  <c r="Q70" i="4"/>
  <c r="S65" i="4"/>
  <c r="S62" i="4"/>
  <c r="O288" i="3" l="1"/>
  <c r="O289" i="3" s="1"/>
  <c r="P371" i="3" s="1"/>
  <c r="C27" i="3"/>
  <c r="F27" i="3" s="1"/>
  <c r="N47" i="4"/>
  <c r="N52" i="4" s="1"/>
  <c r="N72" i="4" s="1"/>
  <c r="R350" i="3"/>
  <c r="R353" i="3"/>
  <c r="U65" i="3"/>
  <c r="U62" i="3"/>
  <c r="W28" i="3"/>
  <c r="V34" i="3"/>
  <c r="X308" i="3"/>
  <c r="Q285" i="3"/>
  <c r="Q358" i="3" s="1"/>
  <c r="R19" i="3"/>
  <c r="T69" i="3"/>
  <c r="T66" i="3"/>
  <c r="O360" i="3"/>
  <c r="O365" i="3"/>
  <c r="O21" i="3" s="1"/>
  <c r="X305" i="3"/>
  <c r="W306" i="3"/>
  <c r="T346" i="3"/>
  <c r="S345" i="3"/>
  <c r="S70" i="3"/>
  <c r="S73" i="3"/>
  <c r="S74" i="3" s="1"/>
  <c r="V61" i="3"/>
  <c r="V58" i="3"/>
  <c r="S333" i="3"/>
  <c r="O48" i="3"/>
  <c r="O36" i="3"/>
  <c r="W57" i="3"/>
  <c r="W18" i="3"/>
  <c r="W54" i="3"/>
  <c r="X53" i="3"/>
  <c r="N68" i="3"/>
  <c r="N72" i="3"/>
  <c r="N56" i="3"/>
  <c r="N76" i="3"/>
  <c r="N60" i="3"/>
  <c r="N64" i="3"/>
  <c r="P49" i="3"/>
  <c r="P309" i="3"/>
  <c r="P310" i="3" s="1"/>
  <c r="P307" i="3"/>
  <c r="R346" i="4"/>
  <c r="W28" i="4"/>
  <c r="P353" i="4"/>
  <c r="P350" i="4"/>
  <c r="Q345" i="4" s="1"/>
  <c r="R333" i="4"/>
  <c r="U61" i="4"/>
  <c r="U58" i="4"/>
  <c r="R73" i="4"/>
  <c r="R74" i="4" s="1"/>
  <c r="R70" i="4"/>
  <c r="S69" i="4"/>
  <c r="S66" i="4"/>
  <c r="V57" i="4"/>
  <c r="W53" i="4"/>
  <c r="V18" i="4"/>
  <c r="V54" i="4"/>
  <c r="U31" i="4"/>
  <c r="C27" i="4"/>
  <c r="W306" i="4"/>
  <c r="X305" i="4"/>
  <c r="R285" i="4"/>
  <c r="R358" i="4" s="1"/>
  <c r="S19" i="4"/>
  <c r="O289" i="4"/>
  <c r="P371" i="4" s="1"/>
  <c r="P49" i="4"/>
  <c r="P309" i="4"/>
  <c r="P310" i="4" s="1"/>
  <c r="P307" i="4"/>
  <c r="P287" i="4"/>
  <c r="X308" i="4"/>
  <c r="T65" i="4"/>
  <c r="T62" i="4"/>
  <c r="O48" i="4"/>
  <c r="O36" i="4"/>
  <c r="O360" i="4"/>
  <c r="O365" i="4"/>
  <c r="O21" i="4" s="1"/>
  <c r="N56" i="4" l="1"/>
  <c r="C28" i="3"/>
  <c r="F28" i="3" s="1"/>
  <c r="P312" i="3"/>
  <c r="N64" i="4"/>
  <c r="N68" i="4"/>
  <c r="N60" i="4"/>
  <c r="N76" i="4"/>
  <c r="C29" i="3"/>
  <c r="P312" i="4"/>
  <c r="Q323" i="4" s="1"/>
  <c r="Q300" i="4" s="1"/>
  <c r="Q304" i="4" s="1"/>
  <c r="Q323" i="3"/>
  <c r="Q300" i="3" s="1"/>
  <c r="Q304" i="3" s="1"/>
  <c r="P35" i="3"/>
  <c r="P288" i="3"/>
  <c r="P287" i="3"/>
  <c r="X57" i="3"/>
  <c r="Y53" i="3"/>
  <c r="X18" i="3"/>
  <c r="X54" i="3"/>
  <c r="P360" i="3"/>
  <c r="P365" i="3"/>
  <c r="P21" i="3" s="1"/>
  <c r="O361" i="3"/>
  <c r="O366" i="3" s="1"/>
  <c r="O23" i="3" s="1"/>
  <c r="O25" i="3" s="1"/>
  <c r="Y308" i="3"/>
  <c r="U69" i="3"/>
  <c r="U66" i="3"/>
  <c r="W61" i="3"/>
  <c r="W58" i="3"/>
  <c r="V65" i="3"/>
  <c r="V62" i="3"/>
  <c r="S350" i="3"/>
  <c r="T345" i="3" s="1"/>
  <c r="S353" i="3"/>
  <c r="R285" i="3"/>
  <c r="R358" i="3" s="1"/>
  <c r="S19" i="3"/>
  <c r="T334" i="3"/>
  <c r="T330" i="3" s="1"/>
  <c r="U346" i="3"/>
  <c r="X306" i="3"/>
  <c r="Y305" i="3"/>
  <c r="T73" i="3"/>
  <c r="T74" i="3" s="1"/>
  <c r="T70" i="3"/>
  <c r="W34" i="3"/>
  <c r="X28" i="3"/>
  <c r="Q353" i="4"/>
  <c r="Q350" i="4"/>
  <c r="R345" i="4" s="1"/>
  <c r="S73" i="4"/>
  <c r="S74" i="4" s="1"/>
  <c r="S70" i="4"/>
  <c r="U65" i="4"/>
  <c r="U62" i="4"/>
  <c r="P360" i="4"/>
  <c r="P365" i="4"/>
  <c r="P21" i="4" s="1"/>
  <c r="O361" i="4"/>
  <c r="O366" i="4" s="1"/>
  <c r="O23" i="4" s="1"/>
  <c r="O25" i="4" s="1"/>
  <c r="T69" i="4"/>
  <c r="T66" i="4"/>
  <c r="Q311" i="4"/>
  <c r="X306" i="4"/>
  <c r="Y305" i="4"/>
  <c r="W54" i="4"/>
  <c r="X53" i="4"/>
  <c r="W57" i="4"/>
  <c r="W18" i="4"/>
  <c r="S334" i="4"/>
  <c r="S330" i="4" s="1"/>
  <c r="S346" i="4"/>
  <c r="F27" i="4"/>
  <c r="C28" i="4"/>
  <c r="P35" i="4"/>
  <c r="P288" i="4"/>
  <c r="P289" i="4" s="1"/>
  <c r="Q371" i="4" s="1"/>
  <c r="V31" i="4"/>
  <c r="V61" i="4"/>
  <c r="V58" i="4"/>
  <c r="X28" i="4"/>
  <c r="Y308" i="4"/>
  <c r="S285" i="4"/>
  <c r="S358" i="4" s="1"/>
  <c r="T19" i="4"/>
  <c r="F29" i="3" l="1"/>
  <c r="C30" i="3"/>
  <c r="T350" i="3"/>
  <c r="U345" i="3" s="1"/>
  <c r="T333" i="3"/>
  <c r="U73" i="3"/>
  <c r="U74" i="3" s="1"/>
  <c r="U70" i="3"/>
  <c r="P289" i="3"/>
  <c r="Q371" i="3" s="1"/>
  <c r="Q311" i="3"/>
  <c r="X34" i="3"/>
  <c r="Y28" i="3"/>
  <c r="Y306" i="3"/>
  <c r="Z305" i="3"/>
  <c r="S285" i="3"/>
  <c r="S358" i="3" s="1"/>
  <c r="T19" i="3"/>
  <c r="Q365" i="3"/>
  <c r="Q21" i="3" s="1"/>
  <c r="P361" i="3"/>
  <c r="P366" i="3" s="1"/>
  <c r="P23" i="3" s="1"/>
  <c r="P25" i="3" s="1"/>
  <c r="Q360" i="3"/>
  <c r="P363" i="3"/>
  <c r="Y57" i="3"/>
  <c r="Z53" i="3"/>
  <c r="Y18" i="3"/>
  <c r="Y54" i="3"/>
  <c r="O24" i="3"/>
  <c r="P48" i="3"/>
  <c r="P36" i="3"/>
  <c r="V346" i="3"/>
  <c r="V69" i="3"/>
  <c r="V66" i="3"/>
  <c r="W65" i="3"/>
  <c r="W62" i="3"/>
  <c r="Z308" i="3"/>
  <c r="X58" i="3"/>
  <c r="X61" i="3"/>
  <c r="Q49" i="3"/>
  <c r="Q309" i="3"/>
  <c r="Q310" i="3" s="1"/>
  <c r="Q307" i="3"/>
  <c r="P48" i="4"/>
  <c r="O24" i="4"/>
  <c r="T285" i="4"/>
  <c r="T358" i="4" s="1"/>
  <c r="U19" i="4"/>
  <c r="W31" i="4"/>
  <c r="Q49" i="4"/>
  <c r="Q309" i="4"/>
  <c r="Q310" i="4" s="1"/>
  <c r="Q307" i="4"/>
  <c r="Q312" i="4" s="1"/>
  <c r="T346" i="4"/>
  <c r="S333" i="4"/>
  <c r="Y53" i="4"/>
  <c r="X57" i="4"/>
  <c r="X18" i="4"/>
  <c r="X54" i="4"/>
  <c r="U69" i="4"/>
  <c r="U66" i="4"/>
  <c r="W61" i="4"/>
  <c r="W58" i="4"/>
  <c r="Z305" i="4"/>
  <c r="Y306" i="4"/>
  <c r="Y28" i="4"/>
  <c r="F28" i="4"/>
  <c r="C29" i="4"/>
  <c r="Q365" i="4"/>
  <c r="Q21" i="4" s="1"/>
  <c r="P361" i="4"/>
  <c r="P366" i="4" s="1"/>
  <c r="P23" i="4" s="1"/>
  <c r="P25" i="4" s="1"/>
  <c r="Q360" i="4"/>
  <c r="P363" i="4"/>
  <c r="Z308" i="4"/>
  <c r="V65" i="4"/>
  <c r="V62" i="4"/>
  <c r="R350" i="4"/>
  <c r="S345" i="4" s="1"/>
  <c r="R353" i="4"/>
  <c r="T73" i="4"/>
  <c r="T74" i="4" s="1"/>
  <c r="T70" i="4"/>
  <c r="F30" i="3" l="1"/>
  <c r="C31" i="3"/>
  <c r="Q287" i="4"/>
  <c r="V73" i="3"/>
  <c r="V74" i="3" s="1"/>
  <c r="V70" i="3"/>
  <c r="U350" i="3"/>
  <c r="V345" i="3" s="1"/>
  <c r="T285" i="3"/>
  <c r="T358" i="3" s="1"/>
  <c r="U19" i="3"/>
  <c r="Z306" i="3"/>
  <c r="Q287" i="3"/>
  <c r="U334" i="3"/>
  <c r="U330" i="3" s="1"/>
  <c r="X65" i="3"/>
  <c r="X62" i="3"/>
  <c r="Q361" i="3"/>
  <c r="Q366" i="3" s="1"/>
  <c r="Q23" i="3" s="1"/>
  <c r="Q25" i="3" s="1"/>
  <c r="R360" i="3"/>
  <c r="R365" i="3"/>
  <c r="R21" i="3" s="1"/>
  <c r="P24" i="3"/>
  <c r="O347" i="3"/>
  <c r="P372" i="3"/>
  <c r="P373" i="3" s="1"/>
  <c r="O40" i="3"/>
  <c r="O50" i="3" s="1"/>
  <c r="O38" i="3"/>
  <c r="Y61" i="3"/>
  <c r="Y58" i="3"/>
  <c r="Z28" i="3"/>
  <c r="Z34" i="3" s="1"/>
  <c r="Y34" i="3"/>
  <c r="W69" i="3"/>
  <c r="W66" i="3"/>
  <c r="W346" i="3"/>
  <c r="A80" i="3"/>
  <c r="Z57" i="3"/>
  <c r="Z18" i="3"/>
  <c r="Z54" i="3"/>
  <c r="AB86" i="3" s="1"/>
  <c r="Q312" i="3"/>
  <c r="T353" i="3"/>
  <c r="S350" i="4"/>
  <c r="S353" i="4"/>
  <c r="F29" i="4"/>
  <c r="C30" i="4"/>
  <c r="R311" i="4"/>
  <c r="T345" i="4"/>
  <c r="U346" i="4"/>
  <c r="Q361" i="4"/>
  <c r="Q366" i="4" s="1"/>
  <c r="Q23" i="4" s="1"/>
  <c r="Q25" i="4" s="1"/>
  <c r="R360" i="4"/>
  <c r="R365" i="4"/>
  <c r="R21" i="4" s="1"/>
  <c r="Y57" i="4"/>
  <c r="Y54" i="4"/>
  <c r="Y18" i="4"/>
  <c r="Z53" i="4"/>
  <c r="O347" i="4"/>
  <c r="P372" i="4"/>
  <c r="P373" i="4" s="1"/>
  <c r="P33" i="4" s="1"/>
  <c r="P34" i="4" s="1"/>
  <c r="P36" i="4" s="1"/>
  <c r="O38" i="4"/>
  <c r="O40" i="4"/>
  <c r="O50" i="4" s="1"/>
  <c r="V69" i="4"/>
  <c r="V66" i="4"/>
  <c r="X58" i="4"/>
  <c r="X61" i="4"/>
  <c r="R323" i="4"/>
  <c r="R300" i="4" s="1"/>
  <c r="R304" i="4" s="1"/>
  <c r="Q35" i="4"/>
  <c r="Q288" i="4"/>
  <c r="Z306" i="4"/>
  <c r="U70" i="4"/>
  <c r="U73" i="4"/>
  <c r="U74" i="4" s="1"/>
  <c r="T334" i="4"/>
  <c r="T330" i="4" s="1"/>
  <c r="X31" i="4"/>
  <c r="W65" i="4"/>
  <c r="W62" i="4"/>
  <c r="Q24" i="4"/>
  <c r="Z28" i="4"/>
  <c r="P24" i="4"/>
  <c r="U285" i="4"/>
  <c r="U358" i="4" s="1"/>
  <c r="V19" i="4"/>
  <c r="U333" i="3" l="1"/>
  <c r="V334" i="3" s="1"/>
  <c r="V330" i="3" s="1"/>
  <c r="F31" i="3"/>
  <c r="C32" i="3"/>
  <c r="O41" i="3"/>
  <c r="O42" i="3"/>
  <c r="O44" i="3" s="1"/>
  <c r="O47" i="3" s="1"/>
  <c r="O52" i="3" s="1"/>
  <c r="U285" i="3"/>
  <c r="U358" i="3" s="1"/>
  <c r="V19" i="3"/>
  <c r="V350" i="3"/>
  <c r="W345" i="3" s="1"/>
  <c r="Q372" i="3"/>
  <c r="Q373" i="3" s="1"/>
  <c r="P347" i="3"/>
  <c r="P40" i="3"/>
  <c r="P50" i="3" s="1"/>
  <c r="P38" i="3"/>
  <c r="R311" i="3"/>
  <c r="Z61" i="3"/>
  <c r="Z58" i="3"/>
  <c r="AB102" i="3" s="1"/>
  <c r="A86" i="3"/>
  <c r="A89" i="3"/>
  <c r="K88" i="3" s="1"/>
  <c r="A85" i="3"/>
  <c r="K84" i="3" s="1"/>
  <c r="X69" i="3"/>
  <c r="X66" i="3"/>
  <c r="R323" i="3"/>
  <c r="R300" i="3" s="1"/>
  <c r="R304" i="3" s="1"/>
  <c r="Q35" i="3"/>
  <c r="Q288" i="3"/>
  <c r="N85" i="3"/>
  <c r="U85" i="3"/>
  <c r="X346" i="3"/>
  <c r="W70" i="3"/>
  <c r="W73" i="3"/>
  <c r="W74" i="3" s="1"/>
  <c r="Y65" i="3"/>
  <c r="Y62" i="3"/>
  <c r="O349" i="3"/>
  <c r="P355" i="3" s="1"/>
  <c r="O352" i="3"/>
  <c r="S360" i="3"/>
  <c r="S365" i="3"/>
  <c r="S21" i="3" s="1"/>
  <c r="R361" i="3"/>
  <c r="R366" i="3" s="1"/>
  <c r="R23" i="3" s="1"/>
  <c r="R25" i="3" s="1"/>
  <c r="U353" i="3"/>
  <c r="Q24" i="3"/>
  <c r="X65" i="4"/>
  <c r="X62" i="4"/>
  <c r="Z57" i="4"/>
  <c r="A80" i="4"/>
  <c r="Z18" i="4"/>
  <c r="Z54" i="4"/>
  <c r="AB86" i="4" s="1"/>
  <c r="F30" i="4"/>
  <c r="C31" i="4"/>
  <c r="R372" i="4"/>
  <c r="Q347" i="4"/>
  <c r="Q40" i="4"/>
  <c r="Q50" i="4" s="1"/>
  <c r="O41" i="4"/>
  <c r="O42" i="4"/>
  <c r="O44" i="4" s="1"/>
  <c r="S360" i="4"/>
  <c r="S365" i="4"/>
  <c r="S21" i="4" s="1"/>
  <c r="R361" i="4"/>
  <c r="R366" i="4" s="1"/>
  <c r="R23" i="4" s="1"/>
  <c r="R25" i="4" s="1"/>
  <c r="V346" i="4"/>
  <c r="V285" i="4"/>
  <c r="V358" i="4" s="1"/>
  <c r="W19" i="4"/>
  <c r="Q372" i="4"/>
  <c r="Q373" i="4" s="1"/>
  <c r="Q33" i="4" s="1"/>
  <c r="Q34" i="4" s="1"/>
  <c r="Q36" i="4" s="1"/>
  <c r="Q38" i="4" s="1"/>
  <c r="P347" i="4"/>
  <c r="P40" i="4"/>
  <c r="P50" i="4" s="1"/>
  <c r="P38" i="4"/>
  <c r="Q48" i="4"/>
  <c r="Q289" i="4"/>
  <c r="R371" i="4" s="1"/>
  <c r="Y31" i="4"/>
  <c r="W69" i="4"/>
  <c r="W66" i="4"/>
  <c r="T333" i="4"/>
  <c r="T353" i="4" s="1"/>
  <c r="R49" i="4"/>
  <c r="R309" i="4"/>
  <c r="R310" i="4" s="1"/>
  <c r="R307" i="4"/>
  <c r="V73" i="4"/>
  <c r="V74" i="4" s="1"/>
  <c r="V70" i="4"/>
  <c r="O349" i="4"/>
  <c r="P355" i="4" s="1"/>
  <c r="O352" i="4"/>
  <c r="Y61" i="4"/>
  <c r="Y58" i="4"/>
  <c r="T350" i="4"/>
  <c r="U345" i="4" s="1"/>
  <c r="R373" i="4" l="1"/>
  <c r="R33" i="4" s="1"/>
  <c r="R34" i="4" s="1"/>
  <c r="R24" i="4"/>
  <c r="F32" i="3"/>
  <c r="C33" i="3"/>
  <c r="F33" i="3" s="1"/>
  <c r="R312" i="4"/>
  <c r="S323" i="4" s="1"/>
  <c r="S300" i="4" s="1"/>
  <c r="S304" i="4" s="1"/>
  <c r="Q48" i="3"/>
  <c r="Q36" i="3"/>
  <c r="Q38" i="3" s="1"/>
  <c r="W350" i="3"/>
  <c r="N118" i="3"/>
  <c r="R24" i="3"/>
  <c r="N101" i="3"/>
  <c r="U101" i="3"/>
  <c r="O72" i="3"/>
  <c r="O76" i="3"/>
  <c r="O60" i="3"/>
  <c r="O64" i="3"/>
  <c r="O68" i="3"/>
  <c r="O56" i="3"/>
  <c r="R372" i="3"/>
  <c r="Q347" i="3"/>
  <c r="Q40" i="3"/>
  <c r="Q50" i="3" s="1"/>
  <c r="T360" i="3"/>
  <c r="T365" i="3"/>
  <c r="T21" i="3" s="1"/>
  <c r="S361" i="3"/>
  <c r="S366" i="3" s="1"/>
  <c r="S23" i="3" s="1"/>
  <c r="S25" i="3" s="1"/>
  <c r="Y69" i="3"/>
  <c r="Y66" i="3"/>
  <c r="X345" i="3"/>
  <c r="Y346" i="3"/>
  <c r="K117" i="3"/>
  <c r="K150" i="3" s="1"/>
  <c r="K100" i="3"/>
  <c r="Q117" i="3" s="1"/>
  <c r="K166" i="3" s="1"/>
  <c r="Z65" i="3"/>
  <c r="Z62" i="3"/>
  <c r="AB119" i="3" s="1"/>
  <c r="AD119" i="3" s="1"/>
  <c r="P41" i="3"/>
  <c r="P42" i="3"/>
  <c r="P44" i="3" s="1"/>
  <c r="P47" i="3" s="1"/>
  <c r="P52" i="3" s="1"/>
  <c r="V333" i="3"/>
  <c r="Q88" i="3"/>
  <c r="K121" i="3"/>
  <c r="K154" i="3" s="1"/>
  <c r="K104" i="3"/>
  <c r="Q121" i="3" s="1"/>
  <c r="K170" i="3" s="1"/>
  <c r="R49" i="3"/>
  <c r="R309" i="3"/>
  <c r="R310" i="3" s="1"/>
  <c r="R307" i="3"/>
  <c r="X73" i="3"/>
  <c r="X74" i="3" s="1"/>
  <c r="X70" i="3"/>
  <c r="K85" i="3"/>
  <c r="A102" i="3"/>
  <c r="K101" i="3" s="1"/>
  <c r="Q289" i="3"/>
  <c r="R371" i="3" s="1"/>
  <c r="R373" i="3" s="1"/>
  <c r="P349" i="3"/>
  <c r="P352" i="3"/>
  <c r="V285" i="3"/>
  <c r="V358" i="3" s="1"/>
  <c r="W19" i="3"/>
  <c r="U350" i="4"/>
  <c r="V345" i="4" s="1"/>
  <c r="R35" i="4"/>
  <c r="Q42" i="4"/>
  <c r="Q44" i="4" s="1"/>
  <c r="Q41" i="4"/>
  <c r="Z31" i="4"/>
  <c r="Q352" i="4"/>
  <c r="Q349" i="4"/>
  <c r="Z61" i="4"/>
  <c r="Z58" i="4"/>
  <c r="AB102" i="4" s="1"/>
  <c r="W70" i="4"/>
  <c r="W73" i="4"/>
  <c r="W74" i="4" s="1"/>
  <c r="S372" i="4"/>
  <c r="R347" i="4"/>
  <c r="R40" i="4"/>
  <c r="R50" i="4" s="1"/>
  <c r="P42" i="4"/>
  <c r="P44" i="4" s="1"/>
  <c r="P41" i="4"/>
  <c r="W285" i="4"/>
  <c r="W358" i="4" s="1"/>
  <c r="X19" i="4"/>
  <c r="O45" i="4"/>
  <c r="N85" i="4"/>
  <c r="U85" i="4"/>
  <c r="F31" i="4"/>
  <c r="C32" i="4"/>
  <c r="X69" i="4"/>
  <c r="X66" i="4"/>
  <c r="T360" i="4"/>
  <c r="T365" i="4"/>
  <c r="T21" i="4" s="1"/>
  <c r="S361" i="4"/>
  <c r="S366" i="4" s="1"/>
  <c r="S23" i="4" s="1"/>
  <c r="S25" i="4" s="1"/>
  <c r="Y65" i="4"/>
  <c r="Y62" i="4"/>
  <c r="U334" i="4"/>
  <c r="U330" i="4" s="1"/>
  <c r="P349" i="4"/>
  <c r="P352" i="4"/>
  <c r="W346" i="4"/>
  <c r="S24" i="4"/>
  <c r="A86" i="4"/>
  <c r="A85" i="4"/>
  <c r="K84" i="4" s="1"/>
  <c r="A89" i="4"/>
  <c r="K88" i="4" s="1"/>
  <c r="R287" i="4"/>
  <c r="R288" i="4" l="1"/>
  <c r="C34" i="3"/>
  <c r="F34" i="3" s="1"/>
  <c r="R312" i="3"/>
  <c r="C35" i="3"/>
  <c r="F35" i="3" s="1"/>
  <c r="O47" i="4"/>
  <c r="O52" i="4" s="1"/>
  <c r="S323" i="3"/>
  <c r="S300" i="3" s="1"/>
  <c r="S304" i="3" s="1"/>
  <c r="R35" i="3"/>
  <c r="R288" i="3"/>
  <c r="Q85" i="3"/>
  <c r="K118" i="3"/>
  <c r="K151" i="3" s="1"/>
  <c r="Q151" i="3" s="1"/>
  <c r="Q355" i="3"/>
  <c r="Q363" i="3"/>
  <c r="P76" i="3"/>
  <c r="P60" i="3"/>
  <c r="P64" i="3"/>
  <c r="P68" i="3"/>
  <c r="P72" i="3"/>
  <c r="P56" i="3"/>
  <c r="U365" i="3"/>
  <c r="U21" i="3" s="1"/>
  <c r="T361" i="3"/>
  <c r="T366" i="3" s="1"/>
  <c r="T23" i="3" s="1"/>
  <c r="T25" i="3" s="1"/>
  <c r="U360" i="3"/>
  <c r="T118" i="3"/>
  <c r="S24" i="3"/>
  <c r="W285" i="3"/>
  <c r="W358" i="3" s="1"/>
  <c r="X19" i="3"/>
  <c r="Q170" i="3"/>
  <c r="Q154" i="3"/>
  <c r="Q137" i="3"/>
  <c r="Q104" i="3"/>
  <c r="Z69" i="3"/>
  <c r="Z66" i="3"/>
  <c r="AB135" i="3" s="1"/>
  <c r="AD135" i="3" s="1"/>
  <c r="Z346" i="3"/>
  <c r="Y73" i="3"/>
  <c r="Y74" i="3" s="1"/>
  <c r="Y70" i="3"/>
  <c r="S372" i="3"/>
  <c r="R347" i="3"/>
  <c r="R40" i="3"/>
  <c r="R50" i="3" s="1"/>
  <c r="Q118" i="3"/>
  <c r="Q101" i="3"/>
  <c r="W334" i="3"/>
  <c r="W330" i="3" s="1"/>
  <c r="V353" i="3"/>
  <c r="Q41" i="3"/>
  <c r="Q42" i="3"/>
  <c r="Q44" i="3" s="1"/>
  <c r="Q47" i="3" s="1"/>
  <c r="Q52" i="3" s="1"/>
  <c r="X350" i="3"/>
  <c r="Y345" i="3" s="1"/>
  <c r="T24" i="3"/>
  <c r="Q352" i="3"/>
  <c r="Q349" i="3"/>
  <c r="U134" i="3"/>
  <c r="R287" i="3"/>
  <c r="S347" i="4"/>
  <c r="T372" i="4"/>
  <c r="S40" i="4"/>
  <c r="S50" i="4" s="1"/>
  <c r="U365" i="4"/>
  <c r="U21" i="4" s="1"/>
  <c r="T361" i="4"/>
  <c r="T366" i="4" s="1"/>
  <c r="T23" i="4" s="1"/>
  <c r="T25" i="4" s="1"/>
  <c r="U360" i="4"/>
  <c r="K104" i="4"/>
  <c r="Q121" i="4" s="1"/>
  <c r="K170" i="4" s="1"/>
  <c r="K121" i="4"/>
  <c r="K154" i="4" s="1"/>
  <c r="Q88" i="4"/>
  <c r="X346" i="4"/>
  <c r="Q355" i="4"/>
  <c r="Q363" i="4"/>
  <c r="Y69" i="4"/>
  <c r="Y66" i="4"/>
  <c r="X285" i="4"/>
  <c r="X358" i="4" s="1"/>
  <c r="Y19" i="4"/>
  <c r="R352" i="4"/>
  <c r="R349" i="4"/>
  <c r="U101" i="4"/>
  <c r="N101" i="4"/>
  <c r="S49" i="4"/>
  <c r="S309" i="4"/>
  <c r="S310" i="4" s="1"/>
  <c r="S307" i="4"/>
  <c r="P45" i="4"/>
  <c r="Q45" i="4"/>
  <c r="R48" i="4"/>
  <c r="R36" i="4"/>
  <c r="R38" i="4" s="1"/>
  <c r="K117" i="4"/>
  <c r="K150" i="4" s="1"/>
  <c r="K100" i="4"/>
  <c r="Q117" i="4" s="1"/>
  <c r="K166" i="4" s="1"/>
  <c r="U333" i="4"/>
  <c r="X73" i="4"/>
  <c r="X74" i="4" s="1"/>
  <c r="X70" i="4"/>
  <c r="N118" i="4"/>
  <c r="Z65" i="4"/>
  <c r="Z62" i="4"/>
  <c r="AB119" i="4" s="1"/>
  <c r="AD119" i="4" s="1"/>
  <c r="R289" i="4"/>
  <c r="S371" i="4" s="1"/>
  <c r="S373" i="4" s="1"/>
  <c r="S33" i="4" s="1"/>
  <c r="S34" i="4" s="1"/>
  <c r="S311" i="4"/>
  <c r="O56" i="4"/>
  <c r="O72" i="4"/>
  <c r="O60" i="4"/>
  <c r="O76" i="4"/>
  <c r="O64" i="4"/>
  <c r="O68" i="4"/>
  <c r="A102" i="4"/>
  <c r="K101" i="4" s="1"/>
  <c r="K85" i="4"/>
  <c r="V350" i="4"/>
  <c r="W345" i="4" s="1"/>
  <c r="T24" i="4"/>
  <c r="F32" i="4"/>
  <c r="C33" i="4"/>
  <c r="Q348" i="4"/>
  <c r="R355" i="4"/>
  <c r="R363" i="4"/>
  <c r="C36" i="3" l="1"/>
  <c r="C37" i="3" s="1"/>
  <c r="C38" i="3" s="1"/>
  <c r="S287" i="4"/>
  <c r="Q47" i="4"/>
  <c r="Q52" i="4" s="1"/>
  <c r="Q76" i="4" s="1"/>
  <c r="S312" i="4"/>
  <c r="S288" i="4" s="1"/>
  <c r="Y350" i="3"/>
  <c r="Z345" i="3" s="1"/>
  <c r="W333" i="3"/>
  <c r="Z73" i="3"/>
  <c r="Z74" i="3" s="1"/>
  <c r="Z70" i="3"/>
  <c r="U361" i="3"/>
  <c r="U366" i="3" s="1"/>
  <c r="U23" i="3" s="1"/>
  <c r="U25" i="3" s="1"/>
  <c r="V360" i="3"/>
  <c r="V365" i="3"/>
  <c r="V21" i="3" s="1"/>
  <c r="R289" i="3"/>
  <c r="S371" i="3" s="1"/>
  <c r="S373" i="3" s="1"/>
  <c r="S311" i="3"/>
  <c r="Q348" i="3"/>
  <c r="R355" i="3"/>
  <c r="R363" i="3"/>
  <c r="X285" i="3"/>
  <c r="X358" i="3" s="1"/>
  <c r="Y19" i="3"/>
  <c r="R352" i="3"/>
  <c r="R349" i="3"/>
  <c r="R48" i="3"/>
  <c r="R36" i="3"/>
  <c r="R38" i="3" s="1"/>
  <c r="U372" i="3"/>
  <c r="T347" i="3"/>
  <c r="T40" i="3"/>
  <c r="T50" i="3" s="1"/>
  <c r="Q64" i="3"/>
  <c r="Q68" i="3"/>
  <c r="Q72" i="3"/>
  <c r="Q56" i="3"/>
  <c r="Q76" i="3"/>
  <c r="Q60" i="3"/>
  <c r="Q134" i="3"/>
  <c r="K167" i="3"/>
  <c r="Q167" i="3" s="1"/>
  <c r="S347" i="3"/>
  <c r="T372" i="3"/>
  <c r="S40" i="3"/>
  <c r="S50" i="3" s="1"/>
  <c r="S49" i="3"/>
  <c r="S309" i="3"/>
  <c r="S310" i="3" s="1"/>
  <c r="S307" i="3"/>
  <c r="W350" i="4"/>
  <c r="X345" i="4" s="1"/>
  <c r="U134" i="4"/>
  <c r="U361" i="4"/>
  <c r="U366" i="4" s="1"/>
  <c r="U23" i="4" s="1"/>
  <c r="U25" i="4" s="1"/>
  <c r="V360" i="4"/>
  <c r="V365" i="4"/>
  <c r="V21" i="4" s="1"/>
  <c r="T311" i="4"/>
  <c r="V334" i="4"/>
  <c r="V330" i="4" s="1"/>
  <c r="U353" i="4"/>
  <c r="T118" i="4"/>
  <c r="Y285" i="4"/>
  <c r="Y358" i="4" s="1"/>
  <c r="Z19" i="4"/>
  <c r="Y73" i="4"/>
  <c r="Y74" i="4" s="1"/>
  <c r="Y70" i="4"/>
  <c r="Y346" i="4"/>
  <c r="K118" i="4"/>
  <c r="K151" i="4" s="1"/>
  <c r="Q151" i="4" s="1"/>
  <c r="Q85" i="4"/>
  <c r="Q72" i="4"/>
  <c r="Q68" i="4"/>
  <c r="Q56" i="4"/>
  <c r="S355" i="4"/>
  <c r="S363" i="4"/>
  <c r="Q170" i="4"/>
  <c r="Q104" i="4"/>
  <c r="Q154" i="4"/>
  <c r="Q137" i="4"/>
  <c r="F33" i="4"/>
  <c r="C34" i="4"/>
  <c r="U372" i="4"/>
  <c r="T347" i="4"/>
  <c r="T40" i="4"/>
  <c r="T50" i="4" s="1"/>
  <c r="Q118" i="4"/>
  <c r="Q101" i="4"/>
  <c r="Z69" i="4"/>
  <c r="Z66" i="4"/>
  <c r="AB135" i="4" s="1"/>
  <c r="AD135" i="4" s="1"/>
  <c r="R41" i="4"/>
  <c r="R42" i="4"/>
  <c r="R44" i="4" s="1"/>
  <c r="P47" i="4"/>
  <c r="P52" i="4" s="1"/>
  <c r="U24" i="4"/>
  <c r="S349" i="4"/>
  <c r="S352" i="4"/>
  <c r="S289" i="4" l="1"/>
  <c r="T371" i="4" s="1"/>
  <c r="T373" i="4" s="1"/>
  <c r="T33" i="4" s="1"/>
  <c r="T34" i="4" s="1"/>
  <c r="S35" i="4"/>
  <c r="Q64" i="4"/>
  <c r="T323" i="4"/>
  <c r="T300" i="4" s="1"/>
  <c r="T304" i="4" s="1"/>
  <c r="T49" i="4" s="1"/>
  <c r="Q60" i="4"/>
  <c r="F36" i="3"/>
  <c r="V333" i="4"/>
  <c r="W334" i="4" s="1"/>
  <c r="W330" i="4" s="1"/>
  <c r="U24" i="3"/>
  <c r="V372" i="3" s="1"/>
  <c r="Z350" i="3"/>
  <c r="R42" i="3"/>
  <c r="R44" i="3" s="1"/>
  <c r="R47" i="3" s="1"/>
  <c r="R52" i="3" s="1"/>
  <c r="R41" i="3"/>
  <c r="S355" i="3"/>
  <c r="S363" i="3"/>
  <c r="S287" i="3"/>
  <c r="AB168" i="3"/>
  <c r="AD168" i="3" s="1"/>
  <c r="U167" i="3" s="1"/>
  <c r="AB152" i="3"/>
  <c r="X334" i="3"/>
  <c r="X330" i="3" s="1"/>
  <c r="W353" i="3"/>
  <c r="T349" i="3"/>
  <c r="T352" i="3"/>
  <c r="U40" i="3"/>
  <c r="U50" i="3" s="1"/>
  <c r="Y285" i="3"/>
  <c r="Y358" i="3" s="1"/>
  <c r="Z19" i="3"/>
  <c r="S349" i="3"/>
  <c r="S352" i="3"/>
  <c r="C39" i="3"/>
  <c r="C40" i="3" s="1"/>
  <c r="F38" i="3"/>
  <c r="B248" i="3" s="1"/>
  <c r="S312" i="3"/>
  <c r="W360" i="3"/>
  <c r="W365" i="3"/>
  <c r="W21" i="3" s="1"/>
  <c r="V361" i="3"/>
  <c r="V366" i="3" s="1"/>
  <c r="V23" i="3" s="1"/>
  <c r="V25" i="3" s="1"/>
  <c r="Z285" i="4"/>
  <c r="AA19" i="4"/>
  <c r="T355" i="4"/>
  <c r="T363" i="4"/>
  <c r="Z73" i="4"/>
  <c r="Z74" i="4" s="1"/>
  <c r="Z70" i="4"/>
  <c r="X350" i="4"/>
  <c r="Y345" i="4" s="1"/>
  <c r="V353" i="4"/>
  <c r="V372" i="4"/>
  <c r="U347" i="4"/>
  <c r="U40" i="4"/>
  <c r="U50" i="4" s="1"/>
  <c r="F34" i="4"/>
  <c r="C35" i="4"/>
  <c r="W360" i="4"/>
  <c r="W365" i="4"/>
  <c r="W21" i="4" s="1"/>
  <c r="V361" i="4"/>
  <c r="V366" i="4" s="1"/>
  <c r="V23" i="4" s="1"/>
  <c r="V25" i="4" s="1"/>
  <c r="R45" i="4"/>
  <c r="Q134" i="4"/>
  <c r="K167" i="4"/>
  <c r="Q167" i="4" s="1"/>
  <c r="S36" i="4"/>
  <c r="S38" i="4" s="1"/>
  <c r="S48" i="4"/>
  <c r="P72" i="4"/>
  <c r="P60" i="4"/>
  <c r="P76" i="4"/>
  <c r="P64" i="4"/>
  <c r="P68" i="4"/>
  <c r="P56" i="4"/>
  <c r="T349" i="4"/>
  <c r="T352" i="4"/>
  <c r="Z346" i="4"/>
  <c r="T307" i="4" l="1"/>
  <c r="T312" i="4" s="1"/>
  <c r="T309" i="4"/>
  <c r="T310" i="4" s="1"/>
  <c r="U347" i="3"/>
  <c r="V24" i="4"/>
  <c r="W372" i="4" s="1"/>
  <c r="X360" i="3"/>
  <c r="X365" i="3"/>
  <c r="X21" i="3" s="1"/>
  <c r="W361" i="3"/>
  <c r="W366" i="3" s="1"/>
  <c r="W23" i="3" s="1"/>
  <c r="W25" i="3" s="1"/>
  <c r="V24" i="3"/>
  <c r="U355" i="3"/>
  <c r="T348" i="3"/>
  <c r="U363" i="3"/>
  <c r="T311" i="3"/>
  <c r="T323" i="3"/>
  <c r="T300" i="3" s="1"/>
  <c r="T304" i="3" s="1"/>
  <c r="S35" i="3"/>
  <c r="S288" i="3"/>
  <c r="S289" i="3" s="1"/>
  <c r="T371" i="3" s="1"/>
  <c r="T373" i="3" s="1"/>
  <c r="Z285" i="3"/>
  <c r="AA19" i="3"/>
  <c r="U352" i="3"/>
  <c r="U349" i="3"/>
  <c r="X333" i="3"/>
  <c r="H248" i="3"/>
  <c r="B249" i="3"/>
  <c r="H249" i="3" s="1"/>
  <c r="N151" i="3"/>
  <c r="AD152" i="3"/>
  <c r="U151" i="3" s="1"/>
  <c r="R68" i="3"/>
  <c r="R72" i="3"/>
  <c r="R56" i="3"/>
  <c r="R76" i="3"/>
  <c r="R60" i="3"/>
  <c r="R64" i="3"/>
  <c r="W24" i="3"/>
  <c r="F40" i="3"/>
  <c r="C41" i="3"/>
  <c r="T355" i="3"/>
  <c r="T363" i="3"/>
  <c r="Y350" i="4"/>
  <c r="Z345" i="4" s="1"/>
  <c r="V40" i="4"/>
  <c r="V50" i="4" s="1"/>
  <c r="AB152" i="4"/>
  <c r="AB168" i="4"/>
  <c r="AD168" i="4" s="1"/>
  <c r="U167" i="4" s="1"/>
  <c r="S41" i="4"/>
  <c r="S42" i="4"/>
  <c r="S44" i="4" s="1"/>
  <c r="F35" i="4"/>
  <c r="C36" i="4"/>
  <c r="U352" i="4"/>
  <c r="U349" i="4"/>
  <c r="U355" i="4"/>
  <c r="T348" i="4"/>
  <c r="U363" i="4"/>
  <c r="R47" i="4"/>
  <c r="R52" i="4" s="1"/>
  <c r="X360" i="4"/>
  <c r="X365" i="4"/>
  <c r="X21" i="4" s="1"/>
  <c r="W361" i="4"/>
  <c r="W366" i="4" s="1"/>
  <c r="W23" i="4" s="1"/>
  <c r="W25" i="4" s="1"/>
  <c r="W333" i="4"/>
  <c r="Z358" i="4"/>
  <c r="AA285" i="4"/>
  <c r="T288" i="4" l="1"/>
  <c r="T35" i="4"/>
  <c r="T287" i="4"/>
  <c r="V347" i="4"/>
  <c r="W24" i="4"/>
  <c r="F41" i="3"/>
  <c r="C42" i="3"/>
  <c r="S48" i="3"/>
  <c r="S36" i="3"/>
  <c r="S38" i="3" s="1"/>
  <c r="W372" i="3"/>
  <c r="V347" i="3"/>
  <c r="V40" i="3"/>
  <c r="V50" i="3" s="1"/>
  <c r="T49" i="3"/>
  <c r="T309" i="3"/>
  <c r="T310" i="3" s="1"/>
  <c r="T307" i="3"/>
  <c r="T312" i="3" s="1"/>
  <c r="T35" i="3" s="1"/>
  <c r="Y334" i="3"/>
  <c r="Y330" i="3" s="1"/>
  <c r="X353" i="3"/>
  <c r="Z358" i="3"/>
  <c r="AA285" i="3"/>
  <c r="W347" i="3"/>
  <c r="X372" i="3"/>
  <c r="W40" i="3"/>
  <c r="W50" i="3" s="1"/>
  <c r="N167" i="3"/>
  <c r="V355" i="3"/>
  <c r="V363" i="3"/>
  <c r="Y365" i="3"/>
  <c r="Y21" i="3" s="1"/>
  <c r="X361" i="3"/>
  <c r="X366" i="3" s="1"/>
  <c r="X23" i="3" s="1"/>
  <c r="X25" i="3" s="1"/>
  <c r="Y360" i="3"/>
  <c r="AC360" i="3"/>
  <c r="F36" i="4"/>
  <c r="C37" i="4"/>
  <c r="C38" i="4" s="1"/>
  <c r="V352" i="4"/>
  <c r="V349" i="4"/>
  <c r="X334" i="4"/>
  <c r="X330" i="4" s="1"/>
  <c r="W353" i="4"/>
  <c r="R76" i="4"/>
  <c r="R68" i="4"/>
  <c r="R56" i="4"/>
  <c r="R60" i="4"/>
  <c r="R72" i="4"/>
  <c r="R64" i="4"/>
  <c r="N151" i="4"/>
  <c r="AD152" i="4"/>
  <c r="U151" i="4" s="1"/>
  <c r="T36" i="4"/>
  <c r="T38" i="4" s="1"/>
  <c r="T48" i="4"/>
  <c r="V355" i="4"/>
  <c r="V363" i="4"/>
  <c r="Y365" i="4"/>
  <c r="Y21" i="4" s="1"/>
  <c r="X361" i="4"/>
  <c r="X366" i="4" s="1"/>
  <c r="X23" i="4" s="1"/>
  <c r="X25" i="4" s="1"/>
  <c r="Y360" i="4"/>
  <c r="AC360" i="4"/>
  <c r="W347" i="4"/>
  <c r="X372" i="4"/>
  <c r="W40" i="4"/>
  <c r="W50" i="4" s="1"/>
  <c r="Z350" i="4"/>
  <c r="T289" i="4"/>
  <c r="U371" i="4" s="1"/>
  <c r="U373" i="4" s="1"/>
  <c r="U33" i="4" s="1"/>
  <c r="U34" i="4" s="1"/>
  <c r="S45" i="4"/>
  <c r="U311" i="4" l="1"/>
  <c r="U304" i="4"/>
  <c r="Y333" i="3"/>
  <c r="X24" i="4"/>
  <c r="X40" i="4" s="1"/>
  <c r="X50" i="4" s="1"/>
  <c r="S47" i="4"/>
  <c r="S52" i="4" s="1"/>
  <c r="S72" i="4" s="1"/>
  <c r="T287" i="3"/>
  <c r="Y361" i="3"/>
  <c r="Y366" i="3" s="1"/>
  <c r="Y23" i="3" s="1"/>
  <c r="Y25" i="3" s="1"/>
  <c r="Z360" i="3"/>
  <c r="Z361" i="3" s="1"/>
  <c r="Z366" i="3" s="1"/>
  <c r="Z23" i="3" s="1"/>
  <c r="Z25" i="3" s="1"/>
  <c r="Z365" i="3"/>
  <c r="Z21" i="3" s="1"/>
  <c r="T288" i="3"/>
  <c r="W349" i="3"/>
  <c r="W352" i="3"/>
  <c r="S41" i="3"/>
  <c r="S42" i="3"/>
  <c r="S44" i="3" s="1"/>
  <c r="S47" i="3" s="1"/>
  <c r="S52" i="3" s="1"/>
  <c r="X24" i="3"/>
  <c r="Y24" i="3"/>
  <c r="T48" i="3"/>
  <c r="T36" i="3"/>
  <c r="T38" i="3" s="1"/>
  <c r="Z334" i="3"/>
  <c r="Z330" i="3" s="1"/>
  <c r="Y353" i="3"/>
  <c r="V352" i="3"/>
  <c r="V349" i="3"/>
  <c r="C43" i="3"/>
  <c r="C44" i="3" s="1"/>
  <c r="F42" i="3"/>
  <c r="T42" i="4"/>
  <c r="T44" i="4" s="1"/>
  <c r="T41" i="4"/>
  <c r="X333" i="4"/>
  <c r="S76" i="4"/>
  <c r="Y372" i="4"/>
  <c r="X347" i="4"/>
  <c r="C39" i="4"/>
  <c r="C40" i="4" s="1"/>
  <c r="F38" i="4"/>
  <c r="B248" i="4" s="1"/>
  <c r="Y361" i="4"/>
  <c r="Y366" i="4" s="1"/>
  <c r="Y23" i="4" s="1"/>
  <c r="Y25" i="4" s="1"/>
  <c r="Z360" i="4"/>
  <c r="Z361" i="4" s="1"/>
  <c r="Z366" i="4" s="1"/>
  <c r="Z23" i="4" s="1"/>
  <c r="Z25" i="4" s="1"/>
  <c r="Z365" i="4"/>
  <c r="Z21" i="4" s="1"/>
  <c r="W349" i="4"/>
  <c r="W352" i="4"/>
  <c r="N167" i="4"/>
  <c r="W355" i="4"/>
  <c r="W363" i="4"/>
  <c r="U49" i="4" l="1"/>
  <c r="U309" i="4"/>
  <c r="U307" i="4"/>
  <c r="S64" i="4"/>
  <c r="Y24" i="4"/>
  <c r="S60" i="4"/>
  <c r="Z24" i="4"/>
  <c r="Z347" i="4" s="1"/>
  <c r="S68" i="4"/>
  <c r="S56" i="4"/>
  <c r="Z24" i="3"/>
  <c r="Z347" i="3" s="1"/>
  <c r="S72" i="3"/>
  <c r="S76" i="3"/>
  <c r="S60" i="3"/>
  <c r="S64" i="3"/>
  <c r="S68" i="3"/>
  <c r="S56" i="3"/>
  <c r="Z40" i="3"/>
  <c r="Z50" i="3" s="1"/>
  <c r="F44" i="3"/>
  <c r="C45" i="3"/>
  <c r="Z333" i="3"/>
  <c r="Z353" i="3" s="1"/>
  <c r="Z372" i="3"/>
  <c r="Y347" i="3"/>
  <c r="Y40" i="3"/>
  <c r="Y50" i="3" s="1"/>
  <c r="X355" i="3"/>
  <c r="X363" i="3"/>
  <c r="W355" i="3"/>
  <c r="W363" i="3"/>
  <c r="Y372" i="3"/>
  <c r="X347" i="3"/>
  <c r="X40" i="3"/>
  <c r="X50" i="3" s="1"/>
  <c r="T41" i="3"/>
  <c r="T42" i="3"/>
  <c r="T44" i="3" s="1"/>
  <c r="T47" i="3" s="1"/>
  <c r="T52" i="3" s="1"/>
  <c r="T289" i="3"/>
  <c r="U371" i="3" s="1"/>
  <c r="U373" i="3" s="1"/>
  <c r="U304" i="3"/>
  <c r="U311" i="3"/>
  <c r="T45" i="4"/>
  <c r="F40" i="4"/>
  <c r="C41" i="4"/>
  <c r="Z372" i="4"/>
  <c r="Y347" i="4"/>
  <c r="Y40" i="4"/>
  <c r="Y50" i="4" s="1"/>
  <c r="X355" i="4"/>
  <c r="X363" i="4"/>
  <c r="B249" i="4"/>
  <c r="H249" i="4" s="1"/>
  <c r="H248" i="4"/>
  <c r="X349" i="4"/>
  <c r="X352" i="4"/>
  <c r="Y334" i="4"/>
  <c r="Y330" i="4" s="1"/>
  <c r="X353" i="4"/>
  <c r="U287" i="4" l="1"/>
  <c r="U310" i="4"/>
  <c r="U312" i="4" s="1"/>
  <c r="Z40" i="4"/>
  <c r="Z50" i="4" s="1"/>
  <c r="C46" i="3"/>
  <c r="C47" i="3" s="1"/>
  <c r="F45" i="3"/>
  <c r="Z352" i="3"/>
  <c r="Z349" i="3"/>
  <c r="T76" i="3"/>
  <c r="T60" i="3"/>
  <c r="T64" i="3"/>
  <c r="T68" i="3"/>
  <c r="T72" i="3"/>
  <c r="T56" i="3"/>
  <c r="X349" i="3"/>
  <c r="X352" i="3"/>
  <c r="Y352" i="3"/>
  <c r="Y349" i="3"/>
  <c r="U49" i="3"/>
  <c r="U309" i="3"/>
  <c r="U307" i="3"/>
  <c r="F41" i="4"/>
  <c r="C42" i="4"/>
  <c r="Y355" i="4"/>
  <c r="Y363" i="4"/>
  <c r="Y349" i="4"/>
  <c r="Y333" i="4"/>
  <c r="T47" i="4"/>
  <c r="T52" i="4" s="1"/>
  <c r="Z349" i="4"/>
  <c r="U288" i="4" l="1"/>
  <c r="U289" i="4" s="1"/>
  <c r="V371" i="4" s="1"/>
  <c r="V373" i="4" s="1"/>
  <c r="V33" i="4" s="1"/>
  <c r="V34" i="4" s="1"/>
  <c r="U35" i="4"/>
  <c r="V304" i="4"/>
  <c r="V311" i="4"/>
  <c r="Z355" i="3"/>
  <c r="Z363" i="3"/>
  <c r="U310" i="3"/>
  <c r="U312" i="3" s="1"/>
  <c r="U287" i="3"/>
  <c r="Y355" i="3"/>
  <c r="Y363" i="3"/>
  <c r="F47" i="3"/>
  <c r="C48" i="3"/>
  <c r="Z334" i="4"/>
  <c r="Z330" i="4" s="1"/>
  <c r="Y353" i="4"/>
  <c r="T76" i="4"/>
  <c r="T60" i="4"/>
  <c r="T72" i="4"/>
  <c r="T64" i="4"/>
  <c r="T68" i="4"/>
  <c r="T56" i="4"/>
  <c r="C43" i="4"/>
  <c r="C44" i="4" s="1"/>
  <c r="F42" i="4"/>
  <c r="Z355" i="4"/>
  <c r="Z363" i="4"/>
  <c r="Y352" i="4"/>
  <c r="V49" i="4" l="1"/>
  <c r="V307" i="4"/>
  <c r="V309" i="4"/>
  <c r="U48" i="4"/>
  <c r="U36" i="4"/>
  <c r="U38" i="4" s="1"/>
  <c r="Z333" i="4"/>
  <c r="Z353" i="4" s="1"/>
  <c r="U35" i="3"/>
  <c r="U288" i="3"/>
  <c r="U289" i="3" s="1"/>
  <c r="V371" i="3" s="1"/>
  <c r="V373" i="3" s="1"/>
  <c r="F48" i="3"/>
  <c r="C49" i="3"/>
  <c r="V304" i="3"/>
  <c r="V311" i="3"/>
  <c r="F44" i="4"/>
  <c r="C45" i="4"/>
  <c r="Z352" i="4" l="1"/>
  <c r="V310" i="4"/>
  <c r="V312" i="4" s="1"/>
  <c r="V287" i="4"/>
  <c r="U42" i="4"/>
  <c r="U44" i="4" s="1"/>
  <c r="U45" i="4" s="1"/>
  <c r="U47" i="4" s="1"/>
  <c r="U52" i="4" s="1"/>
  <c r="U41" i="4"/>
  <c r="F49" i="3"/>
  <c r="C50" i="3"/>
  <c r="V49" i="3"/>
  <c r="V309" i="3"/>
  <c r="V310" i="3" s="1"/>
  <c r="V307" i="3"/>
  <c r="U48" i="3"/>
  <c r="U36" i="3"/>
  <c r="U38" i="3" s="1"/>
  <c r="F45" i="4"/>
  <c r="C46" i="4"/>
  <c r="C47" i="4" s="1"/>
  <c r="W304" i="4" l="1"/>
  <c r="W311" i="4"/>
  <c r="V35" i="4"/>
  <c r="V288" i="4"/>
  <c r="V289" i="4" s="1"/>
  <c r="W371" i="4" s="1"/>
  <c r="W373" i="4" s="1"/>
  <c r="W33" i="4" s="1"/>
  <c r="W34" i="4" s="1"/>
  <c r="V312" i="3"/>
  <c r="V288" i="3" s="1"/>
  <c r="V287" i="3"/>
  <c r="C51" i="3"/>
  <c r="C52" i="3" s="1"/>
  <c r="F50" i="3"/>
  <c r="U41" i="3"/>
  <c r="U42" i="3"/>
  <c r="U44" i="3" s="1"/>
  <c r="U47" i="3" s="1"/>
  <c r="U52" i="3" s="1"/>
  <c r="F47" i="4"/>
  <c r="C48" i="4"/>
  <c r="U72" i="4"/>
  <c r="U64" i="4"/>
  <c r="U68" i="4"/>
  <c r="U76" i="4"/>
  <c r="U56" i="4"/>
  <c r="U60" i="4"/>
  <c r="V48" i="4" l="1"/>
  <c r="V36" i="4"/>
  <c r="V38" i="4" s="1"/>
  <c r="W307" i="4"/>
  <c r="W49" i="4"/>
  <c r="W309" i="4"/>
  <c r="V35" i="3"/>
  <c r="F52" i="3"/>
  <c r="B260" i="3" s="1"/>
  <c r="H260" i="3" s="1"/>
  <c r="C53" i="3"/>
  <c r="C182" i="3"/>
  <c r="V289" i="3"/>
  <c r="W371" i="3" s="1"/>
  <c r="W373" i="3" s="1"/>
  <c r="W304" i="3"/>
  <c r="W311" i="3"/>
  <c r="U64" i="3"/>
  <c r="U68" i="3"/>
  <c r="U72" i="3"/>
  <c r="U56" i="3"/>
  <c r="U76" i="3"/>
  <c r="U60" i="3"/>
  <c r="V48" i="3"/>
  <c r="V36" i="3"/>
  <c r="V38" i="3" s="1"/>
  <c r="F48" i="4"/>
  <c r="C49" i="4"/>
  <c r="W312" i="4" l="1"/>
  <c r="W310" i="4"/>
  <c r="W287" i="4"/>
  <c r="V42" i="4"/>
  <c r="V44" i="4" s="1"/>
  <c r="V45" i="4" s="1"/>
  <c r="V41" i="4"/>
  <c r="V42" i="3"/>
  <c r="V44" i="3" s="1"/>
  <c r="V47" i="3" s="1"/>
  <c r="V52" i="3" s="1"/>
  <c r="V41" i="3"/>
  <c r="W49" i="3"/>
  <c r="W309" i="3"/>
  <c r="W310" i="3" s="1"/>
  <c r="W307" i="3"/>
  <c r="C183" i="3"/>
  <c r="C184" i="3"/>
  <c r="F53" i="3"/>
  <c r="C54" i="3"/>
  <c r="F49" i="4"/>
  <c r="C50" i="4"/>
  <c r="X304" i="4" l="1"/>
  <c r="X311" i="4"/>
  <c r="V47" i="4"/>
  <c r="V52" i="4" s="1"/>
  <c r="V76" i="4" s="1"/>
  <c r="W35" i="4"/>
  <c r="W288" i="4"/>
  <c r="W289" i="4" s="1"/>
  <c r="X371" i="4" s="1"/>
  <c r="X373" i="4" s="1"/>
  <c r="X33" i="4" s="1"/>
  <c r="X34" i="4" s="1"/>
  <c r="W312" i="3"/>
  <c r="W288" i="3" s="1"/>
  <c r="W35" i="3"/>
  <c r="V68" i="3"/>
  <c r="V72" i="3"/>
  <c r="V56" i="3"/>
  <c r="V76" i="3"/>
  <c r="V60" i="3"/>
  <c r="V64" i="3"/>
  <c r="C185" i="3"/>
  <c r="C55" i="3"/>
  <c r="C56" i="3" s="1"/>
  <c r="F54" i="3"/>
  <c r="W287" i="3"/>
  <c r="C51" i="4"/>
  <c r="C52" i="4" s="1"/>
  <c r="F50" i="4"/>
  <c r="V72" i="4"/>
  <c r="V68" i="4"/>
  <c r="V56" i="4"/>
  <c r="V64" i="4"/>
  <c r="V60" i="4" l="1"/>
  <c r="X309" i="4"/>
  <c r="X307" i="4"/>
  <c r="X49" i="4"/>
  <c r="W48" i="4"/>
  <c r="W36" i="4"/>
  <c r="W38" i="4" s="1"/>
  <c r="W289" i="3"/>
  <c r="X371" i="3" s="1"/>
  <c r="X373" i="3" s="1"/>
  <c r="X304" i="3"/>
  <c r="X311" i="3"/>
  <c r="C186" i="3"/>
  <c r="F56" i="3"/>
  <c r="C57" i="3"/>
  <c r="C58" i="3" s="1"/>
  <c r="W48" i="3"/>
  <c r="W36" i="3"/>
  <c r="W38" i="3" s="1"/>
  <c r="F52" i="4"/>
  <c r="B260" i="4" s="1"/>
  <c r="H260" i="4" s="1"/>
  <c r="C53" i="4"/>
  <c r="C182" i="4"/>
  <c r="X310" i="4" l="1"/>
  <c r="X287" i="4"/>
  <c r="X312" i="4"/>
  <c r="W41" i="4"/>
  <c r="W42" i="4"/>
  <c r="W44" i="4" s="1"/>
  <c r="W41" i="3"/>
  <c r="W42" i="3"/>
  <c r="W44" i="3" s="1"/>
  <c r="W47" i="3" s="1"/>
  <c r="W52" i="3" s="1"/>
  <c r="X49" i="3"/>
  <c r="X309" i="3"/>
  <c r="X310" i="3" s="1"/>
  <c r="X307" i="3"/>
  <c r="X312" i="3" s="1"/>
  <c r="C187" i="3"/>
  <c r="C188" i="3" s="1"/>
  <c r="C189" i="3" s="1"/>
  <c r="C190" i="3" s="1"/>
  <c r="C59" i="3"/>
  <c r="C60" i="3" s="1"/>
  <c r="F58" i="3"/>
  <c r="C183" i="4"/>
  <c r="C184" i="4" s="1"/>
  <c r="F53" i="4"/>
  <c r="C54" i="4"/>
  <c r="X35" i="4" l="1"/>
  <c r="X288" i="4"/>
  <c r="Y311" i="4"/>
  <c r="X289" i="4"/>
  <c r="Y371" i="4" s="1"/>
  <c r="Y373" i="4" s="1"/>
  <c r="Y33" i="4" s="1"/>
  <c r="Y34" i="4" s="1"/>
  <c r="Y304" i="4"/>
  <c r="W45" i="4"/>
  <c r="W47" i="4" s="1"/>
  <c r="W52" i="4" s="1"/>
  <c r="X287" i="3"/>
  <c r="X35" i="3"/>
  <c r="X288" i="3"/>
  <c r="X289" i="3" s="1"/>
  <c r="Y371" i="3" s="1"/>
  <c r="Y373" i="3" s="1"/>
  <c r="C191" i="3"/>
  <c r="C61" i="3"/>
  <c r="C62" i="3" s="1"/>
  <c r="F60" i="3"/>
  <c r="Y304" i="3"/>
  <c r="Y311" i="3"/>
  <c r="W72" i="3"/>
  <c r="W76" i="3"/>
  <c r="W60" i="3"/>
  <c r="W64" i="3"/>
  <c r="W68" i="3"/>
  <c r="W56" i="3"/>
  <c r="C185" i="4"/>
  <c r="C55" i="4"/>
  <c r="C56" i="4" s="1"/>
  <c r="F54" i="4"/>
  <c r="B261" i="4" s="1"/>
  <c r="H261" i="4" s="1"/>
  <c r="W64" i="4" l="1"/>
  <c r="W76" i="4"/>
  <c r="W68" i="4"/>
  <c r="W72" i="4"/>
  <c r="W60" i="4"/>
  <c r="W56" i="4"/>
  <c r="Y49" i="4"/>
  <c r="Y309" i="4"/>
  <c r="Y307" i="4"/>
  <c r="X36" i="4"/>
  <c r="X38" i="4" s="1"/>
  <c r="X48" i="4"/>
  <c r="Y49" i="3"/>
  <c r="Y309" i="3"/>
  <c r="Y310" i="3" s="1"/>
  <c r="Y312" i="3" s="1"/>
  <c r="Y35" i="3" s="1"/>
  <c r="Y307" i="3"/>
  <c r="C63" i="3"/>
  <c r="C64" i="3" s="1"/>
  <c r="F62" i="3"/>
  <c r="C192" i="3"/>
  <c r="C193" i="3" s="1"/>
  <c r="X48" i="3"/>
  <c r="X36" i="3"/>
  <c r="X38" i="3" s="1"/>
  <c r="C186" i="4"/>
  <c r="F56" i="4"/>
  <c r="C57" i="4"/>
  <c r="C58" i="4" s="1"/>
  <c r="Y310" i="4" l="1"/>
  <c r="Y287" i="4"/>
  <c r="X42" i="4"/>
  <c r="X44" i="4" s="1"/>
  <c r="X41" i="4"/>
  <c r="Y312" i="4"/>
  <c r="Y288" i="3"/>
  <c r="C194" i="3"/>
  <c r="F64" i="3"/>
  <c r="C65" i="3"/>
  <c r="C66" i="3" s="1"/>
  <c r="Y48" i="3"/>
  <c r="Y36" i="3"/>
  <c r="Y38" i="3" s="1"/>
  <c r="X41" i="3"/>
  <c r="X42" i="3"/>
  <c r="X44" i="3" s="1"/>
  <c r="X47" i="3" s="1"/>
  <c r="X52" i="3" s="1"/>
  <c r="Y287" i="3"/>
  <c r="C59" i="4"/>
  <c r="C60" i="4" s="1"/>
  <c r="F58" i="4"/>
  <c r="B262" i="4" s="1"/>
  <c r="H262" i="4" s="1"/>
  <c r="C187" i="4"/>
  <c r="C188" i="4" s="1"/>
  <c r="C189" i="4" s="1"/>
  <c r="C190" i="4" s="1"/>
  <c r="C191" i="4" s="1"/>
  <c r="X45" i="4" l="1"/>
  <c r="X47" i="4"/>
  <c r="X52" i="4" s="1"/>
  <c r="Z311" i="4"/>
  <c r="Z304" i="4"/>
  <c r="Y288" i="4"/>
  <c r="Y289" i="4" s="1"/>
  <c r="Z371" i="4" s="1"/>
  <c r="Z373" i="4" s="1"/>
  <c r="Z33" i="4" s="1"/>
  <c r="Z34" i="4" s="1"/>
  <c r="Y35" i="4"/>
  <c r="X76" i="3"/>
  <c r="X60" i="3"/>
  <c r="X64" i="3"/>
  <c r="X68" i="3"/>
  <c r="X72" i="3"/>
  <c r="X56" i="3"/>
  <c r="C67" i="3"/>
  <c r="C68" i="3" s="1"/>
  <c r="F66" i="3"/>
  <c r="C195" i="3"/>
  <c r="Y289" i="3"/>
  <c r="Z371" i="3" s="1"/>
  <c r="Z373" i="3" s="1"/>
  <c r="Z304" i="3"/>
  <c r="Z311" i="3"/>
  <c r="Y41" i="3"/>
  <c r="Y42" i="3"/>
  <c r="Y44" i="3" s="1"/>
  <c r="Y47" i="3" s="1"/>
  <c r="Y52" i="3" s="1"/>
  <c r="C192" i="4"/>
  <c r="C193" i="4" s="1"/>
  <c r="F60" i="4"/>
  <c r="C61" i="4"/>
  <c r="C62" i="4" s="1"/>
  <c r="Y48" i="4" l="1"/>
  <c r="Y36" i="4"/>
  <c r="Y38" i="4" s="1"/>
  <c r="X76" i="4"/>
  <c r="X68" i="4"/>
  <c r="X56" i="4"/>
  <c r="X64" i="4"/>
  <c r="X60" i="4"/>
  <c r="X72" i="4"/>
  <c r="Z307" i="4"/>
  <c r="Z309" i="4"/>
  <c r="Z49" i="4"/>
  <c r="F68" i="3"/>
  <c r="C69" i="3"/>
  <c r="C70" i="3" s="1"/>
  <c r="Y64" i="3"/>
  <c r="Y68" i="3"/>
  <c r="Y72" i="3"/>
  <c r="Y56" i="3"/>
  <c r="Y76" i="3"/>
  <c r="Y60" i="3"/>
  <c r="Z49" i="3"/>
  <c r="Z309" i="3"/>
  <c r="Z310" i="3" s="1"/>
  <c r="Z307" i="3"/>
  <c r="C194" i="4"/>
  <c r="C63" i="4"/>
  <c r="C64" i="4" s="1"/>
  <c r="F62" i="4"/>
  <c r="Z287" i="4" l="1"/>
  <c r="Z310" i="4"/>
  <c r="Z312" i="4" s="1"/>
  <c r="Y42" i="4"/>
  <c r="Y44" i="4" s="1"/>
  <c r="Y41" i="4"/>
  <c r="Z312" i="3"/>
  <c r="Z35" i="3" s="1"/>
  <c r="Z288" i="3"/>
  <c r="C71" i="3"/>
  <c r="C72" i="3" s="1"/>
  <c r="F70" i="3"/>
  <c r="Z287" i="3"/>
  <c r="C195" i="4"/>
  <c r="F64" i="4"/>
  <c r="C65" i="4"/>
  <c r="C66" i="4" s="1"/>
  <c r="Y45" i="4" l="1"/>
  <c r="Y47" i="4" s="1"/>
  <c r="Y52" i="4" s="1"/>
  <c r="Z35" i="4"/>
  <c r="Z288" i="4"/>
  <c r="Z289" i="4" s="1"/>
  <c r="B262" i="3"/>
  <c r="H262" i="3" s="1"/>
  <c r="B261" i="3"/>
  <c r="H261" i="3" s="1"/>
  <c r="F72" i="3"/>
  <c r="C73" i="3"/>
  <c r="C74" i="3" s="1"/>
  <c r="Z289" i="3"/>
  <c r="Z48" i="3"/>
  <c r="Z36" i="3"/>
  <c r="Z38" i="3" s="1"/>
  <c r="C67" i="4"/>
  <c r="C68" i="4" s="1"/>
  <c r="F66" i="4"/>
  <c r="Y72" i="4" l="1"/>
  <c r="Y56" i="4"/>
  <c r="Y60" i="4"/>
  <c r="Y76" i="4"/>
  <c r="Y64" i="4"/>
  <c r="Y68" i="4"/>
  <c r="Z48" i="4"/>
  <c r="Z36" i="4"/>
  <c r="Z38" i="4" s="1"/>
  <c r="C75" i="3"/>
  <c r="C76" i="3" s="1"/>
  <c r="F76" i="3" s="1"/>
  <c r="F74" i="3"/>
  <c r="Z42" i="3"/>
  <c r="Z41" i="3"/>
  <c r="F68" i="4"/>
  <c r="C69" i="4"/>
  <c r="C70" i="4" s="1"/>
  <c r="Z42" i="4" l="1"/>
  <c r="Z41" i="4"/>
  <c r="AD150" i="3"/>
  <c r="AD117" i="3"/>
  <c r="AD133" i="3" s="1"/>
  <c r="S132" i="3" s="1"/>
  <c r="U132" i="3" s="1"/>
  <c r="AD84" i="3"/>
  <c r="AD149" i="3"/>
  <c r="AD83" i="3"/>
  <c r="AD116" i="3"/>
  <c r="AD132" i="3" s="1"/>
  <c r="S131" i="3" s="1"/>
  <c r="U131" i="3" s="1"/>
  <c r="U133" i="3" s="1"/>
  <c r="U135" i="3" s="1"/>
  <c r="Z44" i="3"/>
  <c r="Z47" i="3" s="1"/>
  <c r="Z52" i="3" s="1"/>
  <c r="C71" i="4"/>
  <c r="C72" i="4" s="1"/>
  <c r="F70" i="4"/>
  <c r="AD150" i="4" l="1"/>
  <c r="AD117" i="4"/>
  <c r="AD133" i="4" s="1"/>
  <c r="S132" i="4" s="1"/>
  <c r="U132" i="4" s="1"/>
  <c r="AD84" i="4"/>
  <c r="AD116" i="4"/>
  <c r="AD132" i="4" s="1"/>
  <c r="S131" i="4" s="1"/>
  <c r="U131" i="4" s="1"/>
  <c r="U133" i="4" s="1"/>
  <c r="U135" i="4" s="1"/>
  <c r="Z44" i="4"/>
  <c r="Z45" i="4" s="1"/>
  <c r="AD83" i="4"/>
  <c r="AD149" i="4"/>
  <c r="Z47" i="4"/>
  <c r="Z52" i="4" s="1"/>
  <c r="Z68" i="4" s="1"/>
  <c r="AB68" i="4" s="1"/>
  <c r="AD165" i="3"/>
  <c r="S164" i="3" s="1"/>
  <c r="U164" i="3" s="1"/>
  <c r="S148" i="3"/>
  <c r="U148" i="3" s="1"/>
  <c r="Z68" i="3"/>
  <c r="AB68" i="3" s="1"/>
  <c r="Z72" i="3"/>
  <c r="AB72" i="3" s="1"/>
  <c r="Z56" i="3"/>
  <c r="AB56" i="3" s="1"/>
  <c r="Z76" i="3"/>
  <c r="AB76" i="3" s="1"/>
  <c r="Z60" i="3"/>
  <c r="AB60" i="3" s="1"/>
  <c r="Z64" i="3"/>
  <c r="AB64" i="3" s="1"/>
  <c r="AB52" i="3"/>
  <c r="AD100" i="3"/>
  <c r="S99" i="3" s="1"/>
  <c r="U99" i="3" s="1"/>
  <c r="S83" i="3"/>
  <c r="U83" i="3" s="1"/>
  <c r="AD99" i="3"/>
  <c r="S98" i="3" s="1"/>
  <c r="U98" i="3" s="1"/>
  <c r="S82" i="3"/>
  <c r="U82" i="3" s="1"/>
  <c r="AD166" i="3"/>
  <c r="S165" i="3" s="1"/>
  <c r="U165" i="3" s="1"/>
  <c r="S149" i="3"/>
  <c r="U149" i="3" s="1"/>
  <c r="Z72" i="4"/>
  <c r="AB72" i="4" s="1"/>
  <c r="F72" i="4"/>
  <c r="C73" i="4"/>
  <c r="C74" i="4" s="1"/>
  <c r="AB52" i="4" l="1"/>
  <c r="AD165" i="4"/>
  <c r="S164" i="4" s="1"/>
  <c r="U164" i="4" s="1"/>
  <c r="U166" i="4" s="1"/>
  <c r="U168" i="4" s="1"/>
  <c r="S148" i="4"/>
  <c r="U148" i="4" s="1"/>
  <c r="AD100" i="4"/>
  <c r="S99" i="4" s="1"/>
  <c r="U99" i="4" s="1"/>
  <c r="S83" i="4"/>
  <c r="U83" i="4" s="1"/>
  <c r="S82" i="4"/>
  <c r="U82" i="4" s="1"/>
  <c r="U84" i="4" s="1"/>
  <c r="U86" i="4" s="1"/>
  <c r="AD99" i="4"/>
  <c r="S98" i="4" s="1"/>
  <c r="U98" i="4" s="1"/>
  <c r="S149" i="4"/>
  <c r="U149" i="4" s="1"/>
  <c r="AD166" i="4"/>
  <c r="S165" i="4" s="1"/>
  <c r="U165" i="4" s="1"/>
  <c r="Z76" i="4"/>
  <c r="AB76" i="4" s="1"/>
  <c r="Z60" i="4"/>
  <c r="AB60" i="4" s="1"/>
  <c r="Z56" i="4"/>
  <c r="AB56" i="4" s="1"/>
  <c r="AB122" i="4" s="1"/>
  <c r="Z64" i="4"/>
  <c r="AB64" i="4" s="1"/>
  <c r="U84" i="3"/>
  <c r="U86" i="3" s="1"/>
  <c r="AB171" i="3"/>
  <c r="AB155" i="3"/>
  <c r="AB138" i="3"/>
  <c r="AB105" i="3"/>
  <c r="U150" i="3"/>
  <c r="U152" i="3" s="1"/>
  <c r="U100" i="3"/>
  <c r="U102" i="3" s="1"/>
  <c r="AB165" i="3"/>
  <c r="N164" i="3" s="1"/>
  <c r="N166" i="3" s="1"/>
  <c r="N168" i="3" s="1"/>
  <c r="AB132" i="3"/>
  <c r="T115" i="3" s="1"/>
  <c r="T117" i="3" s="1"/>
  <c r="T119" i="3" s="1"/>
  <c r="AB116" i="3"/>
  <c r="N115" i="3" s="1"/>
  <c r="N117" i="3" s="1"/>
  <c r="N119" i="3" s="1"/>
  <c r="AB149" i="3"/>
  <c r="N148" i="3" s="1"/>
  <c r="N150" i="3" s="1"/>
  <c r="N152" i="3" s="1"/>
  <c r="AB99" i="3"/>
  <c r="N98" i="3" s="1"/>
  <c r="N100" i="3" s="1"/>
  <c r="N102" i="3" s="1"/>
  <c r="AB83" i="3"/>
  <c r="N82" i="3" s="1"/>
  <c r="N84" i="3" s="1"/>
  <c r="N86" i="3" s="1"/>
  <c r="AB122" i="3"/>
  <c r="AB89" i="3"/>
  <c r="U166" i="3"/>
  <c r="U168" i="3" s="1"/>
  <c r="AB89" i="4"/>
  <c r="AB83" i="4"/>
  <c r="N82" i="4" s="1"/>
  <c r="N84" i="4" s="1"/>
  <c r="N86" i="4" s="1"/>
  <c r="AB165" i="4"/>
  <c r="N164" i="4" s="1"/>
  <c r="N166" i="4" s="1"/>
  <c r="N168" i="4" s="1"/>
  <c r="AB132" i="4"/>
  <c r="T115" i="4" s="1"/>
  <c r="T117" i="4" s="1"/>
  <c r="T119" i="4" s="1"/>
  <c r="AB116" i="4"/>
  <c r="N115" i="4" s="1"/>
  <c r="N117" i="4" s="1"/>
  <c r="N119" i="4" s="1"/>
  <c r="AB149" i="4"/>
  <c r="N148" i="4" s="1"/>
  <c r="N150" i="4" s="1"/>
  <c r="N152" i="4" s="1"/>
  <c r="AB99" i="4"/>
  <c r="N98" i="4" s="1"/>
  <c r="N100" i="4" s="1"/>
  <c r="N102" i="4" s="1"/>
  <c r="AB171" i="4"/>
  <c r="AB155" i="4"/>
  <c r="C75" i="4"/>
  <c r="C76" i="4" s="1"/>
  <c r="F76" i="4" s="1"/>
  <c r="F74" i="4"/>
  <c r="AB138" i="4"/>
  <c r="AB105" i="4"/>
  <c r="U100" i="4" l="1"/>
  <c r="U102" i="4" s="1"/>
  <c r="U150" i="4"/>
  <c r="U152" i="4" s="1"/>
  <c r="U88" i="3"/>
  <c r="U90" i="3" s="1"/>
  <c r="N88" i="3"/>
  <c r="AD138" i="3"/>
  <c r="U137" i="3"/>
  <c r="U139" i="3" s="1"/>
  <c r="T121" i="3"/>
  <c r="N104" i="3"/>
  <c r="N106" i="3" s="1"/>
  <c r="U104" i="3"/>
  <c r="U106" i="3" s="1"/>
  <c r="AD122" i="3"/>
  <c r="N121" i="3"/>
  <c r="N123" i="3" s="1"/>
  <c r="AD155" i="3"/>
  <c r="U154" i="3" s="1"/>
  <c r="U156" i="3" s="1"/>
  <c r="N154" i="3"/>
  <c r="N156" i="3" s="1"/>
  <c r="N90" i="3"/>
  <c r="T123" i="3"/>
  <c r="AD171" i="3"/>
  <c r="U170" i="3" s="1"/>
  <c r="U172" i="3" s="1"/>
  <c r="N170" i="3"/>
  <c r="N172" i="3" s="1"/>
  <c r="AD171" i="4"/>
  <c r="U170" i="4" s="1"/>
  <c r="U172" i="4" s="1"/>
  <c r="N170" i="4"/>
  <c r="AD138" i="4"/>
  <c r="T121" i="4"/>
  <c r="T123" i="4" s="1"/>
  <c r="U137" i="4"/>
  <c r="U139" i="4" s="1"/>
  <c r="N88" i="4"/>
  <c r="N90" i="4" s="1"/>
  <c r="U88" i="4"/>
  <c r="U90" i="4" s="1"/>
  <c r="U104" i="4"/>
  <c r="U106" i="4" s="1"/>
  <c r="N104" i="4"/>
  <c r="N106" i="4" s="1"/>
  <c r="N172" i="4"/>
  <c r="AD155" i="4"/>
  <c r="U154" i="4" s="1"/>
  <c r="U156" i="4" s="1"/>
  <c r="N154" i="4"/>
  <c r="N156" i="4" s="1"/>
  <c r="AD122" i="4"/>
  <c r="N121" i="4"/>
  <c r="N123" i="4" s="1"/>
  <c r="K457" i="2" l="1"/>
  <c r="K455" i="2"/>
  <c r="L459" i="2"/>
  <c r="L453" i="2"/>
  <c r="L455" i="2" s="1"/>
  <c r="P451" i="2"/>
  <c r="K451" i="2"/>
  <c r="L450" i="2"/>
  <c r="L449" i="2"/>
  <c r="K424" i="2"/>
  <c r="K419" i="2"/>
  <c r="L408" i="2"/>
  <c r="M408" i="2" s="1"/>
  <c r="L407" i="2"/>
  <c r="M407" i="2" s="1"/>
  <c r="L406" i="2"/>
  <c r="M406" i="2" s="1"/>
  <c r="H403" i="2"/>
  <c r="L400" i="2"/>
  <c r="K400" i="2"/>
  <c r="J400" i="2"/>
  <c r="K398" i="2"/>
  <c r="K397" i="2"/>
  <c r="L391" i="2"/>
  <c r="L390" i="2"/>
  <c r="AA360" i="2"/>
  <c r="J353" i="2"/>
  <c r="J350" i="2"/>
  <c r="K345" i="2"/>
  <c r="K350" i="2" s="1"/>
  <c r="L345" i="2" s="1"/>
  <c r="L350" i="2" s="1"/>
  <c r="S344" i="2"/>
  <c r="T344" i="2" s="1"/>
  <c r="U344" i="2" s="1"/>
  <c r="V344" i="2" s="1"/>
  <c r="W344" i="2" s="1"/>
  <c r="X344" i="2" s="1"/>
  <c r="Y344" i="2" s="1"/>
  <c r="Z344" i="2" s="1"/>
  <c r="K343" i="2"/>
  <c r="M342" i="2"/>
  <c r="J335" i="2"/>
  <c r="I335" i="2"/>
  <c r="L333" i="2"/>
  <c r="M334" i="2" s="1"/>
  <c r="K332" i="2"/>
  <c r="J332" i="2"/>
  <c r="J336" i="2" s="1"/>
  <c r="I332" i="2"/>
  <c r="I338" i="2" s="1"/>
  <c r="H332" i="2"/>
  <c r="H336" i="2" s="1"/>
  <c r="M323" i="2"/>
  <c r="M304" i="2" s="1"/>
  <c r="K314" i="2"/>
  <c r="L311" i="2" s="1"/>
  <c r="N308" i="2"/>
  <c r="O308" i="2" s="1"/>
  <c r="P308" i="2" s="1"/>
  <c r="Q308" i="2" s="1"/>
  <c r="R308" i="2" s="1"/>
  <c r="N305" i="2"/>
  <c r="N306" i="2" s="1"/>
  <c r="M305" i="2"/>
  <c r="L304" i="2"/>
  <c r="L309" i="2" s="1"/>
  <c r="R303" i="2"/>
  <c r="S303" i="2" s="1"/>
  <c r="T303" i="2" s="1"/>
  <c r="U303" i="2" s="1"/>
  <c r="T301" i="2"/>
  <c r="S301" i="2"/>
  <c r="R301" i="2"/>
  <c r="Q301" i="2"/>
  <c r="P301" i="2"/>
  <c r="O301" i="2"/>
  <c r="N301" i="2"/>
  <c r="L300" i="2"/>
  <c r="K296" i="2"/>
  <c r="L305" i="2" s="1"/>
  <c r="L306" i="2" s="1"/>
  <c r="L307" i="2" s="1"/>
  <c r="K292" i="2"/>
  <c r="L292" i="2" s="1"/>
  <c r="M292" i="2" s="1"/>
  <c r="N292" i="2" s="1"/>
  <c r="J292" i="2"/>
  <c r="I292" i="2"/>
  <c r="H292" i="2"/>
  <c r="K291" i="2"/>
  <c r="L291" i="2" s="1"/>
  <c r="M291" i="2" s="1"/>
  <c r="J291" i="2"/>
  <c r="I291" i="2"/>
  <c r="I293" i="2" s="1"/>
  <c r="H291" i="2"/>
  <c r="J288" i="2"/>
  <c r="I288" i="2"/>
  <c r="H288" i="2"/>
  <c r="J287" i="2"/>
  <c r="J397" i="2" s="1"/>
  <c r="I287" i="2"/>
  <c r="I289" i="2" s="1"/>
  <c r="H287" i="2"/>
  <c r="H285" i="2"/>
  <c r="G264" i="2"/>
  <c r="G263" i="2"/>
  <c r="D263" i="2"/>
  <c r="G262" i="2"/>
  <c r="D262" i="2"/>
  <c r="G261" i="2"/>
  <c r="D261" i="2"/>
  <c r="G260" i="2"/>
  <c r="G259" i="2"/>
  <c r="D259" i="2"/>
  <c r="G258" i="2"/>
  <c r="D258" i="2"/>
  <c r="G257" i="2"/>
  <c r="D257" i="2"/>
  <c r="G256" i="2"/>
  <c r="D256" i="2"/>
  <c r="G252" i="2"/>
  <c r="T251" i="2"/>
  <c r="T252" i="2" s="1"/>
  <c r="H251" i="2"/>
  <c r="G251" i="2"/>
  <c r="D251" i="2"/>
  <c r="H250" i="2"/>
  <c r="G250" i="2"/>
  <c r="D250" i="2"/>
  <c r="G249" i="2"/>
  <c r="G248" i="2"/>
  <c r="G247" i="2"/>
  <c r="G246" i="2"/>
  <c r="D233" i="2"/>
  <c r="D225" i="2"/>
  <c r="D224" i="2"/>
  <c r="D220" i="2"/>
  <c r="D216" i="2"/>
  <c r="D213" i="2"/>
  <c r="D209" i="2"/>
  <c r="D204" i="2"/>
  <c r="Q120" i="2"/>
  <c r="K169" i="2" s="1"/>
  <c r="K120" i="2"/>
  <c r="K153" i="2" s="1"/>
  <c r="Q119" i="2"/>
  <c r="K168" i="2" s="1"/>
  <c r="K119" i="2"/>
  <c r="K152" i="2" s="1"/>
  <c r="AE84" i="2"/>
  <c r="AE166" i="2" s="1"/>
  <c r="T165" i="2" s="1"/>
  <c r="AE83" i="2"/>
  <c r="AE165" i="2" s="1"/>
  <c r="T164" i="2" s="1"/>
  <c r="D77" i="2"/>
  <c r="D76" i="2"/>
  <c r="F75" i="2"/>
  <c r="D75" i="2"/>
  <c r="D74" i="2"/>
  <c r="F73" i="2"/>
  <c r="D73" i="2"/>
  <c r="D72" i="2"/>
  <c r="F71" i="2"/>
  <c r="D71" i="2"/>
  <c r="AC70" i="2"/>
  <c r="AB145" i="2" s="1"/>
  <c r="D70" i="2"/>
  <c r="F69" i="2"/>
  <c r="D69" i="2"/>
  <c r="D68" i="2"/>
  <c r="F67" i="2"/>
  <c r="D67" i="2"/>
  <c r="D66" i="2"/>
  <c r="F65" i="2"/>
  <c r="D65" i="2"/>
  <c r="D64" i="2"/>
  <c r="F63" i="2"/>
  <c r="D63" i="2"/>
  <c r="D62" i="2"/>
  <c r="F61" i="2"/>
  <c r="D61" i="2"/>
  <c r="D60" i="2"/>
  <c r="F59" i="2"/>
  <c r="D59" i="2"/>
  <c r="AC58" i="2"/>
  <c r="AB95" i="2" s="1"/>
  <c r="K94" i="2" s="1"/>
  <c r="D58" i="2"/>
  <c r="F57" i="2"/>
  <c r="D57" i="2"/>
  <c r="D56" i="2"/>
  <c r="F55" i="2"/>
  <c r="D55" i="2"/>
  <c r="AC54" i="2"/>
  <c r="AB79" i="2" s="1"/>
  <c r="K78" i="2" s="1"/>
  <c r="D54" i="2"/>
  <c r="N53" i="2"/>
  <c r="D53" i="2"/>
  <c r="F51" i="2"/>
  <c r="L49" i="2"/>
  <c r="K49" i="2"/>
  <c r="J49" i="2"/>
  <c r="I49" i="2"/>
  <c r="H49" i="2"/>
  <c r="F46" i="2"/>
  <c r="F43" i="2"/>
  <c r="F39" i="2"/>
  <c r="F37" i="2"/>
  <c r="K35" i="2"/>
  <c r="J35" i="2"/>
  <c r="J48" i="2" s="1"/>
  <c r="J296" i="2" s="1"/>
  <c r="I35" i="2"/>
  <c r="I48" i="2" s="1"/>
  <c r="I296" i="2" s="1"/>
  <c r="H35" i="2"/>
  <c r="H48" i="2" s="1"/>
  <c r="H296" i="2" s="1"/>
  <c r="B35" i="2"/>
  <c r="G35" i="2" s="1"/>
  <c r="K34" i="2"/>
  <c r="J34" i="2"/>
  <c r="I34" i="2"/>
  <c r="H34" i="2"/>
  <c r="D33" i="2"/>
  <c r="D32" i="2"/>
  <c r="D31" i="2"/>
  <c r="AC30" i="2"/>
  <c r="AC31" i="2" s="1"/>
  <c r="D30" i="2"/>
  <c r="D29" i="2"/>
  <c r="M28" i="2"/>
  <c r="L28" i="2"/>
  <c r="L34" i="2" s="1"/>
  <c r="G27" i="2"/>
  <c r="F26" i="2"/>
  <c r="AA24" i="2"/>
  <c r="K24" i="2"/>
  <c r="J24" i="2"/>
  <c r="J347" i="2" s="1"/>
  <c r="I24" i="2"/>
  <c r="I40" i="2" s="1"/>
  <c r="I50" i="2" s="1"/>
  <c r="H24" i="2"/>
  <c r="H40" i="2" s="1"/>
  <c r="H50" i="2" s="1"/>
  <c r="D23" i="2"/>
  <c r="L22" i="2"/>
  <c r="M22" i="2" s="1"/>
  <c r="N22" i="2" s="1"/>
  <c r="O22" i="2" s="1"/>
  <c r="P22" i="2" s="1"/>
  <c r="Q22" i="2" s="1"/>
  <c r="R22" i="2" s="1"/>
  <c r="S22" i="2" s="1"/>
  <c r="T22" i="2" s="1"/>
  <c r="U22" i="2" s="1"/>
  <c r="V22" i="2" s="1"/>
  <c r="W22" i="2" s="1"/>
  <c r="X22" i="2" s="1"/>
  <c r="Y22" i="2" s="1"/>
  <c r="Z22" i="2" s="1"/>
  <c r="M21" i="2"/>
  <c r="L21" i="2"/>
  <c r="L332" i="2" s="1"/>
  <c r="G20" i="2"/>
  <c r="I19" i="2"/>
  <c r="F19" i="2"/>
  <c r="N18" i="2"/>
  <c r="M18" i="2"/>
  <c r="F18" i="2"/>
  <c r="C18" i="2"/>
  <c r="M14" i="2"/>
  <c r="U14" i="2" s="1"/>
  <c r="U13" i="2"/>
  <c r="D13" i="2"/>
  <c r="M12" i="2"/>
  <c r="U12" i="2" s="1"/>
  <c r="U11" i="2"/>
  <c r="U10" i="2"/>
  <c r="H9" i="2"/>
  <c r="L6" i="2"/>
  <c r="L5" i="2"/>
  <c r="L4" i="2"/>
  <c r="K457" i="1"/>
  <c r="K455" i="1"/>
  <c r="L459" i="1"/>
  <c r="L453" i="1"/>
  <c r="L455" i="1" s="1"/>
  <c r="P451" i="1"/>
  <c r="K451" i="1"/>
  <c r="L449" i="1"/>
  <c r="K424" i="1"/>
  <c r="K419" i="1"/>
  <c r="L408" i="1"/>
  <c r="M408" i="1" s="1"/>
  <c r="L407" i="1"/>
  <c r="M407" i="1" s="1"/>
  <c r="L406" i="1"/>
  <c r="M406" i="1" s="1"/>
  <c r="H403" i="1"/>
  <c r="L400" i="1"/>
  <c r="K400" i="1"/>
  <c r="J400" i="1"/>
  <c r="K398" i="1"/>
  <c r="K397" i="1"/>
  <c r="L391" i="1"/>
  <c r="L390" i="1"/>
  <c r="AA360" i="1"/>
  <c r="J353" i="1"/>
  <c r="J350" i="1"/>
  <c r="K345" i="1"/>
  <c r="S344" i="1"/>
  <c r="T344" i="1" s="1"/>
  <c r="U344" i="1" s="1"/>
  <c r="V344" i="1" s="1"/>
  <c r="W344" i="1" s="1"/>
  <c r="X344" i="1" s="1"/>
  <c r="Y344" i="1" s="1"/>
  <c r="Z344" i="1" s="1"/>
  <c r="K343" i="1"/>
  <c r="M342" i="1"/>
  <c r="J335" i="1"/>
  <c r="I335" i="1"/>
  <c r="L333" i="1"/>
  <c r="M334" i="1" s="1"/>
  <c r="M330" i="1" s="1"/>
  <c r="K332" i="1"/>
  <c r="J332" i="1"/>
  <c r="I332" i="1"/>
  <c r="H332" i="1"/>
  <c r="H336" i="1" s="1"/>
  <c r="M323" i="1"/>
  <c r="M304" i="1" s="1"/>
  <c r="K314" i="1"/>
  <c r="L311" i="1" s="1"/>
  <c r="N308" i="1"/>
  <c r="O308" i="1" s="1"/>
  <c r="N305" i="1"/>
  <c r="M305" i="1"/>
  <c r="L304" i="1"/>
  <c r="L309" i="1" s="1"/>
  <c r="R303" i="1"/>
  <c r="S303" i="1" s="1"/>
  <c r="T303" i="1" s="1"/>
  <c r="U303" i="1" s="1"/>
  <c r="V303" i="1" s="1"/>
  <c r="T301" i="1"/>
  <c r="S301" i="1"/>
  <c r="R301" i="1"/>
  <c r="Q301" i="1"/>
  <c r="P301" i="1"/>
  <c r="O301" i="1"/>
  <c r="N301" i="1"/>
  <c r="L300" i="1"/>
  <c r="K296" i="1"/>
  <c r="L305" i="1" s="1"/>
  <c r="L306" i="1" s="1"/>
  <c r="K292" i="1"/>
  <c r="L292" i="1" s="1"/>
  <c r="M292" i="1" s="1"/>
  <c r="N292" i="1" s="1"/>
  <c r="J292" i="1"/>
  <c r="I292" i="1"/>
  <c r="H292" i="1"/>
  <c r="K291" i="1"/>
  <c r="J291" i="1"/>
  <c r="J293" i="1" s="1"/>
  <c r="I291" i="1"/>
  <c r="I293" i="1" s="1"/>
  <c r="H291" i="1"/>
  <c r="J288" i="1"/>
  <c r="I288" i="1"/>
  <c r="H288" i="1"/>
  <c r="L385" i="1"/>
  <c r="J287" i="1"/>
  <c r="J397" i="1" s="1"/>
  <c r="I287" i="1"/>
  <c r="I289" i="1" s="1"/>
  <c r="H287" i="1"/>
  <c r="H289" i="1" s="1"/>
  <c r="H285" i="1"/>
  <c r="G264" i="1"/>
  <c r="G263" i="1"/>
  <c r="D263" i="1"/>
  <c r="G262" i="1"/>
  <c r="D262" i="1"/>
  <c r="G261" i="1"/>
  <c r="D261" i="1"/>
  <c r="G260" i="1"/>
  <c r="G259" i="1"/>
  <c r="D259" i="1"/>
  <c r="G258" i="1"/>
  <c r="D258" i="1"/>
  <c r="G257" i="1"/>
  <c r="D257" i="1"/>
  <c r="G256" i="1"/>
  <c r="D256" i="1"/>
  <c r="G252" i="1"/>
  <c r="T251" i="1"/>
  <c r="T252" i="1" s="1"/>
  <c r="H251" i="1"/>
  <c r="G251" i="1"/>
  <c r="D251" i="1"/>
  <c r="H250" i="1"/>
  <c r="G250" i="1"/>
  <c r="D250" i="1"/>
  <c r="G249" i="1"/>
  <c r="G248" i="1"/>
  <c r="G247" i="1"/>
  <c r="G246" i="1"/>
  <c r="D233" i="1"/>
  <c r="D225" i="1"/>
  <c r="D224" i="1"/>
  <c r="D220" i="1"/>
  <c r="D216" i="1"/>
  <c r="D213" i="1"/>
  <c r="D209" i="1"/>
  <c r="D204" i="1"/>
  <c r="Q120" i="1"/>
  <c r="K169" i="1" s="1"/>
  <c r="K120" i="1"/>
  <c r="K153" i="1" s="1"/>
  <c r="Q119" i="1"/>
  <c r="K168" i="1" s="1"/>
  <c r="K119" i="1"/>
  <c r="K152" i="1" s="1"/>
  <c r="AE84" i="1"/>
  <c r="AE83" i="1"/>
  <c r="AE149" i="1" s="1"/>
  <c r="T148" i="1" s="1"/>
  <c r="D77" i="1"/>
  <c r="D76" i="1"/>
  <c r="F75" i="1"/>
  <c r="D75" i="1"/>
  <c r="D74" i="1"/>
  <c r="F73" i="1"/>
  <c r="D73" i="1"/>
  <c r="D72" i="1"/>
  <c r="F71" i="1"/>
  <c r="D71" i="1"/>
  <c r="AC70" i="1"/>
  <c r="AB145" i="1" s="1"/>
  <c r="N149" i="1" s="1"/>
  <c r="D70" i="1"/>
  <c r="F69" i="1"/>
  <c r="D69" i="1"/>
  <c r="D68" i="1"/>
  <c r="F67" i="1"/>
  <c r="D67" i="1"/>
  <c r="D66" i="1"/>
  <c r="F65" i="1"/>
  <c r="D65" i="1"/>
  <c r="D64" i="1"/>
  <c r="F63" i="1"/>
  <c r="D63" i="1"/>
  <c r="D62" i="1"/>
  <c r="F61" i="1"/>
  <c r="D61" i="1"/>
  <c r="D60" i="1"/>
  <c r="F59" i="1"/>
  <c r="D59" i="1"/>
  <c r="AC58" i="1"/>
  <c r="AB95" i="1" s="1"/>
  <c r="D58" i="1"/>
  <c r="F57" i="1"/>
  <c r="D57" i="1"/>
  <c r="D56" i="1"/>
  <c r="F55" i="1"/>
  <c r="D55" i="1"/>
  <c r="AC54" i="1"/>
  <c r="D54" i="1"/>
  <c r="N53" i="1"/>
  <c r="N57" i="1" s="1"/>
  <c r="N61" i="1" s="1"/>
  <c r="N65" i="1" s="1"/>
  <c r="N69" i="1" s="1"/>
  <c r="N73" i="1" s="1"/>
  <c r="D53" i="1"/>
  <c r="F51" i="1"/>
  <c r="K49" i="1"/>
  <c r="J49" i="1"/>
  <c r="I49" i="1"/>
  <c r="H49" i="1"/>
  <c r="F46" i="1"/>
  <c r="Z45" i="1"/>
  <c r="Y45" i="1"/>
  <c r="X45" i="1"/>
  <c r="W45" i="1"/>
  <c r="V45" i="1"/>
  <c r="U45" i="1"/>
  <c r="T45" i="1"/>
  <c r="S45" i="1"/>
  <c r="R45" i="1"/>
  <c r="Q45" i="1"/>
  <c r="P45" i="1"/>
  <c r="O45" i="1"/>
  <c r="N45" i="1"/>
  <c r="F43" i="1"/>
  <c r="F39" i="1"/>
  <c r="F37" i="1"/>
  <c r="K35" i="1"/>
  <c r="K48" i="1" s="1"/>
  <c r="J35" i="1"/>
  <c r="I35" i="1"/>
  <c r="I48" i="1" s="1"/>
  <c r="I296" i="1" s="1"/>
  <c r="H35" i="1"/>
  <c r="H48" i="1" s="1"/>
  <c r="H296" i="1" s="1"/>
  <c r="B35" i="1"/>
  <c r="B40" i="1" s="1"/>
  <c r="G40" i="1" s="1"/>
  <c r="K34" i="1"/>
  <c r="J34" i="1"/>
  <c r="I34" i="1"/>
  <c r="H34" i="1"/>
  <c r="Z33" i="1"/>
  <c r="Y33" i="1"/>
  <c r="X33" i="1"/>
  <c r="W33" i="1"/>
  <c r="V33" i="1"/>
  <c r="U33" i="1"/>
  <c r="T33" i="1"/>
  <c r="S33" i="1"/>
  <c r="R33" i="1"/>
  <c r="Q33" i="1"/>
  <c r="P33" i="1"/>
  <c r="O33" i="1"/>
  <c r="N33" i="1"/>
  <c r="D33" i="1"/>
  <c r="D32" i="1"/>
  <c r="D31" i="1"/>
  <c r="AC30" i="1"/>
  <c r="AC31" i="1" s="1"/>
  <c r="D30" i="1"/>
  <c r="D29" i="1"/>
  <c r="L28" i="1"/>
  <c r="G27" i="1"/>
  <c r="F26" i="1"/>
  <c r="AA24" i="1"/>
  <c r="K24" i="1"/>
  <c r="K347" i="1" s="1"/>
  <c r="J24" i="1"/>
  <c r="I24" i="1"/>
  <c r="I40" i="1" s="1"/>
  <c r="I50" i="1" s="1"/>
  <c r="H24" i="1"/>
  <c r="H40" i="1" s="1"/>
  <c r="H50" i="1" s="1"/>
  <c r="D23" i="1"/>
  <c r="L22" i="1"/>
  <c r="M22" i="1" s="1"/>
  <c r="N22" i="1" s="1"/>
  <c r="O22" i="1" s="1"/>
  <c r="P22" i="1" s="1"/>
  <c r="Q22" i="1" s="1"/>
  <c r="R22" i="1" s="1"/>
  <c r="S22" i="1" s="1"/>
  <c r="T22" i="1" s="1"/>
  <c r="U22" i="1" s="1"/>
  <c r="V22" i="1" s="1"/>
  <c r="W22" i="1" s="1"/>
  <c r="X22" i="1" s="1"/>
  <c r="Y22" i="1" s="1"/>
  <c r="Z22" i="1" s="1"/>
  <c r="M21" i="1"/>
  <c r="M332" i="1" s="1"/>
  <c r="L21" i="1"/>
  <c r="G20" i="1"/>
  <c r="I19" i="1"/>
  <c r="I403" i="1" s="1"/>
  <c r="F19" i="1"/>
  <c r="N18" i="1"/>
  <c r="M18" i="1"/>
  <c r="F18" i="1"/>
  <c r="C18" i="1"/>
  <c r="M14" i="1"/>
  <c r="U14" i="1" s="1"/>
  <c r="U13" i="1"/>
  <c r="D13" i="1"/>
  <c r="M12" i="1"/>
  <c r="U12" i="1" s="1"/>
  <c r="U11" i="1"/>
  <c r="U10" i="1"/>
  <c r="H9" i="1"/>
  <c r="L6" i="1"/>
  <c r="L5" i="1"/>
  <c r="L4" i="1"/>
  <c r="M309" i="2" l="1"/>
  <c r="M49" i="2"/>
  <c r="M300" i="2"/>
  <c r="AE99" i="2"/>
  <c r="T98" i="2" s="1"/>
  <c r="K333" i="1"/>
  <c r="AE149" i="2"/>
  <c r="T148" i="2" s="1"/>
  <c r="H293" i="2"/>
  <c r="I36" i="2"/>
  <c r="I38" i="2" s="1"/>
  <c r="N30" i="2"/>
  <c r="O30" i="2" s="1"/>
  <c r="P30" i="2" s="1"/>
  <c r="Q30" i="2" s="1"/>
  <c r="R30" i="2" s="1"/>
  <c r="S30" i="2" s="1"/>
  <c r="T30" i="2" s="1"/>
  <c r="U30" i="2" s="1"/>
  <c r="V30" i="2" s="1"/>
  <c r="W30" i="2" s="1"/>
  <c r="X30" i="2" s="1"/>
  <c r="Y30" i="2" s="1"/>
  <c r="Z30" i="2" s="1"/>
  <c r="J36" i="2"/>
  <c r="K293" i="2"/>
  <c r="T83" i="2"/>
  <c r="AE117" i="2"/>
  <c r="O305" i="2"/>
  <c r="P305" i="2" s="1"/>
  <c r="Q305" i="2" s="1"/>
  <c r="J40" i="2"/>
  <c r="J50" i="2" s="1"/>
  <c r="AE133" i="2"/>
  <c r="T132" i="2" s="1"/>
  <c r="H289" i="2"/>
  <c r="J293" i="2"/>
  <c r="J338" i="2"/>
  <c r="AE100" i="2"/>
  <c r="T99" i="2" s="1"/>
  <c r="L293" i="2"/>
  <c r="L384" i="2" s="1"/>
  <c r="H36" i="1"/>
  <c r="O53" i="1"/>
  <c r="O18" i="1" s="1"/>
  <c r="AC62" i="1"/>
  <c r="AD145" i="1"/>
  <c r="Q144" i="1" s="1"/>
  <c r="T82" i="1"/>
  <c r="N31" i="1"/>
  <c r="O31" i="1" s="1"/>
  <c r="P31" i="1" s="1"/>
  <c r="Q31" i="1" s="1"/>
  <c r="R31" i="1" s="1"/>
  <c r="S31" i="1" s="1"/>
  <c r="T31" i="1" s="1"/>
  <c r="U31" i="1" s="1"/>
  <c r="V31" i="1" s="1"/>
  <c r="W31" i="1" s="1"/>
  <c r="X31" i="1" s="1"/>
  <c r="Y31" i="1" s="1"/>
  <c r="Z31" i="1" s="1"/>
  <c r="AC32" i="1"/>
  <c r="N32" i="1" s="1"/>
  <c r="O32" i="1" s="1"/>
  <c r="P32" i="1" s="1"/>
  <c r="Q32" i="1" s="1"/>
  <c r="R32" i="1" s="1"/>
  <c r="S32" i="1" s="1"/>
  <c r="T32" i="1" s="1"/>
  <c r="U32" i="1" s="1"/>
  <c r="V32" i="1" s="1"/>
  <c r="W32" i="1" s="1"/>
  <c r="X32" i="1" s="1"/>
  <c r="Y32" i="1" s="1"/>
  <c r="Z32" i="1" s="1"/>
  <c r="M309" i="1"/>
  <c r="M310" i="1" s="1"/>
  <c r="M49" i="1"/>
  <c r="M24" i="1"/>
  <c r="N372" i="1" s="1"/>
  <c r="I36" i="1"/>
  <c r="L49" i="1"/>
  <c r="H293" i="1"/>
  <c r="M300" i="1"/>
  <c r="I338" i="1"/>
  <c r="I336" i="1"/>
  <c r="N30" i="1"/>
  <c r="O30" i="1" s="1"/>
  <c r="P30" i="1" s="1"/>
  <c r="Q30" i="1" s="1"/>
  <c r="R30" i="1" s="1"/>
  <c r="S30" i="1" s="1"/>
  <c r="T30" i="1" s="1"/>
  <c r="U30" i="1" s="1"/>
  <c r="V30" i="1" s="1"/>
  <c r="W30" i="1" s="1"/>
  <c r="X30" i="1" s="1"/>
  <c r="Y30" i="1" s="1"/>
  <c r="Z30" i="1" s="1"/>
  <c r="N58" i="1"/>
  <c r="AE116" i="1"/>
  <c r="L307" i="1"/>
  <c r="L451" i="2"/>
  <c r="O451" i="2"/>
  <c r="Q451" i="2" s="1"/>
  <c r="O451" i="1"/>
  <c r="Q451" i="1" s="1"/>
  <c r="AC32" i="2"/>
  <c r="N32" i="2" s="1"/>
  <c r="O32" i="2" s="1"/>
  <c r="P32" i="2" s="1"/>
  <c r="Q32" i="2" s="1"/>
  <c r="R32" i="2" s="1"/>
  <c r="S32" i="2" s="1"/>
  <c r="T32" i="2" s="1"/>
  <c r="U32" i="2" s="1"/>
  <c r="V32" i="2" s="1"/>
  <c r="W32" i="2" s="1"/>
  <c r="X32" i="2" s="1"/>
  <c r="Y32" i="2" s="1"/>
  <c r="Z32" i="2" s="1"/>
  <c r="N31" i="2"/>
  <c r="O31" i="2" s="1"/>
  <c r="P31" i="2" s="1"/>
  <c r="Q31" i="2" s="1"/>
  <c r="R31" i="2" s="1"/>
  <c r="S31" i="2" s="1"/>
  <c r="T31" i="2" s="1"/>
  <c r="U31" i="2" s="1"/>
  <c r="V31" i="2" s="1"/>
  <c r="W31" i="2" s="1"/>
  <c r="X31" i="2" s="1"/>
  <c r="Y31" i="2" s="1"/>
  <c r="Z31" i="2" s="1"/>
  <c r="M332" i="2"/>
  <c r="M24" i="2"/>
  <c r="K347" i="2"/>
  <c r="K40" i="2"/>
  <c r="K50" i="2" s="1"/>
  <c r="M34" i="2"/>
  <c r="N28" i="2"/>
  <c r="K48" i="2"/>
  <c r="K36" i="2"/>
  <c r="K38" i="2" s="1"/>
  <c r="AC74" i="2"/>
  <c r="AC66" i="2"/>
  <c r="I403" i="2"/>
  <c r="I285" i="2"/>
  <c r="J19" i="2"/>
  <c r="L24" i="2"/>
  <c r="N99" i="2"/>
  <c r="AD95" i="2"/>
  <c r="Q94" i="2" s="1"/>
  <c r="L310" i="2"/>
  <c r="L312" i="2" s="1"/>
  <c r="C19" i="2"/>
  <c r="H36" i="2"/>
  <c r="H38" i="2" s="1"/>
  <c r="B40" i="2"/>
  <c r="B41" i="2" s="1"/>
  <c r="G41" i="2" s="1"/>
  <c r="N57" i="2"/>
  <c r="N61" i="2" s="1"/>
  <c r="N65" i="2" s="1"/>
  <c r="N69" i="2" s="1"/>
  <c r="N54" i="2"/>
  <c r="O53" i="2"/>
  <c r="K144" i="2"/>
  <c r="N149" i="2"/>
  <c r="AD145" i="2"/>
  <c r="Q144" i="2" s="1"/>
  <c r="S308" i="2"/>
  <c r="L336" i="2"/>
  <c r="J352" i="2"/>
  <c r="J349" i="2"/>
  <c r="J38" i="2"/>
  <c r="AD79" i="2"/>
  <c r="Q78" i="2" s="1"/>
  <c r="N83" i="2"/>
  <c r="M306" i="2"/>
  <c r="M307" i="2" s="1"/>
  <c r="M311" i="2"/>
  <c r="Q306" i="2"/>
  <c r="R305" i="2"/>
  <c r="AC62" i="2"/>
  <c r="T82" i="2"/>
  <c r="AE116" i="2"/>
  <c r="AE132" i="2"/>
  <c r="T131" i="2" s="1"/>
  <c r="AE150" i="2"/>
  <c r="T149" i="2" s="1"/>
  <c r="L385" i="2"/>
  <c r="L397" i="2"/>
  <c r="M287" i="2"/>
  <c r="N311" i="2" s="1"/>
  <c r="M371" i="2"/>
  <c r="L386" i="2"/>
  <c r="L398" i="2"/>
  <c r="V303" i="2"/>
  <c r="M293" i="2"/>
  <c r="N291" i="2"/>
  <c r="N293" i="2" s="1"/>
  <c r="M310" i="2"/>
  <c r="I336" i="2"/>
  <c r="O306" i="2"/>
  <c r="J289" i="2"/>
  <c r="J398" i="2" s="1"/>
  <c r="P306" i="2"/>
  <c r="M344" i="2"/>
  <c r="M346" i="2" s="1"/>
  <c r="M333" i="2"/>
  <c r="M330" i="2"/>
  <c r="K333" i="2"/>
  <c r="K336" i="2" s="1"/>
  <c r="L353" i="2"/>
  <c r="L457" i="2"/>
  <c r="M40" i="1"/>
  <c r="M50" i="1" s="1"/>
  <c r="L332" i="1"/>
  <c r="L24" i="1"/>
  <c r="H38" i="1"/>
  <c r="C19" i="1"/>
  <c r="I38" i="1"/>
  <c r="J347" i="1"/>
  <c r="J40" i="1"/>
  <c r="J50" i="1" s="1"/>
  <c r="L34" i="1"/>
  <c r="M28" i="1"/>
  <c r="J48" i="1"/>
  <c r="J296" i="1" s="1"/>
  <c r="J36" i="1"/>
  <c r="J38" i="1" s="1"/>
  <c r="K349" i="1"/>
  <c r="K352" i="1"/>
  <c r="G35" i="1"/>
  <c r="AE150" i="1"/>
  <c r="T149" i="1" s="1"/>
  <c r="AE166" i="1"/>
  <c r="T165" i="1" s="1"/>
  <c r="AE117" i="1"/>
  <c r="AE100" i="1"/>
  <c r="T99" i="1" s="1"/>
  <c r="AE133" i="1"/>
  <c r="T132" i="1" s="1"/>
  <c r="T83" i="1"/>
  <c r="I285" i="1"/>
  <c r="AB112" i="1"/>
  <c r="N62" i="1"/>
  <c r="J19" i="1"/>
  <c r="K36" i="1"/>
  <c r="K38" i="1" s="1"/>
  <c r="K40" i="1"/>
  <c r="K50" i="1" s="1"/>
  <c r="B41" i="1"/>
  <c r="B42" i="1" s="1"/>
  <c r="O57" i="1"/>
  <c r="O54" i="1"/>
  <c r="P53" i="1"/>
  <c r="P54" i="1" s="1"/>
  <c r="K94" i="1"/>
  <c r="N99" i="1"/>
  <c r="AD95" i="1"/>
  <c r="Q94" i="1" s="1"/>
  <c r="N54" i="1"/>
  <c r="N70" i="1"/>
  <c r="AC74" i="1"/>
  <c r="AB79" i="1"/>
  <c r="AE165" i="1"/>
  <c r="T164" i="1" s="1"/>
  <c r="AE132" i="1"/>
  <c r="T131" i="1" s="1"/>
  <c r="K144" i="1"/>
  <c r="K293" i="1"/>
  <c r="L291" i="1"/>
  <c r="AC66" i="1"/>
  <c r="AE99" i="1"/>
  <c r="T98" i="1" s="1"/>
  <c r="K350" i="1"/>
  <c r="L345" i="1" s="1"/>
  <c r="K353" i="1"/>
  <c r="J289" i="1"/>
  <c r="J398" i="1" s="1"/>
  <c r="M371" i="1"/>
  <c r="L398" i="1"/>
  <c r="M311" i="1"/>
  <c r="L310" i="1"/>
  <c r="L335" i="1"/>
  <c r="K335" i="1"/>
  <c r="K338" i="1" s="1"/>
  <c r="L386" i="1"/>
  <c r="L397" i="1"/>
  <c r="W303" i="1"/>
  <c r="N306" i="1"/>
  <c r="O305" i="1"/>
  <c r="P308" i="1"/>
  <c r="J338" i="1"/>
  <c r="J336" i="1"/>
  <c r="M344" i="1"/>
  <c r="M346" i="1" s="1"/>
  <c r="M333" i="1"/>
  <c r="M335" i="1" s="1"/>
  <c r="M338" i="1" s="1"/>
  <c r="K336" i="1"/>
  <c r="M306" i="1"/>
  <c r="M307" i="1" s="1"/>
  <c r="L450" i="1"/>
  <c r="L451" i="1" s="1"/>
  <c r="L457" i="1"/>
  <c r="M312" i="2" l="1"/>
  <c r="K353" i="2"/>
  <c r="L312" i="1"/>
  <c r="L35" i="1" s="1"/>
  <c r="M287" i="1"/>
  <c r="M397" i="1" s="1"/>
  <c r="M347" i="1"/>
  <c r="H41" i="2"/>
  <c r="H42" i="2"/>
  <c r="H44" i="2" s="1"/>
  <c r="H47" i="2" s="1"/>
  <c r="H52" i="2" s="1"/>
  <c r="AB128" i="2"/>
  <c r="N66" i="2"/>
  <c r="K42" i="2"/>
  <c r="K44" i="2" s="1"/>
  <c r="K47" i="2" s="1"/>
  <c r="K52" i="2" s="1"/>
  <c r="K41" i="2"/>
  <c r="AB161" i="2"/>
  <c r="M400" i="2"/>
  <c r="M366" i="2"/>
  <c r="M345" i="2"/>
  <c r="N323" i="2"/>
  <c r="N300" i="2" s="1"/>
  <c r="N304" i="2" s="1"/>
  <c r="M35" i="2"/>
  <c r="J403" i="2"/>
  <c r="J285" i="2"/>
  <c r="K19" i="2"/>
  <c r="N372" i="2"/>
  <c r="M347" i="2"/>
  <c r="M40" i="2"/>
  <c r="M50" i="2" s="1"/>
  <c r="N334" i="2"/>
  <c r="M335" i="2"/>
  <c r="M338" i="2" s="1"/>
  <c r="AB112" i="2"/>
  <c r="N62" i="2"/>
  <c r="N58" i="2"/>
  <c r="J41" i="2"/>
  <c r="J42" i="2"/>
  <c r="J44" i="2" s="1"/>
  <c r="J47" i="2" s="1"/>
  <c r="J52" i="2" s="1"/>
  <c r="G40" i="2"/>
  <c r="B42" i="2"/>
  <c r="G42" i="2" s="1"/>
  <c r="M372" i="2"/>
  <c r="M373" i="2" s="1"/>
  <c r="L347" i="2"/>
  <c r="L40" i="2"/>
  <c r="K352" i="2"/>
  <c r="K349" i="2"/>
  <c r="W303" i="2"/>
  <c r="R306" i="2"/>
  <c r="S305" i="2"/>
  <c r="T308" i="2"/>
  <c r="N73" i="2"/>
  <c r="N74" i="2" s="1"/>
  <c r="N70" i="2"/>
  <c r="L314" i="2"/>
  <c r="L35" i="2"/>
  <c r="L335" i="2"/>
  <c r="L338" i="2" s="1"/>
  <c r="K335" i="2"/>
  <c r="K338" i="2" s="1"/>
  <c r="M397" i="2"/>
  <c r="M288" i="2"/>
  <c r="O54" i="2"/>
  <c r="P53" i="2"/>
  <c r="O57" i="2"/>
  <c r="O18" i="2"/>
  <c r="I41" i="2"/>
  <c r="I42" i="2"/>
  <c r="I44" i="2" s="1"/>
  <c r="I47" i="2" s="1"/>
  <c r="I52" i="2" s="1"/>
  <c r="O28" i="2"/>
  <c r="C20" i="2"/>
  <c r="C21" i="2" s="1"/>
  <c r="F21" i="2" s="1"/>
  <c r="G42" i="1"/>
  <c r="L314" i="1"/>
  <c r="K41" i="1"/>
  <c r="K42" i="1"/>
  <c r="K44" i="1" s="1"/>
  <c r="K47" i="1" s="1"/>
  <c r="K52" i="1" s="1"/>
  <c r="X303" i="1"/>
  <c r="P305" i="1"/>
  <c r="O306" i="1"/>
  <c r="AB128" i="1"/>
  <c r="N66" i="1"/>
  <c r="K78" i="1"/>
  <c r="AD79" i="1"/>
  <c r="Q78" i="1" s="1"/>
  <c r="N83" i="1"/>
  <c r="O61" i="1"/>
  <c r="O58" i="1"/>
  <c r="J403" i="1"/>
  <c r="J285" i="1"/>
  <c r="K19" i="1"/>
  <c r="M372" i="1"/>
  <c r="M373" i="1" s="1"/>
  <c r="L347" i="1"/>
  <c r="L40" i="1"/>
  <c r="M400" i="1"/>
  <c r="M366" i="1"/>
  <c r="M312" i="1"/>
  <c r="L353" i="1"/>
  <c r="L350" i="1"/>
  <c r="M345" i="1" s="1"/>
  <c r="N74" i="1"/>
  <c r="AB161" i="1"/>
  <c r="I41" i="1"/>
  <c r="I42" i="1"/>
  <c r="I44" i="1" s="1"/>
  <c r="I47" i="1" s="1"/>
  <c r="I52" i="1" s="1"/>
  <c r="L338" i="1"/>
  <c r="L336" i="1"/>
  <c r="J42" i="1"/>
  <c r="J44" i="1" s="1"/>
  <c r="J47" i="1" s="1"/>
  <c r="J52" i="1" s="1"/>
  <c r="J41" i="1"/>
  <c r="N334" i="1"/>
  <c r="Q308" i="1"/>
  <c r="L293" i="1"/>
  <c r="L384" i="1" s="1"/>
  <c r="M291" i="1"/>
  <c r="Q53" i="1"/>
  <c r="P57" i="1"/>
  <c r="P18" i="1"/>
  <c r="G41" i="1"/>
  <c r="B49" i="1"/>
  <c r="G49" i="1" s="1"/>
  <c r="N116" i="1"/>
  <c r="K111" i="1"/>
  <c r="AD112" i="1"/>
  <c r="N28" i="1"/>
  <c r="M34" i="1"/>
  <c r="J352" i="1"/>
  <c r="J349" i="1"/>
  <c r="C20" i="1"/>
  <c r="H41" i="1"/>
  <c r="H42" i="1"/>
  <c r="H44" i="1" s="1"/>
  <c r="H47" i="1" s="1"/>
  <c r="H52" i="1" s="1"/>
  <c r="M352" i="1"/>
  <c r="M349" i="1"/>
  <c r="N311" i="1" l="1"/>
  <c r="B49" i="2"/>
  <c r="G49" i="2" s="1"/>
  <c r="M48" i="2"/>
  <c r="M36" i="2"/>
  <c r="M38" i="2" s="1"/>
  <c r="N165" i="2"/>
  <c r="AD161" i="2"/>
  <c r="Q160" i="2" s="1"/>
  <c r="K160" i="2"/>
  <c r="Q111" i="2"/>
  <c r="T116" i="2"/>
  <c r="AD128" i="2"/>
  <c r="Q127" i="2" s="1"/>
  <c r="Q53" i="2"/>
  <c r="P57" i="2"/>
  <c r="P18" i="2"/>
  <c r="P54" i="2"/>
  <c r="U308" i="2"/>
  <c r="M352" i="2"/>
  <c r="M349" i="2"/>
  <c r="N49" i="2"/>
  <c r="N307" i="2"/>
  <c r="N309" i="2"/>
  <c r="O61" i="2"/>
  <c r="O58" i="2"/>
  <c r="L48" i="2"/>
  <c r="L36" i="2"/>
  <c r="L38" i="2" s="1"/>
  <c r="N330" i="2"/>
  <c r="N344" i="2"/>
  <c r="N346" i="2" s="1"/>
  <c r="M289" i="2"/>
  <c r="S306" i="2"/>
  <c r="T305" i="2"/>
  <c r="X303" i="2"/>
  <c r="L387" i="2"/>
  <c r="L50" i="2"/>
  <c r="M353" i="2"/>
  <c r="M350" i="2"/>
  <c r="P28" i="2"/>
  <c r="C22" i="2"/>
  <c r="L349" i="2"/>
  <c r="L352" i="2"/>
  <c r="K111" i="2"/>
  <c r="AD112" i="2"/>
  <c r="N116" i="2"/>
  <c r="N333" i="2"/>
  <c r="K403" i="2"/>
  <c r="K285" i="2"/>
  <c r="L19" i="2"/>
  <c r="M360" i="1"/>
  <c r="R308" i="1"/>
  <c r="N165" i="1"/>
  <c r="K160" i="1"/>
  <c r="AD161" i="1"/>
  <c r="Q160" i="1" s="1"/>
  <c r="M353" i="1"/>
  <c r="M350" i="1"/>
  <c r="L387" i="1"/>
  <c r="L50" i="1"/>
  <c r="C21" i="1"/>
  <c r="C22" i="1" s="1"/>
  <c r="F22" i="1" s="1"/>
  <c r="Q305" i="1"/>
  <c r="P306" i="1"/>
  <c r="N344" i="1"/>
  <c r="N346" i="1" s="1"/>
  <c r="N355" i="1" s="1"/>
  <c r="N330" i="1"/>
  <c r="B50" i="1"/>
  <c r="G50" i="1" s="1"/>
  <c r="N323" i="1"/>
  <c r="N300" i="1" s="1"/>
  <c r="N304" i="1" s="1"/>
  <c r="M35" i="1"/>
  <c r="M288" i="1"/>
  <c r="L349" i="1"/>
  <c r="L352" i="1"/>
  <c r="K403" i="1"/>
  <c r="K285" i="1"/>
  <c r="L19" i="1"/>
  <c r="AD128" i="1"/>
  <c r="Q127" i="1" s="1"/>
  <c r="Q111" i="1"/>
  <c r="T116" i="1"/>
  <c r="Y303" i="1"/>
  <c r="L48" i="1"/>
  <c r="L36" i="1"/>
  <c r="L38" i="1" s="1"/>
  <c r="N34" i="1"/>
  <c r="O28" i="1"/>
  <c r="R53" i="1"/>
  <c r="Q57" i="1"/>
  <c r="Q54" i="1"/>
  <c r="Q18" i="1"/>
  <c r="N291" i="1"/>
  <c r="N293" i="1" s="1"/>
  <c r="M293" i="1"/>
  <c r="P61" i="1"/>
  <c r="P58" i="1"/>
  <c r="N333" i="1"/>
  <c r="O65" i="1"/>
  <c r="O62" i="1"/>
  <c r="B50" i="2" l="1"/>
  <c r="G50" i="2" s="1"/>
  <c r="B54" i="2"/>
  <c r="O334" i="2"/>
  <c r="O333" i="2" s="1"/>
  <c r="N335" i="2"/>
  <c r="N332" i="2" s="1"/>
  <c r="L403" i="2"/>
  <c r="L285" i="2"/>
  <c r="L329" i="2" s="1"/>
  <c r="M19" i="2"/>
  <c r="M398" i="2"/>
  <c r="N371" i="2"/>
  <c r="N373" i="2" s="1"/>
  <c r="N33" i="2" s="1"/>
  <c r="N34" i="2" s="1"/>
  <c r="N310" i="2"/>
  <c r="N312" i="2" s="1"/>
  <c r="N287" i="2"/>
  <c r="V308" i="2"/>
  <c r="P61" i="2"/>
  <c r="P58" i="2"/>
  <c r="F22" i="2"/>
  <c r="C23" i="2"/>
  <c r="C24" i="2" s="1"/>
  <c r="F24" i="2" s="1"/>
  <c r="B247" i="2" s="1"/>
  <c r="H247" i="2" s="1"/>
  <c r="Y303" i="2"/>
  <c r="L41" i="2"/>
  <c r="L388" i="2" s="1"/>
  <c r="L42" i="2"/>
  <c r="N355" i="2"/>
  <c r="M360" i="2"/>
  <c r="L360" i="2"/>
  <c r="M365" i="2" s="1"/>
  <c r="M355" i="2"/>
  <c r="M363" i="2"/>
  <c r="Q28" i="2"/>
  <c r="T306" i="2"/>
  <c r="U305" i="2"/>
  <c r="N345" i="2"/>
  <c r="N363" i="2"/>
  <c r="N366" i="2"/>
  <c r="N23" i="2" s="1"/>
  <c r="N25" i="2" s="1"/>
  <c r="Q57" i="2"/>
  <c r="Q54" i="2"/>
  <c r="Q18" i="2"/>
  <c r="R53" i="2"/>
  <c r="O65" i="2"/>
  <c r="O62" i="2"/>
  <c r="M41" i="2"/>
  <c r="M42" i="2"/>
  <c r="M44" i="2" s="1"/>
  <c r="M47" i="2" s="1"/>
  <c r="M52" i="2" s="1"/>
  <c r="O334" i="1"/>
  <c r="O333" i="1" s="1"/>
  <c r="N335" i="1"/>
  <c r="N332" i="1" s="1"/>
  <c r="R57" i="1"/>
  <c r="R18" i="1"/>
  <c r="S53" i="1"/>
  <c r="R54" i="1"/>
  <c r="L41" i="1"/>
  <c r="L388" i="1" s="1"/>
  <c r="L42" i="1"/>
  <c r="L360" i="1"/>
  <c r="M365" i="1" s="1"/>
  <c r="M363" i="1"/>
  <c r="M355" i="1"/>
  <c r="O34" i="1"/>
  <c r="P28" i="1"/>
  <c r="M289" i="1"/>
  <c r="F21" i="1"/>
  <c r="B54" i="1"/>
  <c r="B58" i="1" s="1"/>
  <c r="B182" i="1" s="1"/>
  <c r="Z303" i="1"/>
  <c r="M48" i="1"/>
  <c r="M36" i="1"/>
  <c r="M38" i="1" s="1"/>
  <c r="N345" i="1"/>
  <c r="N363" i="1"/>
  <c r="N366" i="1"/>
  <c r="N23" i="1" s="1"/>
  <c r="N25" i="1" s="1"/>
  <c r="S308" i="1"/>
  <c r="P65" i="1"/>
  <c r="P62" i="1"/>
  <c r="O69" i="1"/>
  <c r="O66" i="1"/>
  <c r="Q58" i="1"/>
  <c r="Q61" i="1"/>
  <c r="L403" i="1"/>
  <c r="L285" i="1"/>
  <c r="L329" i="1" s="1"/>
  <c r="M19" i="1"/>
  <c r="N49" i="1"/>
  <c r="N309" i="1"/>
  <c r="N310" i="1" s="1"/>
  <c r="N307" i="1"/>
  <c r="Q306" i="1"/>
  <c r="R305" i="1"/>
  <c r="C23" i="1"/>
  <c r="N365" i="1"/>
  <c r="N21" i="1" s="1"/>
  <c r="AB360" i="1"/>
  <c r="N24" i="1" l="1"/>
  <c r="B58" i="2"/>
  <c r="B184" i="2"/>
  <c r="G54" i="2"/>
  <c r="B117" i="2"/>
  <c r="B182" i="2"/>
  <c r="B191" i="2" s="1"/>
  <c r="B62" i="2"/>
  <c r="G62" i="2" s="1"/>
  <c r="B84" i="2"/>
  <c r="K83" i="2" s="1"/>
  <c r="K116" i="2" s="1"/>
  <c r="K149" i="2" s="1"/>
  <c r="B70" i="2"/>
  <c r="G70" i="2" s="1"/>
  <c r="N287" i="1"/>
  <c r="N312" i="1"/>
  <c r="O69" i="2"/>
  <c r="O66" i="2"/>
  <c r="O323" i="2"/>
  <c r="O300" i="2" s="1"/>
  <c r="O304" i="2" s="1"/>
  <c r="N35" i="2"/>
  <c r="N288" i="2"/>
  <c r="N289" i="2" s="1"/>
  <c r="O371" i="2" s="1"/>
  <c r="O311" i="2"/>
  <c r="P334" i="2"/>
  <c r="P333" i="2"/>
  <c r="P335" i="2" s="1"/>
  <c r="P332" i="2" s="1"/>
  <c r="V305" i="2"/>
  <c r="U306" i="2"/>
  <c r="R28" i="2"/>
  <c r="C25" i="2"/>
  <c r="L389" i="2"/>
  <c r="L44" i="2"/>
  <c r="L47" i="2" s="1"/>
  <c r="L52" i="2" s="1"/>
  <c r="P65" i="2"/>
  <c r="P62" i="2"/>
  <c r="M403" i="2"/>
  <c r="M285" i="2"/>
  <c r="N19" i="2"/>
  <c r="O335" i="2"/>
  <c r="O332" i="2" s="1"/>
  <c r="Q61" i="2"/>
  <c r="Q58" i="2"/>
  <c r="W308" i="2"/>
  <c r="O330" i="2"/>
  <c r="O344" i="2"/>
  <c r="O346" i="2" s="1"/>
  <c r="N350" i="2"/>
  <c r="N353" i="2"/>
  <c r="R57" i="2"/>
  <c r="R54" i="2"/>
  <c r="S53" i="2"/>
  <c r="R18" i="2"/>
  <c r="N365" i="2"/>
  <c r="N21" i="2" s="1"/>
  <c r="N24" i="2" s="1"/>
  <c r="AB360" i="2"/>
  <c r="Z303" i="2"/>
  <c r="F23" i="2"/>
  <c r="B191" i="1"/>
  <c r="P334" i="1"/>
  <c r="O335" i="1"/>
  <c r="O332" i="1" s="1"/>
  <c r="F23" i="1"/>
  <c r="C24" i="1"/>
  <c r="F24" i="1" s="1"/>
  <c r="B247" i="1" s="1"/>
  <c r="H247" i="1" s="1"/>
  <c r="O73" i="1"/>
  <c r="O74" i="1" s="1"/>
  <c r="O70" i="1"/>
  <c r="P34" i="1"/>
  <c r="Q28" i="1"/>
  <c r="O311" i="1"/>
  <c r="M41" i="1"/>
  <c r="M42" i="1"/>
  <c r="M44" i="1" s="1"/>
  <c r="M47" i="1" s="1"/>
  <c r="M52" i="1" s="1"/>
  <c r="S57" i="1"/>
  <c r="S54" i="1"/>
  <c r="T53" i="1"/>
  <c r="S18" i="1"/>
  <c r="N350" i="1"/>
  <c r="N353" i="1"/>
  <c r="O323" i="1"/>
  <c r="O300" i="1" s="1"/>
  <c r="O304" i="1" s="1"/>
  <c r="N35" i="1"/>
  <c r="T308" i="1"/>
  <c r="B84" i="1"/>
  <c r="K83" i="1" s="1"/>
  <c r="K116" i="1" s="1"/>
  <c r="K149" i="1" s="1"/>
  <c r="B62" i="1"/>
  <c r="G62" i="1" s="1"/>
  <c r="B184" i="1"/>
  <c r="B117" i="1"/>
  <c r="B70" i="1"/>
  <c r="G70" i="1" s="1"/>
  <c r="G54" i="1"/>
  <c r="M398" i="1"/>
  <c r="N371" i="1"/>
  <c r="N373" i="1" s="1"/>
  <c r="O344" i="1"/>
  <c r="O346" i="1" s="1"/>
  <c r="O330" i="1"/>
  <c r="B193" i="1"/>
  <c r="B74" i="1"/>
  <c r="G74" i="1" s="1"/>
  <c r="G58" i="1"/>
  <c r="B100" i="1"/>
  <c r="K99" i="1" s="1"/>
  <c r="Q116" i="1" s="1"/>
  <c r="K165" i="1" s="1"/>
  <c r="B66" i="1"/>
  <c r="G66" i="1" s="1"/>
  <c r="R306" i="1"/>
  <c r="S305" i="1"/>
  <c r="M403" i="1"/>
  <c r="M285" i="1"/>
  <c r="N19" i="1"/>
  <c r="O372" i="1"/>
  <c r="N347" i="1"/>
  <c r="N40" i="1"/>
  <c r="N50" i="1" s="1"/>
  <c r="Q65" i="1"/>
  <c r="Q62" i="1"/>
  <c r="P69" i="1"/>
  <c r="P66" i="1"/>
  <c r="N288" i="1"/>
  <c r="L389" i="1"/>
  <c r="L44" i="1"/>
  <c r="L47" i="1" s="1"/>
  <c r="L52" i="1" s="1"/>
  <c r="R61" i="1"/>
  <c r="R58" i="1"/>
  <c r="B66" i="2" l="1"/>
  <c r="G66" i="2" s="1"/>
  <c r="G58" i="2"/>
  <c r="B100" i="2"/>
  <c r="K99" i="2" s="1"/>
  <c r="Q116" i="2" s="1"/>
  <c r="K165" i="2" s="1"/>
  <c r="B193" i="2"/>
  <c r="B74" i="2"/>
  <c r="G74" i="2" s="1"/>
  <c r="B83" i="2"/>
  <c r="C25" i="1"/>
  <c r="Q65" i="2"/>
  <c r="Q62" i="2"/>
  <c r="N285" i="2"/>
  <c r="N358" i="2" s="1"/>
  <c r="O19" i="2"/>
  <c r="O49" i="2"/>
  <c r="O309" i="2"/>
  <c r="O310" i="2" s="1"/>
  <c r="O307" i="2"/>
  <c r="S54" i="2"/>
  <c r="S57" i="2"/>
  <c r="S18" i="2"/>
  <c r="T53" i="2"/>
  <c r="M358" i="2"/>
  <c r="M329" i="2"/>
  <c r="P69" i="2"/>
  <c r="P66" i="2"/>
  <c r="O372" i="2"/>
  <c r="O373" i="2" s="1"/>
  <c r="O33" i="2" s="1"/>
  <c r="O34" i="2" s="1"/>
  <c r="N347" i="2"/>
  <c r="N40" i="2"/>
  <c r="N50" i="2" s="1"/>
  <c r="O345" i="2"/>
  <c r="X308" i="2"/>
  <c r="F25" i="2"/>
  <c r="C26" i="2"/>
  <c r="P344" i="2"/>
  <c r="P346" i="2" s="1"/>
  <c r="P330" i="2"/>
  <c r="O70" i="2"/>
  <c r="O73" i="2"/>
  <c r="O74" i="2" s="1"/>
  <c r="Q334" i="2"/>
  <c r="Q333" i="2" s="1"/>
  <c r="Q335" i="2" s="1"/>
  <c r="Q332" i="2" s="1"/>
  <c r="R61" i="2"/>
  <c r="R58" i="2"/>
  <c r="C27" i="2"/>
  <c r="F27" i="2" s="1"/>
  <c r="S28" i="2"/>
  <c r="W305" i="2"/>
  <c r="V306" i="2"/>
  <c r="N48" i="2"/>
  <c r="N36" i="2"/>
  <c r="N38" i="2" s="1"/>
  <c r="P73" i="1"/>
  <c r="P74" i="1" s="1"/>
  <c r="P70" i="1"/>
  <c r="N285" i="1"/>
  <c r="N358" i="1" s="1"/>
  <c r="O19" i="1"/>
  <c r="T305" i="1"/>
  <c r="S306" i="1"/>
  <c r="P344" i="1"/>
  <c r="P346" i="1" s="1"/>
  <c r="P330" i="1"/>
  <c r="N48" i="1"/>
  <c r="N36" i="1"/>
  <c r="N38" i="1" s="1"/>
  <c r="S61" i="1"/>
  <c r="S58" i="1"/>
  <c r="B83" i="1"/>
  <c r="B86" i="1" s="1"/>
  <c r="B119" i="1" s="1"/>
  <c r="R65" i="1"/>
  <c r="R62" i="1"/>
  <c r="Q69" i="1"/>
  <c r="Q66" i="1"/>
  <c r="N352" i="1"/>
  <c r="N349" i="1"/>
  <c r="O345" i="1"/>
  <c r="U308" i="1"/>
  <c r="O49" i="1"/>
  <c r="O309" i="1"/>
  <c r="O310" i="1" s="1"/>
  <c r="O307" i="1"/>
  <c r="N289" i="1"/>
  <c r="O371" i="1" s="1"/>
  <c r="O373" i="1" s="1"/>
  <c r="M358" i="1"/>
  <c r="M329" i="1"/>
  <c r="U53" i="1"/>
  <c r="T57" i="1"/>
  <c r="T18" i="1"/>
  <c r="T54" i="1"/>
  <c r="C26" i="1"/>
  <c r="F25" i="1"/>
  <c r="R28" i="1"/>
  <c r="Q34" i="1"/>
  <c r="C27" i="1"/>
  <c r="F27" i="1" s="1"/>
  <c r="P333" i="1"/>
  <c r="O312" i="2" l="1"/>
  <c r="O287" i="2"/>
  <c r="B86" i="2"/>
  <c r="B116" i="2"/>
  <c r="K82" i="2"/>
  <c r="K115" i="2" s="1"/>
  <c r="K148" i="2" s="1"/>
  <c r="B99" i="2"/>
  <c r="K98" i="2" s="1"/>
  <c r="Q115" i="2" s="1"/>
  <c r="K164" i="2" s="1"/>
  <c r="O287" i="1"/>
  <c r="O312" i="1"/>
  <c r="O35" i="1" s="1"/>
  <c r="N41" i="2"/>
  <c r="N42" i="2"/>
  <c r="N44" i="2" s="1"/>
  <c r="P323" i="2"/>
  <c r="P300" i="2" s="1"/>
  <c r="P304" i="2" s="1"/>
  <c r="O35" i="2"/>
  <c r="O288" i="2"/>
  <c r="O350" i="2"/>
  <c r="P345" i="2" s="1"/>
  <c r="O353" i="2"/>
  <c r="W306" i="2"/>
  <c r="X305" i="2"/>
  <c r="T28" i="2"/>
  <c r="N352" i="2"/>
  <c r="N349" i="2"/>
  <c r="U53" i="2"/>
  <c r="T57" i="2"/>
  <c r="T18" i="2"/>
  <c r="T54" i="2"/>
  <c r="Q69" i="2"/>
  <c r="Q66" i="2"/>
  <c r="R334" i="2"/>
  <c r="R330" i="2" s="1"/>
  <c r="Y308" i="2"/>
  <c r="O289" i="2"/>
  <c r="P371" i="2" s="1"/>
  <c r="P311" i="2"/>
  <c r="S61" i="2"/>
  <c r="S58" i="2"/>
  <c r="R65" i="2"/>
  <c r="R62" i="2"/>
  <c r="Q344" i="2"/>
  <c r="Q346" i="2" s="1"/>
  <c r="Q330" i="2"/>
  <c r="C28" i="2"/>
  <c r="P73" i="2"/>
  <c r="P74" i="2" s="1"/>
  <c r="P70" i="2"/>
  <c r="O285" i="2"/>
  <c r="O358" i="2" s="1"/>
  <c r="P19" i="2"/>
  <c r="P323" i="1"/>
  <c r="P300" i="1" s="1"/>
  <c r="P304" i="1" s="1"/>
  <c r="Q334" i="1"/>
  <c r="Q333" i="1" s="1"/>
  <c r="P335" i="1"/>
  <c r="P332" i="1" s="1"/>
  <c r="O355" i="1"/>
  <c r="N360" i="1"/>
  <c r="N42" i="1"/>
  <c r="N44" i="1" s="1"/>
  <c r="N47" i="1" s="1"/>
  <c r="N52" i="1" s="1"/>
  <c r="N41" i="1"/>
  <c r="O363" i="1"/>
  <c r="R69" i="1"/>
  <c r="R66" i="1"/>
  <c r="U305" i="1"/>
  <c r="T306" i="1"/>
  <c r="P311" i="1"/>
  <c r="O350" i="1"/>
  <c r="P345" i="1" s="1"/>
  <c r="O353" i="1"/>
  <c r="T61" i="1"/>
  <c r="T58" i="1"/>
  <c r="R34" i="1"/>
  <c r="S28" i="1"/>
  <c r="C28" i="1"/>
  <c r="V53" i="1"/>
  <c r="U57" i="1"/>
  <c r="U54" i="1"/>
  <c r="U18" i="1"/>
  <c r="V308" i="1"/>
  <c r="Q73" i="1"/>
  <c r="Q74" i="1" s="1"/>
  <c r="Q70" i="1"/>
  <c r="B99" i="1"/>
  <c r="B116" i="1"/>
  <c r="K82" i="1"/>
  <c r="K115" i="1" s="1"/>
  <c r="K148" i="1" s="1"/>
  <c r="S65" i="1"/>
  <c r="S62" i="1"/>
  <c r="O285" i="1"/>
  <c r="O358" i="1" s="1"/>
  <c r="P19" i="1"/>
  <c r="B119" i="2" l="1"/>
  <c r="B102" i="2"/>
  <c r="B105" i="2" s="1"/>
  <c r="T80" i="2" s="1"/>
  <c r="T96" i="2" s="1"/>
  <c r="T146" i="2" s="1"/>
  <c r="T162" i="2" s="1"/>
  <c r="R333" i="2"/>
  <c r="O288" i="1"/>
  <c r="P353" i="2"/>
  <c r="P350" i="2"/>
  <c r="Q345" i="2" s="1"/>
  <c r="R69" i="2"/>
  <c r="R66" i="2"/>
  <c r="R346" i="2"/>
  <c r="U28" i="2"/>
  <c r="F28" i="2"/>
  <c r="C29" i="2"/>
  <c r="Q73" i="2"/>
  <c r="Q74" i="2" s="1"/>
  <c r="Q70" i="2"/>
  <c r="U57" i="2"/>
  <c r="V53" i="2"/>
  <c r="U18" i="2"/>
  <c r="U54" i="2"/>
  <c r="X306" i="2"/>
  <c r="Y305" i="2"/>
  <c r="P49" i="2"/>
  <c r="P309" i="2"/>
  <c r="P310" i="2" s="1"/>
  <c r="P307" i="2"/>
  <c r="S334" i="2"/>
  <c r="S330" i="2" s="1"/>
  <c r="O355" i="2"/>
  <c r="N360" i="2"/>
  <c r="O363" i="2"/>
  <c r="N45" i="2"/>
  <c r="P285" i="2"/>
  <c r="P358" i="2" s="1"/>
  <c r="Q19" i="2"/>
  <c r="S65" i="2"/>
  <c r="S62" i="2"/>
  <c r="Z308" i="2"/>
  <c r="T61" i="2"/>
  <c r="T58" i="2"/>
  <c r="O48" i="2"/>
  <c r="O36" i="2"/>
  <c r="P353" i="1"/>
  <c r="P350" i="1"/>
  <c r="V57" i="1"/>
  <c r="V18" i="1"/>
  <c r="W53" i="1"/>
  <c r="V54" i="1"/>
  <c r="R73" i="1"/>
  <c r="R74" i="1" s="1"/>
  <c r="R70" i="1"/>
  <c r="Q344" i="1"/>
  <c r="Q346" i="1" s="1"/>
  <c r="Q330" i="1"/>
  <c r="O36" i="1"/>
  <c r="O48" i="1"/>
  <c r="S34" i="1"/>
  <c r="T28" i="1"/>
  <c r="O360" i="1"/>
  <c r="O365" i="1"/>
  <c r="O21" i="1" s="1"/>
  <c r="R334" i="1"/>
  <c r="R330" i="1" s="1"/>
  <c r="P49" i="1"/>
  <c r="P309" i="1"/>
  <c r="P307" i="1"/>
  <c r="S69" i="1"/>
  <c r="S66" i="1"/>
  <c r="P285" i="1"/>
  <c r="P358" i="1" s="1"/>
  <c r="Q19" i="1"/>
  <c r="K98" i="1"/>
  <c r="Q115" i="1" s="1"/>
  <c r="K164" i="1" s="1"/>
  <c r="B102" i="1"/>
  <c r="B105" i="1" s="1"/>
  <c r="T80" i="1" s="1"/>
  <c r="T96" i="1" s="1"/>
  <c r="T146" i="1" s="1"/>
  <c r="T162" i="1" s="1"/>
  <c r="W308" i="1"/>
  <c r="U58" i="1"/>
  <c r="U61" i="1"/>
  <c r="F28" i="1"/>
  <c r="C29" i="1"/>
  <c r="T65" i="1"/>
  <c r="T62" i="1"/>
  <c r="O289" i="1"/>
  <c r="P371" i="1" s="1"/>
  <c r="U306" i="1"/>
  <c r="V305" i="1"/>
  <c r="N64" i="1"/>
  <c r="N68" i="1"/>
  <c r="N72" i="1"/>
  <c r="N56" i="1"/>
  <c r="N60" i="1"/>
  <c r="N76" i="1"/>
  <c r="Q335" i="1"/>
  <c r="Q332" i="1" s="1"/>
  <c r="R333" i="1" l="1"/>
  <c r="P312" i="2"/>
  <c r="P288" i="2" s="1"/>
  <c r="F29" i="2"/>
  <c r="C30" i="2"/>
  <c r="Q353" i="2"/>
  <c r="Q350" i="2"/>
  <c r="R345" i="2" s="1"/>
  <c r="S346" i="2"/>
  <c r="O360" i="2"/>
  <c r="O365" i="2"/>
  <c r="O21" i="2" s="1"/>
  <c r="T65" i="2"/>
  <c r="T62" i="2"/>
  <c r="V57" i="2"/>
  <c r="V54" i="2"/>
  <c r="W53" i="2"/>
  <c r="V18" i="2"/>
  <c r="V28" i="2"/>
  <c r="R73" i="2"/>
  <c r="R74" i="2" s="1"/>
  <c r="R70" i="2"/>
  <c r="P287" i="2"/>
  <c r="U61" i="2"/>
  <c r="U58" i="2"/>
  <c r="S69" i="2"/>
  <c r="S66" i="2"/>
  <c r="N47" i="2"/>
  <c r="N52" i="2" s="1"/>
  <c r="Q285" i="2"/>
  <c r="Q358" i="2" s="1"/>
  <c r="R19" i="2"/>
  <c r="S333" i="2"/>
  <c r="Z305" i="2"/>
  <c r="Y306" i="2"/>
  <c r="F29" i="1"/>
  <c r="C30" i="1"/>
  <c r="X308" i="1"/>
  <c r="Q285" i="1"/>
  <c r="Q358" i="1" s="1"/>
  <c r="R19" i="1"/>
  <c r="S334" i="1"/>
  <c r="S330" i="1" s="1"/>
  <c r="T34" i="1"/>
  <c r="U28" i="1"/>
  <c r="V306" i="1"/>
  <c r="W305" i="1"/>
  <c r="P310" i="1"/>
  <c r="P312" i="1" s="1"/>
  <c r="P287" i="1"/>
  <c r="V61" i="1"/>
  <c r="V58" i="1"/>
  <c r="P360" i="1"/>
  <c r="P365" i="1"/>
  <c r="P21" i="1" s="1"/>
  <c r="O361" i="1"/>
  <c r="O366" i="1" s="1"/>
  <c r="O23" i="1" s="1"/>
  <c r="O25" i="1" s="1"/>
  <c r="Q345" i="1"/>
  <c r="R346" i="1"/>
  <c r="T69" i="1"/>
  <c r="T66" i="1"/>
  <c r="U65" i="1"/>
  <c r="U62" i="1"/>
  <c r="S73" i="1"/>
  <c r="S74" i="1" s="1"/>
  <c r="S70" i="1"/>
  <c r="W57" i="1"/>
  <c r="W54" i="1"/>
  <c r="X53" i="1"/>
  <c r="W18" i="1"/>
  <c r="P35" i="2" l="1"/>
  <c r="Q323" i="2"/>
  <c r="Q300" i="2" s="1"/>
  <c r="Q304" i="2" s="1"/>
  <c r="S70" i="2"/>
  <c r="S73" i="2"/>
  <c r="S74" i="2" s="1"/>
  <c r="Z306" i="2"/>
  <c r="W54" i="2"/>
  <c r="X53" i="2"/>
  <c r="W18" i="2"/>
  <c r="W57" i="2"/>
  <c r="T346" i="2"/>
  <c r="T334" i="2"/>
  <c r="T330" i="2" s="1"/>
  <c r="N68" i="2"/>
  <c r="N72" i="2"/>
  <c r="N56" i="2"/>
  <c r="N76" i="2"/>
  <c r="N60" i="2"/>
  <c r="N64" i="2"/>
  <c r="U65" i="2"/>
  <c r="U62" i="2"/>
  <c r="W28" i="2"/>
  <c r="T69" i="2"/>
  <c r="T66" i="2"/>
  <c r="P48" i="2"/>
  <c r="P360" i="2"/>
  <c r="P365" i="2"/>
  <c r="P21" i="2" s="1"/>
  <c r="O361" i="2"/>
  <c r="O366" i="2" s="1"/>
  <c r="O23" i="2" s="1"/>
  <c r="O25" i="2" s="1"/>
  <c r="R285" i="2"/>
  <c r="R358" i="2" s="1"/>
  <c r="S19" i="2"/>
  <c r="P289" i="2"/>
  <c r="Q371" i="2" s="1"/>
  <c r="Q311" i="2"/>
  <c r="V61" i="2"/>
  <c r="V58" i="2"/>
  <c r="R350" i="2"/>
  <c r="S345" i="2" s="1"/>
  <c r="R353" i="2"/>
  <c r="F30" i="2"/>
  <c r="C31" i="2"/>
  <c r="Q49" i="2"/>
  <c r="Q309" i="2"/>
  <c r="Q310" i="2" s="1"/>
  <c r="Q307" i="2"/>
  <c r="Q323" i="1"/>
  <c r="Q300" i="1" s="1"/>
  <c r="Q304" i="1" s="1"/>
  <c r="P35" i="1"/>
  <c r="P288" i="1"/>
  <c r="P289" i="1" s="1"/>
  <c r="Q371" i="1" s="1"/>
  <c r="W61" i="1"/>
  <c r="W58" i="1"/>
  <c r="T73" i="1"/>
  <c r="T74" i="1" s="1"/>
  <c r="T70" i="1"/>
  <c r="V65" i="1"/>
  <c r="V62" i="1"/>
  <c r="V28" i="1"/>
  <c r="U34" i="1"/>
  <c r="R285" i="1"/>
  <c r="R358" i="1" s="1"/>
  <c r="S19" i="1"/>
  <c r="Q353" i="1"/>
  <c r="Q350" i="1"/>
  <c r="R345" i="1" s="1"/>
  <c r="S346" i="1"/>
  <c r="O24" i="1"/>
  <c r="X305" i="1"/>
  <c r="W306" i="1"/>
  <c r="F30" i="1"/>
  <c r="C31" i="1"/>
  <c r="Y53" i="1"/>
  <c r="X57" i="1"/>
  <c r="X18" i="1"/>
  <c r="X54" i="1"/>
  <c r="U69" i="1"/>
  <c r="U66" i="1"/>
  <c r="Q365" i="1"/>
  <c r="Q21" i="1" s="1"/>
  <c r="P361" i="1"/>
  <c r="P366" i="1" s="1"/>
  <c r="P23" i="1" s="1"/>
  <c r="P25" i="1" s="1"/>
  <c r="Q360" i="1"/>
  <c r="P363" i="1"/>
  <c r="Q311" i="1"/>
  <c r="S333" i="1"/>
  <c r="Y308" i="1"/>
  <c r="S350" i="2" l="1"/>
  <c r="S353" i="2"/>
  <c r="W61" i="2"/>
  <c r="W58" i="2"/>
  <c r="Q287" i="2"/>
  <c r="T333" i="2"/>
  <c r="F31" i="2"/>
  <c r="C32" i="2"/>
  <c r="O24" i="2"/>
  <c r="X28" i="2"/>
  <c r="V65" i="2"/>
  <c r="V62" i="2"/>
  <c r="S285" i="2"/>
  <c r="S358" i="2" s="1"/>
  <c r="T19" i="2"/>
  <c r="Q365" i="2"/>
  <c r="Q21" i="2" s="1"/>
  <c r="P361" i="2"/>
  <c r="P366" i="2" s="1"/>
  <c r="P23" i="2" s="1"/>
  <c r="P25" i="2" s="1"/>
  <c r="Q360" i="2"/>
  <c r="P363" i="2"/>
  <c r="T73" i="2"/>
  <c r="T74" i="2" s="1"/>
  <c r="T70" i="2"/>
  <c r="U69" i="2"/>
  <c r="U66" i="2"/>
  <c r="T345" i="2"/>
  <c r="U346" i="2"/>
  <c r="Y53" i="2"/>
  <c r="X57" i="2"/>
  <c r="X18" i="2"/>
  <c r="X54" i="2"/>
  <c r="Q312" i="2"/>
  <c r="T346" i="1"/>
  <c r="F31" i="1"/>
  <c r="C32" i="1"/>
  <c r="Y305" i="1"/>
  <c r="X306" i="1"/>
  <c r="V34" i="1"/>
  <c r="W28" i="1"/>
  <c r="Z308" i="1"/>
  <c r="O347" i="1"/>
  <c r="P372" i="1"/>
  <c r="P373" i="1" s="1"/>
  <c r="O40" i="1"/>
  <c r="O50" i="1" s="1"/>
  <c r="O38" i="1"/>
  <c r="R350" i="1"/>
  <c r="S345" i="1" s="1"/>
  <c r="R353" i="1"/>
  <c r="S285" i="1"/>
  <c r="S358" i="1" s="1"/>
  <c r="T19" i="1"/>
  <c r="P36" i="1"/>
  <c r="P48" i="1"/>
  <c r="Z53" i="1"/>
  <c r="Y57" i="1"/>
  <c r="Y54" i="1"/>
  <c r="Y18" i="1"/>
  <c r="T334" i="1"/>
  <c r="T330" i="1" s="1"/>
  <c r="Q361" i="1"/>
  <c r="Q366" i="1" s="1"/>
  <c r="Q23" i="1" s="1"/>
  <c r="Q25" i="1" s="1"/>
  <c r="R360" i="1"/>
  <c r="R365" i="1"/>
  <c r="R21" i="1" s="1"/>
  <c r="U73" i="1"/>
  <c r="U74" i="1" s="1"/>
  <c r="U70" i="1"/>
  <c r="X61" i="1"/>
  <c r="X58" i="1"/>
  <c r="P24" i="1"/>
  <c r="V69" i="1"/>
  <c r="V66" i="1"/>
  <c r="W65" i="1"/>
  <c r="W62" i="1"/>
  <c r="Q49" i="1"/>
  <c r="Q309" i="1"/>
  <c r="Q307" i="1"/>
  <c r="P24" i="2" l="1"/>
  <c r="P40" i="2" s="1"/>
  <c r="P50" i="2" s="1"/>
  <c r="Q24" i="1"/>
  <c r="Q347" i="1" s="1"/>
  <c r="Y57" i="2"/>
  <c r="Z53" i="2"/>
  <c r="Y18" i="2"/>
  <c r="Y54" i="2"/>
  <c r="V69" i="2"/>
  <c r="V66" i="2"/>
  <c r="Q372" i="2"/>
  <c r="Q373" i="2" s="1"/>
  <c r="Q33" i="2" s="1"/>
  <c r="Q34" i="2" s="1"/>
  <c r="P347" i="2"/>
  <c r="R323" i="2"/>
  <c r="R300" i="2" s="1"/>
  <c r="R304" i="2" s="1"/>
  <c r="Q35" i="2"/>
  <c r="Q288" i="2"/>
  <c r="V346" i="2"/>
  <c r="T285" i="2"/>
  <c r="T358" i="2" s="1"/>
  <c r="U19" i="2"/>
  <c r="R311" i="2"/>
  <c r="T353" i="2"/>
  <c r="T350" i="2"/>
  <c r="U345" i="2" s="1"/>
  <c r="U73" i="2"/>
  <c r="U74" i="2" s="1"/>
  <c r="U70" i="2"/>
  <c r="Q361" i="2"/>
  <c r="Q366" i="2" s="1"/>
  <c r="Q23" i="2" s="1"/>
  <c r="Q25" i="2" s="1"/>
  <c r="R365" i="2"/>
  <c r="R21" i="2" s="1"/>
  <c r="R360" i="2"/>
  <c r="Y28" i="2"/>
  <c r="U334" i="2"/>
  <c r="U330" i="2" s="1"/>
  <c r="F32" i="2"/>
  <c r="C33" i="2"/>
  <c r="X61" i="2"/>
  <c r="X58" i="2"/>
  <c r="O347" i="2"/>
  <c r="P372" i="2"/>
  <c r="P373" i="2" s="1"/>
  <c r="P33" i="2" s="1"/>
  <c r="P34" i="2" s="1"/>
  <c r="P36" i="2" s="1"/>
  <c r="P38" i="2" s="1"/>
  <c r="O40" i="2"/>
  <c r="O50" i="2" s="1"/>
  <c r="O38" i="2"/>
  <c r="W65" i="2"/>
  <c r="W62" i="2"/>
  <c r="S350" i="1"/>
  <c r="T345" i="1" s="1"/>
  <c r="S353" i="1"/>
  <c r="R372" i="1"/>
  <c r="Q40" i="1"/>
  <c r="Q50" i="1" s="1"/>
  <c r="Q310" i="1"/>
  <c r="Q312" i="1" s="1"/>
  <c r="Q287" i="1"/>
  <c r="T333" i="1"/>
  <c r="Y58" i="1"/>
  <c r="Y61" i="1"/>
  <c r="O349" i="1"/>
  <c r="P355" i="1" s="1"/>
  <c r="O352" i="1"/>
  <c r="W34" i="1"/>
  <c r="X28" i="1"/>
  <c r="Y306" i="1"/>
  <c r="Z305" i="1"/>
  <c r="W69" i="1"/>
  <c r="W66" i="1"/>
  <c r="V73" i="1"/>
  <c r="V74" i="1" s="1"/>
  <c r="V70" i="1"/>
  <c r="X65" i="1"/>
  <c r="X62" i="1"/>
  <c r="S360" i="1"/>
  <c r="S365" i="1"/>
  <c r="S21" i="1" s="1"/>
  <c r="R361" i="1"/>
  <c r="R366" i="1" s="1"/>
  <c r="R23" i="1" s="1"/>
  <c r="R25" i="1" s="1"/>
  <c r="A80" i="1"/>
  <c r="Z57" i="1"/>
  <c r="Z18" i="1"/>
  <c r="Z54" i="1"/>
  <c r="AB86" i="1" s="1"/>
  <c r="T285" i="1"/>
  <c r="T358" i="1" s="1"/>
  <c r="U19" i="1"/>
  <c r="O41" i="1"/>
  <c r="O42" i="1"/>
  <c r="O44" i="1" s="1"/>
  <c r="O47" i="1" s="1"/>
  <c r="O52" i="1" s="1"/>
  <c r="F32" i="1"/>
  <c r="C33" i="1"/>
  <c r="U346" i="1"/>
  <c r="Q372" i="1"/>
  <c r="Q373" i="1" s="1"/>
  <c r="P347" i="1"/>
  <c r="P40" i="1"/>
  <c r="P50" i="1" s="1"/>
  <c r="P38" i="1"/>
  <c r="P41" i="2" l="1"/>
  <c r="P42" i="2"/>
  <c r="P44" i="2" s="1"/>
  <c r="U350" i="2"/>
  <c r="V345" i="2" s="1"/>
  <c r="F33" i="2"/>
  <c r="C34" i="2"/>
  <c r="Z28" i="2"/>
  <c r="U285" i="2"/>
  <c r="U358" i="2" s="1"/>
  <c r="V19" i="2"/>
  <c r="X65" i="2"/>
  <c r="X62" i="2"/>
  <c r="R49" i="2"/>
  <c r="R309" i="2"/>
  <c r="R310" i="2" s="1"/>
  <c r="R307" i="2"/>
  <c r="W69" i="2"/>
  <c r="W66" i="2"/>
  <c r="V73" i="2"/>
  <c r="V74" i="2" s="1"/>
  <c r="V70" i="2"/>
  <c r="Z57" i="2"/>
  <c r="Z54" i="2"/>
  <c r="AB86" i="2" s="1"/>
  <c r="A80" i="2"/>
  <c r="Z18" i="2"/>
  <c r="O349" i="2"/>
  <c r="P355" i="2" s="1"/>
  <c r="O352" i="2"/>
  <c r="O42" i="2"/>
  <c r="O44" i="2" s="1"/>
  <c r="O41" i="2"/>
  <c r="U333" i="2"/>
  <c r="S360" i="2"/>
  <c r="R361" i="2"/>
  <c r="R366" i="2" s="1"/>
  <c r="R23" i="2" s="1"/>
  <c r="R25" i="2" s="1"/>
  <c r="S365" i="2"/>
  <c r="S21" i="2" s="1"/>
  <c r="Q289" i="2"/>
  <c r="R371" i="2" s="1"/>
  <c r="W346" i="2"/>
  <c r="Q48" i="2"/>
  <c r="Q36" i="2"/>
  <c r="P349" i="2"/>
  <c r="P352" i="2"/>
  <c r="Q24" i="2"/>
  <c r="Y61" i="2"/>
  <c r="Y58" i="2"/>
  <c r="R323" i="1"/>
  <c r="R300" i="1" s="1"/>
  <c r="R304" i="1" s="1"/>
  <c r="Q35" i="1"/>
  <c r="Q288" i="1"/>
  <c r="Z306" i="1"/>
  <c r="O68" i="1"/>
  <c r="O72" i="1"/>
  <c r="O56" i="1"/>
  <c r="O76" i="1"/>
  <c r="O60" i="1"/>
  <c r="O64" i="1"/>
  <c r="U285" i="1"/>
  <c r="U358" i="1" s="1"/>
  <c r="V19" i="1"/>
  <c r="Z61" i="1"/>
  <c r="Z58" i="1"/>
  <c r="AB102" i="1" s="1"/>
  <c r="T360" i="1"/>
  <c r="T365" i="1"/>
  <c r="T21" i="1" s="1"/>
  <c r="S361" i="1"/>
  <c r="S366" i="1" s="1"/>
  <c r="S23" i="1" s="1"/>
  <c r="S25" i="1" s="1"/>
  <c r="U334" i="1"/>
  <c r="U330" i="1" s="1"/>
  <c r="A89" i="1"/>
  <c r="K88" i="1" s="1"/>
  <c r="A86" i="1"/>
  <c r="A85" i="1"/>
  <c r="K84" i="1" s="1"/>
  <c r="R24" i="1"/>
  <c r="P349" i="1"/>
  <c r="P352" i="1"/>
  <c r="T353" i="1"/>
  <c r="T350" i="1"/>
  <c r="P41" i="1"/>
  <c r="P42" i="1"/>
  <c r="P44" i="1" s="1"/>
  <c r="P47" i="1" s="1"/>
  <c r="P52" i="1" s="1"/>
  <c r="U345" i="1"/>
  <c r="V346" i="1"/>
  <c r="F33" i="1"/>
  <c r="C34" i="1"/>
  <c r="N85" i="1"/>
  <c r="U85" i="1"/>
  <c r="X69" i="1"/>
  <c r="X66" i="1"/>
  <c r="W73" i="1"/>
  <c r="W74" i="1" s="1"/>
  <c r="W70" i="1"/>
  <c r="X34" i="1"/>
  <c r="Y28" i="1"/>
  <c r="Y65" i="1"/>
  <c r="Y62" i="1"/>
  <c r="Q289" i="1"/>
  <c r="R371" i="1" s="1"/>
  <c r="R373" i="1" s="1"/>
  <c r="R311" i="1"/>
  <c r="Q352" i="1"/>
  <c r="Q349" i="1"/>
  <c r="R312" i="2" l="1"/>
  <c r="R288" i="2" s="1"/>
  <c r="R24" i="2"/>
  <c r="R347" i="2" s="1"/>
  <c r="S24" i="1"/>
  <c r="R40" i="2"/>
  <c r="R50" i="2" s="1"/>
  <c r="P45" i="2"/>
  <c r="X346" i="2"/>
  <c r="U85" i="2"/>
  <c r="N85" i="2"/>
  <c r="X69" i="2"/>
  <c r="X66" i="2"/>
  <c r="R372" i="2"/>
  <c r="R373" i="2" s="1"/>
  <c r="R33" i="2" s="1"/>
  <c r="R34" i="2" s="1"/>
  <c r="Q347" i="2"/>
  <c r="Q40" i="2"/>
  <c r="Q50" i="2" s="1"/>
  <c r="Q38" i="2"/>
  <c r="V334" i="2"/>
  <c r="V330" i="2" s="1"/>
  <c r="Z61" i="2"/>
  <c r="Z58" i="2"/>
  <c r="AB102" i="2" s="1"/>
  <c r="S323" i="2"/>
  <c r="S300" i="2" s="1"/>
  <c r="S304" i="2" s="1"/>
  <c r="R35" i="2"/>
  <c r="V285" i="2"/>
  <c r="V358" i="2" s="1"/>
  <c r="W19" i="2"/>
  <c r="F34" i="2"/>
  <c r="C35" i="2"/>
  <c r="U353" i="2"/>
  <c r="A86" i="2"/>
  <c r="A85" i="2"/>
  <c r="K84" i="2" s="1"/>
  <c r="A89" i="2"/>
  <c r="K88" i="2" s="1"/>
  <c r="W70" i="2"/>
  <c r="W73" i="2"/>
  <c r="W74" i="2" s="1"/>
  <c r="Q355" i="2"/>
  <c r="Q363" i="2"/>
  <c r="Y65" i="2"/>
  <c r="Y62" i="2"/>
  <c r="V350" i="2"/>
  <c r="W345" i="2" s="1"/>
  <c r="T360" i="2"/>
  <c r="T365" i="2"/>
  <c r="T21" i="2" s="1"/>
  <c r="S361" i="2"/>
  <c r="S366" i="2" s="1"/>
  <c r="S23" i="2" s="1"/>
  <c r="S25" i="2" s="1"/>
  <c r="O45" i="2"/>
  <c r="R287" i="2"/>
  <c r="Z28" i="1"/>
  <c r="Z34" i="1" s="1"/>
  <c r="Y34" i="1"/>
  <c r="K121" i="1"/>
  <c r="K154" i="1" s="1"/>
  <c r="K104" i="1"/>
  <c r="Q121" i="1" s="1"/>
  <c r="K170" i="1" s="1"/>
  <c r="Q88" i="1"/>
  <c r="Z65" i="1"/>
  <c r="Z62" i="1"/>
  <c r="AB119" i="1" s="1"/>
  <c r="AD119" i="1" s="1"/>
  <c r="K85" i="1"/>
  <c r="A102" i="1"/>
  <c r="K101" i="1" s="1"/>
  <c r="X73" i="1"/>
  <c r="X74" i="1" s="1"/>
  <c r="X70" i="1"/>
  <c r="W346" i="1"/>
  <c r="P72" i="1"/>
  <c r="P56" i="1"/>
  <c r="P76" i="1"/>
  <c r="P60" i="1"/>
  <c r="P64" i="1"/>
  <c r="P68" i="1"/>
  <c r="S372" i="1"/>
  <c r="R347" i="1"/>
  <c r="R40" i="1"/>
  <c r="R50" i="1" s="1"/>
  <c r="V285" i="1"/>
  <c r="V358" i="1" s="1"/>
  <c r="W19" i="1"/>
  <c r="Q48" i="1"/>
  <c r="Q36" i="1"/>
  <c r="Q38" i="1" s="1"/>
  <c r="F34" i="1"/>
  <c r="C35" i="1"/>
  <c r="U350" i="1"/>
  <c r="V345" i="1" s="1"/>
  <c r="U101" i="1"/>
  <c r="N101" i="1"/>
  <c r="S347" i="1"/>
  <c r="T372" i="1"/>
  <c r="S40" i="1"/>
  <c r="S50" i="1" s="1"/>
  <c r="Q348" i="1"/>
  <c r="R355" i="1"/>
  <c r="R363" i="1"/>
  <c r="Q355" i="1"/>
  <c r="Q363" i="1"/>
  <c r="Y69" i="1"/>
  <c r="Y66" i="1"/>
  <c r="N118" i="1"/>
  <c r="K100" i="1"/>
  <c r="Q117" i="1" s="1"/>
  <c r="K166" i="1" s="1"/>
  <c r="K117" i="1"/>
  <c r="K150" i="1" s="1"/>
  <c r="U333" i="1"/>
  <c r="U365" i="1"/>
  <c r="U21" i="1" s="1"/>
  <c r="T361" i="1"/>
  <c r="T366" i="1" s="1"/>
  <c r="T23" i="1" s="1"/>
  <c r="T25" i="1" s="1"/>
  <c r="U360" i="1"/>
  <c r="R49" i="1"/>
  <c r="R309" i="1"/>
  <c r="R307" i="1"/>
  <c r="V333" i="2" l="1"/>
  <c r="V353" i="2" s="1"/>
  <c r="S372" i="2"/>
  <c r="O47" i="2"/>
  <c r="O52" i="2" s="1"/>
  <c r="O56" i="2" s="1"/>
  <c r="O64" i="2"/>
  <c r="Y69" i="2"/>
  <c r="Y66" i="2"/>
  <c r="K121" i="2"/>
  <c r="K154" i="2" s="1"/>
  <c r="K104" i="2"/>
  <c r="Q121" i="2" s="1"/>
  <c r="K170" i="2" s="1"/>
  <c r="Q88" i="2"/>
  <c r="F35" i="2"/>
  <c r="C36" i="2"/>
  <c r="R36" i="2"/>
  <c r="R38" i="2" s="1"/>
  <c r="R48" i="2"/>
  <c r="Q352" i="2"/>
  <c r="Q349" i="2"/>
  <c r="N118" i="2"/>
  <c r="Y346" i="2"/>
  <c r="U365" i="2"/>
  <c r="U21" i="2" s="1"/>
  <c r="T361" i="2"/>
  <c r="T366" i="2" s="1"/>
  <c r="T23" i="2" s="1"/>
  <c r="T25" i="2" s="1"/>
  <c r="U360" i="2"/>
  <c r="K117" i="2"/>
  <c r="K150" i="2" s="1"/>
  <c r="K100" i="2"/>
  <c r="Q117" i="2" s="1"/>
  <c r="K166" i="2" s="1"/>
  <c r="S49" i="2"/>
  <c r="S309" i="2"/>
  <c r="S310" i="2" s="1"/>
  <c r="S307" i="2"/>
  <c r="W334" i="2"/>
  <c r="W330" i="2" s="1"/>
  <c r="Z65" i="2"/>
  <c r="Z62" i="2"/>
  <c r="AB119" i="2" s="1"/>
  <c r="AD119" i="2" s="1"/>
  <c r="X73" i="2"/>
  <c r="X74" i="2" s="1"/>
  <c r="X70" i="2"/>
  <c r="W350" i="2"/>
  <c r="X345" i="2" s="1"/>
  <c r="S287" i="2"/>
  <c r="R289" i="2"/>
  <c r="S371" i="2" s="1"/>
  <c r="S373" i="2" s="1"/>
  <c r="S33" i="2" s="1"/>
  <c r="S34" i="2" s="1"/>
  <c r="S311" i="2"/>
  <c r="K85" i="2"/>
  <c r="A102" i="2"/>
  <c r="K101" i="2" s="1"/>
  <c r="X19" i="2"/>
  <c r="W285" i="2"/>
  <c r="W358" i="2" s="1"/>
  <c r="N101" i="2"/>
  <c r="U101" i="2"/>
  <c r="Q41" i="2"/>
  <c r="Q42" i="2"/>
  <c r="Q44" i="2" s="1"/>
  <c r="S24" i="2"/>
  <c r="P47" i="2"/>
  <c r="P52" i="2" s="1"/>
  <c r="R352" i="2"/>
  <c r="R349" i="2"/>
  <c r="V350" i="1"/>
  <c r="W345" i="1" s="1"/>
  <c r="V334" i="1"/>
  <c r="V330" i="1" s="1"/>
  <c r="S349" i="1"/>
  <c r="S352" i="1"/>
  <c r="Q41" i="1"/>
  <c r="Q42" i="1"/>
  <c r="Q44" i="1" s="1"/>
  <c r="Q47" i="1" s="1"/>
  <c r="Q52" i="1" s="1"/>
  <c r="R352" i="1"/>
  <c r="R349" i="1"/>
  <c r="X346" i="1"/>
  <c r="Q85" i="1"/>
  <c r="K118" i="1"/>
  <c r="K151" i="1" s="1"/>
  <c r="Q151" i="1" s="1"/>
  <c r="R310" i="1"/>
  <c r="R312" i="1" s="1"/>
  <c r="R287" i="1"/>
  <c r="U361" i="1"/>
  <c r="U366" i="1" s="1"/>
  <c r="U23" i="1" s="1"/>
  <c r="U25" i="1" s="1"/>
  <c r="V360" i="1"/>
  <c r="V365" i="1"/>
  <c r="V21" i="1" s="1"/>
  <c r="U353" i="1"/>
  <c r="T24" i="1"/>
  <c r="Z69" i="1"/>
  <c r="Z66" i="1"/>
  <c r="AB135" i="1" s="1"/>
  <c r="AD135" i="1" s="1"/>
  <c r="U134" i="1"/>
  <c r="W285" i="1"/>
  <c r="W358" i="1" s="1"/>
  <c r="X19" i="1"/>
  <c r="Q118" i="1"/>
  <c r="Q101" i="1"/>
  <c r="Y73" i="1"/>
  <c r="Y74" i="1" s="1"/>
  <c r="Y70" i="1"/>
  <c r="T118" i="1"/>
  <c r="F35" i="1"/>
  <c r="C36" i="1"/>
  <c r="Q104" i="1"/>
  <c r="Q154" i="1"/>
  <c r="Q137" i="1"/>
  <c r="Q170" i="1"/>
  <c r="O76" i="2" l="1"/>
  <c r="O72" i="2"/>
  <c r="W333" i="2"/>
  <c r="W353" i="2" s="1"/>
  <c r="O60" i="2"/>
  <c r="O68" i="2"/>
  <c r="U24" i="1"/>
  <c r="V333" i="1"/>
  <c r="V353" i="1" s="1"/>
  <c r="S312" i="2"/>
  <c r="S35" i="2" s="1"/>
  <c r="X350" i="2"/>
  <c r="P76" i="2"/>
  <c r="P60" i="2"/>
  <c r="P64" i="2"/>
  <c r="P68" i="2"/>
  <c r="P72" i="2"/>
  <c r="P56" i="2"/>
  <c r="T24" i="2"/>
  <c r="Q154" i="2"/>
  <c r="Q137" i="2"/>
  <c r="Q170" i="2"/>
  <c r="Q104" i="2"/>
  <c r="Y73" i="2"/>
  <c r="Y74" i="2" s="1"/>
  <c r="Y70" i="2"/>
  <c r="K118" i="2"/>
  <c r="K151" i="2" s="1"/>
  <c r="Q151" i="2" s="1"/>
  <c r="Q85" i="2"/>
  <c r="T311" i="2"/>
  <c r="X334" i="2"/>
  <c r="X330" i="2" s="1"/>
  <c r="S347" i="2"/>
  <c r="T372" i="2"/>
  <c r="S40" i="2"/>
  <c r="S50" i="2" s="1"/>
  <c r="X285" i="2"/>
  <c r="X358" i="2" s="1"/>
  <c r="Y19" i="2"/>
  <c r="T323" i="2"/>
  <c r="T300" i="2" s="1"/>
  <c r="T304" i="2" s="1"/>
  <c r="Z69" i="2"/>
  <c r="Z66" i="2"/>
  <c r="AB135" i="2" s="1"/>
  <c r="AD135" i="2" s="1"/>
  <c r="R41" i="2"/>
  <c r="R42" i="2"/>
  <c r="R44" i="2" s="1"/>
  <c r="T118" i="2"/>
  <c r="S355" i="2"/>
  <c r="S363" i="2"/>
  <c r="Q45" i="2"/>
  <c r="U134" i="2"/>
  <c r="Q118" i="2"/>
  <c r="Q101" i="2"/>
  <c r="U361" i="2"/>
  <c r="U366" i="2" s="1"/>
  <c r="U23" i="2" s="1"/>
  <c r="U25" i="2" s="1"/>
  <c r="V360" i="2"/>
  <c r="V365" i="2"/>
  <c r="V21" i="2" s="1"/>
  <c r="Y345" i="2"/>
  <c r="Z346" i="2"/>
  <c r="Q348" i="2"/>
  <c r="R355" i="2"/>
  <c r="R363" i="2"/>
  <c r="C37" i="2"/>
  <c r="C38" i="2" s="1"/>
  <c r="F36" i="2"/>
  <c r="Z73" i="1"/>
  <c r="Z74" i="1" s="1"/>
  <c r="Z70" i="1"/>
  <c r="Y346" i="1"/>
  <c r="U372" i="1"/>
  <c r="T347" i="1"/>
  <c r="T40" i="1"/>
  <c r="T50" i="1" s="1"/>
  <c r="Q76" i="1"/>
  <c r="Q60" i="1"/>
  <c r="Q64" i="1"/>
  <c r="Q68" i="1"/>
  <c r="Q56" i="1"/>
  <c r="Q72" i="1"/>
  <c r="V372" i="1"/>
  <c r="U347" i="1"/>
  <c r="U40" i="1"/>
  <c r="U50" i="1" s="1"/>
  <c r="Q134" i="1"/>
  <c r="K167" i="1"/>
  <c r="Q167" i="1" s="1"/>
  <c r="S311" i="1"/>
  <c r="S355" i="1"/>
  <c r="S363" i="1"/>
  <c r="T355" i="1"/>
  <c r="T363" i="1"/>
  <c r="W360" i="1"/>
  <c r="W365" i="1"/>
  <c r="W21" i="1" s="1"/>
  <c r="V361" i="1"/>
  <c r="V366" i="1" s="1"/>
  <c r="V23" i="1" s="1"/>
  <c r="V25" i="1" s="1"/>
  <c r="C37" i="1"/>
  <c r="C38" i="1" s="1"/>
  <c r="F36" i="1"/>
  <c r="X285" i="1"/>
  <c r="X358" i="1" s="1"/>
  <c r="Y19" i="1"/>
  <c r="S323" i="1"/>
  <c r="S300" i="1" s="1"/>
  <c r="S304" i="1" s="1"/>
  <c r="R35" i="1"/>
  <c r="R288" i="1"/>
  <c r="W350" i="1"/>
  <c r="X345" i="1" s="1"/>
  <c r="W334" i="1" l="1"/>
  <c r="W330" i="1" s="1"/>
  <c r="S288" i="2"/>
  <c r="V24" i="1"/>
  <c r="T49" i="2"/>
  <c r="T309" i="2"/>
  <c r="T310" i="2" s="1"/>
  <c r="T307" i="2"/>
  <c r="C39" i="2"/>
  <c r="C40" i="2" s="1"/>
  <c r="F38" i="2"/>
  <c r="B248" i="2" s="1"/>
  <c r="W360" i="2"/>
  <c r="V361" i="2"/>
  <c r="V366" i="2" s="1"/>
  <c r="V23" i="2" s="1"/>
  <c r="V25" i="2" s="1"/>
  <c r="W365" i="2"/>
  <c r="W21" i="2" s="1"/>
  <c r="Z73" i="2"/>
  <c r="Z74" i="2" s="1"/>
  <c r="Z70" i="2"/>
  <c r="Y285" i="2"/>
  <c r="Y358" i="2" s="1"/>
  <c r="Z19" i="2"/>
  <c r="U24" i="2"/>
  <c r="S352" i="2"/>
  <c r="S349" i="2"/>
  <c r="U372" i="2"/>
  <c r="T347" i="2"/>
  <c r="T40" i="2"/>
  <c r="T50" i="2" s="1"/>
  <c r="Q134" i="2"/>
  <c r="K167" i="2"/>
  <c r="Q167" i="2" s="1"/>
  <c r="Y350" i="2"/>
  <c r="Z345" i="2" s="1"/>
  <c r="Q47" i="2"/>
  <c r="Q52" i="2" s="1"/>
  <c r="R45" i="2"/>
  <c r="S48" i="2"/>
  <c r="S36" i="2"/>
  <c r="S38" i="2" s="1"/>
  <c r="X333" i="2"/>
  <c r="S289" i="2"/>
  <c r="T371" i="2" s="1"/>
  <c r="T373" i="2" s="1"/>
  <c r="T33" i="2" s="1"/>
  <c r="T34" i="2" s="1"/>
  <c r="X350" i="1"/>
  <c r="Y345" i="1" s="1"/>
  <c r="Z346" i="1"/>
  <c r="Y285" i="1"/>
  <c r="Y358" i="1" s="1"/>
  <c r="Z19" i="1"/>
  <c r="X360" i="1"/>
  <c r="X365" i="1"/>
  <c r="X21" i="1" s="1"/>
  <c r="W361" i="1"/>
  <c r="W366" i="1" s="1"/>
  <c r="W23" i="1" s="1"/>
  <c r="W25" i="1" s="1"/>
  <c r="T349" i="1"/>
  <c r="T352" i="1"/>
  <c r="W372" i="1"/>
  <c r="V347" i="1"/>
  <c r="V40" i="1"/>
  <c r="V50" i="1" s="1"/>
  <c r="AB152" i="1"/>
  <c r="AB168" i="1"/>
  <c r="AD168" i="1" s="1"/>
  <c r="U167" i="1" s="1"/>
  <c r="C39" i="1"/>
  <c r="C40" i="1" s="1"/>
  <c r="F38" i="1"/>
  <c r="B248" i="1" s="1"/>
  <c r="R48" i="1"/>
  <c r="R36" i="1"/>
  <c r="R38" i="1" s="1"/>
  <c r="S49" i="1"/>
  <c r="S309" i="1"/>
  <c r="S307" i="1"/>
  <c r="R289" i="1"/>
  <c r="S371" i="1" s="1"/>
  <c r="S373" i="1" s="1"/>
  <c r="U352" i="1"/>
  <c r="U349" i="1"/>
  <c r="V24" i="2" l="1"/>
  <c r="T312" i="2"/>
  <c r="T35" i="2" s="1"/>
  <c r="W333" i="1"/>
  <c r="Z350" i="2"/>
  <c r="T349" i="2"/>
  <c r="T352" i="2"/>
  <c r="V372" i="2"/>
  <c r="U347" i="2"/>
  <c r="U40" i="2"/>
  <c r="U50" i="2" s="1"/>
  <c r="R47" i="2"/>
  <c r="R52" i="2" s="1"/>
  <c r="S42" i="2"/>
  <c r="S44" i="2" s="1"/>
  <c r="S41" i="2"/>
  <c r="T287" i="2"/>
  <c r="Z285" i="2"/>
  <c r="AA19" i="2"/>
  <c r="F40" i="2"/>
  <c r="C41" i="2"/>
  <c r="AB168" i="2"/>
  <c r="AD168" i="2" s="1"/>
  <c r="U167" i="2" s="1"/>
  <c r="AB152" i="2"/>
  <c r="X360" i="2"/>
  <c r="X365" i="2"/>
  <c r="X21" i="2" s="1"/>
  <c r="W361" i="2"/>
  <c r="W366" i="2" s="1"/>
  <c r="W23" i="2" s="1"/>
  <c r="W25" i="2" s="1"/>
  <c r="Y334" i="2"/>
  <c r="Y330" i="2" s="1"/>
  <c r="X353" i="2"/>
  <c r="H248" i="2"/>
  <c r="B249" i="2"/>
  <c r="H249" i="2" s="1"/>
  <c r="Q64" i="2"/>
  <c r="Q68" i="2"/>
  <c r="Q72" i="2"/>
  <c r="Q56" i="2"/>
  <c r="Q76" i="2"/>
  <c r="Q60" i="2"/>
  <c r="T355" i="2"/>
  <c r="T363" i="2"/>
  <c r="W372" i="2"/>
  <c r="V347" i="2"/>
  <c r="V40" i="2"/>
  <c r="V50" i="2" s="1"/>
  <c r="Y350" i="1"/>
  <c r="Z345" i="1" s="1"/>
  <c r="AD152" i="1"/>
  <c r="U151" i="1" s="1"/>
  <c r="N151" i="1"/>
  <c r="U355" i="1"/>
  <c r="T348" i="1"/>
  <c r="U363" i="1"/>
  <c r="Y365" i="1"/>
  <c r="Y21" i="1" s="1"/>
  <c r="X361" i="1"/>
  <c r="X366" i="1" s="1"/>
  <c r="X23" i="1" s="1"/>
  <c r="X25" i="1" s="1"/>
  <c r="Y360" i="1"/>
  <c r="AC360" i="1"/>
  <c r="W24" i="1"/>
  <c r="R42" i="1"/>
  <c r="R44" i="1" s="1"/>
  <c r="R47" i="1" s="1"/>
  <c r="R52" i="1" s="1"/>
  <c r="R41" i="1"/>
  <c r="V355" i="1"/>
  <c r="V363" i="1"/>
  <c r="S310" i="1"/>
  <c r="S312" i="1" s="1"/>
  <c r="S287" i="1"/>
  <c r="B249" i="1"/>
  <c r="H249" i="1" s="1"/>
  <c r="H248" i="1"/>
  <c r="V352" i="1"/>
  <c r="V349" i="1"/>
  <c r="X334" i="1"/>
  <c r="X330" i="1" s="1"/>
  <c r="W353" i="1"/>
  <c r="F40" i="1"/>
  <c r="C41" i="1"/>
  <c r="Z285" i="1"/>
  <c r="AA19" i="1"/>
  <c r="T288" i="2" l="1"/>
  <c r="W24" i="2"/>
  <c r="Y365" i="2"/>
  <c r="Y21" i="2" s="1"/>
  <c r="X361" i="2"/>
  <c r="X366" i="2" s="1"/>
  <c r="X23" i="2" s="1"/>
  <c r="X25" i="2" s="1"/>
  <c r="Y360" i="2"/>
  <c r="AC360" i="2"/>
  <c r="T289" i="2"/>
  <c r="U371" i="2" s="1"/>
  <c r="U373" i="2" s="1"/>
  <c r="U33" i="2" s="1"/>
  <c r="U34" i="2" s="1"/>
  <c r="U304" i="2"/>
  <c r="U311" i="2"/>
  <c r="U349" i="2"/>
  <c r="U352" i="2"/>
  <c r="N151" i="2"/>
  <c r="AD152" i="2"/>
  <c r="U151" i="2" s="1"/>
  <c r="S45" i="2"/>
  <c r="Y333" i="2"/>
  <c r="W347" i="2"/>
  <c r="X372" i="2"/>
  <c r="W40" i="2"/>
  <c r="W50" i="2" s="1"/>
  <c r="R68" i="2"/>
  <c r="R72" i="2"/>
  <c r="R56" i="2"/>
  <c r="R76" i="2"/>
  <c r="R60" i="2"/>
  <c r="R64" i="2"/>
  <c r="T48" i="2"/>
  <c r="T36" i="2"/>
  <c r="T38" i="2" s="1"/>
  <c r="V352" i="2"/>
  <c r="V349" i="2"/>
  <c r="X24" i="2"/>
  <c r="F41" i="2"/>
  <c r="C42" i="2"/>
  <c r="Z358" i="2"/>
  <c r="AA285" i="2"/>
  <c r="T348" i="2"/>
  <c r="U355" i="2"/>
  <c r="U363" i="2"/>
  <c r="Z350" i="1"/>
  <c r="Y361" i="1"/>
  <c r="Y366" i="1" s="1"/>
  <c r="Y23" i="1" s="1"/>
  <c r="Y25" i="1" s="1"/>
  <c r="Z360" i="1"/>
  <c r="Z361" i="1" s="1"/>
  <c r="Z366" i="1" s="1"/>
  <c r="Z23" i="1" s="1"/>
  <c r="Z25" i="1" s="1"/>
  <c r="Z365" i="1"/>
  <c r="Z21" i="1" s="1"/>
  <c r="Z358" i="1"/>
  <c r="AA285" i="1"/>
  <c r="W355" i="1"/>
  <c r="W363" i="1"/>
  <c r="T311" i="1"/>
  <c r="F41" i="1"/>
  <c r="C42" i="1"/>
  <c r="T323" i="1"/>
  <c r="T300" i="1" s="1"/>
  <c r="T304" i="1" s="1"/>
  <c r="S35" i="1"/>
  <c r="S288" i="1"/>
  <c r="S289" i="1" s="1"/>
  <c r="T371" i="1" s="1"/>
  <c r="T373" i="1" s="1"/>
  <c r="W347" i="1"/>
  <c r="X372" i="1"/>
  <c r="W40" i="1"/>
  <c r="W50" i="1" s="1"/>
  <c r="Y24" i="1"/>
  <c r="N167" i="1"/>
  <c r="X24" i="1"/>
  <c r="R64" i="1"/>
  <c r="R68" i="1"/>
  <c r="R72" i="1"/>
  <c r="R56" i="1"/>
  <c r="R76" i="1"/>
  <c r="R60" i="1"/>
  <c r="X333" i="1"/>
  <c r="S47" i="2" l="1"/>
  <c r="S52" i="2" s="1"/>
  <c r="S72" i="2" s="1"/>
  <c r="Y372" i="2"/>
  <c r="X347" i="2"/>
  <c r="X40" i="2"/>
  <c r="X50" i="2" s="1"/>
  <c r="W352" i="2"/>
  <c r="W349" i="2"/>
  <c r="N167" i="2"/>
  <c r="U49" i="2"/>
  <c r="U309" i="2"/>
  <c r="U310" i="2" s="1"/>
  <c r="U307" i="2"/>
  <c r="T41" i="2"/>
  <c r="T42" i="2"/>
  <c r="T44" i="2" s="1"/>
  <c r="Z334" i="2"/>
  <c r="Z330" i="2" s="1"/>
  <c r="Y353" i="2"/>
  <c r="S56" i="2"/>
  <c r="S76" i="2"/>
  <c r="S60" i="2"/>
  <c r="S64" i="2"/>
  <c r="S68" i="2"/>
  <c r="Y361" i="2"/>
  <c r="Y366" i="2" s="1"/>
  <c r="Y23" i="2" s="1"/>
  <c r="Y25" i="2" s="1"/>
  <c r="Z365" i="2"/>
  <c r="Z21" i="2" s="1"/>
  <c r="Z360" i="2"/>
  <c r="Z361" i="2" s="1"/>
  <c r="Z366" i="2" s="1"/>
  <c r="Z23" i="2" s="1"/>
  <c r="Z25" i="2" s="1"/>
  <c r="C43" i="2"/>
  <c r="C44" i="2" s="1"/>
  <c r="F42" i="2"/>
  <c r="V355" i="2"/>
  <c r="V363" i="2"/>
  <c r="U287" i="2"/>
  <c r="W355" i="2"/>
  <c r="W363" i="2"/>
  <c r="U312" i="2"/>
  <c r="S36" i="1"/>
  <c r="S38" i="1" s="1"/>
  <c r="S48" i="1"/>
  <c r="T49" i="1"/>
  <c r="T309" i="1"/>
  <c r="T310" i="1" s="1"/>
  <c r="T307" i="1"/>
  <c r="Y334" i="1"/>
  <c r="Y330" i="1" s="1"/>
  <c r="X353" i="1"/>
  <c r="Z372" i="1"/>
  <c r="Y347" i="1"/>
  <c r="Y40" i="1"/>
  <c r="Y50" i="1" s="1"/>
  <c r="W349" i="1"/>
  <c r="W352" i="1"/>
  <c r="C43" i="1"/>
  <c r="C44" i="1" s="1"/>
  <c r="F42" i="1"/>
  <c r="Y372" i="1"/>
  <c r="X347" i="1"/>
  <c r="X40" i="1"/>
  <c r="X50" i="1" s="1"/>
  <c r="Z24" i="1"/>
  <c r="Y24" i="2" l="1"/>
  <c r="Z24" i="2"/>
  <c r="Z40" i="2" s="1"/>
  <c r="Z50" i="2" s="1"/>
  <c r="T312" i="1"/>
  <c r="T35" i="1" s="1"/>
  <c r="T287" i="1"/>
  <c r="U304" i="1" s="1"/>
  <c r="F44" i="2"/>
  <c r="C45" i="2"/>
  <c r="T45" i="2"/>
  <c r="V304" i="2"/>
  <c r="V311" i="2"/>
  <c r="Z347" i="2"/>
  <c r="X355" i="2"/>
  <c r="X363" i="2"/>
  <c r="X349" i="2"/>
  <c r="X352" i="2"/>
  <c r="U35" i="2"/>
  <c r="U288" i="2"/>
  <c r="U289" i="2" s="1"/>
  <c r="V371" i="2" s="1"/>
  <c r="V373" i="2" s="1"/>
  <c r="V33" i="2" s="1"/>
  <c r="V34" i="2" s="1"/>
  <c r="Z372" i="2"/>
  <c r="Y347" i="2"/>
  <c r="Y40" i="2"/>
  <c r="Y50" i="2" s="1"/>
  <c r="Z333" i="2"/>
  <c r="Z353" i="2" s="1"/>
  <c r="Y349" i="1"/>
  <c r="U311" i="1"/>
  <c r="X355" i="1"/>
  <c r="X363" i="1"/>
  <c r="Z347" i="1"/>
  <c r="Z40" i="1"/>
  <c r="Z50" i="1" s="1"/>
  <c r="X349" i="1"/>
  <c r="X352" i="1"/>
  <c r="F44" i="1"/>
  <c r="C45" i="1"/>
  <c r="Y333" i="1"/>
  <c r="Y352" i="1" s="1"/>
  <c r="S41" i="1"/>
  <c r="S42" i="1"/>
  <c r="S44" i="1" s="1"/>
  <c r="S47" i="1" s="1"/>
  <c r="S52" i="1" s="1"/>
  <c r="T288" i="1" l="1"/>
  <c r="T289" i="1" s="1"/>
  <c r="U371" i="1" s="1"/>
  <c r="U373" i="1" s="1"/>
  <c r="Y355" i="2"/>
  <c r="Y363" i="2"/>
  <c r="Z352" i="2"/>
  <c r="Z349" i="2"/>
  <c r="F45" i="2"/>
  <c r="C46" i="2"/>
  <c r="C47" i="2" s="1"/>
  <c r="Y352" i="2"/>
  <c r="Y349" i="2"/>
  <c r="V49" i="2"/>
  <c r="V309" i="2"/>
  <c r="V310" i="2" s="1"/>
  <c r="V307" i="2"/>
  <c r="U48" i="2"/>
  <c r="U36" i="2"/>
  <c r="U38" i="2" s="1"/>
  <c r="T47" i="2"/>
  <c r="T52" i="2" s="1"/>
  <c r="Z355" i="1"/>
  <c r="Z363" i="1"/>
  <c r="Z349" i="1"/>
  <c r="U49" i="1"/>
  <c r="U309" i="1"/>
  <c r="U310" i="1" s="1"/>
  <c r="U307" i="1"/>
  <c r="Y355" i="1"/>
  <c r="Y363" i="1"/>
  <c r="S68" i="1"/>
  <c r="S72" i="1"/>
  <c r="S56" i="1"/>
  <c r="S76" i="1"/>
  <c r="S60" i="1"/>
  <c r="S64" i="1"/>
  <c r="Z334" i="1"/>
  <c r="Z330" i="1" s="1"/>
  <c r="Y353" i="1"/>
  <c r="C46" i="1"/>
  <c r="C47" i="1" s="1"/>
  <c r="F45" i="1"/>
  <c r="T48" i="1"/>
  <c r="T36" i="1"/>
  <c r="T38" i="1" s="1"/>
  <c r="V312" i="2" l="1"/>
  <c r="U312" i="1"/>
  <c r="U35" i="1" s="1"/>
  <c r="U287" i="1"/>
  <c r="V304" i="1" s="1"/>
  <c r="V35" i="2"/>
  <c r="V288" i="2"/>
  <c r="U41" i="2"/>
  <c r="U42" i="2"/>
  <c r="U44" i="2" s="1"/>
  <c r="F47" i="2"/>
  <c r="C48" i="2"/>
  <c r="T76" i="2"/>
  <c r="T60" i="2"/>
  <c r="T64" i="2"/>
  <c r="T68" i="2"/>
  <c r="T56" i="2"/>
  <c r="T72" i="2"/>
  <c r="Z355" i="2"/>
  <c r="Z363" i="2"/>
  <c r="V287" i="2"/>
  <c r="U288" i="1"/>
  <c r="U289" i="1" s="1"/>
  <c r="V371" i="1" s="1"/>
  <c r="V373" i="1" s="1"/>
  <c r="Z333" i="1"/>
  <c r="T41" i="1"/>
  <c r="T42" i="1"/>
  <c r="T44" i="1" s="1"/>
  <c r="T47" i="1" s="1"/>
  <c r="T52" i="1" s="1"/>
  <c r="F47" i="1"/>
  <c r="C48" i="1"/>
  <c r="V311" i="1" l="1"/>
  <c r="F48" i="2"/>
  <c r="C49" i="2"/>
  <c r="U45" i="2"/>
  <c r="U47" i="2" s="1"/>
  <c r="U52" i="2" s="1"/>
  <c r="V289" i="2"/>
  <c r="W371" i="2" s="1"/>
  <c r="W373" i="2" s="1"/>
  <c r="W33" i="2" s="1"/>
  <c r="W34" i="2" s="1"/>
  <c r="W304" i="2"/>
  <c r="W311" i="2"/>
  <c r="V36" i="2"/>
  <c r="V38" i="2" s="1"/>
  <c r="V48" i="2"/>
  <c r="T72" i="1"/>
  <c r="T56" i="1"/>
  <c r="T76" i="1"/>
  <c r="T60" i="1"/>
  <c r="T64" i="1"/>
  <c r="T68" i="1"/>
  <c r="Z353" i="1"/>
  <c r="Z352" i="1"/>
  <c r="F48" i="1"/>
  <c r="C49" i="1"/>
  <c r="V49" i="1"/>
  <c r="V309" i="1"/>
  <c r="V307" i="1"/>
  <c r="U48" i="1"/>
  <c r="U36" i="1"/>
  <c r="U38" i="1" s="1"/>
  <c r="U64" i="2" l="1"/>
  <c r="U68" i="2"/>
  <c r="U72" i="2"/>
  <c r="U56" i="2"/>
  <c r="U76" i="2"/>
  <c r="U60" i="2"/>
  <c r="F49" i="2"/>
  <c r="C50" i="2"/>
  <c r="W49" i="2"/>
  <c r="W309" i="2"/>
  <c r="W310" i="2" s="1"/>
  <c r="W307" i="2"/>
  <c r="V41" i="2"/>
  <c r="V42" i="2"/>
  <c r="V44" i="2" s="1"/>
  <c r="F49" i="1"/>
  <c r="C50" i="1"/>
  <c r="V310" i="1"/>
  <c r="V312" i="1" s="1"/>
  <c r="V287" i="1"/>
  <c r="U41" i="1"/>
  <c r="U42" i="1"/>
  <c r="U44" i="1" s="1"/>
  <c r="U47" i="1" s="1"/>
  <c r="U52" i="1" s="1"/>
  <c r="W287" i="2" l="1"/>
  <c r="W312" i="2"/>
  <c r="W35" i="2" s="1"/>
  <c r="C51" i="2"/>
  <c r="C52" i="2" s="1"/>
  <c r="F50" i="2"/>
  <c r="V45" i="2"/>
  <c r="X304" i="2"/>
  <c r="X311" i="2"/>
  <c r="V35" i="1"/>
  <c r="V288" i="1"/>
  <c r="C51" i="1"/>
  <c r="C52" i="1" s="1"/>
  <c r="F50" i="1"/>
  <c r="U76" i="1"/>
  <c r="U60" i="1"/>
  <c r="U64" i="1"/>
  <c r="U68" i="1"/>
  <c r="U56" i="1"/>
  <c r="U72" i="1"/>
  <c r="V289" i="1"/>
  <c r="W371" i="1" s="1"/>
  <c r="W373" i="1" s="1"/>
  <c r="W304" i="1"/>
  <c r="W311" i="1"/>
  <c r="W288" i="2" l="1"/>
  <c r="W289" i="2" s="1"/>
  <c r="X371" i="2" s="1"/>
  <c r="X373" i="2" s="1"/>
  <c r="X33" i="2" s="1"/>
  <c r="X34" i="2" s="1"/>
  <c r="F52" i="2"/>
  <c r="B260" i="2" s="1"/>
  <c r="H260" i="2" s="1"/>
  <c r="C53" i="2"/>
  <c r="C182" i="2"/>
  <c r="X49" i="2"/>
  <c r="X309" i="2"/>
  <c r="X307" i="2"/>
  <c r="V47" i="2"/>
  <c r="V52" i="2" s="1"/>
  <c r="W48" i="2"/>
  <c r="W36" i="2"/>
  <c r="W38" i="2" s="1"/>
  <c r="F52" i="1"/>
  <c r="B260" i="1" s="1"/>
  <c r="H260" i="1" s="1"/>
  <c r="C53" i="1"/>
  <c r="C182" i="1"/>
  <c r="W49" i="1"/>
  <c r="W309" i="1"/>
  <c r="W307" i="1"/>
  <c r="V48" i="1"/>
  <c r="V36" i="1"/>
  <c r="V38" i="1" s="1"/>
  <c r="W42" i="2" l="1"/>
  <c r="W44" i="2" s="1"/>
  <c r="W41" i="2"/>
  <c r="X310" i="2"/>
  <c r="X312" i="2" s="1"/>
  <c r="X287" i="2"/>
  <c r="C183" i="2"/>
  <c r="F53" i="2"/>
  <c r="C54" i="2"/>
  <c r="V68" i="2"/>
  <c r="V72" i="2"/>
  <c r="V56" i="2"/>
  <c r="V76" i="2"/>
  <c r="V60" i="2"/>
  <c r="V64" i="2"/>
  <c r="W310" i="1"/>
  <c r="W312" i="1" s="1"/>
  <c r="W287" i="1"/>
  <c r="C183" i="1"/>
  <c r="V42" i="1"/>
  <c r="V44" i="1" s="1"/>
  <c r="V47" i="1" s="1"/>
  <c r="V52" i="1" s="1"/>
  <c r="V41" i="1"/>
  <c r="F53" i="1"/>
  <c r="C54" i="1"/>
  <c r="X35" i="2" l="1"/>
  <c r="X288" i="2"/>
  <c r="X289" i="2" s="1"/>
  <c r="Y371" i="2" s="1"/>
  <c r="Y373" i="2" s="1"/>
  <c r="Y33" i="2" s="1"/>
  <c r="Y34" i="2" s="1"/>
  <c r="W45" i="2"/>
  <c r="Y304" i="2"/>
  <c r="Y311" i="2"/>
  <c r="C184" i="2"/>
  <c r="C55" i="2"/>
  <c r="C56" i="2" s="1"/>
  <c r="F54" i="2"/>
  <c r="B261" i="2" s="1"/>
  <c r="H261" i="2" s="1"/>
  <c r="W35" i="1"/>
  <c r="W288" i="1"/>
  <c r="V64" i="1"/>
  <c r="V68" i="1"/>
  <c r="V72" i="1"/>
  <c r="V56" i="1"/>
  <c r="V76" i="1"/>
  <c r="V60" i="1"/>
  <c r="C184" i="1"/>
  <c r="W289" i="1"/>
  <c r="X371" i="1" s="1"/>
  <c r="X373" i="1" s="1"/>
  <c r="X304" i="1"/>
  <c r="X311" i="1"/>
  <c r="C55" i="1"/>
  <c r="C56" i="1" s="1"/>
  <c r="F54" i="1"/>
  <c r="F56" i="2" l="1"/>
  <c r="C57" i="2"/>
  <c r="C58" i="2" s="1"/>
  <c r="C185" i="2"/>
  <c r="X48" i="2"/>
  <c r="X36" i="2"/>
  <c r="X38" i="2" s="1"/>
  <c r="Y49" i="2"/>
  <c r="Y309" i="2"/>
  <c r="Y310" i="2" s="1"/>
  <c r="Y307" i="2"/>
  <c r="W47" i="2"/>
  <c r="W52" i="2" s="1"/>
  <c r="F56" i="1"/>
  <c r="C57" i="1"/>
  <c r="C58" i="1" s="1"/>
  <c r="C185" i="1"/>
  <c r="W48" i="1"/>
  <c r="W36" i="1"/>
  <c r="W38" i="1" s="1"/>
  <c r="X49" i="1"/>
  <c r="X309" i="1"/>
  <c r="X307" i="1"/>
  <c r="Y312" i="2" l="1"/>
  <c r="Y35" i="2"/>
  <c r="Y288" i="2"/>
  <c r="C59" i="2"/>
  <c r="C60" i="2" s="1"/>
  <c r="F58" i="2"/>
  <c r="B262" i="2" s="1"/>
  <c r="H262" i="2" s="1"/>
  <c r="W72" i="2"/>
  <c r="W56" i="2"/>
  <c r="W76" i="2"/>
  <c r="W60" i="2"/>
  <c r="W64" i="2"/>
  <c r="W68" i="2"/>
  <c r="X41" i="2"/>
  <c r="X42" i="2"/>
  <c r="X44" i="2" s="1"/>
  <c r="C186" i="2"/>
  <c r="C187" i="2" s="1"/>
  <c r="C188" i="2" s="1"/>
  <c r="C189" i="2" s="1"/>
  <c r="C190" i="2" s="1"/>
  <c r="C191" i="2" s="1"/>
  <c r="Y287" i="2"/>
  <c r="W41" i="1"/>
  <c r="W42" i="1"/>
  <c r="W44" i="1" s="1"/>
  <c r="W47" i="1" s="1"/>
  <c r="W52" i="1" s="1"/>
  <c r="X310" i="1"/>
  <c r="X312" i="1" s="1"/>
  <c r="X287" i="1"/>
  <c r="C59" i="1"/>
  <c r="C60" i="1" s="1"/>
  <c r="F58" i="1"/>
  <c r="C186" i="1"/>
  <c r="C187" i="1" s="1"/>
  <c r="C188" i="1" s="1"/>
  <c r="C189" i="1" s="1"/>
  <c r="C190" i="1" s="1"/>
  <c r="C191" i="1" s="1"/>
  <c r="C192" i="2" l="1"/>
  <c r="C193" i="2" s="1"/>
  <c r="F60" i="2"/>
  <c r="C61" i="2"/>
  <c r="C62" i="2" s="1"/>
  <c r="X45" i="2"/>
  <c r="Y289" i="2"/>
  <c r="Z371" i="2" s="1"/>
  <c r="Z373" i="2" s="1"/>
  <c r="Z33" i="2" s="1"/>
  <c r="Z34" i="2" s="1"/>
  <c r="Z304" i="2"/>
  <c r="Z311" i="2"/>
  <c r="Y48" i="2"/>
  <c r="Y36" i="2"/>
  <c r="Y38" i="2" s="1"/>
  <c r="F60" i="1"/>
  <c r="C61" i="1"/>
  <c r="C62" i="1" s="1"/>
  <c r="W68" i="1"/>
  <c r="W72" i="1"/>
  <c r="W56" i="1"/>
  <c r="W76" i="1"/>
  <c r="W60" i="1"/>
  <c r="W64" i="1"/>
  <c r="C192" i="1"/>
  <c r="C193" i="1" s="1"/>
  <c r="Y304" i="1"/>
  <c r="Y311" i="1"/>
  <c r="X35" i="1"/>
  <c r="X288" i="1"/>
  <c r="C63" i="2" l="1"/>
  <c r="C64" i="2" s="1"/>
  <c r="F62" i="2"/>
  <c r="X47" i="2"/>
  <c r="X52" i="2" s="1"/>
  <c r="Y41" i="2"/>
  <c r="Y42" i="2"/>
  <c r="Y44" i="2" s="1"/>
  <c r="Z49" i="2"/>
  <c r="Z309" i="2"/>
  <c r="Z310" i="2" s="1"/>
  <c r="Z307" i="2"/>
  <c r="C194" i="2"/>
  <c r="Y49" i="1"/>
  <c r="Y309" i="1"/>
  <c r="Y310" i="1" s="1"/>
  <c r="Y307" i="1"/>
  <c r="X289" i="1"/>
  <c r="Y371" i="1" s="1"/>
  <c r="Y373" i="1" s="1"/>
  <c r="X48" i="1"/>
  <c r="X36" i="1"/>
  <c r="X38" i="1" s="1"/>
  <c r="C63" i="1"/>
  <c r="C64" i="1" s="1"/>
  <c r="F62" i="1"/>
  <c r="C194" i="1"/>
  <c r="Y312" i="1" l="1"/>
  <c r="Y35" i="1" s="1"/>
  <c r="Z312" i="2"/>
  <c r="Z288" i="2" s="1"/>
  <c r="C195" i="2"/>
  <c r="Y45" i="2"/>
  <c r="F64" i="2"/>
  <c r="C65" i="2"/>
  <c r="C66" i="2" s="1"/>
  <c r="X76" i="2"/>
  <c r="X60" i="2"/>
  <c r="X64" i="2"/>
  <c r="X68" i="2"/>
  <c r="X56" i="2"/>
  <c r="X72" i="2"/>
  <c r="Z287" i="2"/>
  <c r="C195" i="1"/>
  <c r="F64" i="1"/>
  <c r="C65" i="1"/>
  <c r="C66" i="1" s="1"/>
  <c r="X41" i="1"/>
  <c r="X42" i="1"/>
  <c r="X44" i="1" s="1"/>
  <c r="X47" i="1" s="1"/>
  <c r="X52" i="1" s="1"/>
  <c r="Y287" i="1"/>
  <c r="Z35" i="2" l="1"/>
  <c r="Y288" i="1"/>
  <c r="Y289" i="1" s="1"/>
  <c r="Z371" i="1" s="1"/>
  <c r="Z373" i="1" s="1"/>
  <c r="Y47" i="2"/>
  <c r="Y52" i="2" s="1"/>
  <c r="Y64" i="2" s="1"/>
  <c r="C67" i="2"/>
  <c r="C68" i="2" s="1"/>
  <c r="F66" i="2"/>
  <c r="Z289" i="2"/>
  <c r="Z36" i="2"/>
  <c r="Z38" i="2" s="1"/>
  <c r="Z48" i="2"/>
  <c r="Y48" i="1"/>
  <c r="Y36" i="1"/>
  <c r="Y38" i="1" s="1"/>
  <c r="C67" i="1"/>
  <c r="C68" i="1" s="1"/>
  <c r="F66" i="1"/>
  <c r="Z304" i="1"/>
  <c r="Z311" i="1"/>
  <c r="X72" i="1"/>
  <c r="X56" i="1"/>
  <c r="X76" i="1"/>
  <c r="X60" i="1"/>
  <c r="X64" i="1"/>
  <c r="X68" i="1"/>
  <c r="Y56" i="2" l="1"/>
  <c r="Y72" i="2"/>
  <c r="Y76" i="2"/>
  <c r="Y68" i="2"/>
  <c r="Y60" i="2"/>
  <c r="F68" i="2"/>
  <c r="C69" i="2"/>
  <c r="C70" i="2" s="1"/>
  <c r="Z41" i="2"/>
  <c r="Z42" i="2"/>
  <c r="F68" i="1"/>
  <c r="C69" i="1"/>
  <c r="C70" i="1" s="1"/>
  <c r="Y41" i="1"/>
  <c r="Y42" i="1"/>
  <c r="Y44" i="1" s="1"/>
  <c r="Y47" i="1" s="1"/>
  <c r="Y52" i="1" s="1"/>
  <c r="Z49" i="1"/>
  <c r="Z309" i="1"/>
  <c r="Z310" i="1" s="1"/>
  <c r="Z307" i="1"/>
  <c r="Z312" i="1" l="1"/>
  <c r="Z35" i="1" s="1"/>
  <c r="AD149" i="2"/>
  <c r="AD83" i="2"/>
  <c r="AD116" i="2"/>
  <c r="AD132" i="2" s="1"/>
  <c r="S131" i="2" s="1"/>
  <c r="U131" i="2" s="1"/>
  <c r="Z44" i="2"/>
  <c r="C71" i="2"/>
  <c r="C72" i="2" s="1"/>
  <c r="F70" i="2"/>
  <c r="AD117" i="2"/>
  <c r="AD133" i="2" s="1"/>
  <c r="S132" i="2" s="1"/>
  <c r="U132" i="2" s="1"/>
  <c r="AD84" i="2"/>
  <c r="AD150" i="2"/>
  <c r="Y76" i="1"/>
  <c r="Y60" i="1"/>
  <c r="Y64" i="1"/>
  <c r="Y68" i="1"/>
  <c r="Y56" i="1"/>
  <c r="Y72" i="1"/>
  <c r="C71" i="1"/>
  <c r="C72" i="1" s="1"/>
  <c r="F70" i="1"/>
  <c r="Z287" i="1"/>
  <c r="Z288" i="1" l="1"/>
  <c r="Z289" i="1" s="1"/>
  <c r="Z45" i="2"/>
  <c r="U133" i="2"/>
  <c r="U135" i="2" s="1"/>
  <c r="AD99" i="2"/>
  <c r="S98" i="2" s="1"/>
  <c r="U98" i="2" s="1"/>
  <c r="S82" i="2"/>
  <c r="U82" i="2" s="1"/>
  <c r="AD100" i="2"/>
  <c r="S99" i="2" s="1"/>
  <c r="U99" i="2" s="1"/>
  <c r="S83" i="2"/>
  <c r="U83" i="2" s="1"/>
  <c r="AD166" i="2"/>
  <c r="S165" i="2" s="1"/>
  <c r="U165" i="2" s="1"/>
  <c r="S149" i="2"/>
  <c r="U149" i="2" s="1"/>
  <c r="F72" i="2"/>
  <c r="C73" i="2"/>
  <c r="C74" i="2" s="1"/>
  <c r="AD165" i="2"/>
  <c r="S164" i="2" s="1"/>
  <c r="U164" i="2" s="1"/>
  <c r="U166" i="2" s="1"/>
  <c r="U168" i="2" s="1"/>
  <c r="S148" i="2"/>
  <c r="U148" i="2" s="1"/>
  <c r="U150" i="2" s="1"/>
  <c r="U152" i="2" s="1"/>
  <c r="B261" i="1"/>
  <c r="H261" i="1" s="1"/>
  <c r="B262" i="1"/>
  <c r="H262" i="1" s="1"/>
  <c r="F72" i="1"/>
  <c r="C73" i="1"/>
  <c r="C74" i="1" s="1"/>
  <c r="Z48" i="1"/>
  <c r="Z36" i="1"/>
  <c r="Z38" i="1" s="1"/>
  <c r="U100" i="2" l="1"/>
  <c r="U102" i="2" s="1"/>
  <c r="C75" i="2"/>
  <c r="C76" i="2" s="1"/>
  <c r="F76" i="2" s="1"/>
  <c r="F74" i="2"/>
  <c r="U84" i="2"/>
  <c r="U86" i="2" s="1"/>
  <c r="Z47" i="2"/>
  <c r="Z52" i="2" s="1"/>
  <c r="C75" i="1"/>
  <c r="C76" i="1" s="1"/>
  <c r="F76" i="1" s="1"/>
  <c r="F74" i="1"/>
  <c r="Z42" i="1"/>
  <c r="Z41" i="1"/>
  <c r="Z68" i="2" l="1"/>
  <c r="AB68" i="2" s="1"/>
  <c r="Z72" i="2"/>
  <c r="AB72" i="2" s="1"/>
  <c r="Z56" i="2"/>
  <c r="AB56" i="2" s="1"/>
  <c r="Z76" i="2"/>
  <c r="AB76" i="2" s="1"/>
  <c r="Z60" i="2"/>
  <c r="AB60" i="2" s="1"/>
  <c r="AB52" i="2"/>
  <c r="Z64" i="2"/>
  <c r="AB64" i="2" s="1"/>
  <c r="AD116" i="1"/>
  <c r="AD132" i="1" s="1"/>
  <c r="S131" i="1" s="1"/>
  <c r="U131" i="1" s="1"/>
  <c r="AD83" i="1"/>
  <c r="AD149" i="1"/>
  <c r="Z44" i="1"/>
  <c r="Z47" i="1" s="1"/>
  <c r="Z52" i="1" s="1"/>
  <c r="AD84" i="1"/>
  <c r="AD117" i="1"/>
  <c r="AD133" i="1" s="1"/>
  <c r="S132" i="1" s="1"/>
  <c r="U132" i="1" s="1"/>
  <c r="AD150" i="1"/>
  <c r="AB122" i="2" l="1"/>
  <c r="AB89" i="2"/>
  <c r="AB132" i="2"/>
  <c r="T115" i="2" s="1"/>
  <c r="T117" i="2" s="1"/>
  <c r="T119" i="2" s="1"/>
  <c r="AB116" i="2"/>
  <c r="N115" i="2" s="1"/>
  <c r="N117" i="2" s="1"/>
  <c r="N119" i="2" s="1"/>
  <c r="AB165" i="2"/>
  <c r="N164" i="2" s="1"/>
  <c r="N166" i="2" s="1"/>
  <c r="N168" i="2" s="1"/>
  <c r="AB149" i="2"/>
  <c r="N148" i="2" s="1"/>
  <c r="N150" i="2" s="1"/>
  <c r="N152" i="2" s="1"/>
  <c r="AB99" i="2"/>
  <c r="N98" i="2" s="1"/>
  <c r="N100" i="2" s="1"/>
  <c r="N102" i="2" s="1"/>
  <c r="AB83" i="2"/>
  <c r="N82" i="2" s="1"/>
  <c r="N84" i="2" s="1"/>
  <c r="N86" i="2" s="1"/>
  <c r="AB171" i="2"/>
  <c r="AB155" i="2"/>
  <c r="AB105" i="2"/>
  <c r="AB138" i="2"/>
  <c r="Z64" i="1"/>
  <c r="AB64" i="1" s="1"/>
  <c r="AB52" i="1"/>
  <c r="Z68" i="1"/>
  <c r="AB68" i="1" s="1"/>
  <c r="Z72" i="1"/>
  <c r="AB72" i="1" s="1"/>
  <c r="Z56" i="1"/>
  <c r="AB56" i="1" s="1"/>
  <c r="Z60" i="1"/>
  <c r="AB60" i="1" s="1"/>
  <c r="Z76" i="1"/>
  <c r="AB76" i="1" s="1"/>
  <c r="AD166" i="1"/>
  <c r="S165" i="1" s="1"/>
  <c r="U165" i="1" s="1"/>
  <c r="S149" i="1"/>
  <c r="U149" i="1" s="1"/>
  <c r="AD165" i="1"/>
  <c r="S164" i="1" s="1"/>
  <c r="U164" i="1" s="1"/>
  <c r="S148" i="1"/>
  <c r="U148" i="1" s="1"/>
  <c r="S82" i="1"/>
  <c r="U82" i="1" s="1"/>
  <c r="AD99" i="1"/>
  <c r="S98" i="1" s="1"/>
  <c r="U98" i="1" s="1"/>
  <c r="AD100" i="1"/>
  <c r="S99" i="1" s="1"/>
  <c r="U99" i="1" s="1"/>
  <c r="S83" i="1"/>
  <c r="U83" i="1" s="1"/>
  <c r="U133" i="1"/>
  <c r="U135" i="1" s="1"/>
  <c r="U150" i="1" l="1"/>
  <c r="U152" i="1" s="1"/>
  <c r="U84" i="1"/>
  <c r="U86" i="1" s="1"/>
  <c r="U137" i="2"/>
  <c r="U139" i="2" s="1"/>
  <c r="AD138" i="2"/>
  <c r="T121" i="2"/>
  <c r="T123" i="2" s="1"/>
  <c r="U88" i="2"/>
  <c r="U90" i="2" s="1"/>
  <c r="N88" i="2"/>
  <c r="N90" i="2"/>
  <c r="N104" i="2"/>
  <c r="N106" i="2" s="1"/>
  <c r="U104" i="2"/>
  <c r="U106" i="2" s="1"/>
  <c r="AD155" i="2"/>
  <c r="U154" i="2" s="1"/>
  <c r="U156" i="2" s="1"/>
  <c r="N154" i="2"/>
  <c r="N156" i="2" s="1"/>
  <c r="AD171" i="2"/>
  <c r="U170" i="2" s="1"/>
  <c r="U172" i="2" s="1"/>
  <c r="N170" i="2"/>
  <c r="N172" i="2" s="1"/>
  <c r="AD122" i="2"/>
  <c r="N121" i="2"/>
  <c r="N123" i="2" s="1"/>
  <c r="U166" i="1"/>
  <c r="U168" i="1" s="1"/>
  <c r="AB105" i="1"/>
  <c r="AB138" i="1"/>
  <c r="AB149" i="1"/>
  <c r="N148" i="1" s="1"/>
  <c r="N150" i="1" s="1"/>
  <c r="N152" i="1" s="1"/>
  <c r="AB165" i="1"/>
  <c r="N164" i="1" s="1"/>
  <c r="N166" i="1" s="1"/>
  <c r="N168" i="1" s="1"/>
  <c r="AB132" i="1"/>
  <c r="T115" i="1" s="1"/>
  <c r="T117" i="1" s="1"/>
  <c r="T119" i="1" s="1"/>
  <c r="AB116" i="1"/>
  <c r="N115" i="1" s="1"/>
  <c r="N117" i="1" s="1"/>
  <c r="N119" i="1" s="1"/>
  <c r="AB99" i="1"/>
  <c r="N98" i="1" s="1"/>
  <c r="N100" i="1" s="1"/>
  <c r="N102" i="1" s="1"/>
  <c r="AB83" i="1"/>
  <c r="N82" i="1" s="1"/>
  <c r="N84" i="1" s="1"/>
  <c r="N86" i="1" s="1"/>
  <c r="AB171" i="1"/>
  <c r="AB155" i="1"/>
  <c r="U100" i="1"/>
  <c r="U102" i="1" s="1"/>
  <c r="AB122" i="1"/>
  <c r="AB89" i="1"/>
  <c r="AD122" i="1" l="1"/>
  <c r="N121" i="1"/>
  <c r="N104" i="1"/>
  <c r="N106" i="1" s="1"/>
  <c r="U104" i="1"/>
  <c r="U106" i="1" s="1"/>
  <c r="AD155" i="1"/>
  <c r="U154" i="1" s="1"/>
  <c r="U156" i="1" s="1"/>
  <c r="N154" i="1"/>
  <c r="N156" i="1" s="1"/>
  <c r="U88" i="1"/>
  <c r="U90" i="1" s="1"/>
  <c r="N88" i="1"/>
  <c r="N90" i="1" s="1"/>
  <c r="AD171" i="1"/>
  <c r="U170" i="1" s="1"/>
  <c r="U172" i="1" s="1"/>
  <c r="N170" i="1"/>
  <c r="N172" i="1" s="1"/>
  <c r="N123" i="1"/>
  <c r="AD138" i="1"/>
  <c r="U137" i="1"/>
  <c r="U139" i="1" s="1"/>
  <c r="T121" i="1"/>
  <c r="T123" i="1" s="1"/>
</calcChain>
</file>

<file path=xl/sharedStrings.xml><?xml version="1.0" encoding="utf-8"?>
<sst xmlns="http://schemas.openxmlformats.org/spreadsheetml/2006/main" count="1992" uniqueCount="185">
  <si>
    <t>A-Rated Rev Bonds</t>
  </si>
  <si>
    <t>Corporate Discount - Low</t>
  </si>
  <si>
    <t>OUT</t>
  </si>
  <si>
    <t>Corporate Discount - High</t>
  </si>
  <si>
    <t>EBIT</t>
  </si>
  <si>
    <t>Double check dat entered</t>
  </si>
  <si>
    <t>IOU</t>
  </si>
  <si>
    <t>EBITDA</t>
  </si>
  <si>
    <t>MUNI</t>
  </si>
  <si>
    <t>Risk Adjustment</t>
  </si>
  <si>
    <t>Risk Adj EBIT</t>
  </si>
  <si>
    <t>Risk Adj EBITDA</t>
  </si>
  <si>
    <t>Who is investor?</t>
  </si>
  <si>
    <t>GROWTH</t>
  </si>
  <si>
    <t>flag</t>
  </si>
  <si>
    <t>Income Approach</t>
  </si>
  <si>
    <t>DCF With Capitalization of Terminal Value Model and</t>
  </si>
  <si>
    <t>HIDE</t>
  </si>
  <si>
    <t>footnote</t>
  </si>
  <si>
    <t xml:space="preserve"> Estimated</t>
  </si>
  <si>
    <t>Actual</t>
  </si>
  <si>
    <t>not used</t>
  </si>
  <si>
    <t>OPERATING REVENUES</t>
  </si>
  <si>
    <t>Charges for services</t>
  </si>
  <si>
    <t>Other operating income</t>
  </si>
  <si>
    <t>Other (Rate Increase)</t>
  </si>
  <si>
    <t>Total Operating Revenues</t>
  </si>
  <si>
    <t>Rate Increase</t>
  </si>
  <si>
    <t>OPERATING EXPENSES</t>
  </si>
  <si>
    <t>Increase in Expense</t>
  </si>
  <si>
    <t>Operating &amp; Maintenance Expenses</t>
  </si>
  <si>
    <t>Remove Economies of Scale</t>
  </si>
  <si>
    <t>LESS: EOS - Wages &amp; Benefits</t>
  </si>
  <si>
    <t>Wages &amp; Benefits</t>
  </si>
  <si>
    <t>15% savings</t>
  </si>
  <si>
    <t>LESS: EOS - Professional Services</t>
  </si>
  <si>
    <t>Net Professional Services</t>
  </si>
  <si>
    <t>50% savings</t>
  </si>
  <si>
    <t>LESS: EOS - Utilities</t>
  </si>
  <si>
    <t>Utilities</t>
  </si>
  <si>
    <t>10% savings</t>
  </si>
  <si>
    <t>ADD: PURTA &amp; Reg Assessment</t>
  </si>
  <si>
    <t>Operating Expenses Before Depreciation</t>
  </si>
  <si>
    <t>Depreciation</t>
  </si>
  <si>
    <t>Total Operating Expenses</t>
  </si>
  <si>
    <t>Operating Income</t>
  </si>
  <si>
    <t>Revenues</t>
  </si>
  <si>
    <t>(-)  Income Taxes</t>
  </si>
  <si>
    <t>Debt Free Net Income</t>
  </si>
  <si>
    <t>(+) Depreciation &amp; Amortization</t>
  </si>
  <si>
    <t>(-)  Capital Expenditures</t>
  </si>
  <si>
    <t>(-)  Changes in Working Capital</t>
  </si>
  <si>
    <t>Debt Free Net Cash Flow</t>
  </si>
  <si>
    <t>PV Time Period (mid-year)</t>
  </si>
  <si>
    <t>(8)</t>
  </si>
  <si>
    <t>Present Value Debt Free Net Cash Flow</t>
  </si>
  <si>
    <t>(9)</t>
  </si>
  <si>
    <t>See last page of this EXHIBIT for notes and assumptions.</t>
  </si>
  <si>
    <t>BASE IOU</t>
  </si>
  <si>
    <t>Terminal</t>
  </si>
  <si>
    <t>Value</t>
  </si>
  <si>
    <t>Projected EBIT</t>
  </si>
  <si>
    <t>Projected Debt Free Net Cash Flow</t>
  </si>
  <si>
    <t>Projected EBITDA</t>
  </si>
  <si>
    <t>Divided by Capitalization Factor</t>
  </si>
  <si>
    <t>Weighted (1/3 EBIT 2/3 EBITDA) Terminal Value</t>
  </si>
  <si>
    <t>Present Value of Terminal Value</t>
  </si>
  <si>
    <t>Present Value Debt Free Net</t>
  </si>
  <si>
    <t>Indicated Value</t>
  </si>
  <si>
    <t>BASE IOU W/ GROWTH</t>
  </si>
  <si>
    <t>12th Year Present Value Factor</t>
  </si>
  <si>
    <t>Multiples(13)</t>
  </si>
  <si>
    <t>See EXHIBIT 4 for notes and assumptions.</t>
  </si>
  <si>
    <t>BASE MUNI</t>
  </si>
  <si>
    <t>x</t>
  </si>
  <si>
    <t>BASE MUNI W/ GROWTH</t>
  </si>
  <si>
    <t>41.86 &amp; 13</t>
  </si>
  <si>
    <t>Capitalization Factor:</t>
  </si>
  <si>
    <t>note</t>
  </si>
  <si>
    <t>Notes:  (1)</t>
  </si>
  <si>
    <t>Assumptions:</t>
  </si>
  <si>
    <t>Charges for services - Pre-2019 are actual or budget. Post-2018 based on customer growth (EDU) and average revenue per customer.</t>
  </si>
  <si>
    <t>Tap Fees - Pre-2017 are actuals. Post-2016 based on Engineers Assessment, 2017 - 2021.</t>
  </si>
  <si>
    <t>Charges for services - Pre-2019 are actual 2016 adjusted for June 2017 rate increase. Post-2018 based on customer growth (EDU) and average revenue per customer.  Rate increases (Other rate increase line item) are added year after they occur.</t>
  </si>
  <si>
    <t xml:space="preserve">Tap Fees - Pre-2017 are actuals. Post-2016 based on Engineers Assessment, 2017 - 2021.  No tap fees post-2017 with assumed purchase by IOU in 2017. </t>
  </si>
  <si>
    <t>Other (Rate Increase) - Assumed purchase by IOU at end of 2018.  2021 assumed 26.25% rate increase so EBIT is 10.2% of investor's capital (similar to IOU water industry). Begining in 2024 assumes 3.1% rate increase every 3 years to account for expense increases (2%) less growth in customers.  Rate increases are added into charges for services year after they occur.</t>
  </si>
  <si>
    <t>Tap Fees - Pre-2018 are actuals. Post-2017 based on Engineers Assessment, 2018 - 2022, and new EDUs @ current EDU rate.</t>
  </si>
  <si>
    <t>Other (Rate Increase) - Assumed purchase by MUNI at end of 2018.  2021 assumed 10.5% rate increase so operating income is 5.2% of Net Property, Plant &amp; Equipment (Similar to large MUNIs). 2024 assumes 3.75% rate increase every 3 years to account for increase to account for expense increases (2%) less growth in customers (EDU).  Rate increases are added into charges for services year after they occur.</t>
  </si>
  <si>
    <t>OPERATING EXPENSES - increase at 2% annually after 2016 unless noted elsewhere. Assumed economies of scale are shown on lines below.</t>
  </si>
  <si>
    <t>Wages &amp; Benefits - Post-2018 assumed 15% savings due to economies of scale. Increase at 2% afterwards.</t>
  </si>
  <si>
    <t>Net Professional Services - Post-2018 assumed 50% savings due to economies of scale. Increase at 2% afterwards.</t>
  </si>
  <si>
    <t>Utilities - Post-2018 assumed 10% savings due to economies of scale. Increase at 2% afterwards.</t>
  </si>
  <si>
    <t>PURTA &amp; Reg Assessment - 2019 assumed due to IOU purchase at the end of 2018.</t>
  </si>
  <si>
    <t>Wastewater treatment services - Subsequent to 2014 an annual 2% rate increase assumed along with a 1% annual growth in flows.</t>
  </si>
  <si>
    <t>Depreciation - 2017 based on 2016 depreciation rate plus same rate on half of CAPX. Post-2017 based on OCNLD depreciation rate plus same rate on half of CAPX.</t>
  </si>
  <si>
    <t>keep</t>
  </si>
  <si>
    <t>Changes in Working Capital - based on water industry -1.19% of revenues.</t>
  </si>
  <si>
    <t>Capitalization rate, "K", at 4/30/2018 adjusted for stated growth, "g", where capitalization rate  = K - g.</t>
  </si>
  <si>
    <r>
      <t>Line 29 ÷</t>
    </r>
    <r>
      <rPr>
        <sz val="6"/>
        <color theme="1"/>
        <rFont val="Times New Roman"/>
        <family val="1"/>
      </rPr>
      <t xml:space="preserve"> </t>
    </r>
    <r>
      <rPr>
        <sz val="10"/>
        <color theme="1"/>
        <rFont val="Times New Roman"/>
        <family val="1"/>
      </rPr>
      <t xml:space="preserve"> Line 30.</t>
    </r>
  </si>
  <si>
    <t>Discount rate is the current lower end of the IOU discount rate.  Capitalization rate, "K", at 4/30/2018 adjusted for stated growth, "g", where capitalization rate  = K - g.</t>
  </si>
  <si>
    <t>Discount rate is the current upper end of the IOU discount rate.  Capitalization rate, "K", at 4/30/2018 adjusted for stated growth, "g", where capitalization rate  = K - g.</t>
  </si>
  <si>
    <t>Discount rate is the current MUNI discount rate.  Capitalization rate, "K", at 4/30/2018 equal to discount rate, where capitalization rate  = K - g.</t>
  </si>
  <si>
    <t>Discount rate is the current MUNI discount rate.  Capitalization rate, "K", at 4/30/2018 adjusted for stated growth, "g", where capitalization rate  = K - g.</t>
  </si>
  <si>
    <t>Developed on Market Multiples EXHIBIT 14.</t>
  </si>
  <si>
    <t>Debt Free Net Cash Flow adjusted for normalized tap fee where normalized tap fee is average 2013 -2017 tap fee.</t>
  </si>
  <si>
    <t>Terms:</t>
  </si>
  <si>
    <t>CAPX - Capital Expenditures</t>
  </si>
  <si>
    <t>CIP - Capital improvement plan</t>
  </si>
  <si>
    <t>Dep - Depreciation expense</t>
  </si>
  <si>
    <t>GROSS PPE - GROSS Property, plant and equipment</t>
  </si>
  <si>
    <t>IOU - Investor owned utility</t>
  </si>
  <si>
    <t>MUNI - Large regional municipally owned utility</t>
  </si>
  <si>
    <t>NET PPE - NET Property, plant and equipment</t>
  </si>
  <si>
    <t>TWP - Township</t>
  </si>
  <si>
    <t>WORKING NOTES</t>
  </si>
  <si>
    <t xml:space="preserve">GROSS Property, plant and equipment </t>
  </si>
  <si>
    <t>Accumulated Depreciation</t>
  </si>
  <si>
    <t>NET PPE</t>
  </si>
  <si>
    <t>Total Debt</t>
  </si>
  <si>
    <t>Net Equity</t>
  </si>
  <si>
    <t xml:space="preserve"> Investor Provided Capital</t>
  </si>
  <si>
    <t>Depreciation / GROSS PPE</t>
  </si>
  <si>
    <t>Muni CAPX</t>
  </si>
  <si>
    <t>IOU savings</t>
  </si>
  <si>
    <t>CAPX/Prior Yr. GROSS PPE</t>
  </si>
  <si>
    <t>CAPX</t>
  </si>
  <si>
    <t>Dep rate</t>
  </si>
  <si>
    <t>Half yr. Dep</t>
  </si>
  <si>
    <t>Dep on CAPX</t>
  </si>
  <si>
    <t>Rate of retirement</t>
  </si>
  <si>
    <t>Retired property</t>
  </si>
  <si>
    <t>Dep on Retired property</t>
  </si>
  <si>
    <t>Dep on Prior yr. GROSS</t>
  </si>
  <si>
    <t>Total Dep</t>
  </si>
  <si>
    <t>Depreciation Expense</t>
  </si>
  <si>
    <t>PURTA</t>
  </si>
  <si>
    <t>Rev</t>
  </si>
  <si>
    <t>Reg Assessment Fee</t>
  </si>
  <si>
    <t>CIP</t>
  </si>
  <si>
    <t>2016 Oc adds</t>
  </si>
  <si>
    <t>2017-2020 CIP</t>
  </si>
  <si>
    <t>Sewer Rental Charges</t>
  </si>
  <si>
    <t>EDUs</t>
  </si>
  <si>
    <t>C</t>
  </si>
  <si>
    <t>E</t>
  </si>
  <si>
    <t>Customer Growth</t>
  </si>
  <si>
    <t>Delivered to Customer</t>
  </si>
  <si>
    <t>Customers</t>
  </si>
  <si>
    <r>
      <rPr>
        <b/>
        <sz val="10"/>
        <color theme="1"/>
        <rFont val="Times New Roman"/>
        <family val="1"/>
      </rPr>
      <t xml:space="preserve">Total </t>
    </r>
    <r>
      <rPr>
        <sz val="10"/>
        <color theme="1"/>
        <rFont val="Times New Roman"/>
        <family val="1"/>
      </rPr>
      <t>Revenue (Less TAP)</t>
    </r>
  </si>
  <si>
    <t>avg CUST rev</t>
  </si>
  <si>
    <t>avg CUST flow</t>
  </si>
  <si>
    <t>avg EDU rev</t>
  </si>
  <si>
    <t>avg EDU flow</t>
  </si>
  <si>
    <t>Rev Calculated</t>
  </si>
  <si>
    <t>Change</t>
  </si>
  <si>
    <t>3rd</t>
  </si>
  <si>
    <t>Prior yr</t>
  </si>
  <si>
    <t>NET</t>
  </si>
  <si>
    <t>REV</t>
  </si>
  <si>
    <t>Reg Assessment</t>
  </si>
  <si>
    <t>Investor Provided Capital</t>
  </si>
  <si>
    <t>Gross PP&amp;E</t>
  </si>
  <si>
    <t>Net PP&amp;E</t>
  </si>
  <si>
    <t>Population</t>
  </si>
  <si>
    <t>G PPE</t>
  </si>
  <si>
    <t>NPPE</t>
  </si>
  <si>
    <t>Cust</t>
  </si>
  <si>
    <t>Mahoning</t>
  </si>
  <si>
    <t>Pay</t>
  </si>
  <si>
    <t>Payroll and Benefits</t>
  </si>
  <si>
    <t>utilities</t>
  </si>
  <si>
    <t>Telephone</t>
  </si>
  <si>
    <t>services</t>
  </si>
  <si>
    <t>Professional Fees</t>
  </si>
  <si>
    <t>Outside Services</t>
  </si>
  <si>
    <t>Engineering Fees</t>
  </si>
  <si>
    <t>Reported CAPX</t>
  </si>
  <si>
    <t>CAPX from 2017-2025 CIP</t>
  </si>
  <si>
    <t>OC Study</t>
  </si>
  <si>
    <t>Per Books</t>
  </si>
  <si>
    <t>Difference</t>
  </si>
  <si>
    <t>Depreciation Rate</t>
  </si>
  <si>
    <t>Township of Mahoning Sewer and Water Systems Assets</t>
  </si>
  <si>
    <t>Township of Mahoning Water System Assets</t>
  </si>
  <si>
    <t>Township of Mahoning Sewer System Assets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</si>
</sst>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4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00%"/>
    <numFmt numFmtId="166" formatCode="0.0"/>
    <numFmt numFmtId="167" formatCode="0."/>
    <numFmt numFmtId="168" formatCode="&quot;$&quot;#,##0.000_);\(&quot;$&quot;#,##0.000\)"/>
    <numFmt numFmtId="169" formatCode="#,##0.0_);\(#,##0.0\)"/>
    <numFmt numFmtId="170" formatCode="#,##0.0000_);\(#,##0.0000\)"/>
    <numFmt numFmtId="171" formatCode="#,##0.000000_);\(#,##0.000000\)"/>
    <numFmt numFmtId="172" formatCode="\(0\)"/>
    <numFmt numFmtId="173" formatCode="0.0%"/>
    <numFmt numFmtId="174" formatCode="0.0000%"/>
  </numFmts>
  <fonts count="4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12"/>
      <name val="Times New Roman"/>
      <family val="1"/>
    </font>
    <font>
      <sz val="10"/>
      <name val="Times New Roman"/>
      <family val="1"/>
    </font>
    <font>
      <b/>
      <sz val="10"/>
      <color theme="1"/>
      <name val="Times New Roman"/>
      <family val="1"/>
    </font>
    <font>
      <i/>
      <sz val="10"/>
      <color theme="1"/>
      <name val="Times New Roman"/>
      <family val="1"/>
    </font>
    <font>
      <u/>
      <sz val="10"/>
      <color theme="1"/>
      <name val="Times New Roman"/>
      <family val="1"/>
    </font>
    <font>
      <u/>
      <sz val="10"/>
      <name val="Times New Roman"/>
      <family val="1"/>
    </font>
    <font>
      <b/>
      <i/>
      <sz val="10"/>
      <color theme="1"/>
      <name val="Times New Roman"/>
      <family val="1"/>
    </font>
    <font>
      <b/>
      <sz val="11"/>
      <color rgb="FFFFFF00"/>
      <name val="Calibri"/>
      <family val="2"/>
      <scheme val="minor"/>
    </font>
    <font>
      <sz val="11"/>
      <color theme="1"/>
      <name val="Times New Roman"/>
      <family val="1"/>
    </font>
    <font>
      <b/>
      <u/>
      <sz val="10"/>
      <color indexed="8"/>
      <name val="Times New Roman"/>
      <family val="1"/>
    </font>
    <font>
      <sz val="10"/>
      <color indexed="8"/>
      <name val="Times New Roman"/>
      <family val="1"/>
    </font>
    <font>
      <b/>
      <sz val="10"/>
      <color indexed="8"/>
      <name val="Times New Roman"/>
      <family val="1"/>
    </font>
    <font>
      <b/>
      <sz val="8"/>
      <color theme="1"/>
      <name val="Times New Roman"/>
      <family val="1"/>
    </font>
    <font>
      <sz val="11"/>
      <color rgb="FF000000"/>
      <name val="Times New Roman"/>
      <family val="1"/>
    </font>
    <font>
      <sz val="8"/>
      <color rgb="FF000000"/>
      <name val="Times New Roman"/>
      <family val="1"/>
    </font>
    <font>
      <sz val="10"/>
      <color rgb="FF000000"/>
      <name val="Times New Roman"/>
      <family val="1"/>
    </font>
    <font>
      <sz val="8"/>
      <color theme="1"/>
      <name val="Times New Roman"/>
      <family val="1"/>
    </font>
    <font>
      <sz val="8"/>
      <color theme="0"/>
      <name val="Times New Roman"/>
      <family val="1"/>
    </font>
    <font>
      <sz val="10"/>
      <color theme="0"/>
      <name val="Times New Roman"/>
      <family val="1"/>
    </font>
    <font>
      <b/>
      <sz val="12"/>
      <color theme="1"/>
      <name val="Times New Roman"/>
      <family val="1"/>
    </font>
    <font>
      <b/>
      <u/>
      <sz val="10"/>
      <name val="Times New Roman"/>
      <family val="1"/>
    </font>
    <font>
      <b/>
      <sz val="10"/>
      <color rgb="FFFFFF00"/>
      <name val="Times New Roman"/>
      <family val="1"/>
    </font>
    <font>
      <u/>
      <sz val="10"/>
      <color theme="0"/>
      <name val="Times New Roman"/>
      <family val="1"/>
    </font>
    <font>
      <b/>
      <sz val="11"/>
      <color theme="1"/>
      <name val="Times New Roman"/>
      <family val="1"/>
    </font>
    <font>
      <sz val="6"/>
      <color theme="1"/>
      <name val="Times New Roman"/>
      <family val="1"/>
    </font>
    <font>
      <b/>
      <u/>
      <sz val="10"/>
      <color theme="1"/>
      <name val="Times New Roman"/>
      <family val="1"/>
    </font>
    <font>
      <i/>
      <sz val="10"/>
      <color theme="5" tint="-0.249977111117893"/>
      <name val="Times New Roman"/>
      <family val="1"/>
    </font>
    <font>
      <sz val="14"/>
      <color theme="1"/>
      <name val="Times New Roman"/>
      <family val="1"/>
    </font>
    <font>
      <i/>
      <sz val="8"/>
      <color rgb="FFFF0000"/>
      <name val="Times New Roman"/>
      <family val="1"/>
    </font>
    <font>
      <b/>
      <sz val="10"/>
      <color rgb="FF000000"/>
      <name val="Arial"/>
      <family val="2"/>
    </font>
    <font>
      <b/>
      <sz val="10"/>
      <color rgb="FFFF0000"/>
      <name val="Times New Roman"/>
      <family val="1"/>
    </font>
    <font>
      <u/>
      <sz val="8"/>
      <color theme="1"/>
      <name val="Times New Roman"/>
      <family val="1"/>
    </font>
    <font>
      <b/>
      <sz val="11"/>
      <color rgb="FF000000"/>
      <name val="Times New Roman"/>
      <family val="1"/>
    </font>
    <font>
      <sz val="11"/>
      <color theme="1"/>
      <name val="Calibri"/>
      <family val="2"/>
    </font>
    <font>
      <strike/>
      <sz val="11"/>
      <color theme="1"/>
      <name val="Calibri"/>
      <family val="2"/>
      <scheme val="minor"/>
    </font>
    <font>
      <u/>
      <sz val="10"/>
      <color rgb="FF000000"/>
      <name val="Times New Roman"/>
      <family val="1"/>
    </font>
    <font>
      <b/>
      <i/>
      <u/>
      <sz val="10"/>
      <color theme="1"/>
      <name val="Times New Roman"/>
      <family val="1"/>
    </font>
    <font>
      <u val="doubleAccounting"/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 style="thin">
        <color indexed="64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thin">
        <color auto="1"/>
      </top>
      <bottom style="double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 style="double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83">
    <xf numFmtId="0" fontId="0" fillId="0" borderId="0" xfId="0"/>
    <xf numFmtId="5" fontId="5" fillId="0" borderId="0" xfId="0" applyNumberFormat="1" applyFont="1" applyFill="1" applyBorder="1" applyAlignment="1" applyProtection="1">
      <alignment horizontal="left"/>
    </xf>
    <xf numFmtId="0" fontId="3" fillId="0" borderId="0" xfId="0" applyFont="1" applyFill="1"/>
    <xf numFmtId="0" fontId="3" fillId="0" borderId="0" xfId="0" applyFont="1" applyFill="1" applyAlignment="1">
      <alignment horizontal="centerContinuous"/>
    </xf>
    <xf numFmtId="0" fontId="3" fillId="0" borderId="0" xfId="0" applyFont="1" applyFill="1" applyBorder="1"/>
    <xf numFmtId="37" fontId="3" fillId="0" borderId="0" xfId="0" applyNumberFormat="1" applyFont="1" applyFill="1"/>
    <xf numFmtId="37" fontId="3" fillId="0" borderId="0" xfId="0" applyNumberFormat="1" applyFont="1" applyFill="1" applyAlignment="1">
      <alignment horizontal="right"/>
    </xf>
    <xf numFmtId="37" fontId="3" fillId="0" borderId="14" xfId="0" applyNumberFormat="1" applyFont="1" applyFill="1" applyBorder="1" applyAlignment="1">
      <alignment horizontal="right"/>
    </xf>
    <xf numFmtId="37" fontId="16" fillId="0" borderId="0" xfId="0" applyNumberFormat="1" applyFont="1" applyFill="1" applyAlignment="1">
      <alignment horizontal="right"/>
    </xf>
    <xf numFmtId="37" fontId="16" fillId="0" borderId="0" xfId="0" applyNumberFormat="1" applyFont="1" applyFill="1"/>
    <xf numFmtId="9" fontId="16" fillId="0" borderId="0" xfId="3" applyFont="1" applyFill="1" applyAlignment="1">
      <alignment horizontal="center"/>
    </xf>
    <xf numFmtId="164" fontId="12" fillId="0" borderId="0" xfId="1" applyNumberFormat="1" applyFont="1" applyFill="1"/>
    <xf numFmtId="0" fontId="17" fillId="0" borderId="0" xfId="0" applyFont="1" applyFill="1" applyBorder="1" applyAlignment="1">
      <alignment horizontal="left" indent="2"/>
    </xf>
    <xf numFmtId="0" fontId="17" fillId="0" borderId="0" xfId="0" applyFont="1" applyFill="1" applyBorder="1"/>
    <xf numFmtId="37" fontId="3" fillId="0" borderId="15" xfId="0" applyNumberFormat="1" applyFont="1" applyFill="1" applyBorder="1" applyAlignment="1">
      <alignment horizontal="right"/>
    </xf>
    <xf numFmtId="9" fontId="3" fillId="0" borderId="0" xfId="3" applyFont="1" applyFill="1"/>
    <xf numFmtId="38" fontId="5" fillId="0" borderId="15" xfId="0" applyNumberFormat="1" applyFont="1" applyFill="1" applyBorder="1"/>
    <xf numFmtId="38" fontId="5" fillId="0" borderId="0" xfId="0" applyNumberFormat="1" applyFont="1" applyFill="1"/>
    <xf numFmtId="38" fontId="5" fillId="0" borderId="16" xfId="0" applyNumberFormat="1" applyFont="1" applyFill="1" applyBorder="1"/>
    <xf numFmtId="38" fontId="5" fillId="0" borderId="0" xfId="0" applyNumberFormat="1" applyFont="1" applyFill="1" applyBorder="1"/>
    <xf numFmtId="5" fontId="5" fillId="0" borderId="17" xfId="0" applyNumberFormat="1" applyFont="1" applyFill="1" applyBorder="1" applyProtection="1"/>
    <xf numFmtId="0" fontId="20" fillId="0" borderId="0" xfId="0" applyFont="1" applyFill="1"/>
    <xf numFmtId="37" fontId="20" fillId="0" borderId="0" xfId="0" applyNumberFormat="1" applyFont="1" applyFill="1" applyAlignment="1">
      <alignment horizontal="right"/>
    </xf>
    <xf numFmtId="169" fontId="21" fillId="0" borderId="0" xfId="0" applyNumberFormat="1" applyFont="1" applyFill="1" applyAlignment="1">
      <alignment horizontal="center"/>
    </xf>
    <xf numFmtId="169" fontId="20" fillId="0" borderId="0" xfId="0" applyNumberFormat="1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23" fillId="0" borderId="0" xfId="0" applyFont="1" applyFill="1" applyAlignment="1">
      <alignment horizontal="left" indent="12"/>
    </xf>
    <xf numFmtId="0" fontId="23" fillId="0" borderId="0" xfId="0" applyFont="1" applyFill="1"/>
    <xf numFmtId="0" fontId="23" fillId="0" borderId="0" xfId="0" applyFont="1" applyFill="1" applyAlignment="1"/>
    <xf numFmtId="37" fontId="3" fillId="0" borderId="0" xfId="0" applyNumberFormat="1" applyFont="1" applyFill="1" applyAlignment="1">
      <alignment horizontal="right" indent="2"/>
    </xf>
    <xf numFmtId="5" fontId="23" fillId="0" borderId="0" xfId="0" applyNumberFormat="1" applyFont="1" applyFill="1"/>
    <xf numFmtId="5" fontId="3" fillId="0" borderId="0" xfId="0" applyNumberFormat="1" applyFont="1" applyFill="1"/>
    <xf numFmtId="5" fontId="5" fillId="0" borderId="0" xfId="0" applyNumberFormat="1" applyFont="1" applyFill="1" applyBorder="1" applyProtection="1"/>
    <xf numFmtId="37" fontId="5" fillId="0" borderId="0" xfId="0" applyNumberFormat="1" applyFont="1" applyFill="1" applyBorder="1" applyProtection="1"/>
    <xf numFmtId="37" fontId="3" fillId="0" borderId="10" xfId="0" applyNumberFormat="1" applyFont="1" applyFill="1" applyBorder="1" applyAlignment="1">
      <alignment horizontal="centerContinuous"/>
    </xf>
    <xf numFmtId="37" fontId="3" fillId="0" borderId="11" xfId="0" applyNumberFormat="1" applyFont="1" applyFill="1" applyBorder="1" applyAlignment="1">
      <alignment horizontal="centerContinuous"/>
    </xf>
    <xf numFmtId="37" fontId="3" fillId="0" borderId="12" xfId="0" applyNumberFormat="1" applyFont="1" applyFill="1" applyBorder="1" applyAlignment="1">
      <alignment horizontal="centerContinuous"/>
    </xf>
    <xf numFmtId="5" fontId="5" fillId="0" borderId="1" xfId="0" applyNumberFormat="1" applyFont="1" applyFill="1" applyBorder="1" applyProtection="1"/>
    <xf numFmtId="5" fontId="5" fillId="0" borderId="2" xfId="0" applyNumberFormat="1" applyFont="1" applyFill="1" applyBorder="1" applyProtection="1"/>
    <xf numFmtId="38" fontId="5" fillId="0" borderId="2" xfId="0" applyNumberFormat="1" applyFont="1" applyFill="1" applyBorder="1"/>
    <xf numFmtId="5" fontId="5" fillId="0" borderId="2" xfId="0" applyNumberFormat="1" applyFont="1" applyFill="1" applyBorder="1" applyAlignment="1" applyProtection="1">
      <alignment horizontal="center"/>
    </xf>
    <xf numFmtId="0" fontId="3" fillId="0" borderId="3" xfId="0" applyFont="1" applyFill="1" applyBorder="1"/>
    <xf numFmtId="5" fontId="5" fillId="0" borderId="3" xfId="0" applyNumberFormat="1" applyFont="1" applyFill="1" applyBorder="1" applyAlignment="1" applyProtection="1">
      <alignment horizontal="center"/>
    </xf>
    <xf numFmtId="5" fontId="5" fillId="0" borderId="4" xfId="0" applyNumberFormat="1" applyFont="1" applyFill="1" applyBorder="1" applyProtection="1"/>
    <xf numFmtId="5" fontId="9" fillId="0" borderId="0" xfId="0" applyNumberFormat="1" applyFont="1" applyFill="1" applyBorder="1" applyAlignment="1" applyProtection="1">
      <alignment horizontal="center"/>
    </xf>
    <xf numFmtId="0" fontId="3" fillId="0" borderId="5" xfId="0" applyFont="1" applyFill="1" applyBorder="1"/>
    <xf numFmtId="5" fontId="9" fillId="0" borderId="5" xfId="0" applyNumberFormat="1" applyFont="1" applyFill="1" applyBorder="1" applyAlignment="1" applyProtection="1">
      <alignment horizontal="center"/>
    </xf>
    <xf numFmtId="5" fontId="5" fillId="0" borderId="5" xfId="0" applyNumberFormat="1" applyFont="1" applyFill="1" applyBorder="1" applyProtection="1"/>
    <xf numFmtId="0" fontId="5" fillId="0" borderId="4" xfId="0" applyFont="1" applyFill="1" applyBorder="1" applyAlignment="1">
      <alignment horizontal="left" indent="5"/>
    </xf>
    <xf numFmtId="0" fontId="5" fillId="0" borderId="4" xfId="0" applyFont="1" applyFill="1" applyBorder="1"/>
    <xf numFmtId="166" fontId="5" fillId="0" borderId="0" xfId="1" applyNumberFormat="1" applyFont="1" applyFill="1" applyBorder="1" applyAlignment="1" applyProtection="1">
      <alignment horizontal="center"/>
    </xf>
    <xf numFmtId="10" fontId="5" fillId="0" borderId="16" xfId="3" applyNumberFormat="1" applyFont="1" applyFill="1" applyBorder="1" applyProtection="1"/>
    <xf numFmtId="37" fontId="5" fillId="0" borderId="18" xfId="0" applyNumberFormat="1" applyFont="1" applyFill="1" applyBorder="1" applyProtection="1"/>
    <xf numFmtId="5" fontId="5" fillId="0" borderId="4" xfId="0" quotePrefix="1" applyNumberFormat="1" applyFont="1" applyFill="1" applyBorder="1" applyProtection="1"/>
    <xf numFmtId="37" fontId="5" fillId="0" borderId="5" xfId="0" applyNumberFormat="1" applyFont="1" applyFill="1" applyBorder="1" applyProtection="1"/>
    <xf numFmtId="170" fontId="5" fillId="0" borderId="0" xfId="0" applyNumberFormat="1" applyFont="1" applyFill="1" applyBorder="1" applyProtection="1"/>
    <xf numFmtId="170" fontId="5" fillId="0" borderId="5" xfId="0" applyNumberFormat="1" applyFont="1" applyFill="1" applyBorder="1" applyProtection="1"/>
    <xf numFmtId="0" fontId="5" fillId="0" borderId="0" xfId="0" applyFont="1" applyFill="1" applyBorder="1"/>
    <xf numFmtId="37" fontId="5" fillId="0" borderId="15" xfId="0" applyNumberFormat="1" applyFont="1" applyFill="1" applyBorder="1" applyProtection="1"/>
    <xf numFmtId="37" fontId="5" fillId="0" borderId="19" xfId="0" applyNumberFormat="1" applyFont="1" applyFill="1" applyBorder="1" applyProtection="1"/>
    <xf numFmtId="37" fontId="5" fillId="0" borderId="16" xfId="0" applyNumberFormat="1" applyFont="1" applyFill="1" applyBorder="1" applyProtection="1"/>
    <xf numFmtId="5" fontId="5" fillId="0" borderId="20" xfId="0" applyNumberFormat="1" applyFont="1" applyFill="1" applyBorder="1" applyProtection="1"/>
    <xf numFmtId="5" fontId="5" fillId="0" borderId="6" xfId="0" applyNumberFormat="1" applyFont="1" applyFill="1" applyBorder="1" applyProtection="1"/>
    <xf numFmtId="5" fontId="5" fillId="0" borderId="7" xfId="0" applyNumberFormat="1" applyFont="1" applyFill="1" applyBorder="1" applyProtection="1"/>
    <xf numFmtId="38" fontId="5" fillId="0" borderId="7" xfId="0" applyNumberFormat="1" applyFont="1" applyFill="1" applyBorder="1"/>
    <xf numFmtId="5" fontId="5" fillId="0" borderId="8" xfId="0" applyNumberFormat="1" applyFont="1" applyFill="1" applyBorder="1" applyProtection="1"/>
    <xf numFmtId="0" fontId="6" fillId="0" borderId="0" xfId="0" applyFont="1" applyFill="1" applyAlignment="1">
      <alignment horizontal="center"/>
    </xf>
    <xf numFmtId="0" fontId="3" fillId="0" borderId="0" xfId="0" applyFont="1" applyFill="1" applyAlignment="1">
      <alignment horizontal="left" vertical="top" indent="2"/>
    </xf>
    <xf numFmtId="38" fontId="3" fillId="0" borderId="0" xfId="0" applyNumberFormat="1" applyFont="1" applyFill="1" applyBorder="1"/>
    <xf numFmtId="0" fontId="12" fillId="0" borderId="0" xfId="0" applyFont="1" applyFill="1"/>
    <xf numFmtId="0" fontId="3" fillId="0" borderId="0" xfId="0" applyFont="1" applyFill="1" applyAlignment="1">
      <alignment horizontal="left" vertical="top"/>
    </xf>
    <xf numFmtId="10" fontId="3" fillId="0" borderId="0" xfId="3" applyNumberFormat="1" applyFont="1" applyFill="1" applyAlignment="1">
      <alignment horizontal="center"/>
    </xf>
    <xf numFmtId="164" fontId="3" fillId="0" borderId="0" xfId="0" applyNumberFormat="1" applyFont="1" applyFill="1" applyAlignment="1">
      <alignment horizontal="center"/>
    </xf>
    <xf numFmtId="173" fontId="3" fillId="0" borderId="0" xfId="3" applyNumberFormat="1" applyFont="1" applyFill="1" applyAlignment="1">
      <alignment horizontal="center"/>
    </xf>
    <xf numFmtId="164" fontId="6" fillId="0" borderId="0" xfId="0" applyNumberFormat="1" applyFont="1" applyFill="1" applyAlignment="1">
      <alignment horizontal="center"/>
    </xf>
    <xf numFmtId="164" fontId="3" fillId="0" borderId="0" xfId="1" applyNumberFormat="1" applyFont="1" applyFill="1" applyAlignment="1">
      <alignment horizontal="center"/>
    </xf>
    <xf numFmtId="0" fontId="8" fillId="0" borderId="0" xfId="0" applyFont="1" applyFill="1" applyAlignment="1">
      <alignment horizontal="center"/>
    </xf>
    <xf numFmtId="43" fontId="3" fillId="0" borderId="0" xfId="0" applyNumberFormat="1" applyFont="1" applyFill="1" applyAlignment="1">
      <alignment horizontal="center"/>
    </xf>
    <xf numFmtId="0" fontId="33" fillId="0" borderId="10" xfId="0" applyFont="1" applyFill="1" applyBorder="1" applyAlignment="1">
      <alignment horizontal="center" vertical="top"/>
    </xf>
    <xf numFmtId="164" fontId="3" fillId="0" borderId="0" xfId="1" applyNumberFormat="1" applyFont="1" applyFill="1" applyAlignment="1">
      <alignment horizontal="right"/>
    </xf>
    <xf numFmtId="164" fontId="3" fillId="0" borderId="10" xfId="1" applyNumberFormat="1" applyFont="1" applyFill="1" applyBorder="1" applyAlignment="1">
      <alignment horizontal="right"/>
    </xf>
    <xf numFmtId="43" fontId="3" fillId="0" borderId="0" xfId="0" applyNumberFormat="1" applyFont="1" applyFill="1" applyAlignment="1">
      <alignment horizontal="right"/>
    </xf>
    <xf numFmtId="164" fontId="3" fillId="0" borderId="0" xfId="0" applyNumberFormat="1" applyFont="1" applyFill="1" applyAlignment="1">
      <alignment horizontal="right"/>
    </xf>
    <xf numFmtId="44" fontId="3" fillId="0" borderId="0" xfId="2" applyNumberFormat="1" applyFont="1" applyFill="1" applyBorder="1"/>
    <xf numFmtId="0" fontId="5" fillId="0" borderId="0" xfId="0" applyFont="1" applyFill="1" applyBorder="1" applyAlignment="1">
      <alignment horizontal="left" vertical="center" indent="1"/>
    </xf>
    <xf numFmtId="0" fontId="0" fillId="0" borderId="0" xfId="0" applyFill="1"/>
    <xf numFmtId="0" fontId="19" fillId="0" borderId="4" xfId="0" applyFont="1" applyFill="1" applyBorder="1" applyAlignment="1">
      <alignment horizontal="right" vertical="top"/>
    </xf>
    <xf numFmtId="0" fontId="19" fillId="0" borderId="0" xfId="0" applyFont="1" applyFill="1" applyBorder="1" applyAlignment="1">
      <alignment horizontal="left" vertical="top"/>
    </xf>
    <xf numFmtId="0" fontId="36" fillId="0" borderId="0" xfId="0" applyFont="1" applyFill="1" applyBorder="1" applyAlignment="1">
      <alignment horizontal="right"/>
    </xf>
    <xf numFmtId="0" fontId="17" fillId="0" borderId="0" xfId="0" applyFont="1" applyFill="1" applyBorder="1" applyAlignment="1">
      <alignment horizontal="center"/>
    </xf>
    <xf numFmtId="9" fontId="17" fillId="0" borderId="0" xfId="3" applyFont="1" applyFill="1" applyBorder="1" applyAlignment="1">
      <alignment horizontal="center"/>
    </xf>
    <xf numFmtId="164" fontId="17" fillId="0" borderId="0" xfId="1" applyNumberFormat="1" applyFont="1" applyFill="1" applyBorder="1"/>
    <xf numFmtId="0" fontId="17" fillId="0" borderId="22" xfId="0" applyFont="1" applyFill="1" applyBorder="1"/>
    <xf numFmtId="0" fontId="17" fillId="0" borderId="15" xfId="0" applyFont="1" applyFill="1" applyBorder="1"/>
    <xf numFmtId="0" fontId="17" fillId="0" borderId="24" xfId="0" applyFont="1" applyFill="1" applyBorder="1"/>
    <xf numFmtId="0" fontId="19" fillId="0" borderId="24" xfId="0" applyFont="1" applyFill="1" applyBorder="1" applyAlignment="1">
      <alignment horizontal="right" vertical="top" indent="1"/>
    </xf>
    <xf numFmtId="0" fontId="0" fillId="0" borderId="0" xfId="0" applyFill="1" applyBorder="1" applyAlignment="1">
      <alignment horizontal="left" vertical="top"/>
    </xf>
    <xf numFmtId="37" fontId="0" fillId="0" borderId="0" xfId="0" applyNumberFormat="1" applyFill="1" applyBorder="1" applyAlignment="1">
      <alignment horizontal="right" vertical="top"/>
    </xf>
    <xf numFmtId="37" fontId="0" fillId="0" borderId="14" xfId="0" applyNumberFormat="1" applyFill="1" applyBorder="1" applyAlignment="1">
      <alignment horizontal="right" vertical="top"/>
    </xf>
    <xf numFmtId="43" fontId="37" fillId="0" borderId="0" xfId="1" applyFont="1" applyFill="1" applyBorder="1" applyAlignment="1"/>
    <xf numFmtId="0" fontId="38" fillId="0" borderId="0" xfId="0" applyFont="1" applyFill="1" applyBorder="1" applyAlignment="1">
      <alignment horizontal="left" vertical="top"/>
    </xf>
    <xf numFmtId="164" fontId="38" fillId="0" borderId="0" xfId="0" applyNumberFormat="1" applyFont="1" applyFill="1" applyBorder="1" applyAlignment="1">
      <alignment horizontal="left" vertical="top"/>
    </xf>
    <xf numFmtId="164" fontId="0" fillId="0" borderId="0" xfId="0" applyNumberFormat="1" applyFill="1" applyBorder="1" applyAlignment="1">
      <alignment horizontal="left" vertical="top"/>
    </xf>
    <xf numFmtId="0" fontId="39" fillId="0" borderId="0" xfId="0" applyFont="1" applyFill="1" applyBorder="1" applyAlignment="1">
      <alignment horizontal="center" vertical="top"/>
    </xf>
    <xf numFmtId="0" fontId="0" fillId="0" borderId="28" xfId="0" applyFill="1" applyBorder="1" applyAlignment="1">
      <alignment horizontal="center" vertical="top"/>
    </xf>
    <xf numFmtId="0" fontId="0" fillId="0" borderId="29" xfId="0" applyFill="1" applyBorder="1" applyAlignment="1">
      <alignment horizontal="center" vertical="top"/>
    </xf>
    <xf numFmtId="0" fontId="0" fillId="0" borderId="31" xfId="0" applyFill="1" applyBorder="1" applyAlignment="1">
      <alignment horizontal="center" vertical="top"/>
    </xf>
    <xf numFmtId="10" fontId="0" fillId="0" borderId="0" xfId="0" applyNumberFormat="1" applyFill="1" applyBorder="1" applyAlignment="1">
      <alignment horizontal="right" vertical="top"/>
    </xf>
    <xf numFmtId="164" fontId="0" fillId="0" borderId="0" xfId="1" applyNumberFormat="1" applyFont="1" applyFill="1" applyBorder="1" applyAlignment="1">
      <alignment horizontal="left" vertical="top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left" vertical="top" wrapText="1" indent="2"/>
    </xf>
    <xf numFmtId="0" fontId="3" fillId="0" borderId="0" xfId="0" applyFont="1" applyFill="1" applyAlignment="1">
      <alignment horizontal="left" wrapText="1" indent="2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left" vertical="top" wrapText="1" indent="2"/>
    </xf>
    <xf numFmtId="0" fontId="3" fillId="0" borderId="0" xfId="0" applyFont="1" applyFill="1" applyAlignment="1">
      <alignment horizontal="left" wrapText="1" indent="2"/>
    </xf>
    <xf numFmtId="0" fontId="3" fillId="0" borderId="0" xfId="0" applyFont="1" applyFill="1" applyAlignment="1">
      <alignment wrapText="1"/>
    </xf>
    <xf numFmtId="0" fontId="3" fillId="0" borderId="0" xfId="0" applyFont="1" applyFill="1" applyAlignment="1">
      <alignment horizontal="left" vertical="top" wrapText="1"/>
    </xf>
    <xf numFmtId="9" fontId="3" fillId="0" borderId="0" xfId="3" applyFont="1" applyFill="1" applyAlignment="1">
      <alignment horizontal="center"/>
    </xf>
    <xf numFmtId="10" fontId="4" fillId="0" borderId="0" xfId="3" applyNumberFormat="1" applyFont="1" applyFill="1"/>
    <xf numFmtId="14" fontId="3" fillId="0" borderId="0" xfId="0" applyNumberFormat="1" applyFont="1" applyFill="1"/>
    <xf numFmtId="0" fontId="5" fillId="0" borderId="0" xfId="0" applyFont="1" applyFill="1"/>
    <xf numFmtId="0" fontId="4" fillId="0" borderId="0" xfId="0" applyFont="1" applyFill="1"/>
    <xf numFmtId="0" fontId="7" fillId="0" borderId="0" xfId="0" applyFont="1" applyFill="1"/>
    <xf numFmtId="0" fontId="3" fillId="0" borderId="0" xfId="0" applyFont="1" applyFill="1" applyAlignment="1">
      <alignment horizontal="right"/>
    </xf>
    <xf numFmtId="165" fontId="3" fillId="0" borderId="0" xfId="3" applyNumberFormat="1" applyFont="1" applyFill="1"/>
    <xf numFmtId="0" fontId="8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166" fontId="3" fillId="0" borderId="0" xfId="0" applyNumberFormat="1" applyFont="1" applyFill="1"/>
    <xf numFmtId="5" fontId="9" fillId="0" borderId="0" xfId="0" applyNumberFormat="1" applyFont="1" applyFill="1" applyBorder="1" applyAlignment="1" applyProtection="1">
      <alignment horizontal="left"/>
    </xf>
    <xf numFmtId="0" fontId="10" fillId="0" borderId="0" xfId="0" applyFont="1" applyFill="1" applyAlignment="1">
      <alignment horizontal="center"/>
    </xf>
    <xf numFmtId="165" fontId="6" fillId="0" borderId="0" xfId="3" applyNumberFormat="1" applyFont="1" applyFill="1"/>
    <xf numFmtId="0" fontId="6" fillId="0" borderId="0" xfId="0" applyFont="1" applyFill="1" applyBorder="1" applyAlignment="1">
      <alignment horizontal="right"/>
    </xf>
    <xf numFmtId="0" fontId="2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Continuous"/>
    </xf>
    <xf numFmtId="43" fontId="3" fillId="0" borderId="0" xfId="0" applyNumberFormat="1" applyFont="1" applyFill="1" applyAlignment="1">
      <alignment horizontal="centerContinuous"/>
    </xf>
    <xf numFmtId="0" fontId="11" fillId="0" borderId="0" xfId="0" applyFont="1" applyFill="1"/>
    <xf numFmtId="0" fontId="3" fillId="0" borderId="0" xfId="0" applyFont="1" applyFill="1" applyBorder="1" applyAlignment="1">
      <alignment horizontal="centerContinuous"/>
    </xf>
    <xf numFmtId="0" fontId="3" fillId="0" borderId="9" xfId="0" applyFont="1" applyFill="1" applyBorder="1" applyAlignment="1">
      <alignment horizontal="center"/>
    </xf>
    <xf numFmtId="0" fontId="0" fillId="0" borderId="0" xfId="0" applyFont="1" applyFill="1"/>
    <xf numFmtId="167" fontId="0" fillId="0" borderId="0" xfId="0" applyNumberFormat="1" applyFont="1" applyFill="1"/>
    <xf numFmtId="0" fontId="3" fillId="0" borderId="10" xfId="0" applyFont="1" applyFill="1" applyBorder="1" applyAlignment="1">
      <alignment horizontal="centerContinuous"/>
    </xf>
    <xf numFmtId="0" fontId="3" fillId="0" borderId="11" xfId="0" applyFont="1" applyFill="1" applyBorder="1" applyAlignment="1">
      <alignment horizontal="centerContinuous"/>
    </xf>
    <xf numFmtId="0" fontId="3" fillId="0" borderId="12" xfId="0" applyFont="1" applyFill="1" applyBorder="1" applyAlignment="1">
      <alignment horizontal="centerContinuous"/>
    </xf>
    <xf numFmtId="0" fontId="3" fillId="0" borderId="13" xfId="0" applyFont="1" applyFill="1" applyBorder="1" applyAlignment="1">
      <alignment horizontal="center"/>
    </xf>
    <xf numFmtId="0" fontId="13" fillId="0" borderId="0" xfId="0" applyFont="1" applyFill="1" applyAlignment="1">
      <alignment horizontal="left" vertical="top"/>
    </xf>
    <xf numFmtId="0" fontId="14" fillId="0" borderId="0" xfId="0" applyFont="1" applyFill="1" applyAlignment="1">
      <alignment horizontal="left" vertical="top"/>
    </xf>
    <xf numFmtId="0" fontId="15" fillId="0" borderId="0" xfId="0" applyFont="1" applyFill="1" applyAlignment="1">
      <alignment horizontal="left" vertical="top"/>
    </xf>
    <xf numFmtId="0" fontId="16" fillId="0" borderId="0" xfId="0" applyFont="1" applyFill="1" applyAlignment="1">
      <alignment horizontal="right"/>
    </xf>
    <xf numFmtId="9" fontId="3" fillId="0" borderId="0" xfId="0" applyNumberFormat="1" applyFont="1" applyFill="1"/>
    <xf numFmtId="0" fontId="12" fillId="0" borderId="0" xfId="0" applyFont="1" applyFill="1" applyAlignment="1">
      <alignment horizontal="left" indent="1"/>
    </xf>
    <xf numFmtId="0" fontId="6" fillId="0" borderId="0" xfId="0" applyFont="1" applyFill="1"/>
    <xf numFmtId="0" fontId="18" fillId="0" borderId="0" xfId="0" applyFont="1" applyFill="1" applyBorder="1"/>
    <xf numFmtId="0" fontId="5" fillId="0" borderId="0" xfId="0" applyFont="1" applyFill="1" applyBorder="1" applyAlignment="1">
      <alignment horizontal="left" vertical="center"/>
    </xf>
    <xf numFmtId="0" fontId="19" fillId="0" borderId="0" xfId="0" quotePrefix="1" applyFont="1" applyFill="1" applyBorder="1"/>
    <xf numFmtId="9" fontId="19" fillId="0" borderId="0" xfId="3" applyFont="1" applyFill="1" applyBorder="1"/>
    <xf numFmtId="0" fontId="15" fillId="0" borderId="0" xfId="0" applyFont="1" applyFill="1" applyAlignment="1">
      <alignment horizontal="left" vertical="center"/>
    </xf>
    <xf numFmtId="38" fontId="5" fillId="0" borderId="0" xfId="0" applyNumberFormat="1" applyFont="1" applyFill="1" applyAlignment="1">
      <alignment horizontal="left" indent="2"/>
    </xf>
    <xf numFmtId="43" fontId="3" fillId="0" borderId="0" xfId="1" applyFont="1" applyFill="1"/>
    <xf numFmtId="0" fontId="5" fillId="0" borderId="0" xfId="0" applyFont="1" applyFill="1" applyAlignment="1">
      <alignment horizontal="left" indent="2"/>
    </xf>
    <xf numFmtId="168" fontId="3" fillId="0" borderId="0" xfId="0" applyNumberFormat="1" applyFont="1" applyFill="1"/>
    <xf numFmtId="0" fontId="20" fillId="0" borderId="0" xfId="0" applyFont="1" applyFill="1" applyAlignment="1">
      <alignment horizontal="right"/>
    </xf>
    <xf numFmtId="170" fontId="5" fillId="0" borderId="0" xfId="0" applyNumberFormat="1" applyFont="1" applyFill="1" applyProtection="1"/>
    <xf numFmtId="10" fontId="5" fillId="0" borderId="0" xfId="0" applyNumberFormat="1" applyFont="1" applyFill="1" applyAlignment="1" applyProtection="1">
      <alignment horizontal="center"/>
    </xf>
    <xf numFmtId="0" fontId="5" fillId="0" borderId="0" xfId="0" quotePrefix="1" applyFont="1" applyFill="1" applyBorder="1"/>
    <xf numFmtId="10" fontId="5" fillId="0" borderId="0" xfId="0" applyNumberFormat="1" applyFont="1" applyFill="1" applyBorder="1" applyAlignment="1" applyProtection="1">
      <alignment horizontal="center"/>
    </xf>
    <xf numFmtId="37" fontId="5" fillId="0" borderId="0" xfId="0" applyNumberFormat="1" applyFont="1" applyFill="1" applyProtection="1"/>
    <xf numFmtId="37" fontId="22" fillId="0" borderId="0" xfId="0" applyNumberFormat="1" applyFont="1" applyFill="1"/>
    <xf numFmtId="37" fontId="22" fillId="0" borderId="0" xfId="0" applyNumberFormat="1" applyFont="1" applyFill="1" applyAlignment="1">
      <alignment horizontal="right"/>
    </xf>
    <xf numFmtId="0" fontId="24" fillId="0" borderId="0" xfId="0" applyFont="1" applyFill="1"/>
    <xf numFmtId="0" fontId="6" fillId="0" borderId="0" xfId="0" applyFont="1" applyFill="1" applyAlignment="1">
      <alignment horizontal="centerContinuous"/>
    </xf>
    <xf numFmtId="37" fontId="6" fillId="0" borderId="0" xfId="0" applyNumberFormat="1" applyFont="1" applyFill="1" applyAlignment="1">
      <alignment horizontal="centerContinuous"/>
    </xf>
    <xf numFmtId="10" fontId="3" fillId="0" borderId="0" xfId="3" applyNumberFormat="1" applyFont="1" applyFill="1"/>
    <xf numFmtId="169" fontId="3" fillId="0" borderId="0" xfId="0" applyNumberFormat="1" applyFont="1" applyFill="1"/>
    <xf numFmtId="0" fontId="5" fillId="0" borderId="4" xfId="0" applyFont="1" applyFill="1" applyBorder="1" applyAlignment="1">
      <alignment horizontal="left"/>
    </xf>
    <xf numFmtId="10" fontId="3" fillId="0" borderId="0" xfId="0" applyNumberFormat="1" applyFont="1" applyFill="1"/>
    <xf numFmtId="5" fontId="5" fillId="0" borderId="4" xfId="0" quotePrefix="1" applyNumberFormat="1" applyFont="1" applyFill="1" applyBorder="1" applyAlignment="1" applyProtection="1">
      <alignment horizontal="left" indent="5"/>
    </xf>
    <xf numFmtId="170" fontId="3" fillId="0" borderId="0" xfId="0" applyNumberFormat="1" applyFont="1" applyFill="1"/>
    <xf numFmtId="171" fontId="3" fillId="0" borderId="0" xfId="0" applyNumberFormat="1" applyFont="1" applyFill="1"/>
    <xf numFmtId="0" fontId="25" fillId="0" borderId="0" xfId="0" applyFont="1" applyFill="1" applyAlignment="1">
      <alignment horizontal="center" vertical="center"/>
    </xf>
    <xf numFmtId="37" fontId="22" fillId="0" borderId="0" xfId="0" applyNumberFormat="1" applyFont="1" applyFill="1" applyBorder="1" applyAlignment="1">
      <alignment horizontal="right"/>
    </xf>
    <xf numFmtId="37" fontId="22" fillId="0" borderId="0" xfId="0" applyNumberFormat="1" applyFont="1" applyFill="1" applyBorder="1"/>
    <xf numFmtId="37" fontId="22" fillId="0" borderId="0" xfId="0" applyNumberFormat="1" applyFont="1" applyFill="1" applyBorder="1" applyAlignment="1">
      <alignment horizontal="centerContinuous"/>
    </xf>
    <xf numFmtId="5" fontId="22" fillId="0" borderId="0" xfId="0" applyNumberFormat="1" applyFont="1" applyFill="1" applyBorder="1" applyProtection="1"/>
    <xf numFmtId="38" fontId="22" fillId="0" borderId="0" xfId="0" applyNumberFormat="1" applyFont="1" applyFill="1" applyBorder="1"/>
    <xf numFmtId="5" fontId="22" fillId="0" borderId="0" xfId="0" applyNumberFormat="1" applyFont="1" applyFill="1" applyBorder="1" applyAlignment="1" applyProtection="1">
      <alignment horizontal="center"/>
    </xf>
    <xf numFmtId="5" fontId="26" fillId="0" borderId="0" xfId="0" applyNumberFormat="1" applyFont="1" applyFill="1" applyBorder="1" applyAlignment="1" applyProtection="1">
      <alignment horizontal="center"/>
    </xf>
    <xf numFmtId="0" fontId="22" fillId="0" borderId="0" xfId="0" applyFont="1" applyFill="1" applyBorder="1"/>
    <xf numFmtId="166" fontId="22" fillId="0" borderId="0" xfId="1" applyNumberFormat="1" applyFont="1" applyFill="1" applyBorder="1" applyAlignment="1" applyProtection="1">
      <alignment horizontal="center"/>
    </xf>
    <xf numFmtId="37" fontId="22" fillId="0" borderId="0" xfId="0" applyNumberFormat="1" applyFont="1" applyFill="1" applyBorder="1" applyProtection="1"/>
    <xf numFmtId="5" fontId="22" fillId="0" borderId="0" xfId="0" quotePrefix="1" applyNumberFormat="1" applyFont="1" applyFill="1" applyBorder="1" applyProtection="1"/>
    <xf numFmtId="170" fontId="22" fillId="0" borderId="0" xfId="0" applyNumberFormat="1" applyFont="1" applyFill="1" applyBorder="1" applyProtection="1"/>
    <xf numFmtId="0" fontId="5" fillId="0" borderId="0" xfId="0" applyFont="1" applyFill="1" applyBorder="1" applyAlignment="1"/>
    <xf numFmtId="0" fontId="3" fillId="0" borderId="0" xfId="0" applyFont="1" applyFill="1" applyBorder="1" applyAlignment="1"/>
    <xf numFmtId="0" fontId="23" fillId="0" borderId="0" xfId="0" applyFont="1" applyFill="1" applyAlignment="1">
      <alignment horizontal="center"/>
    </xf>
    <xf numFmtId="37" fontId="3" fillId="0" borderId="0" xfId="0" applyNumberFormat="1" applyFont="1" applyFill="1" applyAlignment="1">
      <alignment horizontal="center"/>
    </xf>
    <xf numFmtId="0" fontId="3" fillId="0" borderId="0" xfId="0" applyFont="1" applyFill="1" applyAlignment="1">
      <alignment horizontal="right" vertical="top"/>
    </xf>
    <xf numFmtId="0" fontId="3" fillId="0" borderId="0" xfId="0" applyFont="1" applyFill="1" applyAlignment="1">
      <alignment vertical="top"/>
    </xf>
    <xf numFmtId="0" fontId="3" fillId="0" borderId="0" xfId="0" applyFont="1" applyFill="1" applyAlignment="1">
      <alignment horizontal="left" indent="2"/>
    </xf>
    <xf numFmtId="0" fontId="3" fillId="0" borderId="0" xfId="0" applyFont="1" applyFill="1" applyAlignment="1">
      <alignment horizontal="right" indent="1"/>
    </xf>
    <xf numFmtId="0" fontId="2" fillId="0" borderId="0" xfId="0" applyFont="1" applyFill="1" applyAlignment="1">
      <alignment horizontal="center" vertical="center"/>
    </xf>
    <xf numFmtId="0" fontId="27" fillId="0" borderId="0" xfId="0" applyFont="1" applyFill="1"/>
    <xf numFmtId="0" fontId="3" fillId="0" borderId="0" xfId="0" quotePrefix="1" applyFont="1" applyFill="1" applyAlignment="1">
      <alignment horizontal="right" vertical="top" indent="1"/>
    </xf>
    <xf numFmtId="167" fontId="3" fillId="0" borderId="0" xfId="0" applyNumberFormat="1" applyFont="1" applyFill="1" applyAlignment="1">
      <alignment horizontal="center"/>
    </xf>
    <xf numFmtId="0" fontId="3" fillId="0" borderId="0" xfId="0" quotePrefix="1" applyFont="1" applyFill="1" applyAlignment="1">
      <alignment horizontal="right" indent="1"/>
    </xf>
    <xf numFmtId="37" fontId="6" fillId="0" borderId="0" xfId="0" applyNumberFormat="1" applyFont="1" applyFill="1"/>
    <xf numFmtId="38" fontId="5" fillId="0" borderId="0" xfId="0" applyNumberFormat="1" applyFont="1" applyFill="1" applyAlignment="1">
      <alignment horizontal="left" vertical="top" wrapText="1"/>
    </xf>
    <xf numFmtId="38" fontId="5" fillId="0" borderId="0" xfId="0" applyNumberFormat="1" applyFont="1" applyFill="1" applyAlignment="1">
      <alignment horizontal="left" vertical="top" wrapText="1"/>
    </xf>
    <xf numFmtId="0" fontId="3" fillId="0" borderId="0" xfId="0" applyFont="1" applyFill="1" applyAlignment="1">
      <alignment vertical="top" wrapText="1"/>
    </xf>
    <xf numFmtId="37" fontId="3" fillId="0" borderId="0" xfId="0" applyNumberFormat="1" applyFont="1" applyFill="1" applyAlignment="1">
      <alignment horizontal="left"/>
    </xf>
    <xf numFmtId="0" fontId="3" fillId="0" borderId="0" xfId="0" quotePrefix="1" applyFont="1" applyFill="1" applyAlignment="1">
      <alignment horizontal="right"/>
    </xf>
    <xf numFmtId="0" fontId="6" fillId="0" borderId="0" xfId="0" quotePrefix="1" applyFont="1" applyFill="1" applyAlignment="1">
      <alignment horizontal="right" indent="1"/>
    </xf>
    <xf numFmtId="172" fontId="3" fillId="0" borderId="0" xfId="0" applyNumberFormat="1" applyFont="1" applyFill="1"/>
    <xf numFmtId="0" fontId="6" fillId="0" borderId="10" xfId="0" quotePrefix="1" applyFont="1" applyFill="1" applyBorder="1" applyAlignment="1">
      <alignment horizontal="centerContinuous"/>
    </xf>
    <xf numFmtId="37" fontId="6" fillId="0" borderId="11" xfId="0" applyNumberFormat="1" applyFont="1" applyFill="1" applyBorder="1" applyAlignment="1">
      <alignment horizontal="centerContinuous"/>
    </xf>
    <xf numFmtId="37" fontId="6" fillId="0" borderId="12" xfId="0" applyNumberFormat="1" applyFont="1" applyFill="1" applyBorder="1" applyAlignment="1">
      <alignment horizontal="centerContinuous"/>
    </xf>
    <xf numFmtId="0" fontId="3" fillId="0" borderId="10" xfId="0" quotePrefix="1" applyFont="1" applyFill="1" applyBorder="1" applyAlignment="1">
      <alignment horizontal="centerContinuous"/>
    </xf>
    <xf numFmtId="0" fontId="29" fillId="0" borderId="0" xfId="0" applyFont="1" applyFill="1" applyAlignment="1">
      <alignment horizontal="center"/>
    </xf>
    <xf numFmtId="164" fontId="3" fillId="0" borderId="0" xfId="1" applyNumberFormat="1" applyFont="1" applyFill="1"/>
    <xf numFmtId="0" fontId="3" fillId="0" borderId="0" xfId="0" applyFont="1" applyFill="1" applyAlignment="1">
      <alignment horizontal="left" indent="1"/>
    </xf>
    <xf numFmtId="164" fontId="3" fillId="0" borderId="14" xfId="0" applyNumberFormat="1" applyFont="1" applyFill="1" applyBorder="1" applyAlignment="1">
      <alignment horizontal="center"/>
    </xf>
    <xf numFmtId="43" fontId="8" fillId="0" borderId="0" xfId="0" applyNumberFormat="1" applyFont="1" applyFill="1" applyAlignment="1">
      <alignment horizontal="center"/>
    </xf>
    <xf numFmtId="164" fontId="7" fillId="0" borderId="0" xfId="0" applyNumberFormat="1" applyFont="1" applyFill="1"/>
    <xf numFmtId="164" fontId="30" fillId="0" borderId="0" xfId="0" applyNumberFormat="1" applyFont="1" applyFill="1"/>
    <xf numFmtId="164" fontId="12" fillId="0" borderId="0" xfId="0" applyNumberFormat="1" applyFont="1" applyFill="1"/>
    <xf numFmtId="164" fontId="3" fillId="0" borderId="0" xfId="0" applyNumberFormat="1" applyFont="1" applyFill="1"/>
    <xf numFmtId="164" fontId="30" fillId="0" borderId="14" xfId="0" applyNumberFormat="1" applyFont="1" applyFill="1" applyBorder="1" applyAlignment="1">
      <alignment horizontal="center"/>
    </xf>
    <xf numFmtId="9" fontId="6" fillId="0" borderId="9" xfId="3" applyFont="1" applyFill="1" applyBorder="1" applyAlignment="1">
      <alignment horizontal="center"/>
    </xf>
    <xf numFmtId="10" fontId="31" fillId="0" borderId="0" xfId="3" applyNumberFormat="1" applyFont="1" applyFill="1" applyAlignment="1">
      <alignment horizontal="center"/>
    </xf>
    <xf numFmtId="10" fontId="3" fillId="0" borderId="0" xfId="0" applyNumberFormat="1" applyFont="1" applyFill="1" applyAlignment="1">
      <alignment horizontal="center"/>
    </xf>
    <xf numFmtId="37" fontId="32" fillId="0" borderId="0" xfId="0" quotePrefix="1" applyNumberFormat="1" applyFont="1" applyFill="1" applyAlignment="1">
      <alignment horizontal="center"/>
    </xf>
    <xf numFmtId="37" fontId="32" fillId="0" borderId="0" xfId="0" applyNumberFormat="1" applyFont="1" applyFill="1" applyAlignment="1">
      <alignment horizontal="center"/>
    </xf>
    <xf numFmtId="43" fontId="3" fillId="0" borderId="10" xfId="1" applyFont="1" applyFill="1" applyBorder="1" applyAlignment="1">
      <alignment horizontal="center"/>
    </xf>
    <xf numFmtId="43" fontId="3" fillId="0" borderId="0" xfId="1" applyFont="1" applyFill="1" applyAlignment="1">
      <alignment horizontal="center"/>
    </xf>
    <xf numFmtId="0" fontId="3" fillId="0" borderId="10" xfId="0" applyFont="1" applyFill="1" applyBorder="1"/>
    <xf numFmtId="0" fontId="3" fillId="0" borderId="11" xfId="0" applyFont="1" applyFill="1" applyBorder="1"/>
    <xf numFmtId="44" fontId="3" fillId="0" borderId="0" xfId="2" applyFont="1" applyFill="1"/>
    <xf numFmtId="10" fontId="16" fillId="0" borderId="0" xfId="3" applyNumberFormat="1" applyFont="1" applyFill="1" applyAlignment="1">
      <alignment horizontal="center"/>
    </xf>
    <xf numFmtId="43" fontId="3" fillId="0" borderId="0" xfId="0" applyNumberFormat="1" applyFont="1" applyFill="1"/>
    <xf numFmtId="0" fontId="34" fillId="0" borderId="0" xfId="0" applyFont="1" applyFill="1" applyAlignment="1">
      <alignment horizontal="center" vertical="center"/>
    </xf>
    <xf numFmtId="0" fontId="35" fillId="0" borderId="0" xfId="0" applyFont="1" applyFill="1" applyAlignment="1">
      <alignment horizontal="center" vertical="center"/>
    </xf>
    <xf numFmtId="173" fontId="3" fillId="0" borderId="0" xfId="3" applyNumberFormat="1" applyFont="1" applyFill="1"/>
    <xf numFmtId="44" fontId="3" fillId="0" borderId="0" xfId="0" applyNumberFormat="1" applyFont="1" applyFill="1"/>
    <xf numFmtId="44" fontId="3" fillId="0" borderId="10" xfId="2" applyNumberFormat="1" applyFont="1" applyFill="1" applyBorder="1"/>
    <xf numFmtId="44" fontId="3" fillId="0" borderId="11" xfId="2" applyNumberFormat="1" applyFont="1" applyFill="1" applyBorder="1"/>
    <xf numFmtId="44" fontId="3" fillId="0" borderId="12" xfId="2" applyNumberFormat="1" applyFont="1" applyFill="1" applyBorder="1"/>
    <xf numFmtId="44" fontId="3" fillId="0" borderId="0" xfId="2" applyNumberFormat="1" applyFont="1" applyFill="1"/>
    <xf numFmtId="44" fontId="6" fillId="0" borderId="0" xfId="0" applyNumberFormat="1" applyFont="1" applyFill="1"/>
    <xf numFmtId="44" fontId="16" fillId="0" borderId="0" xfId="0" applyNumberFormat="1" applyFont="1" applyFill="1" applyAlignment="1">
      <alignment horizontal="center"/>
    </xf>
    <xf numFmtId="164" fontId="0" fillId="0" borderId="0" xfId="0" applyNumberFormat="1" applyFill="1"/>
    <xf numFmtId="0" fontId="3" fillId="0" borderId="1" xfId="0" applyFont="1" applyFill="1" applyBorder="1"/>
    <xf numFmtId="0" fontId="3" fillId="0" borderId="2" xfId="0" applyFont="1" applyFill="1" applyBorder="1"/>
    <xf numFmtId="0" fontId="0" fillId="0" borderId="2" xfId="0" applyFill="1" applyBorder="1"/>
    <xf numFmtId="0" fontId="8" fillId="0" borderId="2" xfId="0" applyFont="1" applyFill="1" applyBorder="1" applyAlignment="1">
      <alignment horizontal="center"/>
    </xf>
    <xf numFmtId="0" fontId="8" fillId="0" borderId="3" xfId="0" applyFont="1" applyFill="1" applyBorder="1" applyAlignment="1">
      <alignment horizontal="center"/>
    </xf>
    <xf numFmtId="0" fontId="0" fillId="0" borderId="0" xfId="0" applyFill="1" applyBorder="1"/>
    <xf numFmtId="0" fontId="8" fillId="0" borderId="0" xfId="0" applyFont="1" applyFill="1" applyBorder="1" applyAlignment="1">
      <alignment horizontal="center"/>
    </xf>
    <xf numFmtId="0" fontId="8" fillId="0" borderId="5" xfId="0" applyFont="1" applyFill="1" applyBorder="1" applyAlignment="1">
      <alignment horizontal="center"/>
    </xf>
    <xf numFmtId="174" fontId="0" fillId="0" borderId="0" xfId="3" applyNumberFormat="1" applyFont="1" applyFill="1" applyBorder="1"/>
    <xf numFmtId="0" fontId="3" fillId="0" borderId="0" xfId="0" applyFont="1" applyFill="1" applyBorder="1" applyAlignment="1">
      <alignment horizontal="right"/>
    </xf>
    <xf numFmtId="164" fontId="0" fillId="0" borderId="0" xfId="0" applyNumberFormat="1" applyFill="1" applyBorder="1"/>
    <xf numFmtId="164" fontId="0" fillId="0" borderId="5" xfId="0" applyNumberFormat="1" applyFill="1" applyBorder="1"/>
    <xf numFmtId="0" fontId="8" fillId="0" borderId="4" xfId="0" applyFont="1" applyFill="1" applyBorder="1" applyAlignment="1">
      <alignment horizontal="center"/>
    </xf>
    <xf numFmtId="164" fontId="0" fillId="0" borderId="14" xfId="0" applyNumberFormat="1" applyFill="1" applyBorder="1"/>
    <xf numFmtId="164" fontId="0" fillId="0" borderId="21" xfId="0" applyNumberFormat="1" applyFill="1" applyBorder="1"/>
    <xf numFmtId="0" fontId="8" fillId="0" borderId="6" xfId="0" applyFont="1" applyFill="1" applyBorder="1" applyAlignment="1">
      <alignment horizontal="center"/>
    </xf>
    <xf numFmtId="0" fontId="8" fillId="0" borderId="7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right"/>
    </xf>
    <xf numFmtId="0" fontId="8" fillId="0" borderId="8" xfId="0" applyFont="1" applyFill="1" applyBorder="1" applyAlignment="1">
      <alignment horizontal="center"/>
    </xf>
    <xf numFmtId="38" fontId="3" fillId="0" borderId="0" xfId="0" applyNumberFormat="1" applyFont="1" applyFill="1"/>
    <xf numFmtId="0" fontId="0" fillId="0" borderId="15" xfId="0" applyFill="1" applyBorder="1"/>
    <xf numFmtId="0" fontId="3" fillId="0" borderId="23" xfId="0" applyFont="1" applyFill="1" applyBorder="1"/>
    <xf numFmtId="0" fontId="3" fillId="0" borderId="25" xfId="0" applyFont="1" applyFill="1" applyBorder="1"/>
    <xf numFmtId="0" fontId="3" fillId="0" borderId="24" xfId="0" applyFont="1" applyFill="1" applyBorder="1"/>
    <xf numFmtId="37" fontId="3" fillId="0" borderId="14" xfId="0" applyNumberFormat="1" applyFont="1" applyFill="1" applyBorder="1"/>
    <xf numFmtId="0" fontId="3" fillId="0" borderId="26" xfId="0" applyFont="1" applyFill="1" applyBorder="1"/>
    <xf numFmtId="0" fontId="3" fillId="0" borderId="16" xfId="0" applyFont="1" applyFill="1" applyBorder="1"/>
    <xf numFmtId="0" fontId="3" fillId="0" borderId="27" xfId="0" applyFont="1" applyFill="1" applyBorder="1"/>
    <xf numFmtId="0" fontId="40" fillId="0" borderId="0" xfId="0" applyFont="1" applyFill="1" applyAlignment="1">
      <alignment horizontal="center"/>
    </xf>
    <xf numFmtId="164" fontId="6" fillId="0" borderId="29" xfId="1" applyNumberFormat="1" applyFont="1" applyFill="1" applyBorder="1" applyAlignment="1">
      <alignment horizontal="center"/>
    </xf>
    <xf numFmtId="164" fontId="6" fillId="0" borderId="30" xfId="0" applyNumberFormat="1" applyFont="1" applyFill="1" applyBorder="1" applyAlignment="1">
      <alignment horizontal="center"/>
    </xf>
    <xf numFmtId="164" fontId="41" fillId="0" borderId="0" xfId="0" applyNumberFormat="1" applyFont="1" applyFill="1" applyAlignment="1">
      <alignment horizontal="center"/>
    </xf>
    <xf numFmtId="0" fontId="29" fillId="0" borderId="29" xfId="0" applyFont="1" applyFill="1" applyBorder="1" applyAlignment="1">
      <alignment horizontal="center"/>
    </xf>
    <xf numFmtId="43" fontId="0" fillId="0" borderId="0" xfId="0" applyNumberFormat="1" applyFill="1" applyBorder="1" applyAlignment="1">
      <alignment horizontal="left" vertical="top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nancials%20-%20Mahoning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nancials%20-%20Mahoning%20SEWER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nancials%20-%20Mahoning%20WAT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PV Est DepEx = CAPX"/>
      <sheetName val="OUT Corp owned DCF"/>
      <sheetName val="Notes"/>
      <sheetName val="Northampton summary"/>
      <sheetName val="MAHONING"/>
      <sheetName val="GROWTH notes Mahoning"/>
      <sheetName val="MUNI mahoning"/>
      <sheetName val="IOU mahoning"/>
      <sheetName val="mahoning DCF results"/>
      <sheetName val="mahoning DCF NOTES"/>
      <sheetName val="MASTER East Bradford"/>
      <sheetName val="Growth Notes East Bradford"/>
      <sheetName val="east bradford MUNI"/>
      <sheetName val="east bradford IOU"/>
      <sheetName val="east bradford results"/>
      <sheetName val="east bradford DCF notes"/>
      <sheetName val="MASTER Kane Borough Authoity"/>
      <sheetName val="TESTIMONY notes for KANE"/>
      <sheetName val="Kane-SUBJECT"/>
      <sheetName val="Kane - MUNI"/>
      <sheetName val="Kane - IOU"/>
      <sheetName val="Kane DCF - MUNI &amp; IOU"/>
      <sheetName val="Kane - FOOTNOTES"/>
      <sheetName val="notes for draft FMV"/>
      <sheetName val="draft summary FMV"/>
      <sheetName val="bond buyer notes"/>
      <sheetName val="AQUA PA Wastewater"/>
      <sheetName val="COST method reference"/>
      <sheetName val="Risk Adjustment for Multiples"/>
      <sheetName val="Get S&amp;P data"/>
      <sheetName val="Market Multiples details"/>
      <sheetName val="Market Multiples Summary"/>
      <sheetName val="Check on OC valuation"/>
      <sheetName val="Selected Transactions summary"/>
      <sheetName val="Selected Transactions details"/>
      <sheetName val="orig mahoning data"/>
      <sheetName val="Plant to customer and poulation"/>
      <sheetName val="transactions"/>
      <sheetName val="OUT Selected Transactions Summ"/>
      <sheetName val="test revised trasaction databas"/>
      <sheetName val="SUMMARY Economic &amp; Market Val"/>
      <sheetName val="Sheet15"/>
    </sheetNames>
    <sheetDataSet>
      <sheetData sheetId="0">
        <row r="3">
          <cell r="B3" t="str">
            <v>Township of Mahoning Sewer and Water Systems Assets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PV Est DepEx = CAPX"/>
      <sheetName val="OUT Corp owned DCF"/>
      <sheetName val="Notes"/>
      <sheetName val="Northampton summary"/>
      <sheetName val="MAHONING"/>
      <sheetName val="GROWTH notes Mahoning"/>
      <sheetName val="MUNI mahoning"/>
      <sheetName val="IOU mahoning"/>
      <sheetName val="mahoning DCF results"/>
      <sheetName val="mahoning DCF NOTES"/>
      <sheetName val="MASTER East Bradford"/>
      <sheetName val="Growth Notes East Bradford"/>
      <sheetName val="east bradford MUNI"/>
      <sheetName val="east bradford IOU"/>
      <sheetName val="east bradford results"/>
      <sheetName val="east bradford DCF notes"/>
      <sheetName val="MASTER Kane Borough Authoity"/>
      <sheetName val="TESTIMONY notes for KANE"/>
      <sheetName val="Kane-SUBJECT"/>
      <sheetName val="Kane - MUNI"/>
      <sheetName val="Kane - IOU"/>
      <sheetName val="Kane DCF - MUNI &amp; IOU"/>
      <sheetName val="Kane - FOOTNOTES"/>
      <sheetName val="notes for draft FMV"/>
      <sheetName val="draft summary FMV"/>
      <sheetName val="bond buyer notes"/>
      <sheetName val="AQUA PA Wastewater"/>
      <sheetName val="COST method reference"/>
      <sheetName val="Risk Adjustment for Multiples"/>
      <sheetName val="Get S&amp;P data"/>
      <sheetName val="Market Multiples details"/>
      <sheetName val="Market Multiples Summary"/>
      <sheetName val="Check on OC valuation"/>
      <sheetName val="Selected Transactions summary"/>
      <sheetName val="Selected Transactions details"/>
      <sheetName val="orig mahoning data"/>
      <sheetName val="Plant to customer and poulation"/>
      <sheetName val="transactions"/>
      <sheetName val="OUT Selected Transactions Summ"/>
      <sheetName val="test revised trasaction databas"/>
      <sheetName val="SUMMARY Economic &amp; Market Val"/>
      <sheetName val="Sheet15"/>
    </sheetNames>
    <sheetDataSet>
      <sheetData sheetId="0">
        <row r="3">
          <cell r="B3" t="str">
            <v>Township of Mahoning Sewer System Assets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PV Est DepEx = CAPX"/>
      <sheetName val="OUT Corp owned DCF"/>
      <sheetName val="Notes"/>
      <sheetName val="Northampton summary"/>
      <sheetName val="MAHONING"/>
      <sheetName val="GROWTH notes Mahoning"/>
      <sheetName val="MUNI mahoning"/>
      <sheetName val="IOU mahoning"/>
      <sheetName val="mahoning DCF results"/>
      <sheetName val="mahoning DCF NOTES"/>
      <sheetName val="MASTER East Bradford"/>
      <sheetName val="Growth Notes East Bradford"/>
      <sheetName val="east bradford MUNI"/>
      <sheetName val="east bradford IOU"/>
      <sheetName val="east bradford results"/>
      <sheetName val="east bradford DCF notes"/>
      <sheetName val="MASTER Kane Borough Authoity"/>
      <sheetName val="TESTIMONY notes for KANE"/>
      <sheetName val="Kane-SUBJECT"/>
      <sheetName val="Kane - MUNI"/>
      <sheetName val="Kane - IOU"/>
      <sheetName val="Kane DCF - MUNI &amp; IOU"/>
      <sheetName val="Kane - FOOTNOTES"/>
      <sheetName val="notes for draft FMV"/>
      <sheetName val="draft summary FMV"/>
      <sheetName val="bond buyer notes"/>
      <sheetName val="AQUA PA Wastewater"/>
      <sheetName val="COST method reference"/>
      <sheetName val="Risk Adjustment for Multiples"/>
      <sheetName val="Get S&amp;P data"/>
      <sheetName val="Market Multiples details"/>
      <sheetName val="Market Multiples Summary"/>
      <sheetName val="Check on OC valuation"/>
      <sheetName val="Selected Transactions summary"/>
      <sheetName val="Selected Transactions details"/>
      <sheetName val="orig mahoning data"/>
      <sheetName val="Plant to customer and poulation"/>
      <sheetName val="transactions"/>
      <sheetName val="OUT Selected Transactions Summ"/>
      <sheetName val="test revised trasaction databas"/>
      <sheetName val="SUMMARY Economic &amp; Market Val"/>
      <sheetName val="Sheet15"/>
    </sheetNames>
    <sheetDataSet>
      <sheetData sheetId="0">
        <row r="3">
          <cell r="B3" t="str">
            <v>Township of Mahoning Water System Assets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461"/>
  <sheetViews>
    <sheetView view="pageBreakPreview" topLeftCell="A283" zoomScale="60" zoomScaleNormal="106" workbookViewId="0">
      <selection activeCell="C320" sqref="C320"/>
    </sheetView>
  </sheetViews>
  <sheetFormatPr defaultColWidth="8.85546875" defaultRowHeight="12.75" x14ac:dyDescent="0.2"/>
  <cols>
    <col min="1" max="1" width="21.42578125" style="2" customWidth="1"/>
    <col min="2" max="2" width="8.85546875" style="25"/>
    <col min="3" max="3" width="22.7109375" style="2" customWidth="1"/>
    <col min="4" max="5" width="8.85546875" style="2"/>
    <col min="6" max="6" width="4.140625" style="2" customWidth="1"/>
    <col min="7" max="7" width="34.28515625" style="2" customWidth="1"/>
    <col min="8" max="14" width="13.7109375" style="2" customWidth="1"/>
    <col min="15" max="15" width="13.140625" style="2" customWidth="1"/>
    <col min="16" max="16" width="12.7109375" style="2" customWidth="1"/>
    <col min="17" max="17" width="14.140625" style="2" customWidth="1"/>
    <col min="18" max="18" width="16.28515625" style="2" customWidth="1"/>
    <col min="19" max="26" width="12.7109375" style="2" customWidth="1"/>
    <col min="27" max="27" width="10.140625" style="2" customWidth="1"/>
    <col min="28" max="28" width="11.7109375" style="2" customWidth="1"/>
    <col min="29" max="29" width="10.7109375" style="2" customWidth="1"/>
    <col min="30" max="30" width="12.28515625" style="2" customWidth="1"/>
    <col min="31" max="31" width="9.140625" style="2" customWidth="1"/>
    <col min="32" max="32" width="8.85546875" style="2"/>
    <col min="33" max="33" width="10.7109375" style="2" customWidth="1"/>
    <col min="34" max="34" width="8.85546875" style="2"/>
    <col min="35" max="35" width="12.7109375" style="2" customWidth="1"/>
    <col min="36" max="36" width="10.140625" style="2" bestFit="1" customWidth="1"/>
    <col min="37" max="37" width="10.140625" style="2" customWidth="1"/>
    <col min="38" max="38" width="10.28515625" style="2" customWidth="1"/>
    <col min="39" max="40" width="12.7109375" style="2" customWidth="1"/>
    <col min="41" max="41" width="9" style="2" customWidth="1"/>
    <col min="42" max="16384" width="8.85546875" style="2"/>
  </cols>
  <sheetData>
    <row r="1" spans="2:26" ht="15.75" x14ac:dyDescent="0.25">
      <c r="B1" s="2"/>
      <c r="G1" s="2" t="s">
        <v>0</v>
      </c>
      <c r="H1" s="118">
        <v>3.8399999999999997E-2</v>
      </c>
      <c r="I1" s="119">
        <v>43220</v>
      </c>
    </row>
    <row r="2" spans="2:26" ht="15.75" x14ac:dyDescent="0.25">
      <c r="B2" s="2"/>
      <c r="G2" s="120" t="s">
        <v>1</v>
      </c>
      <c r="H2" s="118">
        <v>7.1199999999999999E-2</v>
      </c>
      <c r="I2" s="119">
        <v>43220</v>
      </c>
    </row>
    <row r="3" spans="2:26" ht="15.75" x14ac:dyDescent="0.25">
      <c r="B3" s="2"/>
      <c r="G3" s="120" t="s">
        <v>3</v>
      </c>
      <c r="H3" s="118">
        <v>8.48E-2</v>
      </c>
      <c r="I3" s="119">
        <v>43220</v>
      </c>
    </row>
    <row r="4" spans="2:26" ht="15.75" x14ac:dyDescent="0.25">
      <c r="B4" s="2"/>
      <c r="G4" s="121" t="s">
        <v>4</v>
      </c>
      <c r="H4" s="2">
        <v>20.78</v>
      </c>
      <c r="I4" s="122" t="s">
        <v>5</v>
      </c>
      <c r="L4" s="123" t="str">
        <f>+C5&amp;" GROWTH:"</f>
        <v xml:space="preserve"> GROWTH:</v>
      </c>
      <c r="M4" s="124">
        <v>2.5000000000000001E-3</v>
      </c>
      <c r="N4" s="125"/>
    </row>
    <row r="5" spans="2:26" ht="15.75" x14ac:dyDescent="0.25">
      <c r="B5" s="2"/>
      <c r="G5" s="121" t="s">
        <v>7</v>
      </c>
      <c r="H5" s="2">
        <v>14.48</v>
      </c>
      <c r="I5" s="122" t="s">
        <v>5</v>
      </c>
      <c r="L5" s="123" t="str">
        <f>+C6&amp;" GROWTH:"</f>
        <v xml:space="preserve"> GROWTH:</v>
      </c>
      <c r="M5" s="124">
        <v>0.01</v>
      </c>
      <c r="N5" s="126"/>
    </row>
    <row r="6" spans="2:26" x14ac:dyDescent="0.2">
      <c r="B6" s="2"/>
      <c r="G6" s="2" t="s">
        <v>9</v>
      </c>
      <c r="H6" s="2">
        <v>0.7</v>
      </c>
      <c r="I6" s="122" t="s">
        <v>5</v>
      </c>
      <c r="L6" s="123" t="str">
        <f>+C7&amp;" GROWTH:"</f>
        <v xml:space="preserve"> GROWTH:</v>
      </c>
      <c r="M6" s="124">
        <v>0</v>
      </c>
      <c r="N6" s="126"/>
    </row>
    <row r="7" spans="2:26" ht="15.75" x14ac:dyDescent="0.25">
      <c r="B7" s="2"/>
      <c r="G7" s="121" t="s">
        <v>10</v>
      </c>
      <c r="H7" s="127">
        <v>14.6</v>
      </c>
      <c r="N7" s="1"/>
    </row>
    <row r="8" spans="2:26" ht="15.75" x14ac:dyDescent="0.25">
      <c r="B8" s="2"/>
      <c r="G8" s="121" t="s">
        <v>11</v>
      </c>
      <c r="H8" s="127">
        <v>10.1</v>
      </c>
      <c r="N8" s="128"/>
    </row>
    <row r="9" spans="2:26" ht="13.5" x14ac:dyDescent="0.25">
      <c r="C9" s="129" t="s">
        <v>12</v>
      </c>
      <c r="G9" s="2" t="s">
        <v>13</v>
      </c>
      <c r="H9" s="130">
        <f>IF(C10="IOU",M4,IF(C10="MUNI",M5,M6))</f>
        <v>0.01</v>
      </c>
    </row>
    <row r="10" spans="2:26" x14ac:dyDescent="0.2">
      <c r="C10" s="131" t="s">
        <v>8</v>
      </c>
      <c r="D10" s="66" t="s">
        <v>14</v>
      </c>
      <c r="G10" s="3"/>
      <c r="H10" s="3"/>
      <c r="I10" s="3"/>
      <c r="J10" s="3"/>
      <c r="K10" s="3"/>
      <c r="L10" s="3"/>
      <c r="M10" s="76" t="s">
        <v>15</v>
      </c>
      <c r="N10" s="3"/>
      <c r="O10" s="3"/>
      <c r="P10" s="3"/>
      <c r="Q10" s="3"/>
      <c r="R10" s="3"/>
      <c r="U10" s="76" t="str">
        <f>+M10</f>
        <v>Income Approach</v>
      </c>
    </row>
    <row r="11" spans="2:26" ht="15" x14ac:dyDescent="0.25">
      <c r="D11" s="132">
        <v>1</v>
      </c>
      <c r="G11" s="3"/>
      <c r="H11" s="3"/>
      <c r="I11" s="3"/>
      <c r="J11" s="3"/>
      <c r="K11" s="3"/>
      <c r="L11" s="3"/>
      <c r="M11" s="25" t="s">
        <v>182</v>
      </c>
      <c r="N11" s="3"/>
      <c r="O11" s="3"/>
      <c r="P11" s="3"/>
      <c r="Q11" s="3"/>
      <c r="R11" s="3"/>
      <c r="U11" s="25" t="str">
        <f t="shared" ref="U11:U14" si="0">+M11</f>
        <v>Township of Mahoning Sewer and Water Systems Assets</v>
      </c>
    </row>
    <row r="12" spans="2:26" ht="15" x14ac:dyDescent="0.25">
      <c r="D12" s="132">
        <v>1</v>
      </c>
      <c r="G12" s="3"/>
      <c r="H12" s="3"/>
      <c r="I12" s="3"/>
      <c r="J12" s="3"/>
      <c r="K12" s="3"/>
      <c r="L12" s="3"/>
      <c r="M12" s="25" t="str">
        <f>IF($C$10="SUBJECT","Pro Forma Operations",IF($C$10="MUNI","Pro Forma and Estimted Operations With MUNI Ownership","Pro Forma and Estimted Operations With IOU Ownership"))</f>
        <v>Pro Forma and Estimted Operations With MUNI Ownership</v>
      </c>
      <c r="N12" s="3"/>
      <c r="O12" s="3"/>
      <c r="P12" s="3"/>
      <c r="Q12" s="3"/>
      <c r="R12" s="3"/>
      <c r="U12" s="25" t="str">
        <f t="shared" si="0"/>
        <v>Pro Forma and Estimted Operations With MUNI Ownership</v>
      </c>
    </row>
    <row r="13" spans="2:26" ht="15" x14ac:dyDescent="0.25">
      <c r="D13" s="132">
        <f>IF($C$10="SUBJECT",0,1)</f>
        <v>1</v>
      </c>
      <c r="G13" s="3"/>
      <c r="H13" s="3"/>
      <c r="I13" s="3"/>
      <c r="J13" s="3"/>
      <c r="K13" s="3"/>
      <c r="L13" s="3"/>
      <c r="M13" s="25" t="s">
        <v>16</v>
      </c>
      <c r="N13" s="3"/>
      <c r="O13" s="3"/>
      <c r="P13" s="3"/>
      <c r="Q13" s="3"/>
      <c r="R13" s="3"/>
      <c r="U13" s="25" t="str">
        <f t="shared" si="0"/>
        <v>DCF With Capitalization of Terminal Value Model and</v>
      </c>
    </row>
    <row r="14" spans="2:26" ht="15" x14ac:dyDescent="0.25">
      <c r="D14" s="132">
        <v>1</v>
      </c>
      <c r="G14" s="3"/>
      <c r="H14" s="3"/>
      <c r="I14" s="3"/>
      <c r="J14" s="3"/>
      <c r="K14" s="3"/>
      <c r="L14" s="3"/>
      <c r="M14" s="44" t="str">
        <f>IF($C$10="SUBJECT","Earnings Capitalization Model","DCF With EBIT &amp; EBITDA Terminal Value Model")</f>
        <v>DCF With EBIT &amp; EBITDA Terminal Value Model</v>
      </c>
      <c r="N14" s="3"/>
      <c r="O14" s="3"/>
      <c r="P14" s="3"/>
      <c r="Q14" s="3"/>
      <c r="R14" s="3"/>
      <c r="U14" s="44" t="str">
        <f t="shared" si="0"/>
        <v>DCF With EBIT &amp; EBITDA Terminal Value Model</v>
      </c>
    </row>
    <row r="15" spans="2:26" ht="15" x14ac:dyDescent="0.25">
      <c r="D15" s="132">
        <v>1</v>
      </c>
      <c r="F15" s="133"/>
      <c r="G15" s="3"/>
      <c r="H15" s="3"/>
      <c r="I15" s="3"/>
      <c r="J15" s="3"/>
      <c r="K15" s="3"/>
      <c r="L15" s="3"/>
      <c r="M15" s="134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</row>
    <row r="16" spans="2:26" ht="15.75" thickBot="1" x14ac:dyDescent="0.3">
      <c r="D16" s="132">
        <v>1</v>
      </c>
      <c r="E16" s="135" t="s">
        <v>17</v>
      </c>
      <c r="N16" s="4"/>
      <c r="O16" s="136"/>
      <c r="P16" s="136"/>
      <c r="Q16" s="136"/>
      <c r="R16" s="136"/>
    </row>
    <row r="17" spans="1:35" ht="15.75" thickBot="1" x14ac:dyDescent="0.3">
      <c r="B17" s="66" t="s">
        <v>18</v>
      </c>
      <c r="D17" s="132">
        <v>1</v>
      </c>
      <c r="M17" s="137" t="s">
        <v>19</v>
      </c>
      <c r="N17" s="137" t="s">
        <v>19</v>
      </c>
      <c r="O17" s="137" t="s">
        <v>19</v>
      </c>
      <c r="P17" s="137" t="s">
        <v>19</v>
      </c>
      <c r="Q17" s="137" t="s">
        <v>19</v>
      </c>
      <c r="R17" s="137" t="s">
        <v>19</v>
      </c>
      <c r="S17" s="137" t="s">
        <v>19</v>
      </c>
      <c r="T17" s="137" t="s">
        <v>19</v>
      </c>
      <c r="U17" s="137" t="s">
        <v>19</v>
      </c>
      <c r="V17" s="137" t="s">
        <v>19</v>
      </c>
      <c r="W17" s="137" t="s">
        <v>19</v>
      </c>
      <c r="X17" s="137" t="s">
        <v>19</v>
      </c>
      <c r="Y17" s="137" t="s">
        <v>19</v>
      </c>
      <c r="Z17" s="137" t="s">
        <v>19</v>
      </c>
      <c r="AA17" s="69"/>
      <c r="AB17" s="69"/>
    </row>
    <row r="18" spans="1:35" ht="15.75" thickBot="1" x14ac:dyDescent="0.3">
      <c r="C18" s="138">
        <f>IF(D18=0,F17,IF(ISBLANK(G18),F17,1+F17))</f>
        <v>0</v>
      </c>
      <c r="D18" s="132">
        <v>1</v>
      </c>
      <c r="E18" s="138"/>
      <c r="F18" s="139" t="str">
        <f>IF(ISBLANK(G18),"",C18)</f>
        <v/>
      </c>
      <c r="H18" s="140"/>
      <c r="I18" s="140" t="s">
        <v>20</v>
      </c>
      <c r="J18" s="141"/>
      <c r="K18" s="140" t="s">
        <v>20</v>
      </c>
      <c r="L18" s="142"/>
      <c r="M18" s="143" t="str">
        <f t="shared" ref="M18:Z18" si="1">"Year "&amp;M53+0.5</f>
        <v>Year 0</v>
      </c>
      <c r="N18" s="143" t="str">
        <f t="shared" si="1"/>
        <v>Year 1</v>
      </c>
      <c r="O18" s="143" t="str">
        <f t="shared" si="1"/>
        <v>Year 2</v>
      </c>
      <c r="P18" s="143" t="str">
        <f t="shared" si="1"/>
        <v>Year 3</v>
      </c>
      <c r="Q18" s="143" t="str">
        <f t="shared" si="1"/>
        <v>Year 4</v>
      </c>
      <c r="R18" s="143" t="str">
        <f t="shared" si="1"/>
        <v>Year 5</v>
      </c>
      <c r="S18" s="143" t="str">
        <f t="shared" si="1"/>
        <v>Year 6</v>
      </c>
      <c r="T18" s="143" t="str">
        <f t="shared" si="1"/>
        <v>Year 7</v>
      </c>
      <c r="U18" s="143" t="str">
        <f t="shared" si="1"/>
        <v>Year 8</v>
      </c>
      <c r="V18" s="143" t="str">
        <f t="shared" si="1"/>
        <v>Year 9</v>
      </c>
      <c r="W18" s="143" t="str">
        <f t="shared" si="1"/>
        <v>Year 10</v>
      </c>
      <c r="X18" s="143" t="str">
        <f t="shared" si="1"/>
        <v>Year 11</v>
      </c>
      <c r="Y18" s="143" t="str">
        <f t="shared" si="1"/>
        <v>Year 12</v>
      </c>
      <c r="Z18" s="143" t="str">
        <f t="shared" si="1"/>
        <v>Year 13</v>
      </c>
      <c r="AA18" s="69" t="s">
        <v>21</v>
      </c>
      <c r="AB18" s="69"/>
    </row>
    <row r="19" spans="1:35" ht="15" x14ac:dyDescent="0.25">
      <c r="C19" s="138">
        <f>IF(D19=0,C18,IF(ISBLANK(G19),C18,1+MAX(C$5:C18)))</f>
        <v>0</v>
      </c>
      <c r="D19" s="132">
        <v>1</v>
      </c>
      <c r="E19" s="138"/>
      <c r="F19" s="139" t="str">
        <f t="shared" ref="F19:F76" si="2">IF(ISBLANK(G19),"",C19)</f>
        <v/>
      </c>
      <c r="H19" s="76">
        <v>2013</v>
      </c>
      <c r="I19" s="76">
        <f t="shared" ref="I19:AA19" si="3">+H19+1</f>
        <v>2014</v>
      </c>
      <c r="J19" s="76">
        <f t="shared" si="3"/>
        <v>2015</v>
      </c>
      <c r="K19" s="76">
        <f t="shared" si="3"/>
        <v>2016</v>
      </c>
      <c r="L19" s="76">
        <f t="shared" si="3"/>
        <v>2017</v>
      </c>
      <c r="M19" s="76">
        <f t="shared" si="3"/>
        <v>2018</v>
      </c>
      <c r="N19" s="76">
        <f t="shared" si="3"/>
        <v>2019</v>
      </c>
      <c r="O19" s="76">
        <f t="shared" si="3"/>
        <v>2020</v>
      </c>
      <c r="P19" s="76">
        <f t="shared" si="3"/>
        <v>2021</v>
      </c>
      <c r="Q19" s="76">
        <f t="shared" si="3"/>
        <v>2022</v>
      </c>
      <c r="R19" s="76">
        <f t="shared" si="3"/>
        <v>2023</v>
      </c>
      <c r="S19" s="76">
        <f t="shared" si="3"/>
        <v>2024</v>
      </c>
      <c r="T19" s="76">
        <f t="shared" si="3"/>
        <v>2025</v>
      </c>
      <c r="U19" s="76">
        <f t="shared" si="3"/>
        <v>2026</v>
      </c>
      <c r="V19" s="76">
        <f t="shared" si="3"/>
        <v>2027</v>
      </c>
      <c r="W19" s="76">
        <f t="shared" si="3"/>
        <v>2028</v>
      </c>
      <c r="X19" s="76">
        <f t="shared" si="3"/>
        <v>2029</v>
      </c>
      <c r="Y19" s="76">
        <f t="shared" si="3"/>
        <v>2030</v>
      </c>
      <c r="Z19" s="76">
        <f t="shared" si="3"/>
        <v>2031</v>
      </c>
      <c r="AA19" s="76">
        <f t="shared" si="3"/>
        <v>2032</v>
      </c>
      <c r="AB19" s="69"/>
    </row>
    <row r="20" spans="1:35" ht="15" x14ac:dyDescent="0.25">
      <c r="A20" s="144" t="s">
        <v>22</v>
      </c>
      <c r="B20" s="66">
        <v>1</v>
      </c>
      <c r="C20" s="138">
        <f>IF(D20=0,C19,IF(ISBLANK(G20),C19,1+MAX(C$18:C19)))</f>
        <v>1</v>
      </c>
      <c r="D20" s="132">
        <v>1</v>
      </c>
      <c r="E20" s="138"/>
      <c r="F20" s="139">
        <v>1</v>
      </c>
      <c r="G20" s="144" t="str">
        <f>+A20&amp;" ("&amp;B20&amp;")"</f>
        <v>OPERATING REVENUES (1)</v>
      </c>
      <c r="AB20" s="69"/>
    </row>
    <row r="21" spans="1:35" ht="15" x14ac:dyDescent="0.25">
      <c r="C21" s="138">
        <f>IF(D21=0,C20,IF(ISBLANK(G21),C20,1+MAX(C$18:C20)))</f>
        <v>2</v>
      </c>
      <c r="D21" s="132">
        <v>1</v>
      </c>
      <c r="F21" s="139">
        <f t="shared" si="2"/>
        <v>2</v>
      </c>
      <c r="G21" s="145" t="s">
        <v>23</v>
      </c>
      <c r="H21" s="6">
        <v>0</v>
      </c>
      <c r="I21" s="6">
        <v>0</v>
      </c>
      <c r="J21" s="6">
        <v>0</v>
      </c>
      <c r="K21" s="6">
        <v>1829023</v>
      </c>
      <c r="L21" s="6">
        <f>$K21*(1+(((0.4*0.1)+(0.6*0.15))*(3/12)))</f>
        <v>1888466.2475000001</v>
      </c>
      <c r="M21" s="5">
        <f>$K21*(1+(((0.4*0.1)+(0.6*0.15))*(12/12)))</f>
        <v>2066795.9899999998</v>
      </c>
      <c r="N21" s="5">
        <f t="shared" ref="N21:O21" si="4">+N365</f>
        <v>2130225</v>
      </c>
      <c r="O21" s="5">
        <f t="shared" si="4"/>
        <v>2193784</v>
      </c>
      <c r="P21" s="5">
        <f>+P365</f>
        <v>2204467</v>
      </c>
      <c r="Q21" s="5">
        <f t="shared" ref="Q21:Z21" si="5">+Q365</f>
        <v>2447741</v>
      </c>
      <c r="R21" s="5">
        <f t="shared" si="5"/>
        <v>2459778</v>
      </c>
      <c r="S21" s="5">
        <f t="shared" si="5"/>
        <v>2472077</v>
      </c>
      <c r="T21" s="5">
        <f t="shared" si="5"/>
        <v>2576361</v>
      </c>
      <c r="U21" s="5">
        <f t="shared" si="5"/>
        <v>2589243</v>
      </c>
      <c r="V21" s="5">
        <f t="shared" si="5"/>
        <v>2602189</v>
      </c>
      <c r="W21" s="5">
        <f t="shared" si="5"/>
        <v>2711963</v>
      </c>
      <c r="X21" s="5">
        <f t="shared" si="5"/>
        <v>2725522</v>
      </c>
      <c r="Y21" s="5">
        <f t="shared" si="5"/>
        <v>2739150</v>
      </c>
      <c r="Z21" s="5">
        <f t="shared" si="5"/>
        <v>2854701</v>
      </c>
      <c r="AA21" s="5">
        <v>0</v>
      </c>
      <c r="AB21" s="69"/>
    </row>
    <row r="22" spans="1:35" ht="15" x14ac:dyDescent="0.25">
      <c r="C22" s="138">
        <f>IF(D22=0,C21,IF(ISBLANK(G22),C21,1+MAX(C$18:C21)))</f>
        <v>3</v>
      </c>
      <c r="D22" s="132">
        <v>1</v>
      </c>
      <c r="F22" s="139">
        <f t="shared" si="2"/>
        <v>3</v>
      </c>
      <c r="G22" s="145" t="s">
        <v>24</v>
      </c>
      <c r="H22" s="6">
        <v>0</v>
      </c>
      <c r="I22" s="6">
        <v>0</v>
      </c>
      <c r="J22" s="6">
        <v>0</v>
      </c>
      <c r="K22" s="6">
        <v>58217</v>
      </c>
      <c r="L22" s="6">
        <f>+K22</f>
        <v>58217</v>
      </c>
      <c r="M22" s="6">
        <f>+L22</f>
        <v>58217</v>
      </c>
      <c r="N22" s="6">
        <f t="shared" ref="N22:Z22" si="6">+M22</f>
        <v>58217</v>
      </c>
      <c r="O22" s="6">
        <f t="shared" si="6"/>
        <v>58217</v>
      </c>
      <c r="P22" s="6">
        <f t="shared" si="6"/>
        <v>58217</v>
      </c>
      <c r="Q22" s="6">
        <f t="shared" si="6"/>
        <v>58217</v>
      </c>
      <c r="R22" s="6">
        <f t="shared" si="6"/>
        <v>58217</v>
      </c>
      <c r="S22" s="6">
        <f t="shared" si="6"/>
        <v>58217</v>
      </c>
      <c r="T22" s="6">
        <f t="shared" si="6"/>
        <v>58217</v>
      </c>
      <c r="U22" s="6">
        <f t="shared" si="6"/>
        <v>58217</v>
      </c>
      <c r="V22" s="6">
        <f t="shared" si="6"/>
        <v>58217</v>
      </c>
      <c r="W22" s="6">
        <f t="shared" si="6"/>
        <v>58217</v>
      </c>
      <c r="X22" s="6">
        <f t="shared" si="6"/>
        <v>58217</v>
      </c>
      <c r="Y22" s="6">
        <f t="shared" si="6"/>
        <v>58217</v>
      </c>
      <c r="Z22" s="6">
        <f t="shared" si="6"/>
        <v>58217</v>
      </c>
      <c r="AA22" s="5"/>
      <c r="AB22" s="69"/>
    </row>
    <row r="23" spans="1:35" ht="15" x14ac:dyDescent="0.25">
      <c r="C23" s="138">
        <f>IF(D23=0,C22,IF(ISBLANK(G23),C22,1+MAX(C$18:C22)))</f>
        <v>4</v>
      </c>
      <c r="D23" s="132">
        <f>IF($C$10="SUBJECT",0,1)</f>
        <v>1</v>
      </c>
      <c r="F23" s="139">
        <f t="shared" si="2"/>
        <v>4</v>
      </c>
      <c r="G23" s="145" t="s">
        <v>25</v>
      </c>
      <c r="H23" s="6">
        <v>0</v>
      </c>
      <c r="I23" s="6">
        <v>0</v>
      </c>
      <c r="J23" s="6">
        <v>0</v>
      </c>
      <c r="K23" s="6">
        <v>0</v>
      </c>
      <c r="L23" s="6">
        <v>0</v>
      </c>
      <c r="M23" s="6">
        <v>0</v>
      </c>
      <c r="N23" s="6">
        <f t="shared" ref="N23:O23" si="7">+N366</f>
        <v>0</v>
      </c>
      <c r="O23" s="6">
        <f t="shared" si="7"/>
        <v>0</v>
      </c>
      <c r="P23" s="6">
        <f>+P366</f>
        <v>231469</v>
      </c>
      <c r="Q23" s="6">
        <f t="shared" ref="Q23:Z23" si="8">+Q366</f>
        <v>0</v>
      </c>
      <c r="R23" s="6">
        <f t="shared" si="8"/>
        <v>0</v>
      </c>
      <c r="S23" s="6">
        <f t="shared" si="8"/>
        <v>91467</v>
      </c>
      <c r="T23" s="6">
        <f t="shared" si="8"/>
        <v>0</v>
      </c>
      <c r="U23" s="6">
        <f t="shared" si="8"/>
        <v>0</v>
      </c>
      <c r="V23" s="6">
        <f t="shared" si="8"/>
        <v>96281</v>
      </c>
      <c r="W23" s="6">
        <f t="shared" si="8"/>
        <v>0</v>
      </c>
      <c r="X23" s="6">
        <f t="shared" si="8"/>
        <v>0</v>
      </c>
      <c r="Y23" s="6">
        <f t="shared" si="8"/>
        <v>101349</v>
      </c>
      <c r="Z23" s="6">
        <f t="shared" si="8"/>
        <v>0</v>
      </c>
      <c r="AA23" s="6">
        <v>0</v>
      </c>
      <c r="AB23" s="69"/>
    </row>
    <row r="24" spans="1:35" ht="15.75" thickBot="1" x14ac:dyDescent="0.3">
      <c r="C24" s="138">
        <f>IF(D24=0,C23,IF(ISBLANK(G24),C23,1+MAX(C$18:C23)))</f>
        <v>5</v>
      </c>
      <c r="D24" s="132">
        <v>1</v>
      </c>
      <c r="F24" s="139">
        <f t="shared" si="2"/>
        <v>5</v>
      </c>
      <c r="G24" s="146" t="s">
        <v>26</v>
      </c>
      <c r="H24" s="7">
        <f t="shared" ref="H24:AA24" si="9">SUM(H21:H23)</f>
        <v>0</v>
      </c>
      <c r="I24" s="7">
        <f t="shared" si="9"/>
        <v>0</v>
      </c>
      <c r="J24" s="7">
        <f t="shared" si="9"/>
        <v>0</v>
      </c>
      <c r="K24" s="7">
        <f t="shared" si="9"/>
        <v>1887240</v>
      </c>
      <c r="L24" s="7">
        <f t="shared" si="9"/>
        <v>1946683.2475000001</v>
      </c>
      <c r="M24" s="7">
        <f t="shared" si="9"/>
        <v>2125012.9899999998</v>
      </c>
      <c r="N24" s="7">
        <f t="shared" si="9"/>
        <v>2188442</v>
      </c>
      <c r="O24" s="7">
        <f t="shared" si="9"/>
        <v>2252001</v>
      </c>
      <c r="P24" s="7">
        <f t="shared" si="9"/>
        <v>2494153</v>
      </c>
      <c r="Q24" s="7">
        <f t="shared" si="9"/>
        <v>2505958</v>
      </c>
      <c r="R24" s="7">
        <f t="shared" si="9"/>
        <v>2517995</v>
      </c>
      <c r="S24" s="7">
        <f t="shared" si="9"/>
        <v>2621761</v>
      </c>
      <c r="T24" s="7">
        <f t="shared" si="9"/>
        <v>2634578</v>
      </c>
      <c r="U24" s="7">
        <f t="shared" si="9"/>
        <v>2647460</v>
      </c>
      <c r="V24" s="7">
        <f t="shared" si="9"/>
        <v>2756687</v>
      </c>
      <c r="W24" s="7">
        <f t="shared" si="9"/>
        <v>2770180</v>
      </c>
      <c r="X24" s="7">
        <f t="shared" si="9"/>
        <v>2783739</v>
      </c>
      <c r="Y24" s="7">
        <f t="shared" si="9"/>
        <v>2898716</v>
      </c>
      <c r="Z24" s="7">
        <f t="shared" si="9"/>
        <v>2912918</v>
      </c>
      <c r="AA24" s="7">
        <f t="shared" si="9"/>
        <v>0</v>
      </c>
      <c r="AB24" s="69"/>
    </row>
    <row r="25" spans="1:35" ht="15.75" thickTop="1" x14ac:dyDescent="0.25">
      <c r="C25" s="138">
        <f>IF(D25=0,C24,IF(ISBLANK(G25),C24,1+MAX(C$18:C24)))</f>
        <v>6</v>
      </c>
      <c r="D25" s="132">
        <v>1</v>
      </c>
      <c r="F25" s="139">
        <f t="shared" si="2"/>
        <v>6</v>
      </c>
      <c r="G25" s="147" t="s">
        <v>27</v>
      </c>
      <c r="H25" s="8"/>
      <c r="I25" s="8"/>
      <c r="J25" s="8"/>
      <c r="K25" s="8"/>
      <c r="L25" s="9"/>
      <c r="M25" s="9"/>
      <c r="N25" s="10" t="str">
        <f t="shared" ref="N25:Z25" si="10">IF(N23&gt;0,+N23/N21,"")</f>
        <v/>
      </c>
      <c r="O25" s="10" t="str">
        <f t="shared" si="10"/>
        <v/>
      </c>
      <c r="P25" s="10">
        <f t="shared" si="10"/>
        <v>0.10499998412314632</v>
      </c>
      <c r="Q25" s="10" t="str">
        <f t="shared" si="10"/>
        <v/>
      </c>
      <c r="R25" s="10" t="str">
        <f t="shared" si="10"/>
        <v/>
      </c>
      <c r="S25" s="10">
        <f t="shared" si="10"/>
        <v>3.700006108223975E-2</v>
      </c>
      <c r="T25" s="10" t="str">
        <f t="shared" si="10"/>
        <v/>
      </c>
      <c r="U25" s="10" t="str">
        <f t="shared" si="10"/>
        <v/>
      </c>
      <c r="V25" s="10">
        <f t="shared" si="10"/>
        <v>3.7000002690042881E-2</v>
      </c>
      <c r="W25" s="10" t="str">
        <f t="shared" si="10"/>
        <v/>
      </c>
      <c r="X25" s="10" t="str">
        <f t="shared" si="10"/>
        <v/>
      </c>
      <c r="Y25" s="10">
        <f t="shared" si="10"/>
        <v>3.7000164284540824E-2</v>
      </c>
      <c r="Z25" s="10" t="str">
        <f t="shared" si="10"/>
        <v/>
      </c>
      <c r="AA25" s="10"/>
      <c r="AB25" s="69"/>
      <c r="AE25" s="148"/>
      <c r="AF25" s="148"/>
      <c r="AG25" s="148"/>
    </row>
    <row r="26" spans="1:35" ht="15" x14ac:dyDescent="0.25">
      <c r="C26" s="138">
        <f>IF(D26=0,C25,IF(ISBLANK(G26),C25,1+MAX(C$18:C25)))</f>
        <v>6</v>
      </c>
      <c r="D26" s="132">
        <v>1</v>
      </c>
      <c r="F26" s="139" t="str">
        <f t="shared" si="2"/>
        <v/>
      </c>
      <c r="O26" s="5"/>
      <c r="P26" s="5"/>
      <c r="AB26" s="69"/>
      <c r="AE26" s="148"/>
      <c r="AF26" s="148"/>
      <c r="AG26" s="148"/>
    </row>
    <row r="27" spans="1:35" ht="15" x14ac:dyDescent="0.25">
      <c r="A27" s="144" t="s">
        <v>28</v>
      </c>
      <c r="B27" s="25">
        <v>1</v>
      </c>
      <c r="C27" s="138">
        <f>IF(D27=0,C26,IF(ISBLANK(G27),C26,1+MAX(C$18:C26)))</f>
        <v>7</v>
      </c>
      <c r="D27" s="132">
        <v>1</v>
      </c>
      <c r="F27" s="139">
        <f t="shared" si="2"/>
        <v>7</v>
      </c>
      <c r="G27" s="144" t="str">
        <f>+A27&amp;" ("&amp;B27&amp;")"</f>
        <v>OPERATING EXPENSES (1)</v>
      </c>
      <c r="H27" s="6"/>
      <c r="I27" s="6"/>
      <c r="J27" s="6"/>
      <c r="K27" s="6"/>
      <c r="L27" s="5"/>
      <c r="M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69"/>
      <c r="AB27" s="69"/>
      <c r="AC27" s="2" t="s">
        <v>29</v>
      </c>
    </row>
    <row r="28" spans="1:35" ht="15" x14ac:dyDescent="0.25">
      <c r="C28" s="138">
        <f>IF(D28=0,C27,IF(ISBLANK(G28),C27,1+MAX(C$18:C27)))</f>
        <v>8</v>
      </c>
      <c r="D28" s="132">
        <v>1</v>
      </c>
      <c r="F28" s="139">
        <f t="shared" si="2"/>
        <v>8</v>
      </c>
      <c r="G28" s="149" t="s">
        <v>30</v>
      </c>
      <c r="H28" s="6">
        <v>0</v>
      </c>
      <c r="I28" s="6">
        <v>0</v>
      </c>
      <c r="J28" s="6">
        <v>0</v>
      </c>
      <c r="K28" s="5">
        <v>1929960</v>
      </c>
      <c r="L28" s="6">
        <f t="shared" ref="L28:Z28" si="11">+K28*(1+$AC28)</f>
        <v>1968559.2</v>
      </c>
      <c r="M28" s="6">
        <f t="shared" si="11"/>
        <v>2007930.3840000001</v>
      </c>
      <c r="N28" s="6">
        <f t="shared" si="11"/>
        <v>2048088.9916800002</v>
      </c>
      <c r="O28" s="6">
        <f t="shared" si="11"/>
        <v>2089050.7715136001</v>
      </c>
      <c r="P28" s="6">
        <f t="shared" si="11"/>
        <v>2130831.786943872</v>
      </c>
      <c r="Q28" s="6">
        <f t="shared" si="11"/>
        <v>2173448.4226827496</v>
      </c>
      <c r="R28" s="6">
        <f t="shared" si="11"/>
        <v>2216917.3911364046</v>
      </c>
      <c r="S28" s="6">
        <f t="shared" si="11"/>
        <v>2261255.7389591327</v>
      </c>
      <c r="T28" s="6">
        <f t="shared" si="11"/>
        <v>2306480.8537383154</v>
      </c>
      <c r="U28" s="6">
        <f t="shared" si="11"/>
        <v>2352610.4708130816</v>
      </c>
      <c r="V28" s="6">
        <f t="shared" si="11"/>
        <v>2399662.6802293435</v>
      </c>
      <c r="W28" s="6">
        <f t="shared" si="11"/>
        <v>2447655.9338339302</v>
      </c>
      <c r="X28" s="6">
        <f t="shared" si="11"/>
        <v>2496609.0525106089</v>
      </c>
      <c r="Y28" s="6">
        <f t="shared" si="11"/>
        <v>2546541.233560821</v>
      </c>
      <c r="Z28" s="6">
        <f t="shared" si="11"/>
        <v>2597472.0582320374</v>
      </c>
      <c r="AA28" s="69"/>
      <c r="AB28" s="69"/>
      <c r="AC28" s="150">
        <v>0.02</v>
      </c>
    </row>
    <row r="29" spans="1:35" ht="15" x14ac:dyDescent="0.25">
      <c r="C29" s="138">
        <f>IF(D29=0,C28,IF(ISBLANK(G29),C28,1+MAX(C$18:C28)))</f>
        <v>9</v>
      </c>
      <c r="D29" s="132">
        <f>IF($C$10="SUBJECT",0,1)</f>
        <v>1</v>
      </c>
      <c r="F29" s="139">
        <f t="shared" si="2"/>
        <v>9</v>
      </c>
      <c r="G29" s="149" t="s">
        <v>31</v>
      </c>
      <c r="H29" s="11"/>
      <c r="I29" s="11"/>
      <c r="J29" s="11"/>
      <c r="K29" s="11"/>
      <c r="L29" s="11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9"/>
      <c r="AB29" s="69"/>
    </row>
    <row r="30" spans="1:35" ht="15" x14ac:dyDescent="0.25">
      <c r="C30" s="138">
        <f>IF(D30=0,C29,IF(ISBLANK(G30),C29,1+MAX(C$18:C29)))</f>
        <v>10</v>
      </c>
      <c r="D30" s="132">
        <f>IF($C$10="SUBJECT",0,1)</f>
        <v>1</v>
      </c>
      <c r="F30" s="139">
        <f t="shared" si="2"/>
        <v>10</v>
      </c>
      <c r="G30" s="12" t="s">
        <v>32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6">
        <f>+M406*(1+$AC30)*AH30*-1</f>
        <v>-28959.835715999998</v>
      </c>
      <c r="O30" s="6">
        <f t="shared" ref="O30:Z32" si="12">+N30*(1+$AC30)</f>
        <v>-29539.03243032</v>
      </c>
      <c r="P30" s="6">
        <f t="shared" si="12"/>
        <v>-30129.8130789264</v>
      </c>
      <c r="Q30" s="6">
        <f t="shared" si="12"/>
        <v>-30732.409340504928</v>
      </c>
      <c r="R30" s="6">
        <f t="shared" si="12"/>
        <v>-31347.057527315028</v>
      </c>
      <c r="S30" s="6">
        <f t="shared" si="12"/>
        <v>-31973.998677861327</v>
      </c>
      <c r="T30" s="6">
        <f t="shared" si="12"/>
        <v>-32613.478651418554</v>
      </c>
      <c r="U30" s="6">
        <f t="shared" si="12"/>
        <v>-33265.748224446928</v>
      </c>
      <c r="V30" s="6">
        <f t="shared" si="12"/>
        <v>-33931.06318893587</v>
      </c>
      <c r="W30" s="6">
        <f t="shared" si="12"/>
        <v>-34609.684452714588</v>
      </c>
      <c r="X30" s="6">
        <f t="shared" si="12"/>
        <v>-35301.878141768881</v>
      </c>
      <c r="Y30" s="6">
        <f t="shared" si="12"/>
        <v>-36007.91570460426</v>
      </c>
      <c r="Z30" s="6">
        <f t="shared" si="12"/>
        <v>-36728.074018696345</v>
      </c>
      <c r="AA30" s="69"/>
      <c r="AB30" s="69"/>
      <c r="AC30" s="2">
        <f>+AC28</f>
        <v>0.02</v>
      </c>
      <c r="AE30" s="151" t="s">
        <v>33</v>
      </c>
      <c r="AF30" s="152"/>
      <c r="AG30" s="153" t="s">
        <v>34</v>
      </c>
      <c r="AH30" s="154">
        <v>0.15</v>
      </c>
      <c r="AI30" s="13">
        <v>0.15</v>
      </c>
    </row>
    <row r="31" spans="1:35" ht="15" x14ac:dyDescent="0.25">
      <c r="C31" s="138">
        <f>IF(D31=0,C30,IF(ISBLANK(G31),C30,1+MAX(C$18:C30)))</f>
        <v>11</v>
      </c>
      <c r="D31" s="132">
        <f t="shared" ref="D31:D32" si="13">IF($C$10="SUBJECT",0,1)</f>
        <v>1</v>
      </c>
      <c r="F31" s="139">
        <f t="shared" si="2"/>
        <v>11</v>
      </c>
      <c r="G31" s="12" t="s">
        <v>35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6">
        <f>+M407*(1+$AC31)*AH31*-1</f>
        <v>-117109.60884</v>
      </c>
      <c r="O31" s="6">
        <f t="shared" si="12"/>
        <v>-119451.8010168</v>
      </c>
      <c r="P31" s="6">
        <f t="shared" si="12"/>
        <v>-121840.83703713601</v>
      </c>
      <c r="Q31" s="6">
        <f t="shared" si="12"/>
        <v>-124277.65377787873</v>
      </c>
      <c r="R31" s="6">
        <f t="shared" si="12"/>
        <v>-126763.20685343631</v>
      </c>
      <c r="S31" s="6">
        <f t="shared" si="12"/>
        <v>-129298.47099050504</v>
      </c>
      <c r="T31" s="6">
        <f t="shared" si="12"/>
        <v>-131884.44041031515</v>
      </c>
      <c r="U31" s="6">
        <f t="shared" si="12"/>
        <v>-134522.12921852144</v>
      </c>
      <c r="V31" s="6">
        <f t="shared" si="12"/>
        <v>-137212.57180289188</v>
      </c>
      <c r="W31" s="6">
        <f t="shared" si="12"/>
        <v>-139956.82323894973</v>
      </c>
      <c r="X31" s="6">
        <f t="shared" si="12"/>
        <v>-142755.95970372873</v>
      </c>
      <c r="Y31" s="6">
        <f t="shared" si="12"/>
        <v>-145611.07889780329</v>
      </c>
      <c r="Z31" s="6">
        <f t="shared" si="12"/>
        <v>-148523.30047575937</v>
      </c>
      <c r="AA31" s="69"/>
      <c r="AB31" s="69"/>
      <c r="AC31" s="2">
        <f>+AC30</f>
        <v>0.02</v>
      </c>
      <c r="AE31" s="151" t="s">
        <v>36</v>
      </c>
      <c r="AF31" s="152"/>
      <c r="AG31" s="153" t="s">
        <v>37</v>
      </c>
      <c r="AH31" s="154">
        <v>0.5</v>
      </c>
      <c r="AI31" s="13">
        <v>0.5</v>
      </c>
    </row>
    <row r="32" spans="1:35" ht="15" x14ac:dyDescent="0.25">
      <c r="C32" s="138">
        <f>IF(D32=0,C31,IF(ISBLANK(G32),C31,1+MAX(C$18:C31)))</f>
        <v>12</v>
      </c>
      <c r="D32" s="132">
        <f t="shared" si="13"/>
        <v>1</v>
      </c>
      <c r="F32" s="139">
        <f t="shared" si="2"/>
        <v>12</v>
      </c>
      <c r="G32" s="12" t="s">
        <v>38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6">
        <f>+M408*(1+$AC32)*AH32*-1</f>
        <v>-3866.0868648000005</v>
      </c>
      <c r="O32" s="6">
        <f t="shared" si="12"/>
        <v>-3943.4086020960008</v>
      </c>
      <c r="P32" s="6">
        <f t="shared" si="12"/>
        <v>-4022.2767741379207</v>
      </c>
      <c r="Q32" s="6">
        <f t="shared" si="12"/>
        <v>-4102.722309620679</v>
      </c>
      <c r="R32" s="6">
        <f t="shared" si="12"/>
        <v>-4184.7767558130927</v>
      </c>
      <c r="S32" s="6">
        <f t="shared" si="12"/>
        <v>-4268.472290929355</v>
      </c>
      <c r="T32" s="6">
        <f t="shared" si="12"/>
        <v>-4353.8417367479424</v>
      </c>
      <c r="U32" s="6">
        <f t="shared" si="12"/>
        <v>-4440.9185714829009</v>
      </c>
      <c r="V32" s="6">
        <f t="shared" si="12"/>
        <v>-4529.7369429125592</v>
      </c>
      <c r="W32" s="6">
        <f t="shared" si="12"/>
        <v>-4620.3316817708101</v>
      </c>
      <c r="X32" s="6">
        <f t="shared" si="12"/>
        <v>-4712.7383154062263</v>
      </c>
      <c r="Y32" s="6">
        <f t="shared" si="12"/>
        <v>-4806.9930817143513</v>
      </c>
      <c r="Z32" s="6">
        <f t="shared" si="12"/>
        <v>-4903.132943348638</v>
      </c>
      <c r="AA32" s="69"/>
      <c r="AB32" s="69"/>
      <c r="AC32" s="2">
        <f t="shared" ref="AC32" si="14">+AC31</f>
        <v>0.02</v>
      </c>
      <c r="AE32" s="151" t="s">
        <v>39</v>
      </c>
      <c r="AF32" s="152"/>
      <c r="AG32" s="153" t="s">
        <v>40</v>
      </c>
      <c r="AH32" s="154">
        <v>0.1</v>
      </c>
      <c r="AI32" s="13">
        <v>0.1</v>
      </c>
    </row>
    <row r="33" spans="1:28" ht="15" x14ac:dyDescent="0.25">
      <c r="C33" s="138">
        <f>IF(D33=0,C32,IF(ISBLANK(G33),C32,1+MAX(C$18:C32)))</f>
        <v>12</v>
      </c>
      <c r="D33" s="132">
        <f>IF($C$10="IOU",1,0)</f>
        <v>0</v>
      </c>
      <c r="F33" s="139">
        <f t="shared" si="2"/>
        <v>12</v>
      </c>
      <c r="G33" s="12" t="s">
        <v>41</v>
      </c>
      <c r="H33" s="6"/>
      <c r="I33" s="6"/>
      <c r="J33" s="6"/>
      <c r="K33" s="6"/>
      <c r="L33" s="6"/>
      <c r="M33" s="6"/>
      <c r="N33" s="6">
        <f>IF($C$10="IOU",+N373,0)</f>
        <v>0</v>
      </c>
      <c r="O33" s="6">
        <f>IF($C$10="IOU",+O373,0)</f>
        <v>0</v>
      </c>
      <c r="P33" s="6">
        <f>IF($C$10="IOU",+P373,0)</f>
        <v>0</v>
      </c>
      <c r="Q33" s="6">
        <f>IF($C$10="IOU",+Q373,0)</f>
        <v>0</v>
      </c>
      <c r="R33" s="6">
        <f>IF($C$10="IOU",+R373,0)</f>
        <v>0</v>
      </c>
      <c r="S33" s="6">
        <f>IF($C$10="IOU",+S373,0)</f>
        <v>0</v>
      </c>
      <c r="T33" s="6">
        <f>IF($C$10="IOU",+T373,0)</f>
        <v>0</v>
      </c>
      <c r="U33" s="6">
        <f>IF($C$10="IOU",+U373,0)</f>
        <v>0</v>
      </c>
      <c r="V33" s="6">
        <f>IF($C$10="IOU",+V373,0)</f>
        <v>0</v>
      </c>
      <c r="W33" s="6">
        <f>IF($C$10="IOU",+W373,0)</f>
        <v>0</v>
      </c>
      <c r="X33" s="6">
        <f>IF($C$10="IOU",+X373,0)</f>
        <v>0</v>
      </c>
      <c r="Y33" s="6">
        <f>IF($C$10="IOU",+Y373,0)</f>
        <v>0</v>
      </c>
      <c r="Z33" s="6">
        <f>IF($C$10="IOU",+Z373,0)</f>
        <v>0</v>
      </c>
      <c r="AA33" s="69"/>
      <c r="AB33" s="69"/>
    </row>
    <row r="34" spans="1:28" ht="15" x14ac:dyDescent="0.25">
      <c r="C34" s="138">
        <f>IF(D34=0,C33,IF(ISBLANK(G34),C33,1+MAX(C$18:C33)))</f>
        <v>13</v>
      </c>
      <c r="D34" s="132">
        <v>1</v>
      </c>
      <c r="F34" s="139">
        <f t="shared" si="2"/>
        <v>13</v>
      </c>
      <c r="G34" s="155" t="s">
        <v>42</v>
      </c>
      <c r="H34" s="14">
        <f t="shared" ref="H34:Z34" si="15">SUM(H28:H33)</f>
        <v>0</v>
      </c>
      <c r="I34" s="14">
        <f t="shared" si="15"/>
        <v>0</v>
      </c>
      <c r="J34" s="14">
        <f t="shared" si="15"/>
        <v>0</v>
      </c>
      <c r="K34" s="14">
        <f t="shared" si="15"/>
        <v>1929960</v>
      </c>
      <c r="L34" s="14">
        <f t="shared" si="15"/>
        <v>1968559.2</v>
      </c>
      <c r="M34" s="14">
        <f t="shared" si="15"/>
        <v>2007930.3840000001</v>
      </c>
      <c r="N34" s="14">
        <f t="shared" si="15"/>
        <v>1898153.4602592003</v>
      </c>
      <c r="O34" s="14">
        <f t="shared" si="15"/>
        <v>1936116.5294643841</v>
      </c>
      <c r="P34" s="14">
        <f t="shared" si="15"/>
        <v>1974838.8600536715</v>
      </c>
      <c r="Q34" s="14">
        <f t="shared" si="15"/>
        <v>2014335.6372547452</v>
      </c>
      <c r="R34" s="14">
        <f t="shared" si="15"/>
        <v>2054622.3499998404</v>
      </c>
      <c r="S34" s="14">
        <f t="shared" si="15"/>
        <v>2095714.7969998368</v>
      </c>
      <c r="T34" s="14">
        <f t="shared" si="15"/>
        <v>2137629.0929398341</v>
      </c>
      <c r="U34" s="14">
        <f t="shared" si="15"/>
        <v>2180381.6747986302</v>
      </c>
      <c r="V34" s="14">
        <f t="shared" si="15"/>
        <v>2223989.3082946031</v>
      </c>
      <c r="W34" s="14">
        <f t="shared" si="15"/>
        <v>2268469.0944604953</v>
      </c>
      <c r="X34" s="14">
        <f t="shared" si="15"/>
        <v>2313838.4763497054</v>
      </c>
      <c r="Y34" s="14">
        <f t="shared" si="15"/>
        <v>2360115.2458766992</v>
      </c>
      <c r="Z34" s="14">
        <f t="shared" si="15"/>
        <v>2407317.5507942331</v>
      </c>
      <c r="AA34" s="69"/>
      <c r="AB34" s="69"/>
    </row>
    <row r="35" spans="1:28" ht="15" x14ac:dyDescent="0.25">
      <c r="A35" s="145" t="s">
        <v>43</v>
      </c>
      <c r="B35" s="25">
        <f>MAX(B$20:B34)+1</f>
        <v>2</v>
      </c>
      <c r="C35" s="138">
        <f>IF(D35=0,C34,IF(ISBLANK(G35),C34,1+MAX(C$18:C34)))</f>
        <v>14</v>
      </c>
      <c r="D35" s="132">
        <v>1</v>
      </c>
      <c r="F35" s="139">
        <f t="shared" si="2"/>
        <v>14</v>
      </c>
      <c r="G35" s="4" t="str">
        <f>+A35&amp;" ("&amp;B35&amp;")"</f>
        <v>Depreciation (2)</v>
      </c>
      <c r="H35" s="5">
        <f>+H314</f>
        <v>0</v>
      </c>
      <c r="I35" s="5">
        <f t="shared" ref="I35:J35" si="16">+I314</f>
        <v>0</v>
      </c>
      <c r="J35" s="5">
        <f t="shared" si="16"/>
        <v>0</v>
      </c>
      <c r="K35" s="5">
        <f>+K459</f>
        <v>131221</v>
      </c>
      <c r="L35" s="5">
        <f>+L312</f>
        <v>131221</v>
      </c>
      <c r="M35" s="5">
        <f>+M312</f>
        <v>172818.0649</v>
      </c>
      <c r="N35" s="5">
        <f>+N312</f>
        <v>173788.86859999999</v>
      </c>
      <c r="O35" s="5">
        <f t="shared" ref="O35:Z35" si="17">+O312</f>
        <v>176152.9314</v>
      </c>
      <c r="P35" s="5">
        <f t="shared" si="17"/>
        <v>178537.88069999998</v>
      </c>
      <c r="Q35" s="5">
        <f t="shared" si="17"/>
        <v>180955.04139999999</v>
      </c>
      <c r="R35" s="5">
        <f t="shared" si="17"/>
        <v>183405.6839</v>
      </c>
      <c r="S35" s="5">
        <f t="shared" si="17"/>
        <v>185888.23069999999</v>
      </c>
      <c r="T35" s="5">
        <f t="shared" si="17"/>
        <v>188405.13809999998</v>
      </c>
      <c r="U35" s="5">
        <f t="shared" si="17"/>
        <v>190954.67359999998</v>
      </c>
      <c r="V35" s="5">
        <f t="shared" si="17"/>
        <v>193535.02359999999</v>
      </c>
      <c r="W35" s="5">
        <f t="shared" si="17"/>
        <v>196150.98479999998</v>
      </c>
      <c r="X35" s="5">
        <f t="shared" si="17"/>
        <v>198802.01349999997</v>
      </c>
      <c r="Y35" s="5">
        <f t="shared" si="17"/>
        <v>201488.56599999999</v>
      </c>
      <c r="Z35" s="5">
        <f t="shared" si="17"/>
        <v>204211.14929999999</v>
      </c>
      <c r="AA35" s="69"/>
      <c r="AB35" s="69"/>
    </row>
    <row r="36" spans="1:28" ht="15.75" thickBot="1" x14ac:dyDescent="0.3">
      <c r="C36" s="138">
        <f>IF(D36=0,C35,IF(ISBLANK(G36),C35,1+MAX(C$18:C35)))</f>
        <v>15</v>
      </c>
      <c r="D36" s="132">
        <v>1</v>
      </c>
      <c r="F36" s="139">
        <f t="shared" si="2"/>
        <v>15</v>
      </c>
      <c r="G36" s="155" t="s">
        <v>44</v>
      </c>
      <c r="H36" s="7">
        <f t="shared" ref="H36:Z36" si="18">+H35+H34</f>
        <v>0</v>
      </c>
      <c r="I36" s="7">
        <f t="shared" si="18"/>
        <v>0</v>
      </c>
      <c r="J36" s="7">
        <f t="shared" si="18"/>
        <v>0</v>
      </c>
      <c r="K36" s="7">
        <f t="shared" si="18"/>
        <v>2061181</v>
      </c>
      <c r="L36" s="7">
        <f t="shared" si="18"/>
        <v>2099780.2000000002</v>
      </c>
      <c r="M36" s="7">
        <f t="shared" si="18"/>
        <v>2180748.4489000002</v>
      </c>
      <c r="N36" s="7">
        <f t="shared" si="18"/>
        <v>2071942.3288592002</v>
      </c>
      <c r="O36" s="7">
        <f t="shared" si="18"/>
        <v>2112269.4608643842</v>
      </c>
      <c r="P36" s="7">
        <f t="shared" si="18"/>
        <v>2153376.7407536716</v>
      </c>
      <c r="Q36" s="7">
        <f t="shared" si="18"/>
        <v>2195290.6786547452</v>
      </c>
      <c r="R36" s="7">
        <f t="shared" si="18"/>
        <v>2238028.0338998404</v>
      </c>
      <c r="S36" s="7">
        <f t="shared" si="18"/>
        <v>2281603.027699837</v>
      </c>
      <c r="T36" s="7">
        <f t="shared" si="18"/>
        <v>2326034.2310398342</v>
      </c>
      <c r="U36" s="7">
        <f t="shared" si="18"/>
        <v>2371336.34839863</v>
      </c>
      <c r="V36" s="7">
        <f t="shared" si="18"/>
        <v>2417524.3318946031</v>
      </c>
      <c r="W36" s="7">
        <f t="shared" si="18"/>
        <v>2464620.0792604955</v>
      </c>
      <c r="X36" s="7">
        <f t="shared" si="18"/>
        <v>2512640.4898497052</v>
      </c>
      <c r="Y36" s="7">
        <f t="shared" si="18"/>
        <v>2561603.8118766993</v>
      </c>
      <c r="Z36" s="7">
        <f t="shared" si="18"/>
        <v>2611528.7000942333</v>
      </c>
      <c r="AA36" s="69"/>
      <c r="AB36" s="69"/>
    </row>
    <row r="37" spans="1:28" ht="15.75" thickTop="1" x14ac:dyDescent="0.25">
      <c r="C37" s="138">
        <f>IF(D37=0,C36,IF(ISBLANK(G37),C36,1+MAX(C$18:C36)))</f>
        <v>15</v>
      </c>
      <c r="D37" s="132">
        <v>1</v>
      </c>
      <c r="F37" s="139" t="str">
        <f t="shared" si="2"/>
        <v/>
      </c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69"/>
      <c r="AB37" s="69"/>
    </row>
    <row r="38" spans="1:28" ht="15.75" thickBot="1" x14ac:dyDescent="0.3">
      <c r="C38" s="138">
        <f>IF(D38=0,C37,IF(ISBLANK(G38),C37,1+MAX(C$18:C37)))</f>
        <v>16</v>
      </c>
      <c r="D38" s="132">
        <v>1</v>
      </c>
      <c r="F38" s="139">
        <f t="shared" si="2"/>
        <v>16</v>
      </c>
      <c r="G38" s="146" t="s">
        <v>45</v>
      </c>
      <c r="H38" s="7">
        <f t="shared" ref="H38:Z38" si="19">+H24-H36</f>
        <v>0</v>
      </c>
      <c r="I38" s="7">
        <f t="shared" si="19"/>
        <v>0</v>
      </c>
      <c r="J38" s="7">
        <f t="shared" si="19"/>
        <v>0</v>
      </c>
      <c r="K38" s="7">
        <f t="shared" si="19"/>
        <v>-173941</v>
      </c>
      <c r="L38" s="7">
        <f t="shared" si="19"/>
        <v>-153096.95250000013</v>
      </c>
      <c r="M38" s="7">
        <f t="shared" si="19"/>
        <v>-55735.458900000434</v>
      </c>
      <c r="N38" s="7">
        <f t="shared" si="19"/>
        <v>116499.67114079976</v>
      </c>
      <c r="O38" s="7">
        <f t="shared" si="19"/>
        <v>139731.53913561581</v>
      </c>
      <c r="P38" s="7">
        <f t="shared" si="19"/>
        <v>340776.25924632838</v>
      </c>
      <c r="Q38" s="7">
        <f t="shared" si="19"/>
        <v>310667.32134525478</v>
      </c>
      <c r="R38" s="7">
        <f t="shared" si="19"/>
        <v>279966.96610015957</v>
      </c>
      <c r="S38" s="7">
        <f t="shared" si="19"/>
        <v>340157.972300163</v>
      </c>
      <c r="T38" s="7">
        <f t="shared" si="19"/>
        <v>308543.76896016579</v>
      </c>
      <c r="U38" s="7">
        <f t="shared" si="19"/>
        <v>276123.65160136996</v>
      </c>
      <c r="V38" s="7">
        <f t="shared" si="19"/>
        <v>339162.66810539691</v>
      </c>
      <c r="W38" s="7">
        <f t="shared" si="19"/>
        <v>305559.92073950451</v>
      </c>
      <c r="X38" s="7">
        <f t="shared" si="19"/>
        <v>271098.51015029475</v>
      </c>
      <c r="Y38" s="7">
        <f t="shared" si="19"/>
        <v>337112.18812330067</v>
      </c>
      <c r="Z38" s="7">
        <f t="shared" si="19"/>
        <v>301389.29990576673</v>
      </c>
      <c r="AA38" s="69"/>
      <c r="AB38" s="69"/>
    </row>
    <row r="39" spans="1:28" ht="15.75" thickTop="1" x14ac:dyDescent="0.25">
      <c r="C39" s="138">
        <f>IF(D39=0,C38,IF(ISBLANK(G39),C38,1+MAX(C$18:C38)))</f>
        <v>16</v>
      </c>
      <c r="D39" s="132">
        <v>1</v>
      </c>
      <c r="F39" s="139" t="str">
        <f t="shared" si="2"/>
        <v/>
      </c>
      <c r="H39" s="6"/>
      <c r="I39" s="6"/>
      <c r="J39" s="6"/>
      <c r="K39" s="6"/>
      <c r="L39" s="5"/>
      <c r="M39" s="5"/>
      <c r="N39" s="5"/>
      <c r="O39" s="5"/>
      <c r="P39" s="5"/>
      <c r="Q39" s="5"/>
      <c r="R39" s="5"/>
      <c r="S39" s="5"/>
      <c r="T39" s="16"/>
      <c r="U39" s="16"/>
      <c r="V39" s="16"/>
      <c r="W39" s="16"/>
      <c r="X39" s="16"/>
      <c r="Y39" s="16"/>
      <c r="Z39" s="16"/>
      <c r="AA39" s="16"/>
      <c r="AB39" s="69"/>
    </row>
    <row r="40" spans="1:28" ht="15" x14ac:dyDescent="0.25">
      <c r="A40" s="4" t="s">
        <v>46</v>
      </c>
      <c r="B40" s="25">
        <f>MAX(B$20:B39)+1</f>
        <v>3</v>
      </c>
      <c r="C40" s="138">
        <f>IF(D40=0,C39,IF(ISBLANK(G40),C39,1+MAX(C$18:C39)))</f>
        <v>17</v>
      </c>
      <c r="D40" s="132">
        <v>1</v>
      </c>
      <c r="F40" s="139">
        <f t="shared" si="2"/>
        <v>17</v>
      </c>
      <c r="G40" s="4" t="str">
        <f t="shared" ref="G40:G42" si="20">+A40&amp;" ("&amp;B40&amp;")"</f>
        <v>Revenues (3)</v>
      </c>
      <c r="H40" s="6">
        <f t="shared" ref="H40:Z40" si="21">+H24</f>
        <v>0</v>
      </c>
      <c r="I40" s="6">
        <f t="shared" si="21"/>
        <v>0</v>
      </c>
      <c r="J40" s="6">
        <f t="shared" si="21"/>
        <v>0</v>
      </c>
      <c r="K40" s="6">
        <f t="shared" si="21"/>
        <v>1887240</v>
      </c>
      <c r="L40" s="6">
        <f t="shared" si="21"/>
        <v>1946683.2475000001</v>
      </c>
      <c r="M40" s="6">
        <f t="shared" si="21"/>
        <v>2125012.9899999998</v>
      </c>
      <c r="N40" s="6">
        <f t="shared" si="21"/>
        <v>2188442</v>
      </c>
      <c r="O40" s="6">
        <f t="shared" si="21"/>
        <v>2252001</v>
      </c>
      <c r="P40" s="6">
        <f t="shared" si="21"/>
        <v>2494153</v>
      </c>
      <c r="Q40" s="6">
        <f t="shared" si="21"/>
        <v>2505958</v>
      </c>
      <c r="R40" s="6">
        <f t="shared" si="21"/>
        <v>2517995</v>
      </c>
      <c r="S40" s="6">
        <f t="shared" si="21"/>
        <v>2621761</v>
      </c>
      <c r="T40" s="6">
        <f t="shared" si="21"/>
        <v>2634578</v>
      </c>
      <c r="U40" s="6">
        <f t="shared" si="21"/>
        <v>2647460</v>
      </c>
      <c r="V40" s="6">
        <f t="shared" si="21"/>
        <v>2756687</v>
      </c>
      <c r="W40" s="6">
        <f t="shared" si="21"/>
        <v>2770180</v>
      </c>
      <c r="X40" s="6">
        <f t="shared" si="21"/>
        <v>2783739</v>
      </c>
      <c r="Y40" s="6">
        <f t="shared" si="21"/>
        <v>2898716</v>
      </c>
      <c r="Z40" s="6">
        <f t="shared" si="21"/>
        <v>2912918</v>
      </c>
      <c r="AA40" s="69"/>
      <c r="AB40" s="69"/>
    </row>
    <row r="41" spans="1:28" ht="15" x14ac:dyDescent="0.25">
      <c r="A41" s="4" t="s">
        <v>7</v>
      </c>
      <c r="B41" s="25">
        <f>MAX(B$20:B40)+1</f>
        <v>4</v>
      </c>
      <c r="C41" s="138">
        <f>IF(D41=0,C40,IF(ISBLANK(G41),C40,1+MAX(C$18:C40)))</f>
        <v>18</v>
      </c>
      <c r="D41" s="132">
        <v>1</v>
      </c>
      <c r="F41" s="139">
        <f t="shared" si="2"/>
        <v>18</v>
      </c>
      <c r="G41" s="4" t="str">
        <f t="shared" si="20"/>
        <v>EBITDA (4)</v>
      </c>
      <c r="H41" s="6">
        <f t="shared" ref="H41:Z41" si="22">+H38+H35</f>
        <v>0</v>
      </c>
      <c r="I41" s="6">
        <f t="shared" si="22"/>
        <v>0</v>
      </c>
      <c r="J41" s="6">
        <f t="shared" si="22"/>
        <v>0</v>
      </c>
      <c r="K41" s="6">
        <f t="shared" si="22"/>
        <v>-42720</v>
      </c>
      <c r="L41" s="6">
        <f t="shared" si="22"/>
        <v>-21875.95250000013</v>
      </c>
      <c r="M41" s="6">
        <f t="shared" si="22"/>
        <v>117082.60599999956</v>
      </c>
      <c r="N41" s="6">
        <f t="shared" si="22"/>
        <v>290288.53974079975</v>
      </c>
      <c r="O41" s="6">
        <f t="shared" si="22"/>
        <v>315884.47053561581</v>
      </c>
      <c r="P41" s="6">
        <f t="shared" si="22"/>
        <v>519314.13994632836</v>
      </c>
      <c r="Q41" s="6">
        <f t="shared" si="22"/>
        <v>491622.36274525477</v>
      </c>
      <c r="R41" s="6">
        <f t="shared" si="22"/>
        <v>463372.65000015957</v>
      </c>
      <c r="S41" s="6">
        <f t="shared" si="22"/>
        <v>526046.20300016296</v>
      </c>
      <c r="T41" s="6">
        <f t="shared" si="22"/>
        <v>496948.90706016577</v>
      </c>
      <c r="U41" s="6">
        <f t="shared" si="22"/>
        <v>467078.32520136994</v>
      </c>
      <c r="V41" s="6">
        <f t="shared" si="22"/>
        <v>532697.69170539686</v>
      </c>
      <c r="W41" s="6">
        <f t="shared" si="22"/>
        <v>501710.90553950449</v>
      </c>
      <c r="X41" s="6">
        <f t="shared" si="22"/>
        <v>469900.52365029475</v>
      </c>
      <c r="Y41" s="6">
        <f t="shared" si="22"/>
        <v>538600.75412330066</v>
      </c>
      <c r="Z41" s="6">
        <f t="shared" si="22"/>
        <v>505600.44920576672</v>
      </c>
      <c r="AA41" s="69"/>
      <c r="AB41" s="69"/>
    </row>
    <row r="42" spans="1:28" ht="15" x14ac:dyDescent="0.25">
      <c r="A42" s="4" t="s">
        <v>4</v>
      </c>
      <c r="B42" s="25">
        <f>MAX(B$20:B41)+1</f>
        <v>5</v>
      </c>
      <c r="C42" s="138">
        <f>IF(D42=0,C41,IF(ISBLANK(G42),C41,1+MAX(C$18:C41)))</f>
        <v>19</v>
      </c>
      <c r="D42" s="132">
        <v>1</v>
      </c>
      <c r="F42" s="139">
        <f t="shared" si="2"/>
        <v>19</v>
      </c>
      <c r="G42" s="4" t="str">
        <f t="shared" si="20"/>
        <v>EBIT (5)</v>
      </c>
      <c r="H42" s="6">
        <f t="shared" ref="H42:Z42" si="23">+H38</f>
        <v>0</v>
      </c>
      <c r="I42" s="6">
        <f t="shared" si="23"/>
        <v>0</v>
      </c>
      <c r="J42" s="6">
        <f t="shared" si="23"/>
        <v>0</v>
      </c>
      <c r="K42" s="6">
        <f t="shared" si="23"/>
        <v>-173941</v>
      </c>
      <c r="L42" s="6">
        <f t="shared" si="23"/>
        <v>-153096.95250000013</v>
      </c>
      <c r="M42" s="6">
        <f t="shared" si="23"/>
        <v>-55735.458900000434</v>
      </c>
      <c r="N42" s="6">
        <f t="shared" si="23"/>
        <v>116499.67114079976</v>
      </c>
      <c r="O42" s="6">
        <f t="shared" si="23"/>
        <v>139731.53913561581</v>
      </c>
      <c r="P42" s="6">
        <f t="shared" si="23"/>
        <v>340776.25924632838</v>
      </c>
      <c r="Q42" s="6">
        <f t="shared" si="23"/>
        <v>310667.32134525478</v>
      </c>
      <c r="R42" s="6">
        <f t="shared" si="23"/>
        <v>279966.96610015957</v>
      </c>
      <c r="S42" s="6">
        <f t="shared" si="23"/>
        <v>340157.972300163</v>
      </c>
      <c r="T42" s="6">
        <f t="shared" si="23"/>
        <v>308543.76896016579</v>
      </c>
      <c r="U42" s="6">
        <f t="shared" si="23"/>
        <v>276123.65160136996</v>
      </c>
      <c r="V42" s="6">
        <f t="shared" si="23"/>
        <v>339162.66810539691</v>
      </c>
      <c r="W42" s="6">
        <f t="shared" si="23"/>
        <v>305559.92073950451</v>
      </c>
      <c r="X42" s="6">
        <f t="shared" si="23"/>
        <v>271098.51015029475</v>
      </c>
      <c r="Y42" s="6">
        <f t="shared" si="23"/>
        <v>337112.18812330067</v>
      </c>
      <c r="Z42" s="6">
        <f t="shared" si="23"/>
        <v>301389.29990576673</v>
      </c>
      <c r="AA42" s="69"/>
      <c r="AB42" s="69"/>
    </row>
    <row r="43" spans="1:28" ht="15" x14ac:dyDescent="0.25">
      <c r="C43" s="138">
        <f>IF(D43=0,C42,IF(ISBLANK(G43),C42,1+MAX(C$18:C42)))</f>
        <v>19</v>
      </c>
      <c r="D43" s="132">
        <v>1</v>
      </c>
      <c r="F43" s="139" t="str">
        <f t="shared" si="2"/>
        <v/>
      </c>
      <c r="G43" s="4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9"/>
    </row>
    <row r="44" spans="1:28" ht="15" x14ac:dyDescent="0.25">
      <c r="C44" s="138">
        <f>IF(D44=0,C43,IF(ISBLANK(G44),C43,1+MAX(C$18:C43)))</f>
        <v>20</v>
      </c>
      <c r="D44" s="132">
        <v>1</v>
      </c>
      <c r="F44" s="139">
        <f t="shared" si="2"/>
        <v>20</v>
      </c>
      <c r="G44" s="156" t="s">
        <v>4</v>
      </c>
      <c r="H44" s="17">
        <f t="shared" ref="H44:Z44" si="24">+H42</f>
        <v>0</v>
      </c>
      <c r="I44" s="17">
        <f t="shared" si="24"/>
        <v>0</v>
      </c>
      <c r="J44" s="17">
        <f t="shared" si="24"/>
        <v>0</v>
      </c>
      <c r="K44" s="17">
        <f t="shared" si="24"/>
        <v>-173941</v>
      </c>
      <c r="L44" s="17">
        <f t="shared" si="24"/>
        <v>-153096.95250000013</v>
      </c>
      <c r="M44" s="17">
        <f t="shared" si="24"/>
        <v>-55735.458900000434</v>
      </c>
      <c r="N44" s="17">
        <f t="shared" si="24"/>
        <v>116499.67114079976</v>
      </c>
      <c r="O44" s="17">
        <f t="shared" si="24"/>
        <v>139731.53913561581</v>
      </c>
      <c r="P44" s="17">
        <f t="shared" si="24"/>
        <v>340776.25924632838</v>
      </c>
      <c r="Q44" s="17">
        <f t="shared" si="24"/>
        <v>310667.32134525478</v>
      </c>
      <c r="R44" s="17">
        <f t="shared" si="24"/>
        <v>279966.96610015957</v>
      </c>
      <c r="S44" s="17">
        <f t="shared" si="24"/>
        <v>340157.972300163</v>
      </c>
      <c r="T44" s="17">
        <f t="shared" si="24"/>
        <v>308543.76896016579</v>
      </c>
      <c r="U44" s="17">
        <f t="shared" si="24"/>
        <v>276123.65160136996</v>
      </c>
      <c r="V44" s="17">
        <f t="shared" si="24"/>
        <v>339162.66810539691</v>
      </c>
      <c r="W44" s="17">
        <f t="shared" si="24"/>
        <v>305559.92073950451</v>
      </c>
      <c r="X44" s="17">
        <f t="shared" si="24"/>
        <v>271098.51015029475</v>
      </c>
      <c r="Y44" s="17">
        <f t="shared" si="24"/>
        <v>337112.18812330067</v>
      </c>
      <c r="Z44" s="17">
        <f t="shared" si="24"/>
        <v>301389.29990576673</v>
      </c>
      <c r="AA44" s="69"/>
    </row>
    <row r="45" spans="1:28" ht="15" x14ac:dyDescent="0.25">
      <c r="C45" s="138">
        <f>IF(D45=0,C44,IF(ISBLANK(G45),C44,1+MAX(C$18:C44)))</f>
        <v>21</v>
      </c>
      <c r="D45" s="132">
        <v>1</v>
      </c>
      <c r="F45" s="139">
        <f t="shared" si="2"/>
        <v>21</v>
      </c>
      <c r="G45" s="17" t="s">
        <v>47</v>
      </c>
      <c r="H45" s="18">
        <v>0</v>
      </c>
      <c r="I45" s="18">
        <v>0</v>
      </c>
      <c r="J45" s="18">
        <v>0</v>
      </c>
      <c r="K45" s="18">
        <v>0</v>
      </c>
      <c r="L45" s="18">
        <v>0</v>
      </c>
      <c r="M45" s="18">
        <v>0</v>
      </c>
      <c r="N45" s="18">
        <f t="shared" ref="N45:Z45" si="25">IF($C$10="IOU",ROUND(+N44*$AB45,0),0)</f>
        <v>0</v>
      </c>
      <c r="O45" s="18">
        <f t="shared" si="25"/>
        <v>0</v>
      </c>
      <c r="P45" s="18">
        <f t="shared" si="25"/>
        <v>0</v>
      </c>
      <c r="Q45" s="18">
        <f t="shared" si="25"/>
        <v>0</v>
      </c>
      <c r="R45" s="18">
        <f t="shared" si="25"/>
        <v>0</v>
      </c>
      <c r="S45" s="18">
        <f t="shared" si="25"/>
        <v>0</v>
      </c>
      <c r="T45" s="18">
        <f t="shared" si="25"/>
        <v>0</v>
      </c>
      <c r="U45" s="18">
        <f t="shared" si="25"/>
        <v>0</v>
      </c>
      <c r="V45" s="18">
        <f t="shared" si="25"/>
        <v>0</v>
      </c>
      <c r="W45" s="18">
        <f t="shared" si="25"/>
        <v>0</v>
      </c>
      <c r="X45" s="18">
        <f t="shared" si="25"/>
        <v>0</v>
      </c>
      <c r="Y45" s="18">
        <f t="shared" si="25"/>
        <v>0</v>
      </c>
      <c r="Z45" s="18">
        <f t="shared" si="25"/>
        <v>0</v>
      </c>
      <c r="AA45" s="69"/>
      <c r="AB45" s="157">
        <v>0.28889999999999999</v>
      </c>
    </row>
    <row r="46" spans="1:28" ht="15" x14ac:dyDescent="0.25">
      <c r="C46" s="138">
        <f>IF(D46=0,C45,IF(ISBLANK(G46),C45,1+MAX(C$18:C45)))</f>
        <v>21</v>
      </c>
      <c r="D46" s="132">
        <v>1</v>
      </c>
      <c r="F46" s="139" t="str">
        <f t="shared" si="2"/>
        <v/>
      </c>
      <c r="G46" s="17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69"/>
      <c r="AB46" s="69"/>
    </row>
    <row r="47" spans="1:28" ht="15" x14ac:dyDescent="0.25">
      <c r="C47" s="138">
        <f>IF(D47=0,C46,IF(ISBLANK(G47),C46,1+MAX(C$18:C46)))</f>
        <v>22</v>
      </c>
      <c r="D47" s="132">
        <v>1</v>
      </c>
      <c r="F47" s="139">
        <f t="shared" si="2"/>
        <v>22</v>
      </c>
      <c r="G47" s="158" t="s">
        <v>48</v>
      </c>
      <c r="H47" s="17">
        <f t="shared" ref="H47:Z47" si="26">+H44-H45</f>
        <v>0</v>
      </c>
      <c r="I47" s="17">
        <f t="shared" si="26"/>
        <v>0</v>
      </c>
      <c r="J47" s="17">
        <f t="shared" si="26"/>
        <v>0</v>
      </c>
      <c r="K47" s="17">
        <f t="shared" si="26"/>
        <v>-173941</v>
      </c>
      <c r="L47" s="17">
        <f t="shared" si="26"/>
        <v>-153096.95250000013</v>
      </c>
      <c r="M47" s="17">
        <f t="shared" si="26"/>
        <v>-55735.458900000434</v>
      </c>
      <c r="N47" s="17">
        <f t="shared" si="26"/>
        <v>116499.67114079976</v>
      </c>
      <c r="O47" s="17">
        <f t="shared" si="26"/>
        <v>139731.53913561581</v>
      </c>
      <c r="P47" s="17">
        <f t="shared" si="26"/>
        <v>340776.25924632838</v>
      </c>
      <c r="Q47" s="17">
        <f t="shared" si="26"/>
        <v>310667.32134525478</v>
      </c>
      <c r="R47" s="17">
        <f t="shared" si="26"/>
        <v>279966.96610015957</v>
      </c>
      <c r="S47" s="17">
        <f t="shared" si="26"/>
        <v>340157.972300163</v>
      </c>
      <c r="T47" s="17">
        <f t="shared" si="26"/>
        <v>308543.76896016579</v>
      </c>
      <c r="U47" s="17">
        <f t="shared" si="26"/>
        <v>276123.65160136996</v>
      </c>
      <c r="V47" s="17">
        <f t="shared" si="26"/>
        <v>339162.66810539691</v>
      </c>
      <c r="W47" s="17">
        <f t="shared" si="26"/>
        <v>305559.92073950451</v>
      </c>
      <c r="X47" s="17">
        <f t="shared" si="26"/>
        <v>271098.51015029475</v>
      </c>
      <c r="Y47" s="17">
        <f t="shared" si="26"/>
        <v>337112.18812330067</v>
      </c>
      <c r="Z47" s="17">
        <f t="shared" si="26"/>
        <v>301389.29990576673</v>
      </c>
      <c r="AA47" s="69"/>
      <c r="AB47" s="69"/>
    </row>
    <row r="48" spans="1:28" ht="15" x14ac:dyDescent="0.25">
      <c r="C48" s="138">
        <f>IF(D48=0,C47,IF(ISBLANK(G48),C47,1+MAX(C$18:C47)))</f>
        <v>23</v>
      </c>
      <c r="D48" s="132">
        <v>1</v>
      </c>
      <c r="F48" s="139">
        <f t="shared" si="2"/>
        <v>23</v>
      </c>
      <c r="G48" s="17" t="s">
        <v>49</v>
      </c>
      <c r="H48" s="17">
        <f t="shared" ref="H48:Z48" si="27">+H35</f>
        <v>0</v>
      </c>
      <c r="I48" s="17">
        <f t="shared" si="27"/>
        <v>0</v>
      </c>
      <c r="J48" s="17">
        <f t="shared" si="27"/>
        <v>0</v>
      </c>
      <c r="K48" s="17">
        <f t="shared" si="27"/>
        <v>131221</v>
      </c>
      <c r="L48" s="17">
        <f t="shared" si="27"/>
        <v>131221</v>
      </c>
      <c r="M48" s="17">
        <f t="shared" si="27"/>
        <v>172818.0649</v>
      </c>
      <c r="N48" s="17">
        <f t="shared" si="27"/>
        <v>173788.86859999999</v>
      </c>
      <c r="O48" s="17">
        <f t="shared" si="27"/>
        <v>176152.9314</v>
      </c>
      <c r="P48" s="17">
        <f t="shared" si="27"/>
        <v>178537.88069999998</v>
      </c>
      <c r="Q48" s="17">
        <f t="shared" si="27"/>
        <v>180955.04139999999</v>
      </c>
      <c r="R48" s="17">
        <f t="shared" si="27"/>
        <v>183405.6839</v>
      </c>
      <c r="S48" s="17">
        <f t="shared" si="27"/>
        <v>185888.23069999999</v>
      </c>
      <c r="T48" s="17">
        <f t="shared" si="27"/>
        <v>188405.13809999998</v>
      </c>
      <c r="U48" s="17">
        <f t="shared" si="27"/>
        <v>190954.67359999998</v>
      </c>
      <c r="V48" s="17">
        <f t="shared" si="27"/>
        <v>193535.02359999999</v>
      </c>
      <c r="W48" s="17">
        <f t="shared" si="27"/>
        <v>196150.98479999998</v>
      </c>
      <c r="X48" s="17">
        <f t="shared" si="27"/>
        <v>198802.01349999997</v>
      </c>
      <c r="Y48" s="17">
        <f t="shared" si="27"/>
        <v>201488.56599999999</v>
      </c>
      <c r="Z48" s="17">
        <f t="shared" si="27"/>
        <v>204211.14929999999</v>
      </c>
      <c r="AA48" s="69"/>
      <c r="AB48" s="69"/>
    </row>
    <row r="49" spans="1:34" ht="15" x14ac:dyDescent="0.25">
      <c r="A49" s="17" t="s">
        <v>50</v>
      </c>
      <c r="B49" s="25">
        <f>MAX(B$20:B48)+1</f>
        <v>6</v>
      </c>
      <c r="C49" s="138">
        <f>IF(D49=0,C48,IF(ISBLANK(G49),C48,1+MAX(C$18:C48)))</f>
        <v>24</v>
      </c>
      <c r="D49" s="132">
        <v>1</v>
      </c>
      <c r="F49" s="139">
        <f t="shared" si="2"/>
        <v>24</v>
      </c>
      <c r="G49" s="4" t="str">
        <f t="shared" ref="G49:G50" si="28">+A49&amp;" ("&amp;B49&amp;")"</f>
        <v>(-)  Capital Expenditures (6)</v>
      </c>
      <c r="H49" s="17">
        <f>+H444</f>
        <v>0</v>
      </c>
      <c r="I49" s="17">
        <f t="shared" ref="I49:K49" si="29">+I444</f>
        <v>0</v>
      </c>
      <c r="J49" s="17">
        <f t="shared" si="29"/>
        <v>0</v>
      </c>
      <c r="K49" s="17">
        <f t="shared" si="29"/>
        <v>135908</v>
      </c>
      <c r="L49" s="17">
        <f>+L304</f>
        <v>0</v>
      </c>
      <c r="M49" s="17">
        <f t="shared" ref="M49:Z49" si="30">+M304</f>
        <v>0</v>
      </c>
      <c r="N49" s="17">
        <f t="shared" si="30"/>
        <v>164177</v>
      </c>
      <c r="O49" s="17">
        <f t="shared" si="30"/>
        <v>165099</v>
      </c>
      <c r="P49" s="17">
        <f t="shared" si="30"/>
        <v>167345</v>
      </c>
      <c r="Q49" s="17">
        <f t="shared" si="30"/>
        <v>169611</v>
      </c>
      <c r="R49" s="17">
        <f t="shared" si="30"/>
        <v>171907</v>
      </c>
      <c r="S49" s="17">
        <f t="shared" si="30"/>
        <v>174235</v>
      </c>
      <c r="T49" s="17">
        <f t="shared" si="30"/>
        <v>176594</v>
      </c>
      <c r="U49" s="17">
        <f t="shared" si="30"/>
        <v>178661</v>
      </c>
      <c r="V49" s="17">
        <f t="shared" si="30"/>
        <v>181076</v>
      </c>
      <c r="W49" s="17">
        <f t="shared" si="30"/>
        <v>183523</v>
      </c>
      <c r="X49" s="17">
        <f t="shared" si="30"/>
        <v>186003</v>
      </c>
      <c r="Y49" s="17">
        <f t="shared" si="30"/>
        <v>188517</v>
      </c>
      <c r="Z49" s="17">
        <f t="shared" si="30"/>
        <v>191065</v>
      </c>
      <c r="AA49" s="69"/>
      <c r="AB49" s="69"/>
      <c r="AC49" s="69"/>
      <c r="AE49" s="69"/>
    </row>
    <row r="50" spans="1:34" ht="15" x14ac:dyDescent="0.25">
      <c r="A50" s="17" t="s">
        <v>51</v>
      </c>
      <c r="B50" s="25">
        <f>MAX(B$20:B49)+1</f>
        <v>7</v>
      </c>
      <c r="C50" s="138">
        <f>IF(D50=0,C49,IF(ISBLANK(G50),C49,1+MAX(C$18:C49)))</f>
        <v>25</v>
      </c>
      <c r="D50" s="132">
        <v>1</v>
      </c>
      <c r="F50" s="139">
        <f t="shared" si="2"/>
        <v>25</v>
      </c>
      <c r="G50" s="4" t="str">
        <f t="shared" si="28"/>
        <v>(-)  Changes in Working Capital (7)</v>
      </c>
      <c r="H50" s="18">
        <f t="shared" ref="H50:J50" si="31">0.0024*H40</f>
        <v>0</v>
      </c>
      <c r="I50" s="18">
        <f t="shared" si="31"/>
        <v>0</v>
      </c>
      <c r="J50" s="18">
        <f t="shared" si="31"/>
        <v>0</v>
      </c>
      <c r="K50" s="18">
        <f>-0.0119*K40</f>
        <v>-22458.156000000003</v>
      </c>
      <c r="L50" s="18">
        <f t="shared" ref="L50:Z50" si="32">-0.0119*L40</f>
        <v>-23165.530645250001</v>
      </c>
      <c r="M50" s="18">
        <f t="shared" si="32"/>
        <v>-25287.654580999999</v>
      </c>
      <c r="N50" s="18">
        <f t="shared" si="32"/>
        <v>-26042.459800000001</v>
      </c>
      <c r="O50" s="18">
        <f t="shared" si="32"/>
        <v>-26798.811900000001</v>
      </c>
      <c r="P50" s="18">
        <f t="shared" si="32"/>
        <v>-29680.420700000002</v>
      </c>
      <c r="Q50" s="18">
        <f t="shared" si="32"/>
        <v>-29820.900200000004</v>
      </c>
      <c r="R50" s="18">
        <f t="shared" si="32"/>
        <v>-29964.140500000001</v>
      </c>
      <c r="S50" s="18">
        <f t="shared" si="32"/>
        <v>-31198.955900000001</v>
      </c>
      <c r="T50" s="18">
        <f t="shared" si="32"/>
        <v>-31351.478200000001</v>
      </c>
      <c r="U50" s="18">
        <f t="shared" si="32"/>
        <v>-31504.774000000001</v>
      </c>
      <c r="V50" s="18">
        <f t="shared" si="32"/>
        <v>-32804.575300000004</v>
      </c>
      <c r="W50" s="18">
        <f t="shared" si="32"/>
        <v>-32965.142</v>
      </c>
      <c r="X50" s="18">
        <f t="shared" si="32"/>
        <v>-33126.494100000004</v>
      </c>
      <c r="Y50" s="18">
        <f t="shared" si="32"/>
        <v>-34494.720400000006</v>
      </c>
      <c r="Z50" s="18">
        <f t="shared" si="32"/>
        <v>-34663.724200000004</v>
      </c>
      <c r="AA50" s="69"/>
      <c r="AB50" s="69"/>
      <c r="AC50" s="69"/>
      <c r="AE50" s="69"/>
    </row>
    <row r="51" spans="1:34" ht="15" x14ac:dyDescent="0.25">
      <c r="C51" s="138">
        <f>IF(D51=0,C50,IF(ISBLANK(G51),C50,1+MAX(C$18:C50)))</f>
        <v>25</v>
      </c>
      <c r="D51" s="132">
        <v>1</v>
      </c>
      <c r="F51" s="139" t="str">
        <f t="shared" si="2"/>
        <v/>
      </c>
      <c r="G51" s="17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</row>
    <row r="52" spans="1:34" ht="15.75" thickBot="1" x14ac:dyDescent="0.3">
      <c r="C52" s="138">
        <f>IF(D52=0,C51,IF(ISBLANK(G52),C51,1+MAX(C$18:C51)))</f>
        <v>26</v>
      </c>
      <c r="D52" s="132">
        <v>1</v>
      </c>
      <c r="F52" s="139">
        <f t="shared" si="2"/>
        <v>26</v>
      </c>
      <c r="G52" s="158" t="s">
        <v>52</v>
      </c>
      <c r="H52" s="20">
        <f>+H47+H48-H49-H50</f>
        <v>0</v>
      </c>
      <c r="I52" s="20">
        <f t="shared" ref="I52:Z52" si="33">+I47+I48-I49-I50</f>
        <v>0</v>
      </c>
      <c r="J52" s="20">
        <f t="shared" si="33"/>
        <v>0</v>
      </c>
      <c r="K52" s="20">
        <f t="shared" si="33"/>
        <v>-156169.84399999998</v>
      </c>
      <c r="L52" s="20">
        <f t="shared" si="33"/>
        <v>1289.5781452498704</v>
      </c>
      <c r="M52" s="20">
        <f t="shared" si="33"/>
        <v>142370.26058099957</v>
      </c>
      <c r="N52" s="20">
        <f t="shared" si="33"/>
        <v>152153.99954079976</v>
      </c>
      <c r="O52" s="20">
        <f t="shared" si="33"/>
        <v>177584.28243561581</v>
      </c>
      <c r="P52" s="20">
        <f t="shared" si="33"/>
        <v>381649.56064632838</v>
      </c>
      <c r="Q52" s="20">
        <f t="shared" si="33"/>
        <v>351832.2629452548</v>
      </c>
      <c r="R52" s="20">
        <f t="shared" si="33"/>
        <v>321429.79050015955</v>
      </c>
      <c r="S52" s="20">
        <f t="shared" si="33"/>
        <v>383010.15890016296</v>
      </c>
      <c r="T52" s="20">
        <f t="shared" si="33"/>
        <v>351706.38526016579</v>
      </c>
      <c r="U52" s="20">
        <f t="shared" si="33"/>
        <v>319922.09920136991</v>
      </c>
      <c r="V52" s="20">
        <f t="shared" si="33"/>
        <v>384426.26700539689</v>
      </c>
      <c r="W52" s="20">
        <f t="shared" si="33"/>
        <v>351153.04753950448</v>
      </c>
      <c r="X52" s="20">
        <f t="shared" si="33"/>
        <v>317024.01775029476</v>
      </c>
      <c r="Y52" s="20">
        <f t="shared" si="33"/>
        <v>384578.47452330065</v>
      </c>
      <c r="Z52" s="20">
        <f t="shared" si="33"/>
        <v>349199.17340576672</v>
      </c>
      <c r="AA52" s="5"/>
      <c r="AB52" s="5">
        <f>+Z52</f>
        <v>349199.17340576672</v>
      </c>
      <c r="AC52" s="5"/>
      <c r="AE52" s="159"/>
    </row>
    <row r="53" spans="1:34" ht="15.75" thickTop="1" x14ac:dyDescent="0.25">
      <c r="C53" s="138">
        <f>IF(D53=0,C52,IF(ISBLANK(G53),C52,1+MAX(C$18:C52)))</f>
        <v>27</v>
      </c>
      <c r="D53" s="132">
        <f>IF($C$10="SUBJECT",0,1)</f>
        <v>1</v>
      </c>
      <c r="F53" s="139">
        <f t="shared" si="2"/>
        <v>27</v>
      </c>
      <c r="G53" s="160" t="s">
        <v>53</v>
      </c>
      <c r="H53" s="21"/>
      <c r="I53" s="22"/>
      <c r="J53" s="22"/>
      <c r="K53" s="22"/>
      <c r="L53" s="22"/>
      <c r="M53" s="23">
        <v>-0.5</v>
      </c>
      <c r="N53" s="24">
        <f t="shared" ref="N53:R53" si="34">+M53+1</f>
        <v>0.5</v>
      </c>
      <c r="O53" s="24">
        <f t="shared" si="34"/>
        <v>1.5</v>
      </c>
      <c r="P53" s="24">
        <f t="shared" si="34"/>
        <v>2.5</v>
      </c>
      <c r="Q53" s="24">
        <f t="shared" si="34"/>
        <v>3.5</v>
      </c>
      <c r="R53" s="24">
        <f t="shared" si="34"/>
        <v>4.5</v>
      </c>
      <c r="S53" s="24">
        <f>+R53+1</f>
        <v>5.5</v>
      </c>
      <c r="T53" s="24">
        <f>+S53+1</f>
        <v>6.5</v>
      </c>
      <c r="U53" s="24">
        <f>+T53+1</f>
        <v>7.5</v>
      </c>
      <c r="V53" s="24">
        <f>+U53+1</f>
        <v>8.5</v>
      </c>
      <c r="W53" s="24">
        <f t="shared" ref="W53:Z53" si="35">+V53+1</f>
        <v>9.5</v>
      </c>
      <c r="X53" s="24">
        <f t="shared" si="35"/>
        <v>10.5</v>
      </c>
      <c r="Y53" s="24">
        <f t="shared" si="35"/>
        <v>11.5</v>
      </c>
      <c r="Z53" s="24">
        <f t="shared" si="35"/>
        <v>12.5</v>
      </c>
      <c r="AA53" s="5"/>
      <c r="AB53" s="5"/>
      <c r="AC53" s="5"/>
    </row>
    <row r="54" spans="1:34" ht="15" x14ac:dyDescent="0.25">
      <c r="B54" s="25">
        <f>MAX(B$20:B53)+1</f>
        <v>8</v>
      </c>
      <c r="C54" s="138">
        <f>IF(D54=0,C53,IF(ISBLANK(G54),C53,1+MAX(C$18:C53)))</f>
        <v>27</v>
      </c>
      <c r="D54" s="132">
        <f t="shared" ref="D54:D68" si="36">IF($C$10="IOU",1,0)</f>
        <v>0</v>
      </c>
      <c r="F54" s="139">
        <f t="shared" si="2"/>
        <v>27</v>
      </c>
      <c r="G54" s="120" t="str">
        <f>+"Present Value Factor:   "&amp;TEXT(AC54,"0.00%")&amp;"  ("&amp;B54&amp;")"</f>
        <v>Present Value Factor:   7.12%  (8)</v>
      </c>
      <c r="J54" s="6"/>
      <c r="K54" s="6"/>
      <c r="L54" s="6"/>
      <c r="M54" s="6"/>
      <c r="N54" s="161">
        <f t="shared" ref="N54:Z54" si="37">ROUND((1/((1+$AC54)^N53)),4)</f>
        <v>0.96619999999999995</v>
      </c>
      <c r="O54" s="161">
        <f t="shared" si="37"/>
        <v>0.90200000000000002</v>
      </c>
      <c r="P54" s="161">
        <f t="shared" si="37"/>
        <v>0.84199999999999997</v>
      </c>
      <c r="Q54" s="161">
        <f t="shared" si="37"/>
        <v>0.78610000000000002</v>
      </c>
      <c r="R54" s="161">
        <f t="shared" si="37"/>
        <v>0.73380000000000001</v>
      </c>
      <c r="S54" s="161">
        <f t="shared" si="37"/>
        <v>0.68500000000000005</v>
      </c>
      <c r="T54" s="161">
        <f t="shared" si="37"/>
        <v>0.63949999999999996</v>
      </c>
      <c r="U54" s="161">
        <f t="shared" si="37"/>
        <v>0.59699999999999998</v>
      </c>
      <c r="V54" s="161">
        <f t="shared" si="37"/>
        <v>0.55730000000000002</v>
      </c>
      <c r="W54" s="161">
        <f t="shared" si="37"/>
        <v>0.52029999999999998</v>
      </c>
      <c r="X54" s="161">
        <f t="shared" si="37"/>
        <v>0.48570000000000002</v>
      </c>
      <c r="Y54" s="161">
        <f t="shared" si="37"/>
        <v>0.45340000000000003</v>
      </c>
      <c r="Z54" s="161">
        <f t="shared" si="37"/>
        <v>0.42330000000000001</v>
      </c>
      <c r="AC54" s="162">
        <f>+H2</f>
        <v>7.1199999999999999E-2</v>
      </c>
      <c r="AD54" s="163" t="s">
        <v>54</v>
      </c>
      <c r="AE54" s="5"/>
      <c r="AF54" s="5"/>
      <c r="AG54" s="5"/>
      <c r="AH54" s="5"/>
    </row>
    <row r="55" spans="1:34" ht="15" x14ac:dyDescent="0.25">
      <c r="C55" s="138">
        <f>IF(D55=0,C54,IF(ISBLANK(G55),C54,1+MAX(C$18:C54)))</f>
        <v>27</v>
      </c>
      <c r="D55" s="132">
        <f t="shared" si="36"/>
        <v>0</v>
      </c>
      <c r="F55" s="139" t="str">
        <f t="shared" si="2"/>
        <v/>
      </c>
      <c r="G55" s="120"/>
      <c r="H55" s="120"/>
      <c r="I55" s="164"/>
      <c r="J55" s="6"/>
      <c r="K55" s="6"/>
      <c r="L55" s="6"/>
      <c r="M55" s="6"/>
      <c r="N55" s="165"/>
      <c r="O55" s="165"/>
      <c r="P55" s="165"/>
      <c r="Q55" s="165"/>
      <c r="R55" s="165"/>
      <c r="S55" s="165"/>
      <c r="T55" s="165"/>
      <c r="U55" s="165"/>
      <c r="V55" s="165"/>
      <c r="W55" s="165"/>
      <c r="X55" s="165"/>
      <c r="Y55" s="165"/>
      <c r="Z55" s="165"/>
      <c r="AB55" s="5"/>
      <c r="AC55" s="5"/>
      <c r="AD55" s="5"/>
      <c r="AE55" s="5"/>
      <c r="AF55" s="5"/>
      <c r="AG55" s="5"/>
      <c r="AH55" s="5"/>
    </row>
    <row r="56" spans="1:34" ht="15.75" thickBot="1" x14ac:dyDescent="0.3">
      <c r="C56" s="138">
        <f>IF(D56=0,C55,IF(ISBLANK(G56),C55,1+MAX(C$18:C55)))</f>
        <v>27</v>
      </c>
      <c r="D56" s="132">
        <f t="shared" si="36"/>
        <v>0</v>
      </c>
      <c r="F56" s="139">
        <f t="shared" si="2"/>
        <v>27</v>
      </c>
      <c r="G56" s="120" t="s">
        <v>55</v>
      </c>
      <c r="H56" s="120"/>
      <c r="I56" s="33"/>
      <c r="J56" s="6"/>
      <c r="K56" s="6"/>
      <c r="L56" s="6"/>
      <c r="M56" s="6"/>
      <c r="N56" s="20">
        <f t="shared" ref="N56:R56" si="38">+N52*N54</f>
        <v>147011.19435632072</v>
      </c>
      <c r="O56" s="20">
        <f t="shared" si="38"/>
        <v>160181.02275692546</v>
      </c>
      <c r="P56" s="20">
        <f t="shared" si="38"/>
        <v>321348.93006420846</v>
      </c>
      <c r="Q56" s="20">
        <f t="shared" si="38"/>
        <v>276575.34190126479</v>
      </c>
      <c r="R56" s="20">
        <f t="shared" si="38"/>
        <v>235865.18026901709</v>
      </c>
      <c r="S56" s="20">
        <f>+S52*S54</f>
        <v>262361.95884661167</v>
      </c>
      <c r="T56" s="20">
        <f>+T52*T54</f>
        <v>224916.23337387599</v>
      </c>
      <c r="U56" s="20">
        <f>+U52*U54</f>
        <v>190993.49322321784</v>
      </c>
      <c r="V56" s="20">
        <f>+V52*V54</f>
        <v>214240.7586021077</v>
      </c>
      <c r="W56" s="20">
        <f t="shared" ref="W56:Z56" si="39">+W52*W54</f>
        <v>182704.93063480419</v>
      </c>
      <c r="X56" s="20">
        <f t="shared" si="39"/>
        <v>153978.56542131817</v>
      </c>
      <c r="Y56" s="20">
        <f t="shared" si="39"/>
        <v>174367.88034886454</v>
      </c>
      <c r="Z56" s="20">
        <f t="shared" si="39"/>
        <v>147816.01010266106</v>
      </c>
      <c r="AB56" s="17">
        <f>SUM(M56:Z56)</f>
        <v>2692361.4999011974</v>
      </c>
      <c r="AC56" s="5"/>
      <c r="AD56" s="5"/>
      <c r="AE56" s="5"/>
      <c r="AF56" s="5"/>
      <c r="AG56" s="5"/>
      <c r="AH56" s="5"/>
    </row>
    <row r="57" spans="1:34" ht="15.75" thickTop="1" x14ac:dyDescent="0.25">
      <c r="C57" s="138">
        <f>IF(D57=0,C56,IF(ISBLANK(G57),C56,1+MAX(C$18:C56)))</f>
        <v>27</v>
      </c>
      <c r="D57" s="132">
        <f t="shared" si="36"/>
        <v>0</v>
      </c>
      <c r="F57" s="139" t="str">
        <f t="shared" si="2"/>
        <v/>
      </c>
      <c r="I57" s="6"/>
      <c r="J57" s="6"/>
      <c r="K57" s="6"/>
      <c r="L57" s="6"/>
      <c r="M57" s="6"/>
      <c r="N57" s="166">
        <f t="shared" ref="N57:R57" si="40">+N53</f>
        <v>0.5</v>
      </c>
      <c r="O57" s="166">
        <f t="shared" si="40"/>
        <v>1.5</v>
      </c>
      <c r="P57" s="166">
        <f t="shared" si="40"/>
        <v>2.5</v>
      </c>
      <c r="Q57" s="166">
        <f t="shared" si="40"/>
        <v>3.5</v>
      </c>
      <c r="R57" s="166">
        <f t="shared" si="40"/>
        <v>4.5</v>
      </c>
      <c r="S57" s="166">
        <f>+S53</f>
        <v>5.5</v>
      </c>
      <c r="T57" s="166">
        <f>+T53</f>
        <v>6.5</v>
      </c>
      <c r="U57" s="166">
        <f>+U53</f>
        <v>7.5</v>
      </c>
      <c r="V57" s="166">
        <f>+V53</f>
        <v>8.5</v>
      </c>
      <c r="W57" s="166">
        <f t="shared" ref="W57:Z57" si="41">+W53</f>
        <v>9.5</v>
      </c>
      <c r="X57" s="166">
        <f t="shared" si="41"/>
        <v>10.5</v>
      </c>
      <c r="Y57" s="166">
        <f t="shared" si="41"/>
        <v>11.5</v>
      </c>
      <c r="Z57" s="166">
        <f t="shared" si="41"/>
        <v>12.5</v>
      </c>
      <c r="AB57" s="5"/>
      <c r="AC57" s="5"/>
      <c r="AD57" s="5"/>
      <c r="AE57" s="5"/>
      <c r="AF57" s="5"/>
      <c r="AG57" s="5"/>
      <c r="AH57" s="5"/>
    </row>
    <row r="58" spans="1:34" ht="15" x14ac:dyDescent="0.25">
      <c r="B58" s="25">
        <f>MAX(B$20:B57)+1</f>
        <v>9</v>
      </c>
      <c r="C58" s="138">
        <f>IF(D58=0,C57,IF(ISBLANK(G58),C57,1+MAX(C$18:C57)))</f>
        <v>27</v>
      </c>
      <c r="D58" s="132">
        <f t="shared" si="36"/>
        <v>0</v>
      </c>
      <c r="F58" s="139">
        <f t="shared" si="2"/>
        <v>27</v>
      </c>
      <c r="G58" s="120" t="str">
        <f>+"Present Value Factor:   "&amp;TEXT(AC58,"0.00%")&amp;"  ("&amp;B58&amp;")"</f>
        <v>Present Value Factor:   8.48%  (9)</v>
      </c>
      <c r="J58" s="6"/>
      <c r="K58" s="6"/>
      <c r="L58" s="6"/>
      <c r="M58" s="6"/>
      <c r="N58" s="161">
        <f t="shared" ref="N58:Z58" si="42">ROUND((1/((1+$AC58)^N57)),4)</f>
        <v>0.96009999999999995</v>
      </c>
      <c r="O58" s="161">
        <f t="shared" si="42"/>
        <v>0.8851</v>
      </c>
      <c r="P58" s="161">
        <f t="shared" si="42"/>
        <v>0.81589999999999996</v>
      </c>
      <c r="Q58" s="161">
        <f t="shared" si="42"/>
        <v>0.75209999999999999</v>
      </c>
      <c r="R58" s="161">
        <f t="shared" si="42"/>
        <v>0.69330000000000003</v>
      </c>
      <c r="S58" s="161">
        <f t="shared" si="42"/>
        <v>0.6391</v>
      </c>
      <c r="T58" s="161">
        <f t="shared" si="42"/>
        <v>0.58919999999999995</v>
      </c>
      <c r="U58" s="161">
        <f t="shared" si="42"/>
        <v>0.54310000000000003</v>
      </c>
      <c r="V58" s="161">
        <f t="shared" si="42"/>
        <v>0.50060000000000004</v>
      </c>
      <c r="W58" s="161">
        <f t="shared" si="42"/>
        <v>0.46150000000000002</v>
      </c>
      <c r="X58" s="161">
        <f t="shared" si="42"/>
        <v>0.4254</v>
      </c>
      <c r="Y58" s="161">
        <f t="shared" si="42"/>
        <v>0.39219999999999999</v>
      </c>
      <c r="Z58" s="161">
        <f t="shared" si="42"/>
        <v>0.36149999999999999</v>
      </c>
      <c r="AB58" s="5"/>
      <c r="AC58" s="162">
        <f>+H3</f>
        <v>8.48E-2</v>
      </c>
      <c r="AD58" s="163" t="s">
        <v>56</v>
      </c>
      <c r="AE58" s="5"/>
      <c r="AF58" s="5"/>
      <c r="AG58" s="5"/>
      <c r="AH58" s="5"/>
    </row>
    <row r="59" spans="1:34" ht="15" x14ac:dyDescent="0.25">
      <c r="C59" s="138">
        <f>IF(D59=0,C58,IF(ISBLANK(G59),C58,1+MAX(C$18:C58)))</f>
        <v>27</v>
      </c>
      <c r="D59" s="132">
        <f t="shared" si="36"/>
        <v>0</v>
      </c>
      <c r="F59" s="139" t="str">
        <f t="shared" si="2"/>
        <v/>
      </c>
      <c r="G59" s="120"/>
      <c r="H59" s="120"/>
      <c r="I59" s="164"/>
      <c r="J59" s="6"/>
      <c r="K59" s="6"/>
      <c r="L59" s="6"/>
      <c r="M59" s="6"/>
      <c r="N59" s="165"/>
      <c r="O59" s="165"/>
      <c r="P59" s="165"/>
      <c r="Q59" s="165"/>
      <c r="R59" s="165"/>
      <c r="S59" s="165"/>
      <c r="T59" s="165"/>
      <c r="U59" s="165"/>
      <c r="V59" s="165"/>
      <c r="W59" s="165"/>
      <c r="X59" s="165"/>
      <c r="Y59" s="165"/>
      <c r="Z59" s="165"/>
      <c r="AB59" s="5"/>
      <c r="AC59" s="5"/>
      <c r="AD59" s="5"/>
      <c r="AE59" s="5"/>
      <c r="AF59" s="5"/>
      <c r="AG59" s="5"/>
      <c r="AH59" s="5"/>
    </row>
    <row r="60" spans="1:34" ht="15.75" thickBot="1" x14ac:dyDescent="0.3">
      <c r="C60" s="138">
        <f>IF(D60=0,C59,IF(ISBLANK(G60),C59,1+MAX(C$18:C59)))</f>
        <v>27</v>
      </c>
      <c r="D60" s="132">
        <f t="shared" si="36"/>
        <v>0</v>
      </c>
      <c r="F60" s="139">
        <f t="shared" si="2"/>
        <v>27</v>
      </c>
      <c r="G60" s="120" t="s">
        <v>55</v>
      </c>
      <c r="H60" s="120"/>
      <c r="I60" s="33"/>
      <c r="J60" s="6"/>
      <c r="K60" s="6"/>
      <c r="L60" s="6"/>
      <c r="M60" s="6"/>
      <c r="N60" s="20">
        <f t="shared" ref="N60:Z60" si="43">+N52*N58</f>
        <v>146083.05495912186</v>
      </c>
      <c r="O60" s="20">
        <f t="shared" si="43"/>
        <v>157179.84838376354</v>
      </c>
      <c r="P60" s="20">
        <f t="shared" si="43"/>
        <v>311387.87653133931</v>
      </c>
      <c r="Q60" s="20">
        <f t="shared" si="43"/>
        <v>264613.04496112611</v>
      </c>
      <c r="R60" s="20">
        <f t="shared" si="43"/>
        <v>222847.27375376062</v>
      </c>
      <c r="S60" s="20">
        <f t="shared" si="43"/>
        <v>244781.79255309416</v>
      </c>
      <c r="T60" s="20">
        <f t="shared" si="43"/>
        <v>207225.40219528967</v>
      </c>
      <c r="U60" s="20">
        <f t="shared" si="43"/>
        <v>173749.69207626401</v>
      </c>
      <c r="V60" s="20">
        <f t="shared" si="43"/>
        <v>192443.7892629017</v>
      </c>
      <c r="W60" s="20">
        <f t="shared" si="43"/>
        <v>162057.13143948134</v>
      </c>
      <c r="X60" s="20">
        <f t="shared" si="43"/>
        <v>134862.01715097539</v>
      </c>
      <c r="Y60" s="20">
        <f t="shared" si="43"/>
        <v>150831.67770803851</v>
      </c>
      <c r="Z60" s="20">
        <f t="shared" si="43"/>
        <v>126235.50118618466</v>
      </c>
      <c r="AB60" s="17">
        <f>SUM(M60:Z60)</f>
        <v>2494298.1021613409</v>
      </c>
      <c r="AC60" s="5"/>
      <c r="AD60" s="5"/>
      <c r="AE60" s="5"/>
      <c r="AF60" s="5"/>
      <c r="AG60" s="5"/>
      <c r="AH60" s="5"/>
    </row>
    <row r="61" spans="1:34" ht="15.75" thickTop="1" x14ac:dyDescent="0.25">
      <c r="C61" s="138">
        <f>IF(D61=0,C60,IF(ISBLANK(G61),C60,1+MAX(C$18:C60)))</f>
        <v>27</v>
      </c>
      <c r="D61" s="132">
        <f t="shared" si="36"/>
        <v>0</v>
      </c>
      <c r="F61" s="139" t="str">
        <f t="shared" si="2"/>
        <v/>
      </c>
      <c r="I61" s="6"/>
      <c r="J61" s="6"/>
      <c r="K61" s="6"/>
      <c r="L61" s="6"/>
      <c r="M61" s="6"/>
      <c r="N61" s="167">
        <f t="shared" ref="N61:Z61" si="44">+N57</f>
        <v>0.5</v>
      </c>
      <c r="O61" s="167">
        <f t="shared" si="44"/>
        <v>1.5</v>
      </c>
      <c r="P61" s="167">
        <f t="shared" si="44"/>
        <v>2.5</v>
      </c>
      <c r="Q61" s="167">
        <f t="shared" si="44"/>
        <v>3.5</v>
      </c>
      <c r="R61" s="167">
        <f t="shared" si="44"/>
        <v>4.5</v>
      </c>
      <c r="S61" s="167">
        <f t="shared" si="44"/>
        <v>5.5</v>
      </c>
      <c r="T61" s="167">
        <f t="shared" si="44"/>
        <v>6.5</v>
      </c>
      <c r="U61" s="167">
        <f t="shared" si="44"/>
        <v>7.5</v>
      </c>
      <c r="V61" s="167">
        <f t="shared" si="44"/>
        <v>8.5</v>
      </c>
      <c r="W61" s="167">
        <f t="shared" si="44"/>
        <v>9.5</v>
      </c>
      <c r="X61" s="167">
        <f t="shared" si="44"/>
        <v>10.5</v>
      </c>
      <c r="Y61" s="167">
        <f t="shared" si="44"/>
        <v>11.5</v>
      </c>
      <c r="Z61" s="167">
        <f t="shared" si="44"/>
        <v>12.5</v>
      </c>
      <c r="AB61" s="5"/>
      <c r="AC61" s="5"/>
      <c r="AD61" s="5"/>
      <c r="AE61" s="5"/>
      <c r="AF61" s="5"/>
      <c r="AG61" s="5"/>
      <c r="AH61" s="5"/>
    </row>
    <row r="62" spans="1:34" ht="15" x14ac:dyDescent="0.25">
      <c r="B62" s="25">
        <f>+B$54</f>
        <v>8</v>
      </c>
      <c r="C62" s="138">
        <f>IF(D62=0,C61,IF(ISBLANK(G62),C61,1+MAX(C$18:C61)))</f>
        <v>27</v>
      </c>
      <c r="D62" s="132">
        <f t="shared" si="36"/>
        <v>0</v>
      </c>
      <c r="F62" s="139">
        <f t="shared" si="2"/>
        <v>27</v>
      </c>
      <c r="G62" s="120" t="str">
        <f>+"Present Value Factor:   "&amp;TEXT(AC62,"0.00%")&amp;"  ("&amp;B62&amp;")"</f>
        <v>Present Value Factor:   6.12%  (8)</v>
      </c>
      <c r="J62" s="6"/>
      <c r="K62" s="6"/>
      <c r="L62" s="6"/>
      <c r="M62" s="6"/>
      <c r="N62" s="161">
        <f t="shared" ref="N62:Z62" si="45">ROUND((1/((1+$AC62)^N61)),4)</f>
        <v>0.97070000000000001</v>
      </c>
      <c r="O62" s="161">
        <f t="shared" si="45"/>
        <v>0.91479999999999995</v>
      </c>
      <c r="P62" s="161">
        <f t="shared" si="45"/>
        <v>0.86199999999999999</v>
      </c>
      <c r="Q62" s="161">
        <f t="shared" si="45"/>
        <v>0.81230000000000002</v>
      </c>
      <c r="R62" s="161">
        <f t="shared" si="45"/>
        <v>0.76539999999999997</v>
      </c>
      <c r="S62" s="161">
        <f t="shared" si="45"/>
        <v>0.72130000000000005</v>
      </c>
      <c r="T62" s="161">
        <f t="shared" si="45"/>
        <v>0.67969999999999997</v>
      </c>
      <c r="U62" s="161">
        <f t="shared" si="45"/>
        <v>0.64049999999999996</v>
      </c>
      <c r="V62" s="161">
        <f t="shared" si="45"/>
        <v>0.60360000000000003</v>
      </c>
      <c r="W62" s="161">
        <f t="shared" si="45"/>
        <v>0.56879999999999997</v>
      </c>
      <c r="X62" s="161">
        <f t="shared" si="45"/>
        <v>0.53600000000000003</v>
      </c>
      <c r="Y62" s="161">
        <f t="shared" si="45"/>
        <v>0.505</v>
      </c>
      <c r="Z62" s="161">
        <f t="shared" si="45"/>
        <v>0.47589999999999999</v>
      </c>
      <c r="AC62" s="162">
        <f>+AC54-H9</f>
        <v>6.1199999999999997E-2</v>
      </c>
      <c r="AD62" s="163" t="s">
        <v>54</v>
      </c>
      <c r="AE62" s="5"/>
      <c r="AF62" s="5"/>
      <c r="AG62" s="5"/>
      <c r="AH62" s="5"/>
    </row>
    <row r="63" spans="1:34" ht="15" x14ac:dyDescent="0.25">
      <c r="C63" s="138">
        <f>IF(D63=0,C62,IF(ISBLANK(G63),C62,1+MAX(C$18:C62)))</f>
        <v>27</v>
      </c>
      <c r="D63" s="132">
        <f t="shared" si="36"/>
        <v>0</v>
      </c>
      <c r="F63" s="139" t="str">
        <f t="shared" si="2"/>
        <v/>
      </c>
      <c r="G63" s="120"/>
      <c r="H63" s="120"/>
      <c r="I63" s="164"/>
      <c r="J63" s="6"/>
      <c r="K63" s="6"/>
      <c r="L63" s="6"/>
      <c r="M63" s="6"/>
      <c r="N63" s="165"/>
      <c r="O63" s="165"/>
      <c r="P63" s="165"/>
      <c r="Q63" s="165"/>
      <c r="R63" s="165"/>
      <c r="S63" s="165"/>
      <c r="T63" s="165"/>
      <c r="U63" s="165"/>
      <c r="V63" s="165"/>
      <c r="W63" s="165"/>
      <c r="X63" s="165"/>
      <c r="Y63" s="165"/>
      <c r="Z63" s="165"/>
      <c r="AB63" s="5"/>
      <c r="AC63" s="5"/>
      <c r="AD63" s="5"/>
      <c r="AE63" s="5"/>
      <c r="AF63" s="5"/>
      <c r="AG63" s="5"/>
      <c r="AH63" s="5"/>
    </row>
    <row r="64" spans="1:34" ht="15.75" thickBot="1" x14ac:dyDescent="0.3">
      <c r="C64" s="138">
        <f>IF(D64=0,C63,IF(ISBLANK(G64),C63,1+MAX(C$18:C63)))</f>
        <v>27</v>
      </c>
      <c r="D64" s="132">
        <f t="shared" si="36"/>
        <v>0</v>
      </c>
      <c r="F64" s="139">
        <f t="shared" si="2"/>
        <v>27</v>
      </c>
      <c r="G64" s="120" t="s">
        <v>55</v>
      </c>
      <c r="H64" s="120"/>
      <c r="I64" s="33"/>
      <c r="J64" s="6"/>
      <c r="K64" s="6"/>
      <c r="L64" s="6"/>
      <c r="M64" s="6"/>
      <c r="N64" s="20">
        <f t="shared" ref="N64:Z64" si="46">+N$52*N62</f>
        <v>147695.88735425434</v>
      </c>
      <c r="O64" s="20">
        <f t="shared" si="46"/>
        <v>162454.10157210132</v>
      </c>
      <c r="P64" s="20">
        <f t="shared" si="46"/>
        <v>328981.92127713503</v>
      </c>
      <c r="Q64" s="20">
        <f t="shared" si="46"/>
        <v>285793.3471904305</v>
      </c>
      <c r="R64" s="20">
        <f t="shared" si="46"/>
        <v>246022.36164882212</v>
      </c>
      <c r="S64" s="20">
        <f t="shared" si="46"/>
        <v>276265.22761468758</v>
      </c>
      <c r="T64" s="20">
        <f t="shared" si="46"/>
        <v>239054.83006133468</v>
      </c>
      <c r="U64" s="20">
        <f t="shared" si="46"/>
        <v>204910.1045384774</v>
      </c>
      <c r="V64" s="20">
        <f t="shared" si="46"/>
        <v>232039.69476445758</v>
      </c>
      <c r="W64" s="20">
        <f t="shared" si="46"/>
        <v>199735.85344047015</v>
      </c>
      <c r="X64" s="20">
        <f t="shared" si="46"/>
        <v>169924.87351415801</v>
      </c>
      <c r="Y64" s="20">
        <f t="shared" si="46"/>
        <v>194212.12963426684</v>
      </c>
      <c r="Z64" s="20">
        <f t="shared" si="46"/>
        <v>166183.88662380437</v>
      </c>
      <c r="AB64" s="17">
        <f>SUM(M64:Z64)</f>
        <v>2853274.2192344</v>
      </c>
      <c r="AC64" s="5"/>
      <c r="AD64" s="5"/>
      <c r="AE64" s="5"/>
      <c r="AF64" s="5"/>
      <c r="AG64" s="5"/>
      <c r="AH64" s="5"/>
    </row>
    <row r="65" spans="1:34" ht="15.75" thickTop="1" x14ac:dyDescent="0.25">
      <c r="C65" s="138">
        <f>IF(D65=0,C64,IF(ISBLANK(G65),C64,1+MAX(C$18:C64)))</f>
        <v>27</v>
      </c>
      <c r="D65" s="132">
        <f t="shared" si="36"/>
        <v>0</v>
      </c>
      <c r="F65" s="139" t="str">
        <f t="shared" si="2"/>
        <v/>
      </c>
      <c r="I65" s="6"/>
      <c r="J65" s="6"/>
      <c r="K65" s="6"/>
      <c r="L65" s="6"/>
      <c r="M65" s="6"/>
      <c r="N65" s="167">
        <f t="shared" ref="N65:Z65" si="47">+N61</f>
        <v>0.5</v>
      </c>
      <c r="O65" s="167">
        <f t="shared" si="47"/>
        <v>1.5</v>
      </c>
      <c r="P65" s="167">
        <f t="shared" si="47"/>
        <v>2.5</v>
      </c>
      <c r="Q65" s="167">
        <f t="shared" si="47"/>
        <v>3.5</v>
      </c>
      <c r="R65" s="167">
        <f t="shared" si="47"/>
        <v>4.5</v>
      </c>
      <c r="S65" s="167">
        <f t="shared" si="47"/>
        <v>5.5</v>
      </c>
      <c r="T65" s="167">
        <f t="shared" si="47"/>
        <v>6.5</v>
      </c>
      <c r="U65" s="167">
        <f t="shared" si="47"/>
        <v>7.5</v>
      </c>
      <c r="V65" s="167">
        <f t="shared" si="47"/>
        <v>8.5</v>
      </c>
      <c r="W65" s="167">
        <f t="shared" si="47"/>
        <v>9.5</v>
      </c>
      <c r="X65" s="167">
        <f t="shared" si="47"/>
        <v>10.5</v>
      </c>
      <c r="Y65" s="167">
        <f t="shared" si="47"/>
        <v>11.5</v>
      </c>
      <c r="Z65" s="167">
        <f t="shared" si="47"/>
        <v>12.5</v>
      </c>
      <c r="AB65" s="5"/>
      <c r="AC65" s="5"/>
      <c r="AD65" s="5"/>
      <c r="AE65" s="5"/>
      <c r="AF65" s="5"/>
      <c r="AG65" s="5"/>
      <c r="AH65" s="5"/>
    </row>
    <row r="66" spans="1:34" ht="15" x14ac:dyDescent="0.25">
      <c r="B66" s="25">
        <f>+B$58</f>
        <v>9</v>
      </c>
      <c r="C66" s="138">
        <f>IF(D66=0,C65,IF(ISBLANK(G66),C65,1+MAX(C$18:C65)))</f>
        <v>27</v>
      </c>
      <c r="D66" s="132">
        <f t="shared" si="36"/>
        <v>0</v>
      </c>
      <c r="F66" s="139">
        <f t="shared" si="2"/>
        <v>27</v>
      </c>
      <c r="G66" s="120" t="str">
        <f>+"Present Value Factor:   "&amp;TEXT(AC66,"0.00%")&amp;"  ("&amp;B66&amp;")"</f>
        <v>Present Value Factor:   7.48%  (9)</v>
      </c>
      <c r="J66" s="6"/>
      <c r="K66" s="6"/>
      <c r="L66" s="6"/>
      <c r="M66" s="6"/>
      <c r="N66" s="161">
        <f t="shared" ref="N66:Z66" si="48">ROUND((1/((1+$AC66)^N65)),4)</f>
        <v>0.96460000000000001</v>
      </c>
      <c r="O66" s="161">
        <f t="shared" si="48"/>
        <v>0.89739999999999998</v>
      </c>
      <c r="P66" s="161">
        <f t="shared" si="48"/>
        <v>0.83499999999999996</v>
      </c>
      <c r="Q66" s="161">
        <f t="shared" si="48"/>
        <v>0.77690000000000003</v>
      </c>
      <c r="R66" s="161">
        <f t="shared" si="48"/>
        <v>0.7228</v>
      </c>
      <c r="S66" s="161">
        <f t="shared" si="48"/>
        <v>0.67249999999999999</v>
      </c>
      <c r="T66" s="161">
        <f t="shared" si="48"/>
        <v>0.62570000000000003</v>
      </c>
      <c r="U66" s="161">
        <f t="shared" si="48"/>
        <v>0.58220000000000005</v>
      </c>
      <c r="V66" s="161">
        <f t="shared" si="48"/>
        <v>0.54159999999999997</v>
      </c>
      <c r="W66" s="161">
        <f t="shared" si="48"/>
        <v>0.50390000000000001</v>
      </c>
      <c r="X66" s="161">
        <f t="shared" si="48"/>
        <v>0.46889999999999998</v>
      </c>
      <c r="Y66" s="161">
        <f t="shared" si="48"/>
        <v>0.43619999999999998</v>
      </c>
      <c r="Z66" s="161">
        <f t="shared" si="48"/>
        <v>0.40589999999999998</v>
      </c>
      <c r="AB66" s="5"/>
      <c r="AC66" s="162">
        <f>+AC58-H9</f>
        <v>7.4800000000000005E-2</v>
      </c>
      <c r="AD66" s="163" t="s">
        <v>56</v>
      </c>
      <c r="AE66" s="5"/>
      <c r="AF66" s="5"/>
      <c r="AG66" s="5"/>
      <c r="AH66" s="5"/>
    </row>
    <row r="67" spans="1:34" ht="15" x14ac:dyDescent="0.25">
      <c r="C67" s="138">
        <f>IF(D67=0,C66,IF(ISBLANK(G67),C66,1+MAX(C$18:C66)))</f>
        <v>27</v>
      </c>
      <c r="D67" s="132">
        <f t="shared" si="36"/>
        <v>0</v>
      </c>
      <c r="F67" s="139" t="str">
        <f t="shared" si="2"/>
        <v/>
      </c>
      <c r="G67" s="120"/>
      <c r="H67" s="120"/>
      <c r="I67" s="164"/>
      <c r="J67" s="6"/>
      <c r="K67" s="6"/>
      <c r="L67" s="6"/>
      <c r="M67" s="6"/>
      <c r="N67" s="165"/>
      <c r="O67" s="165"/>
      <c r="P67" s="165"/>
      <c r="Q67" s="165"/>
      <c r="R67" s="165"/>
      <c r="S67" s="165"/>
      <c r="T67" s="165"/>
      <c r="U67" s="165"/>
      <c r="V67" s="165"/>
      <c r="W67" s="165"/>
      <c r="X67" s="165"/>
      <c r="Y67" s="165"/>
      <c r="Z67" s="165"/>
      <c r="AB67" s="5"/>
      <c r="AC67" s="5"/>
      <c r="AD67" s="5"/>
      <c r="AE67" s="5"/>
      <c r="AF67" s="5"/>
      <c r="AG67" s="5"/>
      <c r="AH67" s="5"/>
    </row>
    <row r="68" spans="1:34" ht="15.75" thickBot="1" x14ac:dyDescent="0.3">
      <c r="C68" s="138">
        <f>IF(D68=0,C67,IF(ISBLANK(G68),C67,1+MAX(C$18:C67)))</f>
        <v>27</v>
      </c>
      <c r="D68" s="132">
        <f t="shared" si="36"/>
        <v>0</v>
      </c>
      <c r="F68" s="139">
        <f t="shared" si="2"/>
        <v>27</v>
      </c>
      <c r="G68" s="120" t="s">
        <v>55</v>
      </c>
      <c r="H68" s="33"/>
      <c r="I68" s="33"/>
      <c r="J68" s="6"/>
      <c r="K68" s="6"/>
      <c r="L68" s="6"/>
      <c r="M68" s="6"/>
      <c r="N68" s="20">
        <f t="shared" ref="N68:Z68" si="49">+N$52*N66</f>
        <v>146767.74795705546</v>
      </c>
      <c r="O68" s="20">
        <f t="shared" si="49"/>
        <v>159364.13505772164</v>
      </c>
      <c r="P68" s="20">
        <f t="shared" si="49"/>
        <v>318677.38313968416</v>
      </c>
      <c r="Q68" s="20">
        <f t="shared" si="49"/>
        <v>273338.48508216848</v>
      </c>
      <c r="R68" s="20">
        <f t="shared" si="49"/>
        <v>232329.45257351533</v>
      </c>
      <c r="S68" s="20">
        <f t="shared" si="49"/>
        <v>257574.33186035958</v>
      </c>
      <c r="T68" s="20">
        <f t="shared" si="49"/>
        <v>220062.68525728575</v>
      </c>
      <c r="U68" s="20">
        <f t="shared" si="49"/>
        <v>186258.64615503757</v>
      </c>
      <c r="V68" s="20">
        <f t="shared" si="49"/>
        <v>208205.26621012294</v>
      </c>
      <c r="W68" s="20">
        <f t="shared" si="49"/>
        <v>176946.02065515632</v>
      </c>
      <c r="X68" s="20">
        <f t="shared" si="49"/>
        <v>148652.56192311322</v>
      </c>
      <c r="Y68" s="20">
        <f t="shared" si="49"/>
        <v>167753.13058706373</v>
      </c>
      <c r="Z68" s="20">
        <f t="shared" si="49"/>
        <v>141739.94448540072</v>
      </c>
      <c r="AB68" s="17">
        <f>SUM(M68:Z68)</f>
        <v>2637669.790943685</v>
      </c>
      <c r="AC68" s="5"/>
      <c r="AD68" s="5"/>
      <c r="AE68" s="5"/>
      <c r="AF68" s="5"/>
      <c r="AG68" s="5"/>
      <c r="AH68" s="5"/>
    </row>
    <row r="69" spans="1:34" ht="15.75" thickTop="1" x14ac:dyDescent="0.25">
      <c r="C69" s="138">
        <f>IF(D69=0,C68,IF(ISBLANK(G69),C68,1+MAX(C$18:C68)))</f>
        <v>27</v>
      </c>
      <c r="D69" s="132">
        <f t="shared" ref="D69:D76" si="50">IF($C$10="MUNI",1,0)</f>
        <v>1</v>
      </c>
      <c r="F69" s="139" t="str">
        <f t="shared" si="2"/>
        <v/>
      </c>
      <c r="H69" s="6"/>
      <c r="I69" s="6"/>
      <c r="J69" s="6"/>
      <c r="K69" s="6"/>
      <c r="L69" s="6"/>
      <c r="M69" s="6"/>
      <c r="N69" s="167">
        <f t="shared" ref="N69:Z69" si="51">+N65</f>
        <v>0.5</v>
      </c>
      <c r="O69" s="167">
        <f t="shared" si="51"/>
        <v>1.5</v>
      </c>
      <c r="P69" s="167">
        <f t="shared" si="51"/>
        <v>2.5</v>
      </c>
      <c r="Q69" s="167">
        <f t="shared" si="51"/>
        <v>3.5</v>
      </c>
      <c r="R69" s="167">
        <f t="shared" si="51"/>
        <v>4.5</v>
      </c>
      <c r="S69" s="167">
        <f t="shared" si="51"/>
        <v>5.5</v>
      </c>
      <c r="T69" s="167">
        <f t="shared" si="51"/>
        <v>6.5</v>
      </c>
      <c r="U69" s="167">
        <f t="shared" si="51"/>
        <v>7.5</v>
      </c>
      <c r="V69" s="167">
        <f t="shared" si="51"/>
        <v>8.5</v>
      </c>
      <c r="W69" s="167">
        <f t="shared" si="51"/>
        <v>9.5</v>
      </c>
      <c r="X69" s="167">
        <f t="shared" si="51"/>
        <v>10.5</v>
      </c>
      <c r="Y69" s="167">
        <f t="shared" si="51"/>
        <v>11.5</v>
      </c>
      <c r="Z69" s="167">
        <f t="shared" si="51"/>
        <v>12.5</v>
      </c>
      <c r="AB69" s="5"/>
      <c r="AC69" s="5"/>
      <c r="AD69" s="5"/>
      <c r="AE69" s="5"/>
      <c r="AF69" s="5"/>
      <c r="AG69" s="5"/>
      <c r="AH69" s="5"/>
    </row>
    <row r="70" spans="1:34" ht="15" x14ac:dyDescent="0.25">
      <c r="B70" s="25">
        <f>+B$54</f>
        <v>8</v>
      </c>
      <c r="C70" s="138">
        <f>IF(D70=0,C69,IF(ISBLANK(G70),C69,1+MAX(C$18:C69)))</f>
        <v>28</v>
      </c>
      <c r="D70" s="132">
        <f t="shared" si="50"/>
        <v>1</v>
      </c>
      <c r="F70" s="139">
        <f t="shared" si="2"/>
        <v>28</v>
      </c>
      <c r="G70" s="120" t="str">
        <f>+"Present Value Factor:   "&amp;TEXT(AC70,"0.00%")&amp;"  ("&amp;B70&amp;")"</f>
        <v>Present Value Factor:   3.84%  (8)</v>
      </c>
      <c r="J70" s="6"/>
      <c r="K70" s="6"/>
      <c r="L70" s="6"/>
      <c r="M70" s="6"/>
      <c r="N70" s="161">
        <f t="shared" ref="N70:Z70" si="52">ROUND((1/((1+$AC70)^N69)),4)</f>
        <v>0.98129999999999995</v>
      </c>
      <c r="O70" s="161">
        <f t="shared" si="52"/>
        <v>0.94499999999999995</v>
      </c>
      <c r="P70" s="161">
        <f t="shared" si="52"/>
        <v>0.91010000000000002</v>
      </c>
      <c r="Q70" s="161">
        <f t="shared" si="52"/>
        <v>0.87639999999999996</v>
      </c>
      <c r="R70" s="161">
        <f t="shared" si="52"/>
        <v>0.84399999999999997</v>
      </c>
      <c r="S70" s="161">
        <f t="shared" si="52"/>
        <v>0.81279999999999997</v>
      </c>
      <c r="T70" s="161">
        <f t="shared" si="52"/>
        <v>0.78280000000000005</v>
      </c>
      <c r="U70" s="161">
        <f t="shared" si="52"/>
        <v>0.75380000000000003</v>
      </c>
      <c r="V70" s="161">
        <f t="shared" si="52"/>
        <v>0.72589999999999999</v>
      </c>
      <c r="W70" s="161">
        <f t="shared" si="52"/>
        <v>0.69910000000000005</v>
      </c>
      <c r="X70" s="161">
        <f t="shared" si="52"/>
        <v>0.67320000000000002</v>
      </c>
      <c r="Y70" s="161">
        <f t="shared" si="52"/>
        <v>0.64829999999999999</v>
      </c>
      <c r="Z70" s="161">
        <f t="shared" si="52"/>
        <v>0.62439999999999996</v>
      </c>
      <c r="AC70" s="162">
        <f>+H1</f>
        <v>3.8399999999999997E-2</v>
      </c>
      <c r="AD70" s="163" t="s">
        <v>54</v>
      </c>
      <c r="AE70" s="5"/>
      <c r="AF70" s="5"/>
      <c r="AG70" s="5"/>
      <c r="AH70" s="5"/>
    </row>
    <row r="71" spans="1:34" ht="15" x14ac:dyDescent="0.25">
      <c r="C71" s="138">
        <f>IF(D71=0,C70,IF(ISBLANK(G71),C70,1+MAX(C$18:C70)))</f>
        <v>28</v>
      </c>
      <c r="D71" s="132">
        <f t="shared" si="50"/>
        <v>1</v>
      </c>
      <c r="F71" s="139" t="str">
        <f t="shared" si="2"/>
        <v/>
      </c>
      <c r="G71" s="120"/>
      <c r="H71" s="164"/>
      <c r="I71" s="164"/>
      <c r="J71" s="6"/>
      <c r="K71" s="6"/>
      <c r="L71" s="6"/>
      <c r="M71" s="6"/>
      <c r="N71" s="165"/>
      <c r="O71" s="165"/>
      <c r="P71" s="165"/>
      <c r="Q71" s="165"/>
      <c r="R71" s="165"/>
      <c r="S71" s="165"/>
      <c r="T71" s="165"/>
      <c r="U71" s="165"/>
      <c r="V71" s="165"/>
      <c r="W71" s="165"/>
      <c r="X71" s="165"/>
      <c r="Y71" s="165"/>
      <c r="Z71" s="165"/>
      <c r="AB71" s="5"/>
      <c r="AC71" s="5"/>
      <c r="AD71" s="5"/>
      <c r="AE71" s="5"/>
      <c r="AF71" s="5"/>
      <c r="AG71" s="5"/>
      <c r="AH71" s="5"/>
    </row>
    <row r="72" spans="1:34" ht="15.75" thickBot="1" x14ac:dyDescent="0.3">
      <c r="C72" s="138">
        <f>IF(D72=0,C71,IF(ISBLANK(G72),C71,1+MAX(C$18:C71)))</f>
        <v>29</v>
      </c>
      <c r="D72" s="132">
        <f t="shared" si="50"/>
        <v>1</v>
      </c>
      <c r="F72" s="139">
        <f t="shared" si="2"/>
        <v>29</v>
      </c>
      <c r="G72" s="120" t="s">
        <v>55</v>
      </c>
      <c r="H72" s="33"/>
      <c r="I72" s="33"/>
      <c r="J72" s="6"/>
      <c r="K72" s="6"/>
      <c r="L72" s="6"/>
      <c r="M72" s="6"/>
      <c r="N72" s="20">
        <f t="shared" ref="N72:Z72" si="53">+N$52*N70</f>
        <v>149308.7197493868</v>
      </c>
      <c r="O72" s="20">
        <f t="shared" si="53"/>
        <v>167817.14690165693</v>
      </c>
      <c r="P72" s="20">
        <f t="shared" si="53"/>
        <v>347339.26514422346</v>
      </c>
      <c r="Q72" s="20">
        <f t="shared" si="53"/>
        <v>308345.79524522129</v>
      </c>
      <c r="R72" s="20">
        <f t="shared" si="53"/>
        <v>271286.74318213464</v>
      </c>
      <c r="S72" s="20">
        <f t="shared" si="53"/>
        <v>311310.65715405246</v>
      </c>
      <c r="T72" s="20">
        <f t="shared" si="53"/>
        <v>275315.75838165777</v>
      </c>
      <c r="U72" s="20">
        <f t="shared" si="53"/>
        <v>241157.27837799265</v>
      </c>
      <c r="V72" s="20">
        <f t="shared" si="53"/>
        <v>279055.02721921762</v>
      </c>
      <c r="W72" s="20">
        <f t="shared" si="53"/>
        <v>245491.09553486761</v>
      </c>
      <c r="X72" s="20">
        <f t="shared" si="53"/>
        <v>213420.56874949843</v>
      </c>
      <c r="Y72" s="20">
        <f t="shared" si="53"/>
        <v>249322.22503345582</v>
      </c>
      <c r="Z72" s="20">
        <f t="shared" si="53"/>
        <v>218039.96387456072</v>
      </c>
      <c r="AB72" s="17">
        <f>SUM(M72:Z72)</f>
        <v>3277210.2445479264</v>
      </c>
      <c r="AC72" s="5"/>
      <c r="AD72" s="5"/>
      <c r="AE72" s="5"/>
      <c r="AF72" s="5"/>
      <c r="AG72" s="5"/>
      <c r="AH72" s="5"/>
    </row>
    <row r="73" spans="1:34" ht="15.75" thickTop="1" x14ac:dyDescent="0.25">
      <c r="C73" s="138">
        <f>IF(D73=0,C72,IF(ISBLANK(G73),C72,1+MAX(C$18:C72)))</f>
        <v>29</v>
      </c>
      <c r="D73" s="132">
        <f t="shared" si="50"/>
        <v>1</v>
      </c>
      <c r="F73" s="139" t="str">
        <f t="shared" si="2"/>
        <v/>
      </c>
      <c r="H73" s="6"/>
      <c r="I73" s="6"/>
      <c r="J73" s="6"/>
      <c r="K73" s="6"/>
      <c r="L73" s="6"/>
      <c r="M73" s="6"/>
      <c r="N73" s="167">
        <f t="shared" ref="N73:Z73" si="54">+N69</f>
        <v>0.5</v>
      </c>
      <c r="O73" s="167">
        <f t="shared" si="54"/>
        <v>1.5</v>
      </c>
      <c r="P73" s="167">
        <f t="shared" si="54"/>
        <v>2.5</v>
      </c>
      <c r="Q73" s="167">
        <f t="shared" si="54"/>
        <v>3.5</v>
      </c>
      <c r="R73" s="167">
        <f t="shared" si="54"/>
        <v>4.5</v>
      </c>
      <c r="S73" s="167">
        <f t="shared" si="54"/>
        <v>5.5</v>
      </c>
      <c r="T73" s="167">
        <f t="shared" si="54"/>
        <v>6.5</v>
      </c>
      <c r="U73" s="167">
        <f t="shared" si="54"/>
        <v>7.5</v>
      </c>
      <c r="V73" s="167">
        <f t="shared" si="54"/>
        <v>8.5</v>
      </c>
      <c r="W73" s="167">
        <f t="shared" si="54"/>
        <v>9.5</v>
      </c>
      <c r="X73" s="167">
        <f t="shared" si="54"/>
        <v>10.5</v>
      </c>
      <c r="Y73" s="167">
        <f t="shared" si="54"/>
        <v>11.5</v>
      </c>
      <c r="Z73" s="167">
        <f t="shared" si="54"/>
        <v>12.5</v>
      </c>
      <c r="AB73" s="5"/>
      <c r="AC73" s="5"/>
      <c r="AD73" s="5"/>
      <c r="AE73" s="5"/>
      <c r="AF73" s="5"/>
      <c r="AG73" s="5"/>
      <c r="AH73" s="5"/>
    </row>
    <row r="74" spans="1:34" ht="15" x14ac:dyDescent="0.25">
      <c r="B74" s="25">
        <f>+B$58</f>
        <v>9</v>
      </c>
      <c r="C74" s="138">
        <f>IF(D74=0,C73,IF(ISBLANK(G74),C73,1+MAX(C$18:C73)))</f>
        <v>30</v>
      </c>
      <c r="D74" s="132">
        <f t="shared" si="50"/>
        <v>1</v>
      </c>
      <c r="F74" s="139">
        <f t="shared" si="2"/>
        <v>30</v>
      </c>
      <c r="G74" s="120" t="str">
        <f>+"Present Value Factor:   "&amp;TEXT(AC74,"0.00%")&amp;"  ("&amp;B74&amp;")"</f>
        <v>Present Value Factor:   2.84%  (9)</v>
      </c>
      <c r="J74" s="6"/>
      <c r="K74" s="6"/>
      <c r="L74" s="6"/>
      <c r="M74" s="6"/>
      <c r="N74" s="161">
        <f t="shared" ref="N74:Z74" si="55">ROUND((1/((1+$AC74)^N73)),4)</f>
        <v>0.98609999999999998</v>
      </c>
      <c r="O74" s="161">
        <f t="shared" si="55"/>
        <v>0.95889999999999997</v>
      </c>
      <c r="P74" s="161">
        <f t="shared" si="55"/>
        <v>0.93240000000000001</v>
      </c>
      <c r="Q74" s="161">
        <f t="shared" si="55"/>
        <v>0.90659999999999996</v>
      </c>
      <c r="R74" s="161">
        <f t="shared" si="55"/>
        <v>0.88160000000000005</v>
      </c>
      <c r="S74" s="161">
        <f t="shared" si="55"/>
        <v>0.85729999999999995</v>
      </c>
      <c r="T74" s="161">
        <f t="shared" si="55"/>
        <v>0.83360000000000001</v>
      </c>
      <c r="U74" s="161">
        <f t="shared" si="55"/>
        <v>0.81059999999999999</v>
      </c>
      <c r="V74" s="161">
        <f t="shared" si="55"/>
        <v>0.78820000000000001</v>
      </c>
      <c r="W74" s="161">
        <f t="shared" si="55"/>
        <v>0.76639999999999997</v>
      </c>
      <c r="X74" s="161">
        <f t="shared" si="55"/>
        <v>0.74519999999999997</v>
      </c>
      <c r="Y74" s="161">
        <f t="shared" si="55"/>
        <v>0.72470000000000001</v>
      </c>
      <c r="Z74" s="161">
        <f t="shared" si="55"/>
        <v>0.70469999999999999</v>
      </c>
      <c r="AB74" s="5"/>
      <c r="AC74" s="162">
        <f>+AC70-H9</f>
        <v>2.8399999999999995E-2</v>
      </c>
      <c r="AD74" s="163" t="s">
        <v>56</v>
      </c>
      <c r="AE74" s="5"/>
      <c r="AF74" s="5"/>
      <c r="AG74" s="5"/>
      <c r="AH74" s="5"/>
    </row>
    <row r="75" spans="1:34" ht="15" x14ac:dyDescent="0.25">
      <c r="C75" s="138">
        <f>IF(D75=0,C74,IF(ISBLANK(G75),C74,1+MAX(C$18:C74)))</f>
        <v>30</v>
      </c>
      <c r="D75" s="132">
        <f t="shared" si="50"/>
        <v>1</v>
      </c>
      <c r="F75" s="139" t="str">
        <f t="shared" si="2"/>
        <v/>
      </c>
      <c r="G75" s="120"/>
      <c r="H75" s="164"/>
      <c r="I75" s="164"/>
      <c r="J75" s="6"/>
      <c r="K75" s="6"/>
      <c r="L75" s="6"/>
      <c r="M75" s="6"/>
      <c r="N75" s="165"/>
      <c r="O75" s="165"/>
      <c r="P75" s="165"/>
      <c r="Q75" s="165"/>
      <c r="R75" s="165"/>
      <c r="S75" s="165"/>
      <c r="T75" s="165"/>
      <c r="U75" s="165"/>
      <c r="V75" s="165"/>
      <c r="W75" s="165"/>
      <c r="X75" s="165"/>
      <c r="Y75" s="165"/>
      <c r="Z75" s="165"/>
      <c r="AB75" s="5"/>
      <c r="AC75" s="5"/>
      <c r="AD75" s="5"/>
      <c r="AE75" s="5"/>
      <c r="AF75" s="5"/>
      <c r="AG75" s="5"/>
      <c r="AH75" s="5"/>
    </row>
    <row r="76" spans="1:34" ht="15.75" thickBot="1" x14ac:dyDescent="0.3">
      <c r="C76" s="138">
        <f>IF(D76=0,C75,IF(ISBLANK(G76),C75,1+MAX(C$18:C75)))</f>
        <v>31</v>
      </c>
      <c r="D76" s="132">
        <f t="shared" si="50"/>
        <v>1</v>
      </c>
      <c r="F76" s="139">
        <f t="shared" si="2"/>
        <v>31</v>
      </c>
      <c r="G76" s="120" t="s">
        <v>55</v>
      </c>
      <c r="H76" s="33"/>
      <c r="I76" s="33"/>
      <c r="J76" s="6"/>
      <c r="K76" s="6"/>
      <c r="L76" s="6"/>
      <c r="M76" s="6"/>
      <c r="N76" s="20">
        <f t="shared" ref="N76:Z76" si="56">+N$52*N74</f>
        <v>150039.05894718264</v>
      </c>
      <c r="O76" s="20">
        <f t="shared" si="56"/>
        <v>170285.56842751199</v>
      </c>
      <c r="P76" s="20">
        <f t="shared" si="56"/>
        <v>355850.05034663656</v>
      </c>
      <c r="Q76" s="20">
        <f t="shared" si="56"/>
        <v>318971.12958616798</v>
      </c>
      <c r="R76" s="20">
        <f t="shared" si="56"/>
        <v>283372.50330494065</v>
      </c>
      <c r="S76" s="20">
        <f t="shared" si="56"/>
        <v>328354.60922510969</v>
      </c>
      <c r="T76" s="20">
        <f t="shared" si="56"/>
        <v>293182.44275287422</v>
      </c>
      <c r="U76" s="20">
        <f t="shared" si="56"/>
        <v>259328.85361263045</v>
      </c>
      <c r="V76" s="20">
        <f t="shared" si="56"/>
        <v>303004.78365365381</v>
      </c>
      <c r="W76" s="20">
        <f t="shared" si="56"/>
        <v>269123.6956342762</v>
      </c>
      <c r="X76" s="20">
        <f t="shared" si="56"/>
        <v>236246.29802751966</v>
      </c>
      <c r="Y76" s="20">
        <f t="shared" si="56"/>
        <v>278704.02048703597</v>
      </c>
      <c r="Z76" s="20">
        <f t="shared" si="56"/>
        <v>246080.65749904379</v>
      </c>
      <c r="AB76" s="17">
        <f>SUM(M76:Z76)</f>
        <v>3492543.6715045832</v>
      </c>
      <c r="AC76" s="5"/>
      <c r="AD76" s="5"/>
      <c r="AE76" s="5"/>
      <c r="AF76" s="5"/>
      <c r="AG76" s="5"/>
      <c r="AH76" s="5"/>
    </row>
    <row r="77" spans="1:34" ht="17.25" thickTop="1" thickBot="1" x14ac:dyDescent="0.3">
      <c r="D77" s="132">
        <f>IF($C$10="SUBJECT",0,1)</f>
        <v>1</v>
      </c>
      <c r="G77" s="26"/>
      <c r="I77" s="27"/>
      <c r="J77" s="6"/>
      <c r="K77" s="28" t="s">
        <v>57</v>
      </c>
      <c r="L77" s="6"/>
      <c r="M77" s="6"/>
      <c r="N77" s="5"/>
      <c r="O77" s="5"/>
      <c r="P77" s="5"/>
      <c r="Q77" s="5"/>
      <c r="R77" s="5"/>
      <c r="S77" s="28" t="s">
        <v>57</v>
      </c>
      <c r="AB77" s="5"/>
      <c r="AC77" s="5"/>
      <c r="AD77" s="5"/>
      <c r="AE77" s="5"/>
      <c r="AF77" s="5"/>
      <c r="AG77" s="5"/>
      <c r="AH77" s="5"/>
    </row>
    <row r="78" spans="1:34" ht="15.75" thickBot="1" x14ac:dyDescent="0.3">
      <c r="C78" s="168" t="s">
        <v>58</v>
      </c>
      <c r="D78" s="132">
        <v>2</v>
      </c>
      <c r="H78" s="169"/>
      <c r="I78" s="170"/>
      <c r="J78" s="170"/>
      <c r="K78" s="34" t="str">
        <f>+"DCF With Capitalization of Terminal Value Model @ "&amp;TEXT(AB79,"0.00%")</f>
        <v>DCF With Capitalization of Terminal Value Model @ 7.12%</v>
      </c>
      <c r="L78" s="35"/>
      <c r="M78" s="35"/>
      <c r="N78" s="35"/>
      <c r="O78" s="36"/>
      <c r="P78" s="6"/>
      <c r="Q78" s="34" t="str">
        <f>+"DCF With EBIT &amp; EBITDA Terminal Value Model - Discount Rate of "&amp;TEXT(AD79,"0.00%")</f>
        <v>DCF With EBIT &amp; EBITDA Terminal Value Model - Discount Rate of 7.12%</v>
      </c>
      <c r="R78" s="35"/>
      <c r="S78" s="35"/>
      <c r="T78" s="35"/>
      <c r="U78" s="36"/>
      <c r="AB78" s="5"/>
      <c r="AC78" s="5"/>
      <c r="AD78" s="5"/>
      <c r="AE78" s="5"/>
      <c r="AF78" s="5"/>
      <c r="AG78" s="5"/>
      <c r="AH78" s="5"/>
    </row>
    <row r="79" spans="1:34" ht="15" x14ac:dyDescent="0.25">
      <c r="D79" s="132">
        <v>2</v>
      </c>
      <c r="G79" s="29"/>
      <c r="K79" s="37"/>
      <c r="L79" s="38"/>
      <c r="M79" s="39"/>
      <c r="N79" s="40" t="s">
        <v>59</v>
      </c>
      <c r="O79" s="41"/>
      <c r="Q79" s="37"/>
      <c r="R79" s="38"/>
      <c r="S79" s="39"/>
      <c r="T79" s="38"/>
      <c r="U79" s="42" t="s">
        <v>59</v>
      </c>
      <c r="AB79" s="171">
        <f>+AC54</f>
        <v>7.1199999999999999E-2</v>
      </c>
      <c r="AC79" s="5"/>
      <c r="AD79" s="171">
        <f>+AB79</f>
        <v>7.1199999999999999E-2</v>
      </c>
      <c r="AE79" s="5"/>
      <c r="AF79" s="5"/>
      <c r="AG79" s="5"/>
      <c r="AH79" s="5"/>
    </row>
    <row r="80" spans="1:34" ht="15" x14ac:dyDescent="0.25">
      <c r="A80" s="172" t="str">
        <f>TEXT(+Z53+0.5,0)</f>
        <v>13</v>
      </c>
      <c r="D80" s="132">
        <v>2</v>
      </c>
      <c r="K80" s="43"/>
      <c r="L80" s="32"/>
      <c r="M80" s="19"/>
      <c r="N80" s="44" t="s">
        <v>60</v>
      </c>
      <c r="O80" s="45"/>
      <c r="Q80" s="43"/>
      <c r="R80" s="32"/>
      <c r="S80" s="19"/>
      <c r="T80" s="44" t="str">
        <f>+"Multiples"&amp;" ("&amp;B105&amp;")"</f>
        <v>Multiples (13)</v>
      </c>
      <c r="U80" s="46" t="s">
        <v>60</v>
      </c>
      <c r="AB80" s="5"/>
      <c r="AC80" s="5"/>
      <c r="AD80" s="5"/>
      <c r="AE80" s="5"/>
      <c r="AF80" s="5"/>
      <c r="AG80" s="5"/>
      <c r="AH80" s="5"/>
    </row>
    <row r="81" spans="1:37" ht="15" x14ac:dyDescent="0.25">
      <c r="D81" s="132">
        <v>2</v>
      </c>
      <c r="K81" s="43"/>
      <c r="L81" s="32"/>
      <c r="M81" s="19"/>
      <c r="N81" s="32"/>
      <c r="O81" s="45"/>
      <c r="Q81" s="43"/>
      <c r="R81" s="32"/>
      <c r="S81" s="19"/>
      <c r="T81" s="32"/>
      <c r="U81" s="47"/>
      <c r="AB81" s="5"/>
      <c r="AC81" s="5"/>
      <c r="AD81" s="5"/>
      <c r="AE81" s="5"/>
      <c r="AF81" s="5"/>
      <c r="AG81" s="5"/>
      <c r="AH81" s="5"/>
    </row>
    <row r="82" spans="1:37" ht="15" x14ac:dyDescent="0.25">
      <c r="D82" s="132">
        <v>2</v>
      </c>
      <c r="K82" s="48" t="str">
        <f>+A83&amp;" ("&amp;B83&amp;")"</f>
        <v>Projected Debt Free Net Cash Flow (10)</v>
      </c>
      <c r="L82" s="32"/>
      <c r="M82" s="32"/>
      <c r="N82" s="32">
        <f>+AB83</f>
        <v>349199.17340576672</v>
      </c>
      <c r="O82" s="45"/>
      <c r="Q82" s="49" t="s">
        <v>61</v>
      </c>
      <c r="R82" s="32"/>
      <c r="S82" s="32">
        <f>+AD83</f>
        <v>301389.29990576673</v>
      </c>
      <c r="T82" s="50">
        <f>+AE83</f>
        <v>14.6</v>
      </c>
      <c r="U82" s="47">
        <f>+T82*S82</f>
        <v>4400283.7786241937</v>
      </c>
      <c r="AB82" s="5"/>
      <c r="AC82" s="5"/>
      <c r="AD82" s="5"/>
      <c r="AE82" s="5"/>
      <c r="AF82" s="5"/>
      <c r="AG82" s="5"/>
      <c r="AH82" s="5"/>
    </row>
    <row r="83" spans="1:37" ht="16.899999999999999" customHeight="1" x14ac:dyDescent="0.25">
      <c r="A83" s="173" t="s">
        <v>62</v>
      </c>
      <c r="B83" s="25">
        <f>MAX(B$20:B82)+1</f>
        <v>10</v>
      </c>
      <c r="D83" s="132">
        <v>2</v>
      </c>
      <c r="K83" s="48" t="str">
        <f>+A84&amp;" ("&amp;B84&amp;")"</f>
        <v>Divided by Capitalization Factor (8)</v>
      </c>
      <c r="L83" s="32"/>
      <c r="M83" s="33"/>
      <c r="N83" s="51">
        <f>+AB79</f>
        <v>7.1199999999999999E-2</v>
      </c>
      <c r="O83" s="45"/>
      <c r="Q83" s="49" t="s">
        <v>63</v>
      </c>
      <c r="R83" s="32"/>
      <c r="S83" s="33">
        <f>+AD84</f>
        <v>505600.44920576672</v>
      </c>
      <c r="T83" s="50">
        <f>+AE84</f>
        <v>10.1</v>
      </c>
      <c r="U83" s="52">
        <f>+T83*S83</f>
        <v>5106564.5369782439</v>
      </c>
      <c r="V83" s="174"/>
      <c r="W83" s="174"/>
      <c r="X83" s="174"/>
      <c r="Y83" s="174"/>
      <c r="Z83" s="174"/>
      <c r="AB83" s="5">
        <f>+AB52</f>
        <v>349199.17340576672</v>
      </c>
      <c r="AC83" s="5"/>
      <c r="AD83" s="5">
        <f>+Z$42</f>
        <v>301389.29990576673</v>
      </c>
      <c r="AE83" s="5">
        <f>+H7</f>
        <v>14.6</v>
      </c>
      <c r="AF83" s="5"/>
      <c r="AG83" s="5"/>
      <c r="AH83" s="5"/>
    </row>
    <row r="84" spans="1:37" ht="16.899999999999999" customHeight="1" x14ac:dyDescent="0.25">
      <c r="A84" s="173" t="s">
        <v>64</v>
      </c>
      <c r="B84" s="25">
        <f>+B$54</f>
        <v>8</v>
      </c>
      <c r="D84" s="132">
        <v>2</v>
      </c>
      <c r="K84" s="175" t="str">
        <f>+A85</f>
        <v>13th Year Terminal Value</v>
      </c>
      <c r="L84" s="32"/>
      <c r="M84" s="19"/>
      <c r="N84" s="33">
        <f>+N82/N83</f>
        <v>4904482.7725529037</v>
      </c>
      <c r="O84" s="45"/>
      <c r="Q84" s="53" t="s">
        <v>65</v>
      </c>
      <c r="R84" s="32"/>
      <c r="S84" s="19"/>
      <c r="T84" s="32"/>
      <c r="U84" s="54">
        <f>ROUND((0.33*U82)+(0.67*U83),0)</f>
        <v>4873492</v>
      </c>
      <c r="AB84" s="5"/>
      <c r="AC84" s="5"/>
      <c r="AD84" s="5">
        <f>+Z$41</f>
        <v>505600.44920576672</v>
      </c>
      <c r="AE84" s="5">
        <f>+H8</f>
        <v>10.1</v>
      </c>
      <c r="AF84" s="5"/>
      <c r="AG84" s="5"/>
      <c r="AH84" s="5"/>
    </row>
    <row r="85" spans="1:37" ht="16.899999999999999" customHeight="1" x14ac:dyDescent="0.25">
      <c r="A85" s="2" t="str">
        <f>+A80&amp;"th Year Terminal Value"</f>
        <v>13th Year Terminal Value</v>
      </c>
      <c r="D85" s="132">
        <v>2</v>
      </c>
      <c r="K85" s="48" t="str">
        <f>+A86&amp;" ("&amp;B86&amp;")"</f>
        <v>13th Year Present Value Factor (11)</v>
      </c>
      <c r="L85" s="32"/>
      <c r="M85" s="19"/>
      <c r="N85" s="55">
        <f>+AB86</f>
        <v>0.42330000000000001</v>
      </c>
      <c r="O85" s="45"/>
      <c r="Q85" s="49" t="str">
        <f>+K85</f>
        <v>13th Year Present Value Factor (11)</v>
      </c>
      <c r="R85" s="32"/>
      <c r="S85" s="19"/>
      <c r="T85" s="32"/>
      <c r="U85" s="56">
        <f>+AB86</f>
        <v>0.42330000000000001</v>
      </c>
      <c r="AC85" s="5"/>
      <c r="AD85" s="5"/>
      <c r="AE85" s="5"/>
      <c r="AF85" s="5"/>
      <c r="AG85" s="5"/>
      <c r="AH85" s="5"/>
    </row>
    <row r="86" spans="1:37" ht="16.899999999999999" customHeight="1" x14ac:dyDescent="0.25">
      <c r="A86" s="173" t="str">
        <f>+TEXT(A80,0)&amp;"th Year Present Value Factor"</f>
        <v>13th Year Present Value Factor</v>
      </c>
      <c r="B86" s="25">
        <f>MAX(B$20:B85)+1</f>
        <v>11</v>
      </c>
      <c r="D86" s="132">
        <v>2</v>
      </c>
      <c r="K86" s="48" t="s">
        <v>66</v>
      </c>
      <c r="L86" s="57"/>
      <c r="M86" s="19"/>
      <c r="N86" s="58">
        <f>+N85*N84</f>
        <v>2076067.5576216441</v>
      </c>
      <c r="O86" s="45"/>
      <c r="Q86" s="49" t="s">
        <v>66</v>
      </c>
      <c r="R86" s="57"/>
      <c r="S86" s="19"/>
      <c r="T86" s="33"/>
      <c r="U86" s="59">
        <f>+U85*U84</f>
        <v>2062949.1636000001</v>
      </c>
      <c r="AB86" s="176">
        <f>+Z$54</f>
        <v>0.42330000000000001</v>
      </c>
      <c r="AC86" s="5"/>
      <c r="AD86" s="177"/>
      <c r="AE86" s="5"/>
      <c r="AF86" s="5"/>
      <c r="AG86" s="5"/>
      <c r="AH86" s="5"/>
    </row>
    <row r="87" spans="1:37" ht="16.899999999999999" customHeight="1" x14ac:dyDescent="0.25">
      <c r="D87" s="132">
        <v>2</v>
      </c>
      <c r="K87" s="48" t="s">
        <v>67</v>
      </c>
      <c r="L87" s="57"/>
      <c r="M87" s="19"/>
      <c r="N87" s="32"/>
      <c r="O87" s="45"/>
      <c r="Q87" s="49" t="s">
        <v>67</v>
      </c>
      <c r="R87" s="57"/>
      <c r="S87" s="19"/>
      <c r="T87" s="57"/>
      <c r="U87" s="47"/>
      <c r="AB87" s="5"/>
      <c r="AC87" s="5"/>
      <c r="AD87" s="5"/>
      <c r="AE87" s="5"/>
      <c r="AF87" s="5"/>
      <c r="AG87" s="5"/>
      <c r="AH87" s="5"/>
    </row>
    <row r="88" spans="1:37" ht="16.899999999999999" customHeight="1" x14ac:dyDescent="0.25">
      <c r="D88" s="132">
        <v>2</v>
      </c>
      <c r="K88" s="48" t="str">
        <f>+A89</f>
        <v>Cash Flow for 13 Years</v>
      </c>
      <c r="L88" s="57"/>
      <c r="M88" s="19"/>
      <c r="N88" s="60">
        <f>+AB89</f>
        <v>2692361.4999011974</v>
      </c>
      <c r="O88" s="45"/>
      <c r="Q88" s="49" t="str">
        <f>+K88</f>
        <v>Cash Flow for 13 Years</v>
      </c>
      <c r="R88" s="57"/>
      <c r="S88" s="19"/>
      <c r="T88" s="33"/>
      <c r="U88" s="52">
        <f>+AB89</f>
        <v>2692361.4999011974</v>
      </c>
      <c r="AB88" s="5"/>
      <c r="AC88" s="5"/>
      <c r="AD88" s="5"/>
      <c r="AE88" s="5"/>
      <c r="AF88" s="5"/>
      <c r="AG88" s="5"/>
      <c r="AH88" s="5"/>
    </row>
    <row r="89" spans="1:37" ht="16.899999999999999" customHeight="1" x14ac:dyDescent="0.25">
      <c r="A89" s="2" t="str">
        <f>+"Cash Flow for "&amp;TEXT(A80,0)&amp;" Years"</f>
        <v>Cash Flow for 13 Years</v>
      </c>
      <c r="D89" s="132">
        <v>2</v>
      </c>
      <c r="K89" s="48"/>
      <c r="L89" s="57"/>
      <c r="M89" s="19"/>
      <c r="N89" s="32"/>
      <c r="O89" s="45"/>
      <c r="Q89" s="49"/>
      <c r="R89" s="57"/>
      <c r="S89" s="19"/>
      <c r="T89" s="32"/>
      <c r="U89" s="47"/>
      <c r="AB89" s="5">
        <f>+AB56</f>
        <v>2692361.4999011974</v>
      </c>
      <c r="AC89" s="5"/>
      <c r="AD89" s="5"/>
      <c r="AE89" s="5"/>
      <c r="AF89" s="5"/>
      <c r="AG89" s="5"/>
      <c r="AH89" s="5"/>
    </row>
    <row r="90" spans="1:37" ht="16.899999999999999" customHeight="1" thickBot="1" x14ac:dyDescent="0.3">
      <c r="D90" s="132">
        <v>2</v>
      </c>
      <c r="K90" s="48" t="s">
        <v>68</v>
      </c>
      <c r="L90" s="57"/>
      <c r="M90" s="19"/>
      <c r="N90" s="20">
        <f>+N86+N88</f>
        <v>4768429.0575228417</v>
      </c>
      <c r="O90" s="45"/>
      <c r="Q90" s="49" t="s">
        <v>68</v>
      </c>
      <c r="R90" s="57"/>
      <c r="S90" s="19"/>
      <c r="T90" s="33"/>
      <c r="U90" s="61">
        <f>+U86+U88</f>
        <v>4755310.6635011975</v>
      </c>
      <c r="AB90" s="5"/>
      <c r="AC90" s="5"/>
      <c r="AD90" s="5"/>
      <c r="AE90" s="5"/>
      <c r="AF90" s="5"/>
      <c r="AG90" s="5"/>
      <c r="AH90" s="5"/>
    </row>
    <row r="91" spans="1:37" ht="16.899999999999999" customHeight="1" thickTop="1" thickBot="1" x14ac:dyDescent="0.3">
      <c r="D91" s="132">
        <v>2</v>
      </c>
      <c r="K91" s="62"/>
      <c r="L91" s="63"/>
      <c r="M91" s="64"/>
      <c r="N91" s="63"/>
      <c r="O91" s="65"/>
      <c r="Q91" s="62"/>
      <c r="R91" s="63"/>
      <c r="S91" s="64"/>
      <c r="T91" s="63"/>
      <c r="U91" s="65"/>
      <c r="AB91" s="5"/>
      <c r="AC91" s="5"/>
      <c r="AD91" s="5"/>
      <c r="AE91" s="5"/>
      <c r="AF91" s="5"/>
      <c r="AG91" s="5"/>
      <c r="AH91" s="5"/>
      <c r="AI91" s="5"/>
      <c r="AJ91" s="5"/>
      <c r="AK91" s="5"/>
    </row>
    <row r="92" spans="1:37" ht="15" x14ac:dyDescent="0.25">
      <c r="D92" s="132">
        <v>2</v>
      </c>
      <c r="K92" s="6"/>
      <c r="L92" s="5"/>
      <c r="M92" s="5"/>
      <c r="N92" s="5"/>
      <c r="O92" s="5"/>
      <c r="P92" s="6"/>
      <c r="Q92" s="6"/>
      <c r="R92" s="5"/>
      <c r="S92" s="5"/>
      <c r="T92" s="5"/>
      <c r="U92" s="5"/>
      <c r="AB92" s="5"/>
      <c r="AC92" s="5"/>
      <c r="AD92" s="5"/>
      <c r="AE92" s="5"/>
      <c r="AF92" s="5"/>
      <c r="AG92" s="5"/>
      <c r="AH92" s="5"/>
      <c r="AI92" s="5"/>
      <c r="AJ92" s="5"/>
      <c r="AK92" s="5"/>
    </row>
    <row r="93" spans="1:37" ht="15.75" thickBot="1" x14ac:dyDescent="0.3">
      <c r="D93" s="132">
        <v>2</v>
      </c>
      <c r="K93" s="6"/>
      <c r="L93" s="5"/>
      <c r="M93" s="5"/>
      <c r="N93" s="5"/>
      <c r="O93" s="5"/>
      <c r="P93" s="6"/>
      <c r="Q93" s="6"/>
      <c r="R93" s="5"/>
      <c r="S93" s="5"/>
      <c r="T93" s="5"/>
      <c r="U93" s="5"/>
      <c r="AB93" s="5"/>
      <c r="AC93" s="5"/>
      <c r="AD93" s="5"/>
      <c r="AE93" s="5"/>
      <c r="AF93" s="5"/>
      <c r="AG93" s="5"/>
      <c r="AH93" s="5"/>
      <c r="AI93" s="5"/>
      <c r="AJ93" s="5"/>
      <c r="AK93" s="5"/>
    </row>
    <row r="94" spans="1:37" ht="15.75" thickBot="1" x14ac:dyDescent="0.3">
      <c r="D94" s="132">
        <v>2</v>
      </c>
      <c r="K94" s="34" t="str">
        <f>+"DCF With Capitalization of Terminal Value Model @ "&amp;TEXT(AB95,"0.00%")</f>
        <v>DCF With Capitalization of Terminal Value Model @ 8.48%</v>
      </c>
      <c r="L94" s="35"/>
      <c r="M94" s="35"/>
      <c r="N94" s="35"/>
      <c r="O94" s="36"/>
      <c r="P94" s="6"/>
      <c r="Q94" s="34" t="str">
        <f>+"DCF With EBIT &amp; EBITDA Terminal Value Model - Discount Rate of "&amp;TEXT(AD95,"0.00%")</f>
        <v>DCF With EBIT &amp; EBITDA Terminal Value Model - Discount Rate of 8.48%</v>
      </c>
      <c r="R94" s="35"/>
      <c r="S94" s="35"/>
      <c r="T94" s="35"/>
      <c r="U94" s="36"/>
      <c r="AB94" s="5"/>
      <c r="AC94" s="5"/>
      <c r="AD94" s="5"/>
      <c r="AE94" s="5"/>
      <c r="AF94" s="5"/>
      <c r="AG94" s="5"/>
      <c r="AH94" s="5"/>
      <c r="AI94" s="5"/>
      <c r="AJ94" s="5"/>
      <c r="AK94" s="5"/>
    </row>
    <row r="95" spans="1:37" ht="15" x14ac:dyDescent="0.25">
      <c r="D95" s="132">
        <v>2</v>
      </c>
      <c r="K95" s="37"/>
      <c r="L95" s="38"/>
      <c r="M95" s="39"/>
      <c r="N95" s="40" t="s">
        <v>59</v>
      </c>
      <c r="O95" s="41"/>
      <c r="P95" s="6"/>
      <c r="Q95" s="37"/>
      <c r="R95" s="38"/>
      <c r="S95" s="39"/>
      <c r="T95" s="38"/>
      <c r="U95" s="42" t="s">
        <v>59</v>
      </c>
      <c r="AB95" s="171">
        <f>+AC58</f>
        <v>8.48E-2</v>
      </c>
      <c r="AC95" s="5"/>
      <c r="AD95" s="171">
        <f>+AB95</f>
        <v>8.48E-2</v>
      </c>
      <c r="AE95" s="5"/>
      <c r="AF95" s="5"/>
      <c r="AG95" s="5"/>
      <c r="AH95" s="5"/>
      <c r="AI95" s="5"/>
      <c r="AJ95" s="5"/>
      <c r="AK95" s="5"/>
    </row>
    <row r="96" spans="1:37" ht="15" x14ac:dyDescent="0.25">
      <c r="D96" s="132">
        <v>2</v>
      </c>
      <c r="K96" s="43"/>
      <c r="L96" s="32"/>
      <c r="M96" s="19"/>
      <c r="N96" s="44" t="s">
        <v>60</v>
      </c>
      <c r="O96" s="45"/>
      <c r="P96" s="6"/>
      <c r="Q96" s="43"/>
      <c r="R96" s="32"/>
      <c r="S96" s="19"/>
      <c r="T96" s="44" t="str">
        <f>+T80</f>
        <v>Multiples (13)</v>
      </c>
      <c r="U96" s="46" t="s">
        <v>60</v>
      </c>
      <c r="AB96" s="5"/>
      <c r="AC96" s="5"/>
      <c r="AD96" s="5"/>
      <c r="AE96" s="5"/>
      <c r="AF96" s="5"/>
      <c r="AG96" s="5"/>
      <c r="AH96" s="5"/>
      <c r="AI96" s="5"/>
      <c r="AJ96" s="5"/>
      <c r="AK96" s="5"/>
    </row>
    <row r="97" spans="1:37" ht="15" x14ac:dyDescent="0.25">
      <c r="D97" s="132">
        <v>2</v>
      </c>
      <c r="K97" s="43"/>
      <c r="L97" s="32"/>
      <c r="M97" s="19"/>
      <c r="N97" s="32"/>
      <c r="O97" s="45"/>
      <c r="P97" s="6"/>
      <c r="Q97" s="43"/>
      <c r="R97" s="32"/>
      <c r="S97" s="19"/>
      <c r="T97" s="32"/>
      <c r="U97" s="47"/>
      <c r="AB97" s="5"/>
      <c r="AC97" s="5"/>
      <c r="AD97" s="5"/>
      <c r="AE97" s="5"/>
      <c r="AF97" s="5"/>
      <c r="AG97" s="5"/>
      <c r="AH97" s="5"/>
      <c r="AI97" s="5"/>
      <c r="AJ97" s="5"/>
      <c r="AK97" s="5"/>
    </row>
    <row r="98" spans="1:37" ht="15" x14ac:dyDescent="0.25">
      <c r="D98" s="132">
        <v>2</v>
      </c>
      <c r="K98" s="48" t="str">
        <f>+A99&amp;" ("&amp;B99&amp;")"</f>
        <v>Projected Debt Free Net Cash Flow (10)</v>
      </c>
      <c r="L98" s="32"/>
      <c r="M98" s="32"/>
      <c r="N98" s="32">
        <f>+AB99</f>
        <v>349199.17340576672</v>
      </c>
      <c r="O98" s="45"/>
      <c r="P98" s="6"/>
      <c r="Q98" s="49" t="s">
        <v>61</v>
      </c>
      <c r="R98" s="32"/>
      <c r="S98" s="32">
        <f>+AD99</f>
        <v>301389.29990576673</v>
      </c>
      <c r="T98" s="50">
        <f>+AE99</f>
        <v>14.6</v>
      </c>
      <c r="U98" s="47">
        <f>+T98*S98</f>
        <v>4400283.7786241937</v>
      </c>
      <c r="AB98" s="5"/>
      <c r="AC98" s="5"/>
      <c r="AD98" s="5"/>
      <c r="AE98" s="5"/>
      <c r="AF98" s="5"/>
      <c r="AG98" s="5"/>
      <c r="AH98" s="5"/>
      <c r="AI98" s="5"/>
      <c r="AJ98" s="5"/>
      <c r="AK98" s="5"/>
    </row>
    <row r="99" spans="1:37" ht="16.899999999999999" customHeight="1" x14ac:dyDescent="0.25">
      <c r="A99" s="173" t="s">
        <v>62</v>
      </c>
      <c r="B99" s="25">
        <f>+B$83</f>
        <v>10</v>
      </c>
      <c r="D99" s="132">
        <v>2</v>
      </c>
      <c r="K99" s="48" t="str">
        <f>+A100&amp;" ("&amp;B100&amp;")"</f>
        <v>Divided by Capitalization Factor (9)</v>
      </c>
      <c r="L99" s="32"/>
      <c r="M99" s="33"/>
      <c r="N99" s="51">
        <f>+AB95</f>
        <v>8.48E-2</v>
      </c>
      <c r="O99" s="45"/>
      <c r="P99" s="6"/>
      <c r="Q99" s="49" t="s">
        <v>63</v>
      </c>
      <c r="R99" s="32"/>
      <c r="S99" s="33">
        <f>+AD100</f>
        <v>505600.44920576672</v>
      </c>
      <c r="T99" s="50">
        <f>+AE100</f>
        <v>10.1</v>
      </c>
      <c r="U99" s="52">
        <f>+T99*S99</f>
        <v>5106564.5369782439</v>
      </c>
      <c r="AB99" s="5">
        <f>+AB52</f>
        <v>349199.17340576672</v>
      </c>
      <c r="AC99" s="5"/>
      <c r="AD99" s="5">
        <f>+AD83</f>
        <v>301389.29990576673</v>
      </c>
      <c r="AE99" s="5">
        <f>+AE$83</f>
        <v>14.6</v>
      </c>
      <c r="AF99" s="5"/>
      <c r="AG99" s="5"/>
      <c r="AH99" s="5"/>
      <c r="AI99" s="5"/>
      <c r="AJ99" s="5"/>
      <c r="AK99" s="5"/>
    </row>
    <row r="100" spans="1:37" ht="16.899999999999999" customHeight="1" x14ac:dyDescent="0.25">
      <c r="A100" s="173" t="s">
        <v>64</v>
      </c>
      <c r="B100" s="25">
        <f>+B$58</f>
        <v>9</v>
      </c>
      <c r="D100" s="132">
        <v>2</v>
      </c>
      <c r="K100" s="175" t="str">
        <f>+K84</f>
        <v>13th Year Terminal Value</v>
      </c>
      <c r="L100" s="32"/>
      <c r="M100" s="19"/>
      <c r="N100" s="33">
        <f>+N98/N99</f>
        <v>4117914.7807283811</v>
      </c>
      <c r="O100" s="45"/>
      <c r="P100" s="6"/>
      <c r="Q100" s="53" t="s">
        <v>65</v>
      </c>
      <c r="R100" s="32"/>
      <c r="S100" s="19"/>
      <c r="T100" s="32"/>
      <c r="U100" s="54">
        <f>ROUND((0.33*U98)+(0.67*U99),0)</f>
        <v>4873492</v>
      </c>
      <c r="AB100" s="5"/>
      <c r="AC100" s="5"/>
      <c r="AD100" s="5">
        <f>+AD84</f>
        <v>505600.44920576672</v>
      </c>
      <c r="AE100" s="5">
        <f>+AE$84</f>
        <v>10.1</v>
      </c>
      <c r="AF100" s="5"/>
      <c r="AG100" s="5"/>
      <c r="AH100" s="5"/>
      <c r="AI100" s="5"/>
      <c r="AJ100" s="5"/>
      <c r="AK100" s="5"/>
    </row>
    <row r="101" spans="1:37" ht="16.899999999999999" customHeight="1" x14ac:dyDescent="0.25">
      <c r="D101" s="132">
        <v>2</v>
      </c>
      <c r="K101" s="48" t="str">
        <f>+A102&amp;" ("&amp;B102&amp;")"</f>
        <v>13th Year Present Value Factor (12)</v>
      </c>
      <c r="L101" s="32"/>
      <c r="M101" s="19"/>
      <c r="N101" s="55">
        <f>+AB102</f>
        <v>0.36149999999999999</v>
      </c>
      <c r="O101" s="45"/>
      <c r="P101" s="6"/>
      <c r="Q101" s="49" t="str">
        <f>+K101</f>
        <v>13th Year Present Value Factor (12)</v>
      </c>
      <c r="R101" s="32"/>
      <c r="S101" s="19"/>
      <c r="T101" s="32"/>
      <c r="U101" s="56">
        <f>+AB102</f>
        <v>0.36149999999999999</v>
      </c>
      <c r="AC101" s="5"/>
      <c r="AD101" s="5"/>
      <c r="AE101" s="5"/>
      <c r="AF101" s="5"/>
      <c r="AG101" s="5"/>
      <c r="AH101" s="5"/>
      <c r="AI101" s="5"/>
      <c r="AJ101" s="5"/>
      <c r="AK101" s="5"/>
    </row>
    <row r="102" spans="1:37" ht="16.899999999999999" customHeight="1" x14ac:dyDescent="0.25">
      <c r="A102" s="173" t="str">
        <f>+A86</f>
        <v>13th Year Present Value Factor</v>
      </c>
      <c r="B102" s="25">
        <f>MAX(B$20:B101)+1</f>
        <v>12</v>
      </c>
      <c r="D102" s="132">
        <v>2</v>
      </c>
      <c r="K102" s="48" t="s">
        <v>66</v>
      </c>
      <c r="L102" s="57"/>
      <c r="M102" s="19"/>
      <c r="N102" s="58">
        <f>+N101*N100</f>
        <v>1488626.1932333098</v>
      </c>
      <c r="O102" s="45"/>
      <c r="P102" s="6"/>
      <c r="Q102" s="49" t="s">
        <v>66</v>
      </c>
      <c r="R102" s="57"/>
      <c r="S102" s="19"/>
      <c r="T102" s="33"/>
      <c r="U102" s="59">
        <f>+U101*U100</f>
        <v>1761767.358</v>
      </c>
      <c r="AB102" s="176">
        <f>+Z$58</f>
        <v>0.36149999999999999</v>
      </c>
      <c r="AC102" s="5"/>
      <c r="AD102" s="177"/>
      <c r="AE102" s="5"/>
      <c r="AF102" s="5"/>
      <c r="AG102" s="5"/>
      <c r="AH102" s="5"/>
      <c r="AI102" s="5"/>
      <c r="AJ102" s="5"/>
      <c r="AK102" s="5"/>
    </row>
    <row r="103" spans="1:37" ht="16.899999999999999" customHeight="1" x14ac:dyDescent="0.25">
      <c r="D103" s="132">
        <v>2</v>
      </c>
      <c r="K103" s="48" t="s">
        <v>67</v>
      </c>
      <c r="L103" s="57"/>
      <c r="M103" s="19"/>
      <c r="N103" s="32"/>
      <c r="O103" s="45"/>
      <c r="P103" s="6"/>
      <c r="Q103" s="49" t="s">
        <v>67</v>
      </c>
      <c r="R103" s="57"/>
      <c r="S103" s="19"/>
      <c r="T103" s="57"/>
      <c r="U103" s="47"/>
      <c r="AB103" s="5"/>
      <c r="AC103" s="5"/>
      <c r="AD103" s="5"/>
      <c r="AE103" s="5"/>
      <c r="AF103" s="5"/>
      <c r="AG103" s="5"/>
      <c r="AH103" s="5"/>
      <c r="AI103" s="5"/>
      <c r="AJ103" s="5"/>
      <c r="AK103" s="5"/>
    </row>
    <row r="104" spans="1:37" ht="16.899999999999999" customHeight="1" x14ac:dyDescent="0.25">
      <c r="D104" s="132">
        <v>2</v>
      </c>
      <c r="K104" s="48" t="str">
        <f>+K$88</f>
        <v>Cash Flow for 13 Years</v>
      </c>
      <c r="L104" s="57"/>
      <c r="M104" s="19"/>
      <c r="N104" s="60">
        <f>+AB105</f>
        <v>2494298.1021613409</v>
      </c>
      <c r="O104" s="45"/>
      <c r="P104" s="6"/>
      <c r="Q104" s="49" t="str">
        <f>+Q$88</f>
        <v>Cash Flow for 13 Years</v>
      </c>
      <c r="R104" s="57"/>
      <c r="S104" s="19"/>
      <c r="T104" s="33"/>
      <c r="U104" s="52">
        <f>+AB105</f>
        <v>2494298.1021613409</v>
      </c>
      <c r="AB104" s="5"/>
      <c r="AC104" s="5"/>
      <c r="AD104" s="5"/>
      <c r="AE104" s="5"/>
      <c r="AF104" s="5"/>
      <c r="AG104" s="5"/>
      <c r="AH104" s="5"/>
      <c r="AI104" s="5"/>
      <c r="AJ104" s="5"/>
      <c r="AK104" s="5"/>
    </row>
    <row r="105" spans="1:37" ht="16.899999999999999" customHeight="1" x14ac:dyDescent="0.25">
      <c r="B105" s="178">
        <f>MAX(B$20:B104)+1</f>
        <v>13</v>
      </c>
      <c r="D105" s="132">
        <v>2</v>
      </c>
      <c r="K105" s="48"/>
      <c r="L105" s="57"/>
      <c r="M105" s="19"/>
      <c r="N105" s="32"/>
      <c r="O105" s="45"/>
      <c r="P105" s="6"/>
      <c r="Q105" s="49"/>
      <c r="R105" s="57"/>
      <c r="S105" s="19"/>
      <c r="T105" s="32"/>
      <c r="U105" s="47"/>
      <c r="AB105" s="5">
        <f>+AB60</f>
        <v>2494298.1021613409</v>
      </c>
      <c r="AC105" s="5"/>
      <c r="AD105" s="5"/>
      <c r="AE105" s="5"/>
      <c r="AF105" s="5"/>
      <c r="AG105" s="5"/>
      <c r="AH105" s="5"/>
      <c r="AI105" s="5"/>
      <c r="AJ105" s="5"/>
      <c r="AK105" s="5"/>
    </row>
    <row r="106" spans="1:37" ht="16.899999999999999" customHeight="1" thickBot="1" x14ac:dyDescent="0.3">
      <c r="D106" s="132">
        <v>2</v>
      </c>
      <c r="K106" s="48" t="s">
        <v>68</v>
      </c>
      <c r="L106" s="57"/>
      <c r="M106" s="19"/>
      <c r="N106" s="20">
        <f>+N102+N104</f>
        <v>3982924.2953946507</v>
      </c>
      <c r="O106" s="45"/>
      <c r="P106" s="6"/>
      <c r="Q106" s="49" t="s">
        <v>68</v>
      </c>
      <c r="R106" s="57"/>
      <c r="S106" s="19"/>
      <c r="T106" s="33"/>
      <c r="U106" s="61">
        <f>+U102+U104</f>
        <v>4256065.4601613414</v>
      </c>
      <c r="AB106" s="5"/>
      <c r="AC106" s="5"/>
      <c r="AD106" s="5"/>
      <c r="AE106" s="5"/>
      <c r="AF106" s="5"/>
      <c r="AG106" s="5"/>
      <c r="AH106" s="5"/>
      <c r="AI106" s="5"/>
      <c r="AJ106" s="5"/>
      <c r="AK106" s="5"/>
    </row>
    <row r="107" spans="1:37" ht="16.899999999999999" customHeight="1" thickTop="1" thickBot="1" x14ac:dyDescent="0.3">
      <c r="D107" s="132">
        <v>2</v>
      </c>
      <c r="K107" s="62"/>
      <c r="L107" s="63"/>
      <c r="M107" s="64"/>
      <c r="N107" s="63"/>
      <c r="O107" s="65"/>
      <c r="P107" s="6"/>
      <c r="Q107" s="62"/>
      <c r="R107" s="63"/>
      <c r="S107" s="64"/>
      <c r="T107" s="63"/>
      <c r="U107" s="65"/>
      <c r="AB107" s="5"/>
      <c r="AC107" s="5"/>
      <c r="AD107" s="5"/>
      <c r="AE107" s="5"/>
      <c r="AF107" s="5"/>
      <c r="AG107" s="5"/>
      <c r="AH107" s="5"/>
      <c r="AI107" s="5"/>
      <c r="AJ107" s="5"/>
      <c r="AK107" s="5"/>
    </row>
    <row r="108" spans="1:37" ht="15" x14ac:dyDescent="0.25">
      <c r="D108" s="132">
        <v>2</v>
      </c>
      <c r="K108" s="32"/>
      <c r="L108" s="32"/>
      <c r="M108" s="19"/>
      <c r="N108" s="6"/>
      <c r="O108" s="32"/>
      <c r="P108" s="6"/>
      <c r="Q108" s="6"/>
      <c r="R108" s="5"/>
      <c r="S108" s="5"/>
      <c r="T108" s="5"/>
      <c r="U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</row>
    <row r="109" spans="1:37" ht="15" x14ac:dyDescent="0.25">
      <c r="D109" s="132">
        <v>2</v>
      </c>
      <c r="K109" s="32"/>
      <c r="L109" s="32"/>
      <c r="M109" s="19"/>
      <c r="N109" s="6"/>
      <c r="O109" s="32"/>
      <c r="P109" s="6"/>
      <c r="Q109" s="6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G109" s="5"/>
      <c r="AH109" s="5"/>
      <c r="AI109" s="5"/>
      <c r="AJ109" s="5"/>
      <c r="AK109" s="5"/>
    </row>
    <row r="110" spans="1:37" ht="16.5" thickBot="1" x14ac:dyDescent="0.3">
      <c r="D110" s="132">
        <v>2</v>
      </c>
      <c r="G110" s="30"/>
      <c r="L110" s="6"/>
      <c r="M110" s="6"/>
      <c r="N110" s="6"/>
      <c r="O110" s="6"/>
      <c r="P110" s="6"/>
      <c r="Q110" s="6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G110" s="5"/>
      <c r="AH110" s="5"/>
      <c r="AI110" s="5"/>
      <c r="AJ110" s="5"/>
      <c r="AK110" s="5"/>
    </row>
    <row r="111" spans="1:37" ht="15.75" thickBot="1" x14ac:dyDescent="0.3">
      <c r="D111" s="132">
        <v>2</v>
      </c>
      <c r="G111" s="31"/>
      <c r="K111" s="34" t="str">
        <f>+"DCF With Capitalization of Terminal Value Model @ "&amp;TEXT(AB112,"0.00%")</f>
        <v>DCF With Capitalization of Terminal Value Model @ 6.12%</v>
      </c>
      <c r="L111" s="35"/>
      <c r="M111" s="35"/>
      <c r="N111" s="35"/>
      <c r="O111" s="36"/>
      <c r="P111" s="6"/>
      <c r="Q111" s="34" t="str">
        <f>+"DCF With Capitalization of Terminal Value Model @ "&amp;TEXT(AB128,"0.00%")</f>
        <v>DCF With Capitalization of Terminal Value Model @ 7.48%</v>
      </c>
      <c r="R111" s="35"/>
      <c r="S111" s="35"/>
      <c r="T111" s="35"/>
      <c r="U111" s="36"/>
      <c r="AB111" s="5"/>
      <c r="AC111" s="5"/>
      <c r="AD111" s="5"/>
      <c r="AE111" s="5"/>
      <c r="AF111" s="5"/>
      <c r="AG111" s="5"/>
      <c r="AH111" s="5"/>
      <c r="AI111" s="5"/>
      <c r="AJ111" s="5"/>
      <c r="AK111" s="5"/>
    </row>
    <row r="112" spans="1:37" ht="15" x14ac:dyDescent="0.25">
      <c r="C112" s="168" t="s">
        <v>69</v>
      </c>
      <c r="D112" s="132">
        <v>2</v>
      </c>
      <c r="G112" s="29"/>
      <c r="K112" s="37"/>
      <c r="L112" s="38"/>
      <c r="M112" s="39"/>
      <c r="N112" s="40" t="s">
        <v>59</v>
      </c>
      <c r="O112" s="41"/>
      <c r="Q112" s="37"/>
      <c r="R112" s="38"/>
      <c r="S112" s="39"/>
      <c r="T112" s="40" t="s">
        <v>59</v>
      </c>
      <c r="U112" s="41"/>
      <c r="AB112" s="171">
        <f>+AC62</f>
        <v>6.1199999999999997E-2</v>
      </c>
      <c r="AC112" s="5"/>
      <c r="AD112" s="171">
        <f>+AB112</f>
        <v>6.1199999999999997E-2</v>
      </c>
      <c r="AE112" s="5"/>
      <c r="AF112" s="5"/>
      <c r="AG112" s="5"/>
      <c r="AH112" s="5"/>
      <c r="AI112" s="5"/>
      <c r="AJ112" s="5"/>
      <c r="AK112" s="5"/>
    </row>
    <row r="113" spans="1:40" ht="15" x14ac:dyDescent="0.25">
      <c r="D113" s="132">
        <v>2</v>
      </c>
      <c r="K113" s="43"/>
      <c r="L113" s="32"/>
      <c r="M113" s="19"/>
      <c r="N113" s="44" t="s">
        <v>60</v>
      </c>
      <c r="O113" s="45"/>
      <c r="Q113" s="43"/>
      <c r="R113" s="32"/>
      <c r="S113" s="19"/>
      <c r="T113" s="44" t="s">
        <v>60</v>
      </c>
      <c r="U113" s="45"/>
      <c r="AB113" s="5"/>
      <c r="AC113" s="5"/>
      <c r="AD113" s="5"/>
      <c r="AE113" s="5"/>
      <c r="AF113" s="5"/>
      <c r="AG113" s="5"/>
      <c r="AH113" s="5"/>
      <c r="AI113" s="5"/>
      <c r="AJ113" s="5"/>
      <c r="AK113" s="5"/>
    </row>
    <row r="114" spans="1:40" ht="15" x14ac:dyDescent="0.25">
      <c r="D114" s="132">
        <v>2</v>
      </c>
      <c r="K114" s="43"/>
      <c r="L114" s="32"/>
      <c r="M114" s="19"/>
      <c r="N114" s="32"/>
      <c r="O114" s="45"/>
      <c r="Q114" s="43"/>
      <c r="R114" s="32"/>
      <c r="S114" s="19"/>
      <c r="T114" s="32"/>
      <c r="U114" s="45"/>
      <c r="AB114" s="5"/>
      <c r="AC114" s="5"/>
      <c r="AD114" s="5"/>
      <c r="AE114" s="5"/>
      <c r="AF114" s="5"/>
      <c r="AG114" s="5"/>
      <c r="AH114" s="5"/>
      <c r="AI114" s="5"/>
      <c r="AJ114" s="5"/>
      <c r="AK114" s="5"/>
    </row>
    <row r="115" spans="1:40" ht="15" x14ac:dyDescent="0.25">
      <c r="D115" s="132">
        <v>2</v>
      </c>
      <c r="K115" s="48" t="str">
        <f>+K82</f>
        <v>Projected Debt Free Net Cash Flow (10)</v>
      </c>
      <c r="L115" s="32"/>
      <c r="M115" s="32"/>
      <c r="N115" s="32">
        <f>+AB116</f>
        <v>349199.17340576672</v>
      </c>
      <c r="O115" s="45"/>
      <c r="Q115" s="48" t="str">
        <f t="shared" ref="Q115:Q121" si="57">+K98</f>
        <v>Projected Debt Free Net Cash Flow (10)</v>
      </c>
      <c r="R115" s="32"/>
      <c r="S115" s="32"/>
      <c r="T115" s="32">
        <f>+AB132</f>
        <v>349199.17340576672</v>
      </c>
      <c r="U115" s="45"/>
      <c r="AB115" s="5"/>
      <c r="AC115" s="5"/>
      <c r="AD115" s="5"/>
      <c r="AE115" s="5"/>
      <c r="AF115" s="5"/>
      <c r="AG115" s="5"/>
      <c r="AH115" s="5"/>
      <c r="AI115" s="5"/>
      <c r="AJ115" s="5"/>
      <c r="AK115" s="5"/>
    </row>
    <row r="116" spans="1:40" ht="16.899999999999999" customHeight="1" x14ac:dyDescent="0.25">
      <c r="A116" s="173" t="s">
        <v>62</v>
      </c>
      <c r="B116" s="25">
        <f>B$83</f>
        <v>10</v>
      </c>
      <c r="D116" s="132">
        <v>2</v>
      </c>
      <c r="K116" s="48" t="str">
        <f t="shared" ref="K116:K120" si="58">+K83</f>
        <v>Divided by Capitalization Factor (8)</v>
      </c>
      <c r="L116" s="32"/>
      <c r="M116" s="33"/>
      <c r="N116" s="51">
        <f>+AB112</f>
        <v>6.1199999999999997E-2</v>
      </c>
      <c r="O116" s="45"/>
      <c r="Q116" s="48" t="str">
        <f t="shared" si="57"/>
        <v>Divided by Capitalization Factor (9)</v>
      </c>
      <c r="R116" s="32"/>
      <c r="S116" s="33"/>
      <c r="T116" s="51">
        <f>+AB128</f>
        <v>7.4800000000000005E-2</v>
      </c>
      <c r="U116" s="45"/>
      <c r="AB116" s="5">
        <f>+AB$52</f>
        <v>349199.17340576672</v>
      </c>
      <c r="AC116" s="5"/>
      <c r="AD116" s="5">
        <f>+Z$42</f>
        <v>301389.29990576673</v>
      </c>
      <c r="AE116" s="5">
        <f>+AE$83</f>
        <v>14.6</v>
      </c>
      <c r="AF116" s="5"/>
      <c r="AG116" s="5"/>
      <c r="AH116" s="5"/>
      <c r="AI116" s="5"/>
      <c r="AJ116" s="5"/>
      <c r="AK116" s="5"/>
    </row>
    <row r="117" spans="1:40" ht="16.899999999999999" customHeight="1" x14ac:dyDescent="0.25">
      <c r="A117" s="173" t="s">
        <v>64</v>
      </c>
      <c r="B117" s="25">
        <f>+B$54</f>
        <v>8</v>
      </c>
      <c r="D117" s="132">
        <v>2</v>
      </c>
      <c r="K117" s="48" t="str">
        <f t="shared" si="58"/>
        <v>13th Year Terminal Value</v>
      </c>
      <c r="L117" s="32"/>
      <c r="M117" s="19"/>
      <c r="N117" s="33">
        <f>+N115/N116</f>
        <v>5705868.8464994561</v>
      </c>
      <c r="O117" s="45"/>
      <c r="Q117" s="48" t="str">
        <f t="shared" si="57"/>
        <v>13th Year Terminal Value</v>
      </c>
      <c r="R117" s="32"/>
      <c r="S117" s="19"/>
      <c r="T117" s="33">
        <f>+T115/T116</f>
        <v>4668438.147135918</v>
      </c>
      <c r="U117" s="45"/>
      <c r="AB117" s="5"/>
      <c r="AC117" s="5"/>
      <c r="AD117" s="5">
        <f>+Z$41</f>
        <v>505600.44920576672</v>
      </c>
      <c r="AE117" s="5">
        <f>+AE$84</f>
        <v>10.1</v>
      </c>
      <c r="AF117" s="5"/>
      <c r="AG117" s="5"/>
      <c r="AH117" s="5"/>
      <c r="AI117" s="5"/>
      <c r="AJ117" s="5"/>
      <c r="AK117" s="5"/>
    </row>
    <row r="118" spans="1:40" ht="16.899999999999999" customHeight="1" x14ac:dyDescent="0.25">
      <c r="D118" s="132">
        <v>2</v>
      </c>
      <c r="K118" s="48" t="str">
        <f t="shared" si="58"/>
        <v>13th Year Present Value Factor (11)</v>
      </c>
      <c r="L118" s="32"/>
      <c r="M118" s="19"/>
      <c r="N118" s="55">
        <f>+N85</f>
        <v>0.42330000000000001</v>
      </c>
      <c r="O118" s="45"/>
      <c r="Q118" s="48" t="str">
        <f t="shared" si="57"/>
        <v>13th Year Present Value Factor (12)</v>
      </c>
      <c r="R118" s="32"/>
      <c r="S118" s="19"/>
      <c r="T118" s="55">
        <f>+N101</f>
        <v>0.36149999999999999</v>
      </c>
      <c r="U118" s="45"/>
      <c r="AC118" s="5"/>
      <c r="AD118" s="5"/>
      <c r="AE118" s="5"/>
      <c r="AF118" s="5"/>
      <c r="AG118" s="5"/>
      <c r="AH118" s="5"/>
      <c r="AI118" s="5"/>
      <c r="AJ118" s="5"/>
      <c r="AK118" s="5"/>
    </row>
    <row r="119" spans="1:40" ht="16.899999999999999" customHeight="1" x14ac:dyDescent="0.25">
      <c r="A119" s="173" t="s">
        <v>70</v>
      </c>
      <c r="B119" s="25">
        <f>B$86</f>
        <v>11</v>
      </c>
      <c r="D119" s="132">
        <v>2</v>
      </c>
      <c r="K119" s="48" t="str">
        <f t="shared" si="58"/>
        <v>Present Value of Terminal Value</v>
      </c>
      <c r="L119" s="57"/>
      <c r="M119" s="19"/>
      <c r="N119" s="58">
        <f>+N118*N117</f>
        <v>2415294.2827232196</v>
      </c>
      <c r="O119" s="45"/>
      <c r="Q119" s="48" t="str">
        <f t="shared" si="57"/>
        <v>Present Value of Terminal Value</v>
      </c>
      <c r="R119" s="57"/>
      <c r="S119" s="19"/>
      <c r="T119" s="58">
        <f>+T118*T117</f>
        <v>1687640.3901896344</v>
      </c>
      <c r="U119" s="45"/>
      <c r="AB119" s="176">
        <f>+Z62</f>
        <v>0.47589999999999999</v>
      </c>
      <c r="AC119" s="5"/>
      <c r="AD119" s="177">
        <f>+AB119</f>
        <v>0.47589999999999999</v>
      </c>
      <c r="AE119" s="5"/>
      <c r="AF119" s="5"/>
      <c r="AG119" s="5"/>
      <c r="AH119" s="5"/>
      <c r="AI119" s="5"/>
      <c r="AJ119" s="5"/>
      <c r="AK119" s="5"/>
    </row>
    <row r="120" spans="1:40" ht="16.899999999999999" customHeight="1" x14ac:dyDescent="0.25">
      <c r="D120" s="132">
        <v>2</v>
      </c>
      <c r="K120" s="48" t="str">
        <f t="shared" si="58"/>
        <v>Present Value Debt Free Net</v>
      </c>
      <c r="L120" s="57"/>
      <c r="M120" s="19"/>
      <c r="N120" s="32"/>
      <c r="O120" s="45"/>
      <c r="Q120" s="48" t="str">
        <f t="shared" si="57"/>
        <v>Present Value Debt Free Net</v>
      </c>
      <c r="R120" s="57"/>
      <c r="S120" s="19"/>
      <c r="T120" s="32"/>
      <c r="U120" s="45"/>
      <c r="AB120" s="5"/>
      <c r="AC120" s="5"/>
      <c r="AD120" s="5"/>
      <c r="AE120" s="5"/>
      <c r="AF120" s="5"/>
      <c r="AG120" s="5"/>
      <c r="AH120" s="5"/>
      <c r="AI120" s="5"/>
      <c r="AJ120" s="5"/>
      <c r="AK120" s="5"/>
    </row>
    <row r="121" spans="1:40" ht="16.899999999999999" customHeight="1" x14ac:dyDescent="0.25">
      <c r="D121" s="132">
        <v>2</v>
      </c>
      <c r="K121" s="48" t="str">
        <f>+K$88</f>
        <v>Cash Flow for 13 Years</v>
      </c>
      <c r="L121" s="57"/>
      <c r="M121" s="19"/>
      <c r="N121" s="60">
        <f>+AB122</f>
        <v>2692361.4999011974</v>
      </c>
      <c r="O121" s="45"/>
      <c r="Q121" s="48" t="str">
        <f t="shared" si="57"/>
        <v>Cash Flow for 13 Years</v>
      </c>
      <c r="R121" s="57"/>
      <c r="S121" s="19"/>
      <c r="T121" s="60">
        <f>+AB138</f>
        <v>2494298.1021613409</v>
      </c>
      <c r="U121" s="45"/>
      <c r="V121" s="5"/>
      <c r="W121" s="5"/>
      <c r="X121" s="5"/>
      <c r="Y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</row>
    <row r="122" spans="1:40" ht="16.899999999999999" customHeight="1" x14ac:dyDescent="0.25">
      <c r="D122" s="132">
        <v>2</v>
      </c>
      <c r="K122" s="48"/>
      <c r="L122" s="57"/>
      <c r="M122" s="19"/>
      <c r="N122" s="32"/>
      <c r="O122" s="45"/>
      <c r="Q122" s="48"/>
      <c r="R122" s="57"/>
      <c r="S122" s="19"/>
      <c r="T122" s="32"/>
      <c r="U122" s="45"/>
      <c r="V122" s="5"/>
      <c r="W122" s="5"/>
      <c r="X122" s="5"/>
      <c r="Y122" s="5"/>
      <c r="AB122" s="5">
        <f>+AB56</f>
        <v>2692361.4999011974</v>
      </c>
      <c r="AC122" s="5"/>
      <c r="AD122" s="5">
        <f>+AB122</f>
        <v>2692361.4999011974</v>
      </c>
      <c r="AE122" s="5"/>
      <c r="AF122" s="5"/>
      <c r="AG122" s="5"/>
      <c r="AH122" s="5"/>
      <c r="AI122" s="5"/>
      <c r="AJ122" s="5"/>
      <c r="AK122" s="5"/>
    </row>
    <row r="123" spans="1:40" ht="16.899999999999999" customHeight="1" thickBot="1" x14ac:dyDescent="0.3">
      <c r="D123" s="132">
        <v>2</v>
      </c>
      <c r="K123" s="48" t="s">
        <v>68</v>
      </c>
      <c r="L123" s="57"/>
      <c r="M123" s="19"/>
      <c r="N123" s="20">
        <f>+N119+N121</f>
        <v>5107655.782624417</v>
      </c>
      <c r="O123" s="45"/>
      <c r="Q123" s="48" t="s">
        <v>68</v>
      </c>
      <c r="R123" s="57"/>
      <c r="S123" s="19"/>
      <c r="T123" s="20">
        <f>+T119+T121</f>
        <v>4181938.4923509751</v>
      </c>
      <c r="U123" s="45"/>
      <c r="V123" s="5"/>
      <c r="W123" s="5"/>
      <c r="X123" s="5"/>
      <c r="Y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</row>
    <row r="124" spans="1:40" ht="16.899999999999999" customHeight="1" thickTop="1" thickBot="1" x14ac:dyDescent="0.3">
      <c r="D124" s="132">
        <v>2</v>
      </c>
      <c r="K124" s="62"/>
      <c r="L124" s="63"/>
      <c r="M124" s="64"/>
      <c r="N124" s="63"/>
      <c r="O124" s="65"/>
      <c r="Q124" s="62"/>
      <c r="R124" s="63"/>
      <c r="S124" s="64"/>
      <c r="T124" s="63"/>
      <c r="U124" s="65"/>
      <c r="V124" s="5"/>
      <c r="W124" s="5"/>
      <c r="X124" s="5"/>
      <c r="Y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</row>
    <row r="125" spans="1:40" ht="15" x14ac:dyDescent="0.25">
      <c r="D125" s="132">
        <v>2</v>
      </c>
      <c r="K125" s="6"/>
      <c r="L125" s="5"/>
      <c r="M125" s="5"/>
      <c r="N125" s="5"/>
      <c r="O125" s="5"/>
      <c r="P125" s="6"/>
      <c r="Q125" s="179"/>
      <c r="R125" s="180"/>
      <c r="S125" s="180"/>
      <c r="T125" s="180"/>
      <c r="U125" s="180"/>
      <c r="V125" s="5"/>
      <c r="W125" s="5"/>
      <c r="X125" s="5"/>
      <c r="Y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</row>
    <row r="126" spans="1:40" ht="15" x14ac:dyDescent="0.25">
      <c r="D126" s="132"/>
      <c r="K126" s="6"/>
      <c r="L126" s="5"/>
      <c r="M126" s="5"/>
      <c r="N126" s="5"/>
      <c r="O126" s="5"/>
      <c r="P126" s="6"/>
      <c r="Q126" s="179"/>
      <c r="R126" s="180"/>
      <c r="S126" s="180"/>
      <c r="T126" s="180"/>
      <c r="U126" s="180"/>
      <c r="V126" s="5"/>
      <c r="W126" s="5"/>
      <c r="X126" s="5"/>
      <c r="Y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</row>
    <row r="127" spans="1:40" ht="15" x14ac:dyDescent="0.25">
      <c r="D127" s="132"/>
      <c r="P127" s="6"/>
      <c r="Q127" s="181" t="str">
        <f>+"DCF With EBIT &amp; EBITDA Terminal Value Model - Discount Rate of "&amp;TEXT(AD128,"0.00%")</f>
        <v>DCF With EBIT &amp; EBITDA Terminal Value Model - Discount Rate of 7.48%</v>
      </c>
      <c r="R127" s="181"/>
      <c r="S127" s="181"/>
      <c r="T127" s="181"/>
      <c r="U127" s="181"/>
      <c r="V127" s="5"/>
      <c r="W127" s="5"/>
      <c r="X127" s="5"/>
      <c r="Y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174"/>
      <c r="AM127" s="31"/>
      <c r="AN127" s="31"/>
    </row>
    <row r="128" spans="1:40" ht="15" x14ac:dyDescent="0.25">
      <c r="D128" s="132"/>
      <c r="P128" s="6"/>
      <c r="Q128" s="182"/>
      <c r="R128" s="182"/>
      <c r="S128" s="183"/>
      <c r="T128" s="182"/>
      <c r="U128" s="184" t="s">
        <v>59</v>
      </c>
      <c r="V128" s="5"/>
      <c r="W128" s="5"/>
      <c r="X128" s="5"/>
      <c r="Y128" s="5"/>
      <c r="AB128" s="171">
        <f>+AC66</f>
        <v>7.4800000000000005E-2</v>
      </c>
      <c r="AC128" s="5"/>
      <c r="AD128" s="171">
        <f>+AB128</f>
        <v>7.4800000000000005E-2</v>
      </c>
      <c r="AE128" s="5"/>
      <c r="AF128" s="5"/>
      <c r="AG128" s="5"/>
      <c r="AH128" s="5"/>
      <c r="AI128" s="5"/>
      <c r="AJ128" s="5"/>
      <c r="AK128" s="5"/>
    </row>
    <row r="129" spans="4:37" ht="15" x14ac:dyDescent="0.25">
      <c r="D129" s="132"/>
      <c r="P129" s="6"/>
      <c r="Q129" s="182"/>
      <c r="R129" s="182"/>
      <c r="S129" s="183"/>
      <c r="T129" s="185" t="s">
        <v>71</v>
      </c>
      <c r="U129" s="185" t="s">
        <v>60</v>
      </c>
      <c r="V129" s="5"/>
      <c r="W129" s="5"/>
      <c r="X129" s="5"/>
      <c r="Y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</row>
    <row r="130" spans="4:37" ht="15" x14ac:dyDescent="0.25">
      <c r="D130" s="132"/>
      <c r="P130" s="6"/>
      <c r="Q130" s="182"/>
      <c r="R130" s="182"/>
      <c r="S130" s="183"/>
      <c r="T130" s="182"/>
      <c r="U130" s="182"/>
      <c r="V130" s="5"/>
      <c r="W130" s="5"/>
      <c r="X130" s="5"/>
      <c r="Y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</row>
    <row r="131" spans="4:37" ht="15" x14ac:dyDescent="0.25">
      <c r="D131" s="132"/>
      <c r="P131" s="6"/>
      <c r="Q131" s="186" t="s">
        <v>61</v>
      </c>
      <c r="R131" s="182"/>
      <c r="S131" s="182">
        <f>+AD132</f>
        <v>301389.29990576673</v>
      </c>
      <c r="T131" s="187">
        <f>+AE132</f>
        <v>14.6</v>
      </c>
      <c r="U131" s="182">
        <f>+T131*S131</f>
        <v>4400283.7786241937</v>
      </c>
      <c r="V131" s="5"/>
      <c r="W131" s="5"/>
      <c r="X131" s="5"/>
      <c r="Y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</row>
    <row r="132" spans="4:37" ht="16.899999999999999" customHeight="1" x14ac:dyDescent="0.25">
      <c r="D132" s="132"/>
      <c r="P132" s="6"/>
      <c r="Q132" s="186" t="s">
        <v>63</v>
      </c>
      <c r="R132" s="182"/>
      <c r="S132" s="188">
        <f>+AD133</f>
        <v>505600.44920576672</v>
      </c>
      <c r="T132" s="187">
        <f>+AE133</f>
        <v>10.1</v>
      </c>
      <c r="U132" s="188">
        <f>+T132*S132</f>
        <v>5106564.5369782439</v>
      </c>
      <c r="V132" s="5"/>
      <c r="W132" s="5"/>
      <c r="X132" s="5"/>
      <c r="Y132" s="5"/>
      <c r="AB132" s="5">
        <f>+AB$52</f>
        <v>349199.17340576672</v>
      </c>
      <c r="AC132" s="5"/>
      <c r="AD132" s="5">
        <f>+AD116</f>
        <v>301389.29990576673</v>
      </c>
      <c r="AE132" s="5">
        <f>+AE$83</f>
        <v>14.6</v>
      </c>
      <c r="AF132" s="5"/>
      <c r="AG132" s="5"/>
      <c r="AH132" s="5"/>
      <c r="AI132" s="5"/>
      <c r="AJ132" s="5"/>
      <c r="AK132" s="5"/>
    </row>
    <row r="133" spans="4:37" ht="16.899999999999999" customHeight="1" x14ac:dyDescent="0.25">
      <c r="D133" s="132"/>
      <c r="P133" s="6"/>
      <c r="Q133" s="189" t="s">
        <v>65</v>
      </c>
      <c r="R133" s="182"/>
      <c r="S133" s="183"/>
      <c r="T133" s="182"/>
      <c r="U133" s="188">
        <f>ROUND((0.33*U131)+(0.67*U132),0)</f>
        <v>4873492</v>
      </c>
      <c r="V133" s="5"/>
      <c r="W133" s="5"/>
      <c r="X133" s="5"/>
      <c r="Y133" s="5"/>
      <c r="AB133" s="5"/>
      <c r="AC133" s="5"/>
      <c r="AD133" s="5">
        <f>+AD117</f>
        <v>505600.44920576672</v>
      </c>
      <c r="AE133" s="5">
        <f>+AE$84</f>
        <v>10.1</v>
      </c>
      <c r="AF133" s="5"/>
      <c r="AG133" s="5"/>
      <c r="AH133" s="5"/>
      <c r="AI133" s="5"/>
      <c r="AJ133" s="5"/>
      <c r="AK133" s="5"/>
    </row>
    <row r="134" spans="4:37" ht="16.899999999999999" customHeight="1" x14ac:dyDescent="0.25">
      <c r="D134" s="132"/>
      <c r="P134" s="6"/>
      <c r="Q134" s="186" t="str">
        <f>+Q118</f>
        <v>13th Year Present Value Factor (12)</v>
      </c>
      <c r="R134" s="182"/>
      <c r="S134" s="183"/>
      <c r="T134" s="182"/>
      <c r="U134" s="190">
        <f>+U101</f>
        <v>0.36149999999999999</v>
      </c>
      <c r="V134" s="5"/>
      <c r="W134" s="5"/>
      <c r="X134" s="5"/>
      <c r="Y134" s="5"/>
      <c r="AC134" s="5"/>
      <c r="AD134" s="5"/>
      <c r="AE134" s="5"/>
      <c r="AF134" s="5"/>
      <c r="AG134" s="5"/>
      <c r="AH134" s="5"/>
      <c r="AI134" s="5"/>
      <c r="AJ134" s="5"/>
      <c r="AK134" s="5"/>
    </row>
    <row r="135" spans="4:37" ht="16.899999999999999" customHeight="1" x14ac:dyDescent="0.25">
      <c r="D135" s="132"/>
      <c r="P135" s="6"/>
      <c r="Q135" s="186" t="s">
        <v>66</v>
      </c>
      <c r="R135" s="186"/>
      <c r="S135" s="183"/>
      <c r="T135" s="188"/>
      <c r="U135" s="188">
        <f>+U134*U133</f>
        <v>1761767.358</v>
      </c>
      <c r="V135" s="5"/>
      <c r="W135" s="5"/>
      <c r="X135" s="5"/>
      <c r="Y135" s="5"/>
      <c r="AB135" s="176">
        <f>+Z66</f>
        <v>0.40589999999999998</v>
      </c>
      <c r="AC135" s="5"/>
      <c r="AD135" s="177">
        <f>+AB135</f>
        <v>0.40589999999999998</v>
      </c>
      <c r="AE135" s="5"/>
      <c r="AF135" s="5"/>
      <c r="AG135" s="5"/>
      <c r="AH135" s="5"/>
      <c r="AI135" s="5"/>
      <c r="AJ135" s="5"/>
      <c r="AK135" s="5"/>
    </row>
    <row r="136" spans="4:37" ht="16.899999999999999" customHeight="1" x14ac:dyDescent="0.25">
      <c r="D136" s="132"/>
      <c r="P136" s="6"/>
      <c r="Q136" s="186" t="s">
        <v>67</v>
      </c>
      <c r="R136" s="186"/>
      <c r="S136" s="183"/>
      <c r="T136" s="186"/>
      <c r="U136" s="182"/>
      <c r="V136" s="5"/>
      <c r="W136" s="5"/>
      <c r="X136" s="5"/>
      <c r="Y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</row>
    <row r="137" spans="4:37" ht="16.899999999999999" customHeight="1" x14ac:dyDescent="0.25">
      <c r="D137" s="132"/>
      <c r="P137" s="6"/>
      <c r="Q137" s="186" t="str">
        <f>+Q$88</f>
        <v>Cash Flow for 13 Years</v>
      </c>
      <c r="R137" s="186"/>
      <c r="S137" s="183"/>
      <c r="T137" s="188"/>
      <c r="U137" s="188">
        <f>+AB138</f>
        <v>2494298.1021613409</v>
      </c>
      <c r="V137" s="5"/>
      <c r="W137" s="5"/>
      <c r="X137" s="5"/>
      <c r="Y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</row>
    <row r="138" spans="4:37" ht="16.899999999999999" customHeight="1" x14ac:dyDescent="0.25">
      <c r="D138" s="132"/>
      <c r="P138" s="6"/>
      <c r="Q138" s="186"/>
      <c r="R138" s="186"/>
      <c r="S138" s="183"/>
      <c r="T138" s="182"/>
      <c r="U138" s="182"/>
      <c r="V138" s="5"/>
      <c r="W138" s="5"/>
      <c r="X138" s="5"/>
      <c r="Y138" s="5"/>
      <c r="AB138" s="5">
        <f>+AB60</f>
        <v>2494298.1021613409</v>
      </c>
      <c r="AC138" s="5"/>
      <c r="AD138" s="5">
        <f>+AB138</f>
        <v>2494298.1021613409</v>
      </c>
      <c r="AE138" s="5"/>
      <c r="AF138" s="5"/>
      <c r="AG138" s="5"/>
      <c r="AH138" s="5"/>
      <c r="AI138" s="5"/>
      <c r="AJ138" s="5"/>
      <c r="AK138" s="5"/>
    </row>
    <row r="139" spans="4:37" ht="16.899999999999999" customHeight="1" x14ac:dyDescent="0.25">
      <c r="D139" s="132"/>
      <c r="P139" s="6"/>
      <c r="Q139" s="186" t="s">
        <v>68</v>
      </c>
      <c r="R139" s="186"/>
      <c r="S139" s="183"/>
      <c r="T139" s="188"/>
      <c r="U139" s="182">
        <f>+U135+U137</f>
        <v>4256065.4601613414</v>
      </c>
      <c r="V139" s="5"/>
      <c r="W139" s="5"/>
      <c r="X139" s="5"/>
      <c r="Y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</row>
    <row r="140" spans="4:37" ht="16.899999999999999" customHeight="1" x14ac:dyDescent="0.25">
      <c r="D140" s="132"/>
      <c r="P140" s="6"/>
      <c r="Q140" s="182"/>
      <c r="R140" s="182"/>
      <c r="S140" s="183"/>
      <c r="T140" s="182"/>
      <c r="U140" s="182"/>
      <c r="V140" s="5"/>
      <c r="W140" s="5"/>
      <c r="X140" s="5"/>
      <c r="Y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</row>
    <row r="141" spans="4:37" ht="15" x14ac:dyDescent="0.25">
      <c r="D141" s="132"/>
      <c r="K141" s="32"/>
      <c r="L141" s="32"/>
      <c r="M141" s="19"/>
      <c r="N141" s="6"/>
      <c r="O141" s="32"/>
      <c r="P141" s="6"/>
      <c r="Q141" s="6"/>
      <c r="R141" s="5"/>
      <c r="S141" s="5"/>
      <c r="T141" s="5"/>
      <c r="U141" s="5"/>
      <c r="V141" s="5"/>
      <c r="W141" s="5"/>
      <c r="X141" s="5"/>
      <c r="Y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</row>
    <row r="142" spans="4:37" ht="15.75" x14ac:dyDescent="0.25">
      <c r="D142" s="132">
        <v>2</v>
      </c>
      <c r="L142" s="27" t="s">
        <v>72</v>
      </c>
      <c r="M142" s="19"/>
      <c r="N142" s="6"/>
      <c r="O142" s="32"/>
      <c r="P142" s="6"/>
      <c r="Q142" s="6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G142" s="5"/>
      <c r="AH142" s="5"/>
      <c r="AI142" s="5"/>
      <c r="AJ142" s="5"/>
      <c r="AK142" s="5"/>
    </row>
    <row r="143" spans="4:37" ht="16.5" thickBot="1" x14ac:dyDescent="0.3">
      <c r="D143" s="132">
        <v>2</v>
      </c>
      <c r="G143" s="27"/>
      <c r="L143" s="6"/>
      <c r="M143" s="6"/>
      <c r="N143" s="6"/>
      <c r="O143" s="6"/>
      <c r="P143" s="6"/>
      <c r="Q143" s="6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G143" s="5"/>
      <c r="AH143" s="5"/>
      <c r="AI143" s="5"/>
      <c r="AJ143" s="5"/>
      <c r="AK143" s="5"/>
    </row>
    <row r="144" spans="4:37" ht="15.75" thickBot="1" x14ac:dyDescent="0.3">
      <c r="D144" s="132">
        <v>3</v>
      </c>
      <c r="K144" s="34" t="str">
        <f>+"DCF With Capitalization of Terminal Value Model @ "&amp;TEXT(AB145,"0.00%")</f>
        <v>DCF With Capitalization of Terminal Value Model @ 3.84%</v>
      </c>
      <c r="L144" s="35"/>
      <c r="M144" s="35"/>
      <c r="N144" s="35"/>
      <c r="O144" s="36"/>
      <c r="P144" s="6"/>
      <c r="Q144" s="34" t="str">
        <f>+"DCF With EBIT &amp; EBITDA Terminal Value Model - Discount Rate of "&amp;TEXT(AD145,"0.00%")</f>
        <v>DCF With EBIT &amp; EBITDA Terminal Value Model - Discount Rate of 3.84%</v>
      </c>
      <c r="R144" s="35"/>
      <c r="S144" s="35"/>
      <c r="T144" s="35"/>
      <c r="U144" s="36"/>
      <c r="V144" s="5"/>
      <c r="W144" s="5"/>
      <c r="X144" s="5"/>
      <c r="Y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</row>
    <row r="145" spans="3:37" ht="15" x14ac:dyDescent="0.25">
      <c r="C145" s="168" t="s">
        <v>73</v>
      </c>
      <c r="D145" s="132">
        <v>3</v>
      </c>
      <c r="G145" s="29"/>
      <c r="K145" s="37"/>
      <c r="L145" s="38"/>
      <c r="M145" s="39"/>
      <c r="N145" s="40" t="s">
        <v>59</v>
      </c>
      <c r="O145" s="41"/>
      <c r="Q145" s="37"/>
      <c r="R145" s="38"/>
      <c r="S145" s="39"/>
      <c r="T145" s="38"/>
      <c r="U145" s="42" t="s">
        <v>59</v>
      </c>
      <c r="V145" s="5"/>
      <c r="W145" s="5"/>
      <c r="X145" s="5"/>
      <c r="Y145" s="5"/>
      <c r="AB145" s="171">
        <f>+AC70</f>
        <v>3.8399999999999997E-2</v>
      </c>
      <c r="AC145" s="5"/>
      <c r="AD145" s="171">
        <f>+AB145</f>
        <v>3.8399999999999997E-2</v>
      </c>
      <c r="AE145" s="5"/>
      <c r="AF145" s="5"/>
      <c r="AG145" s="5"/>
      <c r="AH145" s="5"/>
      <c r="AI145" s="5"/>
      <c r="AJ145" s="5"/>
      <c r="AK145" s="5"/>
    </row>
    <row r="146" spans="3:37" ht="15" x14ac:dyDescent="0.25">
      <c r="D146" s="132">
        <v>3</v>
      </c>
      <c r="K146" s="43"/>
      <c r="L146" s="32"/>
      <c r="M146" s="19"/>
      <c r="N146" s="44" t="s">
        <v>60</v>
      </c>
      <c r="O146" s="45"/>
      <c r="Q146" s="43"/>
      <c r="R146" s="32"/>
      <c r="S146" s="19"/>
      <c r="T146" s="44" t="str">
        <f>+T96</f>
        <v>Multiples (13)</v>
      </c>
      <c r="U146" s="46" t="s">
        <v>60</v>
      </c>
      <c r="V146" s="5"/>
      <c r="W146" s="5"/>
      <c r="X146" s="5"/>
      <c r="Y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</row>
    <row r="147" spans="3:37" ht="15" x14ac:dyDescent="0.25">
      <c r="D147" s="132">
        <v>3</v>
      </c>
      <c r="K147" s="43"/>
      <c r="L147" s="32"/>
      <c r="M147" s="19"/>
      <c r="N147" s="32"/>
      <c r="O147" s="45"/>
      <c r="Q147" s="43"/>
      <c r="R147" s="32"/>
      <c r="S147" s="19"/>
      <c r="T147" s="32"/>
      <c r="U147" s="47"/>
      <c r="V147" s="5"/>
      <c r="W147" s="5"/>
      <c r="X147" s="5"/>
      <c r="Y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</row>
    <row r="148" spans="3:37" ht="15" x14ac:dyDescent="0.25">
      <c r="D148" s="132">
        <v>3</v>
      </c>
      <c r="K148" s="48" t="str">
        <f t="shared" ref="K148:K154" si="59">+K115</f>
        <v>Projected Debt Free Net Cash Flow (10)</v>
      </c>
      <c r="L148" s="32"/>
      <c r="M148" s="32"/>
      <c r="N148" s="32">
        <f>+AB149</f>
        <v>349199.17340576672</v>
      </c>
      <c r="O148" s="45"/>
      <c r="Q148" s="49" t="s">
        <v>61</v>
      </c>
      <c r="R148" s="32"/>
      <c r="S148" s="32">
        <f>+AD149</f>
        <v>301389.29990576673</v>
      </c>
      <c r="T148" s="50">
        <f>+AE149</f>
        <v>14.6</v>
      </c>
      <c r="U148" s="47">
        <f>+T148*S148</f>
        <v>4400283.7786241937</v>
      </c>
      <c r="V148" s="5"/>
      <c r="W148" s="5"/>
      <c r="X148" s="5"/>
      <c r="Y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</row>
    <row r="149" spans="3:37" ht="16.899999999999999" customHeight="1" x14ac:dyDescent="0.25">
      <c r="D149" s="132">
        <v>3</v>
      </c>
      <c r="K149" s="48" t="str">
        <f t="shared" si="59"/>
        <v>Divided by Capitalization Factor (8)</v>
      </c>
      <c r="L149" s="32"/>
      <c r="M149" s="33"/>
      <c r="N149" s="51">
        <f>+AB145</f>
        <v>3.8399999999999997E-2</v>
      </c>
      <c r="O149" s="45"/>
      <c r="Q149" s="49" t="s">
        <v>63</v>
      </c>
      <c r="R149" s="32"/>
      <c r="S149" s="33">
        <f>+AD150</f>
        <v>505600.44920576672</v>
      </c>
      <c r="T149" s="50">
        <f>+AE150</f>
        <v>10.1</v>
      </c>
      <c r="U149" s="52">
        <f>+T149*S149</f>
        <v>5106564.5369782439</v>
      </c>
      <c r="V149" s="5"/>
      <c r="W149" s="5"/>
      <c r="X149" s="5"/>
      <c r="Y149" s="5"/>
      <c r="AB149" s="5">
        <f>+AB$52</f>
        <v>349199.17340576672</v>
      </c>
      <c r="AC149" s="5"/>
      <c r="AD149" s="5">
        <f>+Z$42</f>
        <v>301389.29990576673</v>
      </c>
      <c r="AE149" s="5">
        <f>+AE$83</f>
        <v>14.6</v>
      </c>
      <c r="AF149" s="5"/>
      <c r="AG149" s="5"/>
      <c r="AH149" s="5"/>
      <c r="AI149" s="5"/>
      <c r="AJ149" s="5"/>
      <c r="AK149" s="5"/>
    </row>
    <row r="150" spans="3:37" ht="16.899999999999999" customHeight="1" x14ac:dyDescent="0.25">
      <c r="D150" s="132">
        <v>3</v>
      </c>
      <c r="K150" s="48" t="str">
        <f t="shared" si="59"/>
        <v>13th Year Terminal Value</v>
      </c>
      <c r="L150" s="32"/>
      <c r="M150" s="19"/>
      <c r="N150" s="33">
        <f>+N148/N149</f>
        <v>9093728.4741085097</v>
      </c>
      <c r="O150" s="45"/>
      <c r="Q150" s="53" t="s">
        <v>65</v>
      </c>
      <c r="R150" s="32"/>
      <c r="S150" s="19"/>
      <c r="T150" s="32"/>
      <c r="U150" s="54">
        <f>ROUND((0.33*U148)+(0.67*U149),0)</f>
        <v>4873492</v>
      </c>
      <c r="V150" s="5"/>
      <c r="W150" s="5"/>
      <c r="X150" s="5"/>
      <c r="Y150" s="5"/>
      <c r="AB150" s="5"/>
      <c r="AC150" s="5"/>
      <c r="AD150" s="5">
        <f>+Z$41</f>
        <v>505600.44920576672</v>
      </c>
      <c r="AE150" s="5">
        <f>+AE$84</f>
        <v>10.1</v>
      </c>
      <c r="AF150" s="5"/>
      <c r="AG150" s="5"/>
      <c r="AH150" s="5"/>
      <c r="AI150" s="5"/>
      <c r="AJ150" s="5"/>
      <c r="AK150" s="5"/>
    </row>
    <row r="151" spans="3:37" ht="16.899999999999999" customHeight="1" x14ac:dyDescent="0.25">
      <c r="D151" s="132">
        <v>3</v>
      </c>
      <c r="K151" s="48" t="str">
        <f t="shared" si="59"/>
        <v>13th Year Present Value Factor (11)</v>
      </c>
      <c r="L151" s="32"/>
      <c r="M151" s="19"/>
      <c r="N151" s="55">
        <f>+AB152</f>
        <v>0.62439999999999996</v>
      </c>
      <c r="O151" s="45"/>
      <c r="Q151" s="49" t="str">
        <f>+K151</f>
        <v>13th Year Present Value Factor (11)</v>
      </c>
      <c r="R151" s="32"/>
      <c r="S151" s="19"/>
      <c r="T151" s="32"/>
      <c r="U151" s="56">
        <f>+AD152</f>
        <v>0.62439999999999996</v>
      </c>
      <c r="V151" s="5"/>
      <c r="W151" s="5"/>
      <c r="X151" s="5"/>
      <c r="Y151" s="5"/>
      <c r="AC151" s="5"/>
      <c r="AD151" s="5"/>
      <c r="AE151" s="5"/>
      <c r="AF151" s="5"/>
      <c r="AG151" s="5"/>
      <c r="AH151" s="5"/>
      <c r="AI151" s="5"/>
      <c r="AJ151" s="5"/>
      <c r="AK151" s="5"/>
    </row>
    <row r="152" spans="3:37" ht="16.899999999999999" customHeight="1" x14ac:dyDescent="0.25">
      <c r="D152" s="132">
        <v>3</v>
      </c>
      <c r="K152" s="48" t="str">
        <f t="shared" si="59"/>
        <v>Present Value of Terminal Value</v>
      </c>
      <c r="L152" s="57"/>
      <c r="M152" s="19"/>
      <c r="N152" s="58">
        <f>+N151*N150</f>
        <v>5678124.0592333535</v>
      </c>
      <c r="O152" s="45"/>
      <c r="Q152" s="49" t="s">
        <v>66</v>
      </c>
      <c r="R152" s="57"/>
      <c r="S152" s="19"/>
      <c r="T152" s="33"/>
      <c r="U152" s="59">
        <f>+U151*U150</f>
        <v>3043008.4047999997</v>
      </c>
      <c r="V152" s="5"/>
      <c r="W152" s="5"/>
      <c r="X152" s="5"/>
      <c r="Y152" s="5"/>
      <c r="AA152" s="2" t="s">
        <v>74</v>
      </c>
      <c r="AB152" s="176">
        <f>+Z70</f>
        <v>0.62439999999999996</v>
      </c>
      <c r="AC152" s="5"/>
      <c r="AD152" s="177">
        <f>+AB152</f>
        <v>0.62439999999999996</v>
      </c>
      <c r="AE152" s="5"/>
      <c r="AF152" s="5"/>
      <c r="AG152" s="5"/>
      <c r="AH152" s="5"/>
      <c r="AI152" s="5"/>
      <c r="AJ152" s="5"/>
      <c r="AK152" s="5"/>
    </row>
    <row r="153" spans="3:37" ht="16.899999999999999" customHeight="1" x14ac:dyDescent="0.25">
      <c r="D153" s="132">
        <v>3</v>
      </c>
      <c r="K153" s="48" t="str">
        <f t="shared" si="59"/>
        <v>Present Value Debt Free Net</v>
      </c>
      <c r="L153" s="57"/>
      <c r="M153" s="19"/>
      <c r="N153" s="32"/>
      <c r="O153" s="45"/>
      <c r="Q153" s="49" t="s">
        <v>67</v>
      </c>
      <c r="R153" s="57"/>
      <c r="S153" s="19"/>
      <c r="T153" s="57"/>
      <c r="U153" s="47"/>
      <c r="V153" s="5"/>
      <c r="W153" s="5"/>
      <c r="X153" s="5"/>
      <c r="Y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</row>
    <row r="154" spans="3:37" ht="16.899999999999999" customHeight="1" x14ac:dyDescent="0.25">
      <c r="D154" s="132">
        <v>3</v>
      </c>
      <c r="K154" s="48" t="str">
        <f t="shared" si="59"/>
        <v>Cash Flow for 13 Years</v>
      </c>
      <c r="L154" s="57"/>
      <c r="M154" s="19"/>
      <c r="N154" s="60">
        <f>+AB155</f>
        <v>3277210.2445479264</v>
      </c>
      <c r="O154" s="45"/>
      <c r="Q154" s="49" t="str">
        <f>+Q$88</f>
        <v>Cash Flow for 13 Years</v>
      </c>
      <c r="R154" s="57"/>
      <c r="S154" s="19"/>
      <c r="T154" s="33"/>
      <c r="U154" s="52">
        <f>+AD155</f>
        <v>3277210.2445479264</v>
      </c>
      <c r="V154" s="5"/>
      <c r="W154" s="5"/>
      <c r="X154" s="5"/>
      <c r="Y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</row>
    <row r="155" spans="3:37" ht="16.899999999999999" customHeight="1" x14ac:dyDescent="0.25">
      <c r="D155" s="132">
        <v>3</v>
      </c>
      <c r="K155" s="48"/>
      <c r="L155" s="57"/>
      <c r="M155" s="19"/>
      <c r="N155" s="32"/>
      <c r="O155" s="45"/>
      <c r="Q155" s="49"/>
      <c r="R155" s="57"/>
      <c r="S155" s="19"/>
      <c r="T155" s="32"/>
      <c r="U155" s="47"/>
      <c r="V155" s="5"/>
      <c r="W155" s="5"/>
      <c r="X155" s="5"/>
      <c r="Y155" s="5"/>
      <c r="AB155" s="5">
        <f>+AB72</f>
        <v>3277210.2445479264</v>
      </c>
      <c r="AC155" s="5"/>
      <c r="AD155" s="5">
        <f>+AB155</f>
        <v>3277210.2445479264</v>
      </c>
      <c r="AE155" s="5"/>
      <c r="AF155" s="5"/>
      <c r="AG155" s="5"/>
      <c r="AH155" s="5"/>
      <c r="AI155" s="5"/>
      <c r="AJ155" s="5"/>
      <c r="AK155" s="5"/>
    </row>
    <row r="156" spans="3:37" ht="16.899999999999999" customHeight="1" thickBot="1" x14ac:dyDescent="0.3">
      <c r="D156" s="132">
        <v>3</v>
      </c>
      <c r="K156" s="48" t="s">
        <v>68</v>
      </c>
      <c r="L156" s="57"/>
      <c r="M156" s="19"/>
      <c r="N156" s="20">
        <f>+N152+N154</f>
        <v>8955334.3037812803</v>
      </c>
      <c r="O156" s="45"/>
      <c r="Q156" s="49" t="s">
        <v>68</v>
      </c>
      <c r="R156" s="57"/>
      <c r="S156" s="19"/>
      <c r="T156" s="33"/>
      <c r="U156" s="61">
        <f>+U152+U154</f>
        <v>6320218.6493479256</v>
      </c>
      <c r="V156" s="5"/>
      <c r="W156" s="5"/>
      <c r="X156" s="5"/>
      <c r="Y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</row>
    <row r="157" spans="3:37" ht="16.899999999999999" customHeight="1" thickTop="1" thickBot="1" x14ac:dyDescent="0.3">
      <c r="D157" s="132">
        <v>3</v>
      </c>
      <c r="K157" s="62"/>
      <c r="L157" s="63"/>
      <c r="M157" s="64"/>
      <c r="N157" s="63"/>
      <c r="O157" s="65"/>
      <c r="Q157" s="62"/>
      <c r="R157" s="63"/>
      <c r="S157" s="64"/>
      <c r="T157" s="63"/>
      <c r="U157" s="65"/>
      <c r="V157" s="5"/>
      <c r="W157" s="5"/>
      <c r="X157" s="5"/>
      <c r="Y157" s="5"/>
      <c r="AB157" s="5"/>
      <c r="AC157" s="5"/>
      <c r="AD157" s="5"/>
      <c r="AE157" s="5"/>
      <c r="AF157" s="5"/>
      <c r="AG157" s="5"/>
      <c r="AH157" s="5"/>
    </row>
    <row r="158" spans="3:37" ht="15" x14ac:dyDescent="0.25">
      <c r="D158" s="132">
        <v>3</v>
      </c>
      <c r="K158" s="6"/>
      <c r="L158" s="5"/>
      <c r="M158" s="5"/>
      <c r="N158" s="5"/>
      <c r="O158" s="5"/>
      <c r="P158" s="6"/>
      <c r="Q158" s="6"/>
      <c r="R158" s="5"/>
      <c r="S158" s="5"/>
      <c r="T158" s="5"/>
      <c r="U158" s="5"/>
      <c r="V158" s="5"/>
      <c r="W158" s="5"/>
      <c r="X158" s="5"/>
      <c r="Y158" s="5"/>
      <c r="AB158" s="5"/>
      <c r="AC158" s="5"/>
      <c r="AD158" s="5"/>
      <c r="AE158" s="5"/>
      <c r="AF158" s="5"/>
      <c r="AG158" s="5"/>
      <c r="AH158" s="5"/>
    </row>
    <row r="159" spans="3:37" ht="15.75" thickBot="1" x14ac:dyDescent="0.3">
      <c r="D159" s="132">
        <v>3</v>
      </c>
      <c r="K159" s="6"/>
      <c r="L159" s="5"/>
      <c r="M159" s="5"/>
      <c r="N159" s="5"/>
      <c r="O159" s="5"/>
      <c r="P159" s="6"/>
      <c r="Q159" s="6"/>
      <c r="R159" s="5"/>
      <c r="S159" s="5"/>
      <c r="T159" s="5"/>
      <c r="U159" s="5"/>
      <c r="V159" s="5"/>
      <c r="W159" s="5"/>
      <c r="X159" s="5"/>
      <c r="Y159" s="5"/>
      <c r="AB159" s="5"/>
      <c r="AC159" s="5"/>
      <c r="AD159" s="5"/>
      <c r="AE159" s="5"/>
      <c r="AF159" s="5"/>
      <c r="AG159" s="5"/>
      <c r="AH159" s="5"/>
    </row>
    <row r="160" spans="3:37" ht="15.75" thickBot="1" x14ac:dyDescent="0.3">
      <c r="D160" s="132">
        <v>3</v>
      </c>
      <c r="K160" s="34" t="str">
        <f>+"DCF With Capitalization of Terminal Value Model @ "&amp;TEXT(AB161,"0.00%")</f>
        <v>DCF With Capitalization of Terminal Value Model @ 2.84%</v>
      </c>
      <c r="L160" s="35"/>
      <c r="M160" s="35"/>
      <c r="N160" s="35"/>
      <c r="O160" s="36"/>
      <c r="P160" s="6"/>
      <c r="Q160" s="34" t="str">
        <f>+"DCF With EBIT &amp; EBITDA Terminal Value Model - Discount Rate of "&amp;TEXT(AD161,"0.00%")</f>
        <v>DCF With EBIT &amp; EBITDA Terminal Value Model - Discount Rate of 2.84%</v>
      </c>
      <c r="R160" s="35"/>
      <c r="S160" s="35"/>
      <c r="T160" s="35"/>
      <c r="U160" s="36"/>
      <c r="V160" s="5"/>
      <c r="W160" s="5"/>
      <c r="X160" s="5"/>
      <c r="Y160" s="5"/>
      <c r="AB160" s="5"/>
      <c r="AC160" s="5"/>
      <c r="AD160" s="5"/>
      <c r="AE160" s="5"/>
      <c r="AF160" s="5"/>
      <c r="AG160" s="5"/>
      <c r="AH160" s="5"/>
    </row>
    <row r="161" spans="3:34" ht="15" x14ac:dyDescent="0.25">
      <c r="C161" s="168" t="s">
        <v>75</v>
      </c>
      <c r="D161" s="132">
        <v>3</v>
      </c>
      <c r="K161" s="37"/>
      <c r="L161" s="38"/>
      <c r="M161" s="39"/>
      <c r="N161" s="40" t="s">
        <v>59</v>
      </c>
      <c r="O161" s="41"/>
      <c r="P161" s="6"/>
      <c r="Q161" s="37"/>
      <c r="R161" s="38"/>
      <c r="S161" s="39"/>
      <c r="T161" s="38"/>
      <c r="U161" s="42" t="s">
        <v>59</v>
      </c>
      <c r="V161" s="5"/>
      <c r="W161" s="5"/>
      <c r="X161" s="5"/>
      <c r="Y161" s="5"/>
      <c r="AB161" s="171">
        <f>+AC74</f>
        <v>2.8399999999999995E-2</v>
      </c>
      <c r="AC161" s="5"/>
      <c r="AD161" s="171">
        <f>+AB161</f>
        <v>2.8399999999999995E-2</v>
      </c>
      <c r="AE161" s="5"/>
      <c r="AF161" s="5"/>
      <c r="AG161" s="5"/>
      <c r="AH161" s="5"/>
    </row>
    <row r="162" spans="3:34" ht="15" x14ac:dyDescent="0.25">
      <c r="D162" s="132">
        <v>3</v>
      </c>
      <c r="K162" s="43"/>
      <c r="L162" s="32"/>
      <c r="M162" s="19"/>
      <c r="N162" s="44" t="s">
        <v>60</v>
      </c>
      <c r="O162" s="45"/>
      <c r="P162" s="6"/>
      <c r="Q162" s="43"/>
      <c r="R162" s="32"/>
      <c r="S162" s="19"/>
      <c r="T162" s="44" t="str">
        <f>+T146</f>
        <v>Multiples (13)</v>
      </c>
      <c r="U162" s="46" t="s">
        <v>60</v>
      </c>
      <c r="V162" s="5"/>
      <c r="W162" s="5"/>
      <c r="X162" s="5"/>
      <c r="Y162" s="5"/>
      <c r="AB162" s="5"/>
      <c r="AC162" s="5"/>
      <c r="AD162" s="5"/>
      <c r="AE162" s="5"/>
      <c r="AF162" s="5"/>
      <c r="AG162" s="5"/>
      <c r="AH162" s="5"/>
    </row>
    <row r="163" spans="3:34" ht="15" x14ac:dyDescent="0.25">
      <c r="D163" s="132">
        <v>3</v>
      </c>
      <c r="K163" s="43"/>
      <c r="L163" s="32"/>
      <c r="M163" s="19"/>
      <c r="N163" s="32"/>
      <c r="O163" s="45"/>
      <c r="P163" s="6"/>
      <c r="Q163" s="43"/>
      <c r="R163" s="32"/>
      <c r="S163" s="19"/>
      <c r="T163" s="32"/>
      <c r="U163" s="47"/>
      <c r="V163" s="5"/>
      <c r="W163" s="5"/>
      <c r="X163" s="5"/>
      <c r="Y163" s="5"/>
      <c r="AB163" s="5"/>
      <c r="AC163" s="5"/>
      <c r="AD163" s="5"/>
      <c r="AE163" s="5"/>
      <c r="AF163" s="5"/>
      <c r="AG163" s="5"/>
      <c r="AH163" s="5"/>
    </row>
    <row r="164" spans="3:34" ht="15" x14ac:dyDescent="0.25">
      <c r="D164" s="132">
        <v>3</v>
      </c>
      <c r="K164" s="48" t="str">
        <f t="shared" ref="K164:K170" si="60">+Q115</f>
        <v>Projected Debt Free Net Cash Flow (10)</v>
      </c>
      <c r="L164" s="32"/>
      <c r="M164" s="32"/>
      <c r="N164" s="32">
        <f>+AB165</f>
        <v>349199.17340576672</v>
      </c>
      <c r="O164" s="45"/>
      <c r="P164" s="6"/>
      <c r="Q164" s="49" t="s">
        <v>61</v>
      </c>
      <c r="R164" s="32"/>
      <c r="S164" s="32">
        <f>+AD165</f>
        <v>301389.29990576673</v>
      </c>
      <c r="T164" s="50">
        <f>+AE165</f>
        <v>14.6</v>
      </c>
      <c r="U164" s="47">
        <f>+T164*S164</f>
        <v>4400283.7786241937</v>
      </c>
      <c r="V164" s="5"/>
      <c r="W164" s="5"/>
      <c r="X164" s="5"/>
      <c r="Y164" s="5"/>
      <c r="AB164" s="5"/>
      <c r="AC164" s="5"/>
      <c r="AD164" s="5"/>
      <c r="AE164" s="5"/>
      <c r="AF164" s="5"/>
      <c r="AG164" s="5"/>
      <c r="AH164" s="5"/>
    </row>
    <row r="165" spans="3:34" ht="16.899999999999999" customHeight="1" x14ac:dyDescent="0.25">
      <c r="D165" s="132">
        <v>3</v>
      </c>
      <c r="K165" s="48" t="str">
        <f t="shared" si="60"/>
        <v>Divided by Capitalization Factor (9)</v>
      </c>
      <c r="L165" s="32"/>
      <c r="M165" s="33"/>
      <c r="N165" s="51">
        <f>+AB161</f>
        <v>2.8399999999999995E-2</v>
      </c>
      <c r="O165" s="45"/>
      <c r="P165" s="6"/>
      <c r="Q165" s="49" t="s">
        <v>63</v>
      </c>
      <c r="R165" s="32"/>
      <c r="S165" s="33">
        <f>+AD166</f>
        <v>505600.44920576672</v>
      </c>
      <c r="T165" s="50">
        <f>+AE166</f>
        <v>10.1</v>
      </c>
      <c r="U165" s="52">
        <f>+T165*S165</f>
        <v>5106564.5369782439</v>
      </c>
      <c r="V165" s="5"/>
      <c r="W165" s="5"/>
      <c r="X165" s="5"/>
      <c r="Y165" s="5"/>
      <c r="AB165" s="5">
        <f>+AB$52</f>
        <v>349199.17340576672</v>
      </c>
      <c r="AC165" s="5"/>
      <c r="AD165" s="5">
        <f>+AD149</f>
        <v>301389.29990576673</v>
      </c>
      <c r="AE165" s="5">
        <f>+AE$83</f>
        <v>14.6</v>
      </c>
      <c r="AF165" s="5"/>
      <c r="AG165" s="5"/>
      <c r="AH165" s="5"/>
    </row>
    <row r="166" spans="3:34" ht="16.899999999999999" customHeight="1" x14ac:dyDescent="0.25">
      <c r="D166" s="132">
        <v>3</v>
      </c>
      <c r="K166" s="48" t="str">
        <f t="shared" si="60"/>
        <v>13th Year Terminal Value</v>
      </c>
      <c r="L166" s="32"/>
      <c r="M166" s="19"/>
      <c r="N166" s="33">
        <f>+N164/N165</f>
        <v>12295745.542456577</v>
      </c>
      <c r="O166" s="45"/>
      <c r="P166" s="6"/>
      <c r="Q166" s="53" t="s">
        <v>65</v>
      </c>
      <c r="R166" s="32"/>
      <c r="S166" s="19"/>
      <c r="T166" s="32"/>
      <c r="U166" s="54">
        <f>ROUND((0.33*U164)+(0.67*U165),0)</f>
        <v>4873492</v>
      </c>
      <c r="V166" s="5"/>
      <c r="W166" s="5"/>
      <c r="X166" s="5"/>
      <c r="Y166" s="5"/>
      <c r="AB166" s="5"/>
      <c r="AC166" s="5"/>
      <c r="AD166" s="5">
        <f>+AD150</f>
        <v>505600.44920576672</v>
      </c>
      <c r="AE166" s="5">
        <f>+AE$84</f>
        <v>10.1</v>
      </c>
      <c r="AF166" s="5"/>
      <c r="AG166" s="5"/>
      <c r="AH166" s="5"/>
    </row>
    <row r="167" spans="3:34" ht="16.899999999999999" customHeight="1" x14ac:dyDescent="0.25">
      <c r="D167" s="132">
        <v>3</v>
      </c>
      <c r="K167" s="48" t="str">
        <f t="shared" si="60"/>
        <v>13th Year Present Value Factor (12)</v>
      </c>
      <c r="L167" s="32"/>
      <c r="M167" s="19"/>
      <c r="N167" s="55">
        <f>+N151</f>
        <v>0.62439999999999996</v>
      </c>
      <c r="O167" s="45"/>
      <c r="P167" s="6"/>
      <c r="Q167" s="49" t="str">
        <f>+K167</f>
        <v>13th Year Present Value Factor (12)</v>
      </c>
      <c r="R167" s="32"/>
      <c r="S167" s="19"/>
      <c r="T167" s="32"/>
      <c r="U167" s="56">
        <f>+AD168</f>
        <v>0.62439999999999996</v>
      </c>
      <c r="V167" s="5"/>
      <c r="W167" s="5"/>
      <c r="X167" s="5"/>
      <c r="Y167" s="5"/>
      <c r="AC167" s="5"/>
      <c r="AD167" s="5"/>
      <c r="AE167" s="5"/>
      <c r="AF167" s="5"/>
      <c r="AG167" s="5"/>
      <c r="AH167" s="5"/>
    </row>
    <row r="168" spans="3:34" ht="16.899999999999999" customHeight="1" x14ac:dyDescent="0.25">
      <c r="D168" s="132">
        <v>3</v>
      </c>
      <c r="K168" s="48" t="str">
        <f t="shared" si="60"/>
        <v>Present Value of Terminal Value</v>
      </c>
      <c r="L168" s="57"/>
      <c r="M168" s="19"/>
      <c r="N168" s="58">
        <f>+N167*N166</f>
        <v>7677463.5167098856</v>
      </c>
      <c r="O168" s="45"/>
      <c r="P168" s="6"/>
      <c r="Q168" s="49" t="s">
        <v>66</v>
      </c>
      <c r="R168" s="57"/>
      <c r="S168" s="19"/>
      <c r="T168" s="33"/>
      <c r="U168" s="59">
        <f>+U167*U166</f>
        <v>3043008.4047999997</v>
      </c>
      <c r="V168" s="5"/>
      <c r="W168" s="5"/>
      <c r="X168" s="5"/>
      <c r="Y168" s="5"/>
      <c r="AB168" s="176">
        <f>+Z70</f>
        <v>0.62439999999999996</v>
      </c>
      <c r="AC168" s="5"/>
      <c r="AD168" s="177">
        <f>+AB168</f>
        <v>0.62439999999999996</v>
      </c>
      <c r="AE168" s="5"/>
      <c r="AF168" s="5"/>
      <c r="AG168" s="5"/>
      <c r="AH168" s="5"/>
    </row>
    <row r="169" spans="3:34" ht="16.899999999999999" customHeight="1" x14ac:dyDescent="0.25">
      <c r="D169" s="132">
        <v>3</v>
      </c>
      <c r="K169" s="48" t="str">
        <f t="shared" si="60"/>
        <v>Present Value Debt Free Net</v>
      </c>
      <c r="L169" s="57"/>
      <c r="M169" s="19"/>
      <c r="N169" s="32"/>
      <c r="O169" s="45"/>
      <c r="P169" s="6"/>
      <c r="Q169" s="49" t="s">
        <v>67</v>
      </c>
      <c r="R169" s="57"/>
      <c r="S169" s="19"/>
      <c r="T169" s="57"/>
      <c r="U169" s="47"/>
      <c r="V169" s="5"/>
      <c r="W169" s="5"/>
      <c r="X169" s="5"/>
      <c r="Y169" s="5"/>
      <c r="AB169" s="5"/>
      <c r="AC169" s="5"/>
      <c r="AD169" s="5"/>
      <c r="AE169" s="5"/>
      <c r="AF169" s="5"/>
      <c r="AG169" s="5"/>
      <c r="AH169" s="5"/>
    </row>
    <row r="170" spans="3:34" ht="16.899999999999999" customHeight="1" x14ac:dyDescent="0.25">
      <c r="D170" s="132">
        <v>3</v>
      </c>
      <c r="K170" s="48" t="str">
        <f t="shared" si="60"/>
        <v>Cash Flow for 13 Years</v>
      </c>
      <c r="L170" s="57"/>
      <c r="M170" s="19"/>
      <c r="N170" s="60">
        <f>+AB171</f>
        <v>3277210.2445479264</v>
      </c>
      <c r="O170" s="45"/>
      <c r="P170" s="6"/>
      <c r="Q170" s="49" t="str">
        <f>+Q$88</f>
        <v>Cash Flow for 13 Years</v>
      </c>
      <c r="R170" s="57"/>
      <c r="S170" s="19"/>
      <c r="T170" s="33"/>
      <c r="U170" s="52">
        <f>+AD171</f>
        <v>3277210.2445479264</v>
      </c>
      <c r="V170" s="5"/>
      <c r="W170" s="5"/>
      <c r="X170" s="5"/>
      <c r="Y170" s="5"/>
      <c r="AB170" s="5"/>
      <c r="AC170" s="5"/>
      <c r="AD170" s="5"/>
      <c r="AE170" s="5"/>
      <c r="AF170" s="5"/>
      <c r="AG170" s="5"/>
      <c r="AH170" s="5"/>
    </row>
    <row r="171" spans="3:34" ht="16.899999999999999" customHeight="1" x14ac:dyDescent="0.25">
      <c r="D171" s="132">
        <v>3</v>
      </c>
      <c r="K171" s="48"/>
      <c r="L171" s="57"/>
      <c r="M171" s="19"/>
      <c r="N171" s="32"/>
      <c r="O171" s="45"/>
      <c r="P171" s="6"/>
      <c r="Q171" s="49"/>
      <c r="R171" s="57"/>
      <c r="S171" s="19"/>
      <c r="T171" s="32"/>
      <c r="U171" s="47"/>
      <c r="V171" s="5"/>
      <c r="W171" s="5"/>
      <c r="X171" s="5"/>
      <c r="Y171" s="5"/>
      <c r="AB171" s="5">
        <f>+AB72</f>
        <v>3277210.2445479264</v>
      </c>
      <c r="AC171" s="5"/>
      <c r="AD171" s="5">
        <f>+AB171</f>
        <v>3277210.2445479264</v>
      </c>
      <c r="AE171" s="5"/>
      <c r="AF171" s="5"/>
      <c r="AG171" s="5"/>
      <c r="AH171" s="5"/>
    </row>
    <row r="172" spans="3:34" ht="16.899999999999999" customHeight="1" thickBot="1" x14ac:dyDescent="0.3">
      <c r="D172" s="132">
        <v>3</v>
      </c>
      <c r="K172" s="48" t="s">
        <v>68</v>
      </c>
      <c r="L172" s="57"/>
      <c r="M172" s="19"/>
      <c r="N172" s="20">
        <f>+N168+N170</f>
        <v>10954673.761257812</v>
      </c>
      <c r="O172" s="45"/>
      <c r="P172" s="6"/>
      <c r="Q172" s="49" t="s">
        <v>68</v>
      </c>
      <c r="R172" s="57"/>
      <c r="S172" s="19"/>
      <c r="T172" s="33"/>
      <c r="U172" s="61">
        <f>+U168+U170</f>
        <v>6320218.6493479256</v>
      </c>
      <c r="V172" s="5"/>
      <c r="W172" s="5"/>
      <c r="X172" s="5"/>
      <c r="Y172" s="5"/>
      <c r="AB172" s="5"/>
      <c r="AC172" s="5"/>
      <c r="AD172" s="5"/>
      <c r="AE172" s="5"/>
      <c r="AF172" s="5"/>
      <c r="AG172" s="5"/>
      <c r="AH172" s="5"/>
    </row>
    <row r="173" spans="3:34" ht="16.899999999999999" customHeight="1" thickTop="1" thickBot="1" x14ac:dyDescent="0.3">
      <c r="D173" s="132">
        <v>3</v>
      </c>
      <c r="K173" s="62"/>
      <c r="L173" s="63"/>
      <c r="M173" s="64"/>
      <c r="N173" s="63"/>
      <c r="O173" s="65"/>
      <c r="P173" s="6"/>
      <c r="Q173" s="62"/>
      <c r="R173" s="63"/>
      <c r="S173" s="64"/>
      <c r="T173" s="63"/>
      <c r="U173" s="65"/>
      <c r="V173" s="5"/>
      <c r="W173" s="5"/>
      <c r="X173" s="5"/>
      <c r="Y173" s="5"/>
      <c r="AB173" s="5"/>
      <c r="AC173" s="5"/>
      <c r="AD173" s="5"/>
      <c r="AE173" s="5"/>
      <c r="AF173" s="5"/>
      <c r="AG173" s="5"/>
      <c r="AH173" s="5"/>
    </row>
    <row r="174" spans="3:34" ht="15" x14ac:dyDescent="0.25">
      <c r="D174" s="132">
        <v>3</v>
      </c>
      <c r="S174" s="5"/>
      <c r="T174" s="5"/>
      <c r="U174" s="5"/>
      <c r="V174" s="5"/>
      <c r="W174" s="5"/>
      <c r="X174" s="5"/>
      <c r="Y174" s="5"/>
      <c r="AB174" s="5"/>
      <c r="AC174" s="5"/>
      <c r="AD174" s="5"/>
      <c r="AE174" s="5"/>
      <c r="AF174" s="5"/>
      <c r="AG174" s="5"/>
      <c r="AH174" s="5"/>
    </row>
    <row r="175" spans="3:34" ht="15" x14ac:dyDescent="0.25">
      <c r="D175" s="132">
        <v>3</v>
      </c>
      <c r="H175" s="32"/>
      <c r="I175" s="32"/>
      <c r="J175" s="19"/>
      <c r="K175" s="6"/>
      <c r="L175" s="32"/>
      <c r="M175" s="6"/>
      <c r="N175" s="6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</row>
    <row r="176" spans="3:34" ht="15.75" x14ac:dyDescent="0.25">
      <c r="D176" s="132">
        <v>3</v>
      </c>
      <c r="G176" s="26" t="s">
        <v>57</v>
      </c>
      <c r="H176" s="32"/>
      <c r="I176" s="32"/>
      <c r="J176" s="19"/>
      <c r="K176" s="6"/>
      <c r="L176" s="32"/>
      <c r="M176" s="6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</row>
    <row r="177" spans="1:29" ht="15" x14ac:dyDescent="0.25">
      <c r="D177" s="132">
        <v>4</v>
      </c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</row>
    <row r="178" spans="1:29" ht="31.5" customHeight="1" x14ac:dyDescent="0.25">
      <c r="D178" s="132">
        <v>4</v>
      </c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</row>
    <row r="179" spans="1:29" ht="15" x14ac:dyDescent="0.25">
      <c r="D179" s="132">
        <v>4</v>
      </c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</row>
    <row r="180" spans="1:29" ht="55.5" customHeight="1" x14ac:dyDescent="0.25">
      <c r="A180" s="66" t="s">
        <v>76</v>
      </c>
      <c r="D180" s="132">
        <v>4</v>
      </c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</row>
    <row r="181" spans="1:29" ht="15" x14ac:dyDescent="0.25">
      <c r="D181" s="132">
        <v>4</v>
      </c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</row>
    <row r="182" spans="1:29" ht="15" x14ac:dyDescent="0.25">
      <c r="A182" s="191" t="s">
        <v>52</v>
      </c>
      <c r="B182" s="25">
        <f>MAX(B$20:B58)+1</f>
        <v>10</v>
      </c>
      <c r="C182" s="138">
        <f>IF(D182=0,C52,IF(ISBLANK(G182),C52,1+MAX(C$20:C52)))</f>
        <v>26</v>
      </c>
      <c r="D182" s="132">
        <v>4</v>
      </c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</row>
    <row r="183" spans="1:29" ht="15" x14ac:dyDescent="0.25">
      <c r="A183" s="192"/>
      <c r="C183" s="138">
        <f>IF(D183=0,C182,IF(ISBLANK(G183),C182,1+MAX(C$20:C182)))</f>
        <v>26</v>
      </c>
      <c r="D183" s="132">
        <v>4</v>
      </c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</row>
    <row r="184" spans="1:29" ht="15" x14ac:dyDescent="0.25">
      <c r="A184" s="191" t="s">
        <v>77</v>
      </c>
      <c r="B184" s="25">
        <f>+B$54</f>
        <v>8</v>
      </c>
      <c r="C184" s="138">
        <f>IF(D184=0,C183,IF(ISBLANK(G184),C183,1+MAX(C$182:C183)))</f>
        <v>26</v>
      </c>
      <c r="D184" s="132">
        <v>4</v>
      </c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</row>
    <row r="185" spans="1:29" ht="15" x14ac:dyDescent="0.25">
      <c r="A185" s="191"/>
      <c r="C185" s="138">
        <f>IF(D185=0,C184,IF(ISBLANK(G185),C184,1+MAX(C$182:C184)))</f>
        <v>26</v>
      </c>
      <c r="D185" s="132">
        <v>4</v>
      </c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</row>
    <row r="186" spans="1:29" ht="15" x14ac:dyDescent="0.25">
      <c r="C186" s="138">
        <f>IF(D186=0,C185,IF(ISBLANK(G186),C185,1+MAX(C$182:C185)))</f>
        <v>26</v>
      </c>
      <c r="D186" s="132">
        <v>4</v>
      </c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</row>
    <row r="187" spans="1:29" ht="15" x14ac:dyDescent="0.25">
      <c r="C187" s="138">
        <f>IF(D187=0,C186,IF(ISBLANK(G187),C186,1+MAX(C$182:C186)))</f>
        <v>26</v>
      </c>
      <c r="D187" s="132">
        <v>4</v>
      </c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</row>
    <row r="188" spans="1:29" ht="15" x14ac:dyDescent="0.25">
      <c r="C188" s="138">
        <f>IF(D188=0,C187,IF(ISBLANK(G188),C187,1+MAX(C$182:C187)))</f>
        <v>26</v>
      </c>
      <c r="D188" s="132">
        <v>4</v>
      </c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</row>
    <row r="189" spans="1:29" ht="57" customHeight="1" x14ac:dyDescent="0.25">
      <c r="C189" s="138">
        <f>IF(D189=0,C188,IF(ISBLANK(G189),C188,1+MAX(C$182:C188)))</f>
        <v>26</v>
      </c>
      <c r="D189" s="132">
        <v>4</v>
      </c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</row>
    <row r="190" spans="1:29" ht="15" x14ac:dyDescent="0.25">
      <c r="C190" s="138">
        <f>IF(D190=0,C189,IF(ISBLANK(G190),C189,1+MAX(C$182:C189)))</f>
        <v>26</v>
      </c>
      <c r="D190" s="132">
        <v>4</v>
      </c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</row>
    <row r="191" spans="1:29" ht="15" x14ac:dyDescent="0.25">
      <c r="B191" s="25">
        <f>+B$182</f>
        <v>10</v>
      </c>
      <c r="C191" s="138">
        <f>IF(D191=0,C190,IF(ISBLANK(G191),C190,1+MAX(C$182:C190)))</f>
        <v>26</v>
      </c>
      <c r="D191" s="132">
        <v>4</v>
      </c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</row>
    <row r="192" spans="1:29" ht="15" x14ac:dyDescent="0.25">
      <c r="C192" s="138">
        <f>IF(D192=0,C191,IF(ISBLANK(G192),C191,1+MAX(C$182:C191)))</f>
        <v>26</v>
      </c>
      <c r="D192" s="132">
        <v>4</v>
      </c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</row>
    <row r="193" spans="1:29" ht="15" x14ac:dyDescent="0.25">
      <c r="A193" s="191" t="s">
        <v>77</v>
      </c>
      <c r="B193" s="25">
        <f>+B$58</f>
        <v>9</v>
      </c>
      <c r="C193" s="138">
        <f>IF(D193=0,C192,IF(ISBLANK(G193),C192,1+MAX(C$182:C192)))</f>
        <v>26</v>
      </c>
      <c r="D193" s="132">
        <v>4</v>
      </c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</row>
    <row r="194" spans="1:29" ht="15" x14ac:dyDescent="0.25">
      <c r="C194" s="138">
        <f>IF(D194=0,C193,IF(ISBLANK(G194),C193,1+MAX(C$182:C193)))</f>
        <v>26</v>
      </c>
      <c r="D194" s="132">
        <v>4</v>
      </c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</row>
    <row r="195" spans="1:29" ht="15" x14ac:dyDescent="0.25">
      <c r="C195" s="138">
        <f>IF(D195=0,C194,IF(ISBLANK(G195),C194,1+MAX(C$182:C194)))</f>
        <v>26</v>
      </c>
      <c r="D195" s="132">
        <v>4</v>
      </c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</row>
    <row r="196" spans="1:29" ht="15" x14ac:dyDescent="0.25">
      <c r="D196" s="132">
        <v>0</v>
      </c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</row>
    <row r="197" spans="1:29" ht="15" x14ac:dyDescent="0.25">
      <c r="D197" s="132">
        <v>0</v>
      </c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</row>
    <row r="198" spans="1:29" ht="15" x14ac:dyDescent="0.25">
      <c r="D198" s="132">
        <v>0</v>
      </c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</row>
    <row r="199" spans="1:29" ht="15" x14ac:dyDescent="0.25">
      <c r="D199" s="132">
        <v>0</v>
      </c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</row>
    <row r="200" spans="1:29" ht="15.75" x14ac:dyDescent="0.25">
      <c r="D200" s="132">
        <v>0</v>
      </c>
      <c r="G200" s="193" t="s">
        <v>78</v>
      </c>
      <c r="H200" s="194" t="s">
        <v>74</v>
      </c>
      <c r="I200" s="194" t="s">
        <v>74</v>
      </c>
      <c r="J200" s="194" t="s">
        <v>74</v>
      </c>
      <c r="K200" s="194" t="s">
        <v>74</v>
      </c>
      <c r="L200" s="194" t="s">
        <v>74</v>
      </c>
      <c r="M200" s="194" t="s">
        <v>74</v>
      </c>
      <c r="N200" s="194" t="s">
        <v>74</v>
      </c>
      <c r="O200" s="194" t="s">
        <v>74</v>
      </c>
      <c r="P200" s="194" t="s">
        <v>74</v>
      </c>
      <c r="Q200" s="194" t="s">
        <v>74</v>
      </c>
      <c r="R200" s="194" t="s">
        <v>74</v>
      </c>
      <c r="S200" s="194" t="s">
        <v>74</v>
      </c>
      <c r="T200" s="194" t="s">
        <v>74</v>
      </c>
      <c r="U200" s="194" t="s">
        <v>74</v>
      </c>
      <c r="V200" s="194" t="s">
        <v>74</v>
      </c>
      <c r="W200" s="194" t="s">
        <v>74</v>
      </c>
      <c r="X200" s="194" t="s">
        <v>74</v>
      </c>
      <c r="Y200" s="194" t="s">
        <v>74</v>
      </c>
      <c r="Z200" s="194" t="s">
        <v>74</v>
      </c>
      <c r="AA200" s="5"/>
      <c r="AB200" s="5"/>
      <c r="AC200" s="5"/>
    </row>
    <row r="201" spans="1:29" ht="15.75" x14ac:dyDescent="0.25">
      <c r="D201" s="132">
        <v>1</v>
      </c>
      <c r="G201" s="27"/>
      <c r="H201" s="32"/>
      <c r="I201" s="32"/>
      <c r="J201" s="19"/>
      <c r="K201" s="6"/>
      <c r="L201" s="32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5"/>
      <c r="AB201" s="5"/>
      <c r="AC201" s="5"/>
    </row>
    <row r="202" spans="1:29" ht="15.75" x14ac:dyDescent="0.25">
      <c r="D202" s="132">
        <v>1</v>
      </c>
      <c r="G202" s="27"/>
      <c r="H202" s="32"/>
      <c r="I202" s="32"/>
      <c r="J202" s="19"/>
      <c r="K202" s="6"/>
      <c r="L202" s="32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5"/>
      <c r="AB202" s="5"/>
      <c r="AC202" s="5"/>
    </row>
    <row r="203" spans="1:29" ht="24" customHeight="1" x14ac:dyDescent="0.25">
      <c r="D203" s="132">
        <v>1</v>
      </c>
      <c r="G203" s="195" t="s">
        <v>79</v>
      </c>
      <c r="H203" s="196" t="s">
        <v>80</v>
      </c>
      <c r="J203" s="19"/>
      <c r="K203" s="6"/>
      <c r="L203" s="32"/>
      <c r="M203" s="6"/>
      <c r="N203" s="6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69"/>
      <c r="AB203" s="5"/>
      <c r="AC203" s="5"/>
    </row>
    <row r="204" spans="1:29" ht="30.75" customHeight="1" x14ac:dyDescent="0.25">
      <c r="D204" s="132">
        <f>IF($C$10="SUBJECT",1,0)</f>
        <v>0</v>
      </c>
      <c r="H204" s="113" t="s">
        <v>81</v>
      </c>
      <c r="I204" s="113"/>
      <c r="J204" s="113"/>
      <c r="K204" s="113"/>
      <c r="L204" s="113"/>
      <c r="M204" s="113"/>
      <c r="N204" s="110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69"/>
      <c r="AB204" s="5"/>
      <c r="AC204" s="5"/>
    </row>
    <row r="205" spans="1:29" ht="15" x14ac:dyDescent="0.25">
      <c r="D205" s="132">
        <v>0</v>
      </c>
      <c r="H205" s="197"/>
      <c r="J205" s="68"/>
      <c r="K205" s="6"/>
      <c r="L205" s="32"/>
      <c r="M205" s="6"/>
      <c r="N205" s="6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69"/>
      <c r="AB205" s="5"/>
      <c r="AC205" s="5"/>
    </row>
    <row r="206" spans="1:29" ht="15" x14ac:dyDescent="0.25">
      <c r="D206" s="132"/>
      <c r="G206" s="66" t="s">
        <v>2</v>
      </c>
      <c r="H206" s="67" t="s">
        <v>82</v>
      </c>
      <c r="J206" s="68"/>
      <c r="K206" s="6"/>
      <c r="L206" s="32"/>
      <c r="M206" s="6"/>
      <c r="N206" s="6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69"/>
      <c r="AB206" s="5"/>
      <c r="AC206" s="5"/>
    </row>
    <row r="207" spans="1:29" ht="15" x14ac:dyDescent="0.25">
      <c r="D207" s="132">
        <v>0</v>
      </c>
      <c r="G207" s="150"/>
      <c r="H207" s="197"/>
      <c r="J207" s="68"/>
      <c r="K207" s="6"/>
      <c r="L207" s="32"/>
      <c r="M207" s="6"/>
      <c r="N207" s="6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69"/>
      <c r="AB207" s="5"/>
      <c r="AC207" s="5"/>
    </row>
    <row r="208" spans="1:29" ht="24" customHeight="1" x14ac:dyDescent="0.25">
      <c r="D208" s="132">
        <v>0</v>
      </c>
      <c r="G208" s="195"/>
      <c r="H208" s="196"/>
      <c r="J208" s="19"/>
      <c r="K208" s="6"/>
      <c r="L208" s="32"/>
      <c r="M208" s="6"/>
      <c r="N208" s="6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69"/>
      <c r="AB208" s="5"/>
      <c r="AC208" s="5"/>
    </row>
    <row r="209" spans="4:29" ht="42.75" customHeight="1" x14ac:dyDescent="0.25">
      <c r="D209" s="132">
        <f>IF($C$10="IOU",1,0)</f>
        <v>0</v>
      </c>
      <c r="H209" s="113" t="s">
        <v>83</v>
      </c>
      <c r="I209" s="113"/>
      <c r="J209" s="113"/>
      <c r="K209" s="113"/>
      <c r="L209" s="113"/>
      <c r="M209" s="113"/>
      <c r="N209" s="110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69"/>
      <c r="AB209" s="5"/>
      <c r="AC209" s="5"/>
    </row>
    <row r="210" spans="4:29" ht="15" x14ac:dyDescent="0.25">
      <c r="D210" s="132">
        <v>0</v>
      </c>
      <c r="H210" s="197"/>
      <c r="J210" s="68"/>
      <c r="K210" s="6"/>
      <c r="L210" s="32"/>
      <c r="M210" s="6"/>
      <c r="N210" s="6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69"/>
      <c r="AB210" s="5"/>
      <c r="AC210" s="5"/>
    </row>
    <row r="211" spans="4:29" ht="15" x14ac:dyDescent="0.25">
      <c r="D211" s="132"/>
      <c r="G211" s="66" t="s">
        <v>2</v>
      </c>
      <c r="H211" s="67" t="s">
        <v>84</v>
      </c>
      <c r="J211" s="68"/>
      <c r="K211" s="6"/>
      <c r="L211" s="32"/>
      <c r="M211" s="6"/>
      <c r="N211" s="6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69"/>
      <c r="AB211" s="5"/>
      <c r="AC211" s="5"/>
    </row>
    <row r="212" spans="4:29" ht="15" x14ac:dyDescent="0.25">
      <c r="D212" s="132">
        <v>0</v>
      </c>
      <c r="G212" s="150"/>
      <c r="H212" s="197"/>
      <c r="J212" s="68"/>
      <c r="K212" s="6"/>
      <c r="L212" s="32"/>
      <c r="M212" s="6"/>
      <c r="N212" s="6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69"/>
      <c r="AB212" s="5"/>
      <c r="AC212" s="5"/>
    </row>
    <row r="213" spans="4:29" ht="60" customHeight="1" x14ac:dyDescent="0.25">
      <c r="D213" s="132">
        <f>IF($C$10="IOU",1,0)</f>
        <v>0</v>
      </c>
      <c r="G213" s="150"/>
      <c r="H213" s="113" t="s">
        <v>85</v>
      </c>
      <c r="I213" s="113"/>
      <c r="J213" s="113"/>
      <c r="K213" s="113"/>
      <c r="L213" s="113"/>
      <c r="M213" s="113"/>
      <c r="N213" s="110"/>
      <c r="O213" s="110"/>
      <c r="P213" s="110"/>
      <c r="Q213" s="110"/>
      <c r="R213" s="110"/>
      <c r="S213" s="110"/>
      <c r="T213" s="5"/>
      <c r="U213" s="5"/>
      <c r="V213" s="5"/>
      <c r="W213" s="5"/>
      <c r="X213" s="5"/>
      <c r="Y213" s="5"/>
      <c r="Z213" s="5"/>
      <c r="AA213" s="69"/>
      <c r="AB213" s="5"/>
      <c r="AC213" s="5"/>
    </row>
    <row r="214" spans="4:29" ht="15" x14ac:dyDescent="0.25">
      <c r="D214" s="132">
        <v>0</v>
      </c>
      <c r="G214" s="198"/>
      <c r="J214" s="19"/>
      <c r="K214" s="6"/>
      <c r="L214" s="32"/>
      <c r="M214" s="6"/>
      <c r="N214" s="6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69"/>
      <c r="AB214" s="5"/>
      <c r="AC214" s="5"/>
    </row>
    <row r="215" spans="4:29" ht="15" x14ac:dyDescent="0.25">
      <c r="D215" s="132">
        <v>0</v>
      </c>
      <c r="G215" s="198"/>
      <c r="J215" s="19"/>
      <c r="K215" s="6"/>
      <c r="L215" s="32"/>
      <c r="M215" s="6"/>
      <c r="N215" s="6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69"/>
      <c r="AB215" s="5"/>
      <c r="AC215" s="5"/>
    </row>
    <row r="216" spans="4:29" ht="45.75" customHeight="1" x14ac:dyDescent="0.25">
      <c r="D216" s="132">
        <f>IF($C$10="MUNI",1,0)</f>
        <v>1</v>
      </c>
      <c r="H216" s="113" t="s">
        <v>83</v>
      </c>
      <c r="I216" s="113"/>
      <c r="J216" s="113"/>
      <c r="K216" s="113"/>
      <c r="L216" s="113"/>
      <c r="M216" s="113"/>
      <c r="N216" s="110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69"/>
      <c r="AB216" s="5"/>
      <c r="AC216" s="5"/>
    </row>
    <row r="217" spans="4:29" ht="15" x14ac:dyDescent="0.25">
      <c r="D217" s="132">
        <v>0</v>
      </c>
      <c r="H217" s="197"/>
      <c r="J217" s="68"/>
      <c r="K217" s="6"/>
      <c r="L217" s="32"/>
      <c r="M217" s="6"/>
      <c r="N217" s="6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69"/>
      <c r="AB217" s="5"/>
      <c r="AC217" s="5"/>
    </row>
    <row r="218" spans="4:29" ht="30.75" customHeight="1" x14ac:dyDescent="0.25">
      <c r="D218" s="132"/>
      <c r="G218" s="66" t="s">
        <v>2</v>
      </c>
      <c r="H218" s="113" t="s">
        <v>86</v>
      </c>
      <c r="I218" s="113"/>
      <c r="J218" s="113"/>
      <c r="K218" s="113"/>
      <c r="L218" s="113"/>
      <c r="M218" s="113"/>
      <c r="N218" s="6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69"/>
      <c r="AB218" s="5"/>
      <c r="AC218" s="5"/>
    </row>
    <row r="219" spans="4:29" ht="15" x14ac:dyDescent="0.25">
      <c r="D219" s="132">
        <v>0</v>
      </c>
      <c r="G219" s="150"/>
      <c r="H219" s="197"/>
      <c r="J219" s="68"/>
      <c r="K219" s="6"/>
      <c r="L219" s="32"/>
      <c r="M219" s="6"/>
      <c r="N219" s="6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69"/>
      <c r="AB219" s="5"/>
      <c r="AC219" s="5"/>
    </row>
    <row r="220" spans="4:29" ht="66.75" customHeight="1" x14ac:dyDescent="0.25">
      <c r="D220" s="132">
        <f>IF($C$10="MUNI",1,0)</f>
        <v>1</v>
      </c>
      <c r="G220" s="150"/>
      <c r="H220" s="113" t="s">
        <v>87</v>
      </c>
      <c r="I220" s="113"/>
      <c r="J220" s="113"/>
      <c r="K220" s="113"/>
      <c r="L220" s="113"/>
      <c r="M220" s="113"/>
      <c r="N220" s="110"/>
      <c r="O220" s="110"/>
      <c r="P220" s="110"/>
      <c r="Q220" s="110"/>
      <c r="R220" s="110"/>
      <c r="S220" s="110"/>
      <c r="T220" s="5"/>
      <c r="U220" s="5"/>
      <c r="V220" s="5"/>
      <c r="W220" s="5"/>
      <c r="X220" s="5"/>
      <c r="Y220" s="5"/>
      <c r="Z220" s="5"/>
      <c r="AA220" s="69"/>
      <c r="AB220" s="5"/>
      <c r="AC220" s="5"/>
    </row>
    <row r="221" spans="4:29" ht="15" x14ac:dyDescent="0.25">
      <c r="D221" s="132">
        <v>0</v>
      </c>
      <c r="G221" s="150"/>
      <c r="H221" s="197"/>
      <c r="J221" s="68"/>
      <c r="K221" s="6"/>
      <c r="L221" s="32"/>
      <c r="M221" s="6"/>
      <c r="N221" s="6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69"/>
      <c r="AB221" s="5"/>
      <c r="AC221" s="5"/>
    </row>
    <row r="222" spans="4:29" ht="30" customHeight="1" x14ac:dyDescent="0.25">
      <c r="D222" s="132">
        <v>1</v>
      </c>
      <c r="G222" s="150"/>
      <c r="H222" s="114" t="s">
        <v>88</v>
      </c>
      <c r="I222" s="114"/>
      <c r="J222" s="114"/>
      <c r="K222" s="114"/>
      <c r="L222" s="114"/>
      <c r="M222" s="114"/>
      <c r="N222" s="111"/>
      <c r="O222" s="111"/>
      <c r="P222" s="111"/>
      <c r="Q222" s="111"/>
      <c r="R222" s="25"/>
      <c r="S222" s="25"/>
      <c r="T222" s="5"/>
      <c r="U222" s="5"/>
      <c r="V222" s="5"/>
      <c r="W222" s="5"/>
      <c r="X222" s="5"/>
      <c r="Y222" s="5"/>
      <c r="Z222" s="5"/>
      <c r="AA222" s="69"/>
      <c r="AB222" s="5"/>
      <c r="AC222" s="5"/>
    </row>
    <row r="223" spans="4:29" ht="15" customHeight="1" x14ac:dyDescent="0.25">
      <c r="D223" s="132"/>
      <c r="G223" s="150"/>
      <c r="H223" s="197"/>
      <c r="I223" s="111"/>
      <c r="J223" s="111"/>
      <c r="K223" s="111"/>
      <c r="L223" s="111"/>
      <c r="M223" s="111"/>
      <c r="N223" s="111"/>
      <c r="O223" s="111"/>
      <c r="P223" s="111"/>
      <c r="Q223" s="111"/>
      <c r="R223" s="111"/>
      <c r="S223" s="25"/>
      <c r="T223" s="5"/>
      <c r="U223" s="5"/>
      <c r="V223" s="5"/>
      <c r="W223" s="5"/>
      <c r="X223" s="5"/>
      <c r="Y223" s="5"/>
      <c r="Z223" s="5"/>
      <c r="AA223" s="69"/>
      <c r="AB223" s="5"/>
      <c r="AC223" s="5"/>
    </row>
    <row r="224" spans="4:29" ht="27" customHeight="1" x14ac:dyDescent="0.25">
      <c r="D224" s="199">
        <f>IF($C$10="SUBJECT",0,1)</f>
        <v>1</v>
      </c>
      <c r="G224" s="150"/>
      <c r="H224" s="114" t="s">
        <v>89</v>
      </c>
      <c r="I224" s="114"/>
      <c r="J224" s="114"/>
      <c r="K224" s="114"/>
      <c r="L224" s="114"/>
      <c r="M224" s="114"/>
      <c r="N224" s="111"/>
      <c r="O224" s="111"/>
      <c r="P224" s="111"/>
      <c r="Q224" s="111"/>
      <c r="R224" s="111"/>
      <c r="S224" s="25"/>
      <c r="T224" s="5"/>
      <c r="U224" s="5"/>
      <c r="V224" s="5"/>
      <c r="W224" s="5"/>
      <c r="X224" s="5"/>
      <c r="Y224" s="5"/>
      <c r="Z224" s="5"/>
      <c r="AA224" s="69"/>
      <c r="AB224" s="5"/>
      <c r="AC224" s="5"/>
    </row>
    <row r="225" spans="4:29" ht="29.25" customHeight="1" x14ac:dyDescent="0.25">
      <c r="D225" s="199">
        <f>IF($C$10="SUBJECT",0,1)</f>
        <v>1</v>
      </c>
      <c r="G225" s="150"/>
      <c r="H225" s="114" t="s">
        <v>90</v>
      </c>
      <c r="I225" s="114"/>
      <c r="J225" s="114"/>
      <c r="K225" s="114"/>
      <c r="L225" s="114"/>
      <c r="M225" s="114"/>
      <c r="N225" s="111"/>
      <c r="O225" s="111"/>
      <c r="P225" s="111"/>
      <c r="Q225" s="111"/>
      <c r="R225" s="111"/>
      <c r="S225" s="25"/>
      <c r="T225" s="5"/>
      <c r="U225" s="5"/>
      <c r="V225" s="5"/>
      <c r="W225" s="5"/>
      <c r="X225" s="5"/>
      <c r="Y225" s="5"/>
      <c r="Z225" s="5"/>
      <c r="AA225" s="69"/>
      <c r="AB225" s="5"/>
      <c r="AC225" s="5"/>
    </row>
    <row r="226" spans="4:29" ht="15" customHeight="1" x14ac:dyDescent="0.25">
      <c r="D226" s="199">
        <v>1</v>
      </c>
      <c r="G226" s="150"/>
      <c r="H226" s="197" t="s">
        <v>91</v>
      </c>
      <c r="I226" s="111"/>
      <c r="J226" s="111"/>
      <c r="K226" s="111"/>
      <c r="L226" s="111"/>
      <c r="M226" s="111"/>
      <c r="N226" s="111"/>
      <c r="O226" s="111"/>
      <c r="P226" s="111"/>
      <c r="Q226" s="111"/>
      <c r="R226" s="111"/>
      <c r="S226" s="25"/>
      <c r="T226" s="5"/>
      <c r="U226" s="5"/>
      <c r="V226" s="5"/>
      <c r="W226" s="5"/>
      <c r="X226" s="5"/>
      <c r="Y226" s="5"/>
      <c r="Z226" s="5"/>
      <c r="AA226" s="69"/>
      <c r="AB226" s="5"/>
      <c r="AC226" s="5"/>
    </row>
    <row r="227" spans="4:29" ht="15" customHeight="1" x14ac:dyDescent="0.25">
      <c r="D227" s="199"/>
      <c r="G227" s="150"/>
      <c r="H227" s="197"/>
      <c r="I227" s="111"/>
      <c r="J227" s="111"/>
      <c r="K227" s="111"/>
      <c r="L227" s="111"/>
      <c r="M227" s="111"/>
      <c r="N227" s="111"/>
      <c r="O227" s="111"/>
      <c r="P227" s="111"/>
      <c r="Q227" s="111"/>
      <c r="R227" s="111"/>
      <c r="S227" s="25"/>
      <c r="T227" s="5"/>
      <c r="U227" s="5"/>
      <c r="V227" s="5"/>
      <c r="W227" s="5"/>
      <c r="X227" s="5"/>
      <c r="Y227" s="5"/>
      <c r="Z227" s="5"/>
      <c r="AA227" s="69"/>
      <c r="AB227" s="5"/>
      <c r="AC227" s="5"/>
    </row>
    <row r="228" spans="4:29" ht="15" customHeight="1" x14ac:dyDescent="0.25">
      <c r="D228" s="199"/>
      <c r="G228" s="150"/>
      <c r="H228" s="197"/>
      <c r="I228" s="111"/>
      <c r="J228" s="111"/>
      <c r="K228" s="111"/>
      <c r="L228" s="111"/>
      <c r="M228" s="111"/>
      <c r="N228" s="111"/>
      <c r="O228" s="111"/>
      <c r="P228" s="111"/>
      <c r="Q228" s="111"/>
      <c r="R228" s="111"/>
      <c r="S228" s="25"/>
      <c r="T228" s="5"/>
      <c r="U228" s="5"/>
      <c r="V228" s="5"/>
      <c r="W228" s="5"/>
      <c r="X228" s="5"/>
      <c r="Y228" s="5"/>
      <c r="Z228" s="5"/>
      <c r="AA228" s="69"/>
      <c r="AB228" s="5"/>
      <c r="AC228" s="5"/>
    </row>
    <row r="229" spans="4:29" ht="15" customHeight="1" x14ac:dyDescent="0.25">
      <c r="D229" s="132"/>
      <c r="G229" s="150"/>
      <c r="H229" s="197"/>
      <c r="I229" s="111"/>
      <c r="J229" s="111"/>
      <c r="K229" s="111"/>
      <c r="L229" s="111"/>
      <c r="M229" s="111"/>
      <c r="N229" s="111"/>
      <c r="O229" s="111"/>
      <c r="P229" s="111"/>
      <c r="Q229" s="111"/>
      <c r="R229" s="25"/>
      <c r="S229" s="25"/>
      <c r="T229" s="5"/>
      <c r="U229" s="5"/>
      <c r="V229" s="5"/>
      <c r="W229" s="5"/>
      <c r="X229" s="5"/>
      <c r="Y229" s="5"/>
      <c r="Z229" s="5"/>
      <c r="AA229" s="69"/>
      <c r="AB229" s="5"/>
      <c r="AC229" s="5"/>
    </row>
    <row r="230" spans="4:29" ht="15" customHeight="1" x14ac:dyDescent="0.25">
      <c r="D230" s="132"/>
      <c r="G230" s="150"/>
      <c r="H230" s="197"/>
      <c r="I230" s="111"/>
      <c r="J230" s="111"/>
      <c r="K230" s="111"/>
      <c r="L230" s="111"/>
      <c r="M230" s="111"/>
      <c r="N230" s="111"/>
      <c r="O230" s="111"/>
      <c r="P230" s="111"/>
      <c r="Q230" s="111"/>
      <c r="R230" s="25"/>
      <c r="S230" s="25"/>
      <c r="T230" s="5"/>
      <c r="U230" s="5"/>
      <c r="V230" s="5"/>
      <c r="W230" s="5"/>
      <c r="X230" s="5"/>
      <c r="Y230" s="5"/>
      <c r="Z230" s="5"/>
      <c r="AA230" s="69"/>
      <c r="AB230" s="5"/>
      <c r="AC230" s="5"/>
    </row>
    <row r="231" spans="4:29" ht="15" customHeight="1" x14ac:dyDescent="0.25">
      <c r="D231" s="132"/>
      <c r="G231" s="150"/>
      <c r="H231" s="197"/>
      <c r="I231" s="111"/>
      <c r="J231" s="111"/>
      <c r="K231" s="111"/>
      <c r="L231" s="111"/>
      <c r="M231" s="111"/>
      <c r="N231" s="111"/>
      <c r="O231" s="111"/>
      <c r="P231" s="111"/>
      <c r="Q231" s="111"/>
      <c r="R231" s="25"/>
      <c r="S231" s="25"/>
      <c r="T231" s="5"/>
      <c r="U231" s="5"/>
      <c r="V231" s="5"/>
      <c r="W231" s="5"/>
      <c r="X231" s="5"/>
      <c r="Y231" s="5"/>
      <c r="Z231" s="5"/>
      <c r="AA231" s="69"/>
      <c r="AB231" s="5"/>
      <c r="AC231" s="5"/>
    </row>
    <row r="232" spans="4:29" ht="15" customHeight="1" x14ac:dyDescent="0.25">
      <c r="D232" s="132">
        <v>0</v>
      </c>
      <c r="G232" s="150"/>
      <c r="H232" s="197"/>
      <c r="I232" s="111"/>
      <c r="J232" s="111"/>
      <c r="K232" s="111"/>
      <c r="L232" s="111"/>
      <c r="M232" s="111"/>
      <c r="N232" s="111"/>
      <c r="O232" s="111"/>
      <c r="P232" s="111"/>
      <c r="Q232" s="111"/>
      <c r="R232" s="25"/>
      <c r="S232" s="25"/>
      <c r="T232" s="5"/>
      <c r="U232" s="5"/>
      <c r="V232" s="5"/>
      <c r="W232" s="5"/>
      <c r="X232" s="5"/>
      <c r="Y232" s="5"/>
      <c r="Z232" s="5"/>
      <c r="AA232" s="69"/>
      <c r="AB232" s="5"/>
      <c r="AC232" s="5"/>
    </row>
    <row r="233" spans="4:29" ht="15" customHeight="1" x14ac:dyDescent="0.25">
      <c r="D233" s="132">
        <f>IF($C$10="IOU",1,0)</f>
        <v>0</v>
      </c>
      <c r="G233" s="150"/>
      <c r="H233" s="197" t="s">
        <v>92</v>
      </c>
      <c r="I233" s="111"/>
      <c r="J233" s="111"/>
      <c r="K233" s="111"/>
      <c r="L233" s="111"/>
      <c r="M233" s="111"/>
      <c r="N233" s="111"/>
      <c r="O233" s="111"/>
      <c r="P233" s="111"/>
      <c r="Q233" s="111"/>
      <c r="R233" s="25"/>
      <c r="S233" s="25"/>
      <c r="T233" s="5"/>
      <c r="U233" s="5"/>
      <c r="V233" s="5"/>
      <c r="W233" s="5"/>
      <c r="X233" s="5"/>
      <c r="Y233" s="5"/>
      <c r="Z233" s="5"/>
      <c r="AA233" s="69"/>
      <c r="AB233" s="5"/>
      <c r="AC233" s="5"/>
    </row>
    <row r="234" spans="4:29" ht="15" x14ac:dyDescent="0.25">
      <c r="D234" s="132">
        <v>0</v>
      </c>
      <c r="G234" s="150"/>
      <c r="H234" s="197"/>
      <c r="J234" s="68"/>
      <c r="K234" s="6"/>
      <c r="L234" s="32"/>
      <c r="M234" s="6"/>
      <c r="N234" s="6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69"/>
      <c r="AB234" s="5"/>
      <c r="AC234" s="5"/>
    </row>
    <row r="235" spans="4:29" ht="15" x14ac:dyDescent="0.25">
      <c r="D235" s="132">
        <v>0</v>
      </c>
      <c r="G235" s="150"/>
      <c r="H235" s="197"/>
      <c r="J235" s="68"/>
      <c r="K235" s="6"/>
      <c r="L235" s="32"/>
      <c r="M235" s="6"/>
      <c r="N235" s="6"/>
      <c r="O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69"/>
      <c r="AB235" s="5"/>
      <c r="AC235" s="5"/>
    </row>
    <row r="236" spans="4:29" ht="15" x14ac:dyDescent="0.25">
      <c r="D236" s="132">
        <v>0</v>
      </c>
      <c r="G236" s="150"/>
      <c r="H236" s="197"/>
      <c r="J236" s="68"/>
      <c r="K236" s="6"/>
      <c r="L236" s="32"/>
      <c r="M236" s="6"/>
      <c r="N236" s="6"/>
      <c r="O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69"/>
      <c r="AB236" s="5"/>
      <c r="AC236" s="5"/>
    </row>
    <row r="237" spans="4:29" ht="15" x14ac:dyDescent="0.25">
      <c r="D237" s="132">
        <v>0</v>
      </c>
      <c r="G237" s="150"/>
      <c r="H237" s="197"/>
      <c r="J237" s="68"/>
      <c r="K237" s="6"/>
      <c r="L237" s="32"/>
      <c r="M237" s="6"/>
      <c r="N237" s="6"/>
      <c r="O237" s="5"/>
      <c r="Q237" s="5"/>
      <c r="R237" s="5"/>
      <c r="T237" s="5"/>
      <c r="U237" s="5"/>
      <c r="V237" s="5"/>
      <c r="W237" s="5"/>
      <c r="X237" s="5"/>
      <c r="Y237" s="5"/>
      <c r="Z237" s="5"/>
      <c r="AA237" s="69"/>
      <c r="AB237" s="5"/>
      <c r="AC237" s="5"/>
    </row>
    <row r="238" spans="4:29" ht="15" x14ac:dyDescent="0.25">
      <c r="D238" s="132">
        <v>0</v>
      </c>
      <c r="G238" s="150"/>
      <c r="H238" s="197"/>
      <c r="J238" s="68"/>
      <c r="K238" s="6"/>
      <c r="L238" s="32"/>
      <c r="M238" s="6"/>
      <c r="N238" s="6"/>
      <c r="O238" s="5"/>
      <c r="Q238" s="5"/>
      <c r="T238" s="5"/>
      <c r="U238" s="5"/>
      <c r="V238" s="5"/>
      <c r="W238" s="5"/>
      <c r="X238" s="5"/>
      <c r="Y238" s="5"/>
      <c r="Z238" s="5"/>
      <c r="AA238" s="69"/>
      <c r="AB238" s="5"/>
      <c r="AC238" s="5"/>
    </row>
    <row r="239" spans="4:29" ht="15" x14ac:dyDescent="0.25">
      <c r="D239" s="132">
        <v>0</v>
      </c>
      <c r="G239" s="150"/>
      <c r="H239" s="197"/>
      <c r="J239" s="68"/>
      <c r="K239" s="6"/>
      <c r="L239" s="32"/>
      <c r="M239" s="6"/>
      <c r="N239" s="6"/>
      <c r="O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69"/>
      <c r="AB239" s="5"/>
      <c r="AC239" s="5"/>
    </row>
    <row r="240" spans="4:29" ht="27" customHeight="1" x14ac:dyDescent="0.25">
      <c r="D240" s="132">
        <v>0</v>
      </c>
      <c r="G240" s="150"/>
      <c r="H240" s="114" t="s">
        <v>93</v>
      </c>
      <c r="I240" s="114"/>
      <c r="J240" s="114"/>
      <c r="K240" s="114"/>
      <c r="L240" s="114"/>
      <c r="M240" s="6"/>
      <c r="N240" s="6"/>
      <c r="O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69"/>
      <c r="AB240" s="5"/>
      <c r="AC240" s="5"/>
    </row>
    <row r="241" spans="1:29" ht="15" x14ac:dyDescent="0.25">
      <c r="D241" s="132">
        <v>0</v>
      </c>
      <c r="G241" s="150"/>
      <c r="J241" s="68"/>
      <c r="K241" s="6"/>
      <c r="L241" s="32"/>
      <c r="M241" s="6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69"/>
      <c r="AB241" s="5"/>
      <c r="AC241" s="5"/>
    </row>
    <row r="242" spans="1:29" ht="15" x14ac:dyDescent="0.25">
      <c r="D242" s="132">
        <v>0</v>
      </c>
      <c r="G242" s="150"/>
      <c r="J242" s="68"/>
      <c r="K242" s="6"/>
      <c r="L242" s="32"/>
      <c r="M242" s="6"/>
      <c r="O242" s="5"/>
      <c r="P242" s="5"/>
      <c r="Q242" s="5"/>
      <c r="R242" s="5"/>
      <c r="S242" s="70"/>
      <c r="T242" s="5"/>
      <c r="U242" s="5"/>
      <c r="V242" s="5"/>
      <c r="W242" s="5"/>
      <c r="X242" s="5"/>
      <c r="Y242" s="5"/>
      <c r="Z242" s="5"/>
      <c r="AA242" s="69"/>
      <c r="AB242" s="5"/>
      <c r="AC242" s="5"/>
    </row>
    <row r="243" spans="1:29" ht="15" x14ac:dyDescent="0.25">
      <c r="D243" s="132">
        <v>0</v>
      </c>
      <c r="G243" s="150"/>
      <c r="J243" s="68"/>
      <c r="K243" s="6"/>
      <c r="L243" s="32"/>
      <c r="M243" s="6"/>
      <c r="N243" s="6"/>
      <c r="O243" s="5"/>
      <c r="P243" s="5"/>
      <c r="Q243" s="5"/>
      <c r="R243" s="5"/>
      <c r="S243" s="70"/>
      <c r="T243" s="5"/>
      <c r="U243" s="5"/>
      <c r="V243" s="5"/>
      <c r="W243" s="5"/>
      <c r="X243" s="5"/>
      <c r="Y243" s="5"/>
      <c r="Z243" s="5"/>
      <c r="AA243" s="69"/>
      <c r="AB243" s="5"/>
      <c r="AC243" s="5"/>
    </row>
    <row r="244" spans="1:29" ht="15" x14ac:dyDescent="0.25">
      <c r="D244" s="132">
        <v>0</v>
      </c>
      <c r="G244" s="150"/>
      <c r="J244" s="68"/>
      <c r="K244" s="6"/>
      <c r="L244" s="32"/>
      <c r="M244" s="6"/>
      <c r="N244" s="6"/>
      <c r="O244" s="5"/>
      <c r="P244" s="5"/>
      <c r="Q244" s="5"/>
      <c r="R244" s="5"/>
      <c r="T244" s="5"/>
      <c r="U244" s="5"/>
      <c r="V244" s="5"/>
      <c r="W244" s="5"/>
      <c r="X244" s="5"/>
      <c r="Y244" s="5"/>
      <c r="Z244" s="5"/>
      <c r="AA244" s="69"/>
      <c r="AB244" s="5"/>
      <c r="AC244" s="5"/>
    </row>
    <row r="245" spans="1:29" ht="15" x14ac:dyDescent="0.25">
      <c r="D245" s="132">
        <v>0</v>
      </c>
      <c r="J245" s="68"/>
      <c r="K245" s="6"/>
      <c r="L245" s="32"/>
      <c r="M245" s="6"/>
      <c r="N245" s="6"/>
      <c r="O245" s="5"/>
      <c r="P245" s="5"/>
      <c r="Q245" s="5"/>
      <c r="R245" s="5"/>
      <c r="T245" s="5"/>
      <c r="U245" s="5"/>
      <c r="V245" s="5"/>
      <c r="W245" s="5"/>
      <c r="X245" s="5"/>
      <c r="Y245" s="5"/>
      <c r="Z245" s="5"/>
      <c r="AA245" s="69"/>
      <c r="AB245" s="5"/>
      <c r="AC245" s="5"/>
    </row>
    <row r="246" spans="1:29" ht="15" x14ac:dyDescent="0.25">
      <c r="A246" s="200">
        <v>2</v>
      </c>
      <c r="D246" s="132">
        <v>1</v>
      </c>
      <c r="G246" s="201" t="str">
        <f t="shared" ref="G246:G252" si="61">"("&amp;TEXT(A246,0)&amp;")"</f>
        <v>(2)</v>
      </c>
      <c r="H246" s="115" t="s">
        <v>94</v>
      </c>
      <c r="I246" s="115"/>
      <c r="J246" s="115"/>
      <c r="K246" s="115"/>
      <c r="L246" s="115"/>
      <c r="M246" s="115"/>
      <c r="N246" s="6"/>
      <c r="O246" s="5"/>
      <c r="P246" s="5"/>
      <c r="Q246" s="5"/>
      <c r="R246" s="5"/>
      <c r="S246" s="70"/>
      <c r="T246" s="5"/>
      <c r="U246" s="5"/>
      <c r="V246" s="5"/>
      <c r="W246" s="5"/>
      <c r="X246" s="5"/>
      <c r="Y246" s="5"/>
      <c r="Z246" s="5"/>
      <c r="AB246" s="5"/>
      <c r="AC246" s="5"/>
    </row>
    <row r="247" spans="1:29" ht="15" x14ac:dyDescent="0.25">
      <c r="A247" s="200">
        <v>3</v>
      </c>
      <c r="B247" s="202">
        <f>+F24</f>
        <v>5</v>
      </c>
      <c r="D247" s="132">
        <v>1</v>
      </c>
      <c r="G247" s="203" t="str">
        <f t="shared" si="61"/>
        <v>(3)</v>
      </c>
      <c r="H247" s="2" t="str">
        <f>+"Line "&amp;B247&amp;"."</f>
        <v>Line 5.</v>
      </c>
      <c r="J247" s="68"/>
      <c r="K247" s="6"/>
      <c r="L247" s="32"/>
      <c r="M247" s="6"/>
      <c r="N247" s="6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B247" s="5"/>
      <c r="AC247" s="5"/>
    </row>
    <row r="248" spans="1:29" ht="15" x14ac:dyDescent="0.25">
      <c r="A248" s="200">
        <v>4</v>
      </c>
      <c r="B248" s="202">
        <f>+F38</f>
        <v>16</v>
      </c>
      <c r="D248" s="132">
        <v>1</v>
      </c>
      <c r="G248" s="203" t="str">
        <f t="shared" si="61"/>
        <v>(4)</v>
      </c>
      <c r="H248" s="2" t="str">
        <f>+"Line "&amp;B248&amp;" + line "&amp;B248-2&amp;"."</f>
        <v>Line 16 + line 14.</v>
      </c>
      <c r="J248" s="68"/>
      <c r="K248" s="6"/>
      <c r="L248" s="32"/>
      <c r="M248" s="6"/>
      <c r="N248" s="6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B248" s="5"/>
      <c r="AC248" s="5"/>
    </row>
    <row r="249" spans="1:29" ht="15" x14ac:dyDescent="0.25">
      <c r="A249" s="200">
        <v>5</v>
      </c>
      <c r="B249" s="202">
        <f>+B248</f>
        <v>16</v>
      </c>
      <c r="D249" s="132">
        <v>1</v>
      </c>
      <c r="G249" s="203" t="str">
        <f t="shared" si="61"/>
        <v>(5)</v>
      </c>
      <c r="H249" s="2" t="str">
        <f>+"Line "&amp;B249&amp;"."</f>
        <v>Line 16.</v>
      </c>
      <c r="J249" s="68"/>
      <c r="K249" s="6"/>
      <c r="L249" s="32"/>
      <c r="M249" s="6"/>
      <c r="N249" s="6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B249" s="5"/>
      <c r="AC249" s="5"/>
    </row>
    <row r="250" spans="1:29" ht="30" customHeight="1" x14ac:dyDescent="0.25">
      <c r="A250" s="200">
        <v>6</v>
      </c>
      <c r="D250" s="132">
        <f>IF($C$10="IOU",0,1)</f>
        <v>1</v>
      </c>
      <c r="G250" s="201" t="str">
        <f t="shared" si="61"/>
        <v>(6)</v>
      </c>
      <c r="H250" s="112" t="str">
        <f>+"Capital Expenditures - Are estimates at "&amp;TEXT(Q303,"0.00%")&amp;" of prior year-end GROSS Property, plant and equipment."</f>
        <v>Capital Expenditures - Are estimates at 1.59% of prior year-end GROSS Property, plant and equipment.</v>
      </c>
      <c r="I250" s="112"/>
      <c r="J250" s="112"/>
      <c r="K250" s="112"/>
      <c r="L250" s="112"/>
      <c r="M250" s="112"/>
      <c r="N250" s="109"/>
      <c r="O250" s="109"/>
      <c r="P250" s="109"/>
      <c r="Q250" s="109"/>
      <c r="R250" s="5"/>
      <c r="S250" s="5"/>
      <c r="T250" s="5" t="s">
        <v>95</v>
      </c>
      <c r="U250" s="5" t="s">
        <v>95</v>
      </c>
      <c r="V250" s="5" t="s">
        <v>95</v>
      </c>
      <c r="W250" s="5" t="s">
        <v>95</v>
      </c>
      <c r="X250" s="5" t="s">
        <v>95</v>
      </c>
      <c r="Y250" s="5" t="s">
        <v>95</v>
      </c>
      <c r="Z250" s="5" t="s">
        <v>95</v>
      </c>
      <c r="AA250" s="5" t="s">
        <v>95</v>
      </c>
      <c r="AB250" s="5"/>
      <c r="AC250" s="5"/>
    </row>
    <row r="251" spans="1:29" ht="30.75" customHeight="1" x14ac:dyDescent="0.25">
      <c r="A251" s="200">
        <v>6</v>
      </c>
      <c r="D251" s="132">
        <f>IF($C$10="IOU",1,0)</f>
        <v>0</v>
      </c>
      <c r="F251" s="150"/>
      <c r="G251" s="201" t="str">
        <f t="shared" si="61"/>
        <v>(6)</v>
      </c>
      <c r="H251" s="116" t="str">
        <f>+"Capital Expenditures - Are estimates at "&amp;TEXT(Q303,"0.00%")&amp;" of prior year-end GROSS Property, plant and equipment."</f>
        <v>Capital Expenditures - Are estimates at 1.59% of prior year-end GROSS Property, plant and equipment.</v>
      </c>
      <c r="I251" s="116"/>
      <c r="J251" s="116"/>
      <c r="K251" s="116"/>
      <c r="L251" s="116"/>
      <c r="M251" s="116"/>
      <c r="N251" s="109"/>
      <c r="O251" s="109"/>
      <c r="P251" s="109"/>
      <c r="Q251" s="109"/>
      <c r="R251" s="5"/>
      <c r="T251" s="204" t="str">
        <f>+"reduction in cost due to the fact governmental agencies must pay prevailing wages while private companies do not. Post-2020 years are estimates at "&amp;TEXT(Q303,"0.00%")&amp;" of prior year-end GROSS Property, plant and equipment."</f>
        <v>reduction in cost due to the fact governmental agencies must pay prevailing wages while private companies do not. Post-2020 years are estimates at 1.59% of prior year-end GROSS Property, plant and equipment.</v>
      </c>
      <c r="U251" s="5"/>
      <c r="V251" s="5"/>
      <c r="W251" s="5"/>
      <c r="X251" s="5"/>
      <c r="Y251" s="5"/>
      <c r="Z251" s="5"/>
      <c r="AB251" s="5"/>
      <c r="AC251" s="5"/>
    </row>
    <row r="252" spans="1:29" ht="17.25" customHeight="1" x14ac:dyDescent="0.25">
      <c r="A252" s="200">
        <v>7</v>
      </c>
      <c r="D252" s="132">
        <v>1</v>
      </c>
      <c r="G252" s="201" t="str">
        <f t="shared" si="61"/>
        <v>(7)</v>
      </c>
      <c r="H252" s="205" t="s">
        <v>96</v>
      </c>
      <c r="I252" s="205"/>
      <c r="J252" s="205"/>
      <c r="K252" s="205"/>
      <c r="L252" s="205"/>
      <c r="M252" s="205"/>
      <c r="N252" s="205"/>
      <c r="O252" s="205"/>
      <c r="P252" s="205"/>
      <c r="Q252" s="205"/>
      <c r="R252" s="206"/>
      <c r="S252" s="206"/>
      <c r="T252" s="5" t="str">
        <f>+"Capital Expenditures - Year 2016 are from Engineers Assessment inventory post-2015 additions. Years 2017 - 2020 are from Engineers Assessment CIP @ 30%. "&amp;T251</f>
        <v>Capital Expenditures - Year 2016 are from Engineers Assessment inventory post-2015 additions. Years 2017 - 2020 are from Engineers Assessment CIP @ 30%. reduction in cost due to the fact governmental agencies must pay prevailing wages while private companies do not. Post-2020 years are estimates at 1.59% of prior year-end GROSS Property, plant and equipment.</v>
      </c>
      <c r="U252" s="5"/>
      <c r="V252" s="5"/>
      <c r="W252" s="5"/>
      <c r="X252" s="5"/>
      <c r="Y252" s="5"/>
      <c r="Z252" s="5"/>
      <c r="AB252" s="5"/>
      <c r="AC252" s="5"/>
    </row>
    <row r="253" spans="1:29" ht="15" x14ac:dyDescent="0.25">
      <c r="D253" s="132">
        <v>0</v>
      </c>
    </row>
    <row r="254" spans="1:29" ht="30.75" customHeight="1" x14ac:dyDescent="0.25">
      <c r="A254" s="5">
        <v>0</v>
      </c>
      <c r="D254" s="132">
        <v>0</v>
      </c>
      <c r="G254" s="201"/>
      <c r="H254" s="207" t="s">
        <v>97</v>
      </c>
      <c r="I254" s="207"/>
      <c r="J254" s="207"/>
      <c r="K254" s="207"/>
      <c r="L254" s="207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B254" s="5"/>
      <c r="AC254" s="5"/>
    </row>
    <row r="255" spans="1:29" ht="15" x14ac:dyDescent="0.25">
      <c r="A255" s="5">
        <v>0</v>
      </c>
      <c r="D255" s="132">
        <v>0</v>
      </c>
      <c r="G255" s="203"/>
      <c r="H255" s="2" t="s">
        <v>98</v>
      </c>
      <c r="I255" s="6"/>
      <c r="J255" s="208"/>
      <c r="K255" s="6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B255" s="5"/>
      <c r="AC255" s="5"/>
    </row>
    <row r="256" spans="1:29" ht="30" customHeight="1" x14ac:dyDescent="0.25">
      <c r="A256" s="5">
        <v>8</v>
      </c>
      <c r="D256" s="132">
        <f>IF($C$10="IOU",1,0)</f>
        <v>0</v>
      </c>
      <c r="G256" s="201" t="str">
        <f t="shared" ref="G256:G264" si="62">"("&amp;TEXT(A256,0)&amp;")"</f>
        <v>(8)</v>
      </c>
      <c r="H256" s="207" t="s">
        <v>99</v>
      </c>
      <c r="I256" s="207"/>
      <c r="J256" s="207"/>
      <c r="K256" s="207"/>
      <c r="L256" s="207"/>
      <c r="M256" s="207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B256" s="5"/>
      <c r="AC256" s="5"/>
    </row>
    <row r="257" spans="1:29" ht="30" customHeight="1" x14ac:dyDescent="0.25">
      <c r="A257" s="5">
        <v>9</v>
      </c>
      <c r="D257" s="132">
        <f>IF($C$10="IOU",1,0)</f>
        <v>0</v>
      </c>
      <c r="G257" s="201" t="str">
        <f t="shared" si="62"/>
        <v>(9)</v>
      </c>
      <c r="H257" s="207" t="s">
        <v>100</v>
      </c>
      <c r="I257" s="207"/>
      <c r="J257" s="207"/>
      <c r="K257" s="207"/>
      <c r="L257" s="207"/>
      <c r="M257" s="207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B257" s="5"/>
      <c r="AC257" s="5"/>
    </row>
    <row r="258" spans="1:29" ht="30" customHeight="1" x14ac:dyDescent="0.25">
      <c r="A258" s="5">
        <v>8</v>
      </c>
      <c r="D258" s="132">
        <f>IF($C$10="IOU",0,1)</f>
        <v>1</v>
      </c>
      <c r="G258" s="201" t="str">
        <f t="shared" si="62"/>
        <v>(8)</v>
      </c>
      <c r="H258" s="207" t="s">
        <v>101</v>
      </c>
      <c r="I258" s="207"/>
      <c r="J258" s="207"/>
      <c r="K258" s="207"/>
      <c r="L258" s="207"/>
      <c r="M258" s="207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B258" s="5"/>
      <c r="AC258" s="5"/>
    </row>
    <row r="259" spans="1:29" ht="30" customHeight="1" x14ac:dyDescent="0.25">
      <c r="A259" s="5">
        <v>9</v>
      </c>
      <c r="D259" s="132">
        <f>IF($C$10="MUNI",1,0)</f>
        <v>1</v>
      </c>
      <c r="G259" s="201" t="str">
        <f t="shared" si="62"/>
        <v>(9)</v>
      </c>
      <c r="H259" s="207" t="s">
        <v>102</v>
      </c>
      <c r="I259" s="207"/>
      <c r="J259" s="207"/>
      <c r="K259" s="207"/>
      <c r="L259" s="207"/>
      <c r="M259" s="207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B259" s="5"/>
      <c r="AC259" s="5"/>
    </row>
    <row r="260" spans="1:29" ht="15" x14ac:dyDescent="0.25">
      <c r="A260" s="5">
        <v>10</v>
      </c>
      <c r="B260" s="202">
        <f>+F52</f>
        <v>26</v>
      </c>
      <c r="D260" s="132">
        <v>1</v>
      </c>
      <c r="G260" s="203" t="str">
        <f t="shared" si="62"/>
        <v>(10)</v>
      </c>
      <c r="H260" s="2" t="str">
        <f>+"Final year shown, line "&amp;B260&amp;"."</f>
        <v>Final year shown, line 26.</v>
      </c>
      <c r="I260" s="6"/>
      <c r="J260" s="208"/>
      <c r="K260" s="6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B260" s="5"/>
      <c r="AC260" s="5"/>
    </row>
    <row r="261" spans="1:29" ht="15" x14ac:dyDescent="0.25">
      <c r="A261" s="5">
        <v>11</v>
      </c>
      <c r="B261" s="202">
        <f>IF($C$10="IOU",+F54,+F70)</f>
        <v>28</v>
      </c>
      <c r="D261" s="132">
        <f>IF($C$10="SUBJECT",0,1)</f>
        <v>1</v>
      </c>
      <c r="G261" s="203" t="str">
        <f t="shared" si="62"/>
        <v>(11)</v>
      </c>
      <c r="H261" s="2" t="str">
        <f>+"Final year shown, line "&amp;B261&amp;"."</f>
        <v>Final year shown, line 28.</v>
      </c>
      <c r="I261" s="6"/>
      <c r="J261" s="208"/>
      <c r="K261" s="6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B261" s="5"/>
      <c r="AC261" s="5"/>
    </row>
    <row r="262" spans="1:29" ht="15" x14ac:dyDescent="0.25">
      <c r="A262" s="5">
        <v>12</v>
      </c>
      <c r="B262" s="202">
        <f>IF($C$10="IOU",+F58,+F70)</f>
        <v>28</v>
      </c>
      <c r="D262" s="132">
        <f>IF($C$10="SUBJECT",0,1)</f>
        <v>1</v>
      </c>
      <c r="G262" s="203" t="str">
        <f t="shared" si="62"/>
        <v>(12)</v>
      </c>
      <c r="H262" s="2" t="str">
        <f>+"Final year shown, line "&amp;B262&amp;"."</f>
        <v>Final year shown, line 28.</v>
      </c>
      <c r="I262" s="6"/>
      <c r="J262" s="208"/>
      <c r="K262" s="6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B262" s="5"/>
      <c r="AC262" s="5"/>
    </row>
    <row r="263" spans="1:29" ht="15" x14ac:dyDescent="0.25">
      <c r="A263" s="5">
        <v>13</v>
      </c>
      <c r="B263" s="2"/>
      <c r="D263" s="132">
        <f>IF($C$10="SUBJECT",0,1)</f>
        <v>1</v>
      </c>
      <c r="G263" s="203" t="str">
        <f t="shared" si="62"/>
        <v>(13)</v>
      </c>
      <c r="H263" s="2" t="s">
        <v>103</v>
      </c>
      <c r="I263" s="6"/>
      <c r="J263" s="208"/>
      <c r="K263" s="6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B263" s="5"/>
      <c r="AC263" s="5"/>
    </row>
    <row r="264" spans="1:29" ht="15" x14ac:dyDescent="0.25">
      <c r="A264" s="5">
        <v>11</v>
      </c>
      <c r="D264" s="132"/>
      <c r="G264" s="203" t="str">
        <f t="shared" si="62"/>
        <v>(11)</v>
      </c>
      <c r="H264" s="2" t="s">
        <v>104</v>
      </c>
      <c r="I264" s="6"/>
      <c r="J264" s="208"/>
      <c r="K264" s="6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</row>
    <row r="265" spans="1:29" ht="15" x14ac:dyDescent="0.25">
      <c r="D265" s="132">
        <v>0</v>
      </c>
      <c r="G265" s="203"/>
      <c r="I265" s="6"/>
      <c r="J265" s="208"/>
      <c r="K265" s="6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</row>
    <row r="266" spans="1:29" ht="15" x14ac:dyDescent="0.25">
      <c r="B266" s="2"/>
      <c r="D266" s="132">
        <v>0</v>
      </c>
      <c r="G266" s="209"/>
      <c r="I266" s="6"/>
      <c r="J266" s="208"/>
      <c r="K266" s="6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</row>
    <row r="267" spans="1:29" ht="15" x14ac:dyDescent="0.25">
      <c r="D267" s="132">
        <v>1</v>
      </c>
      <c r="G267" s="209"/>
      <c r="H267" s="208"/>
      <c r="I267" s="6"/>
      <c r="J267" s="208"/>
      <c r="K267" s="6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</row>
    <row r="268" spans="1:29" ht="15" x14ac:dyDescent="0.25">
      <c r="D268" s="132">
        <v>1</v>
      </c>
      <c r="G268" s="210" t="s">
        <v>105</v>
      </c>
      <c r="I268" s="6"/>
      <c r="J268" s="208"/>
      <c r="K268" s="6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</row>
    <row r="269" spans="1:29" ht="15" x14ac:dyDescent="0.25">
      <c r="D269" s="132">
        <v>1</v>
      </c>
      <c r="G269" s="210"/>
      <c r="H269" s="2" t="s">
        <v>106</v>
      </c>
      <c r="I269" s="6"/>
      <c r="J269" s="208"/>
      <c r="K269" s="6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</row>
    <row r="270" spans="1:29" ht="15" x14ac:dyDescent="0.25">
      <c r="D270" s="132">
        <v>1</v>
      </c>
      <c r="G270" s="210"/>
      <c r="H270" s="2" t="s">
        <v>107</v>
      </c>
      <c r="I270" s="6"/>
      <c r="J270" s="208"/>
      <c r="K270" s="6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</row>
    <row r="271" spans="1:29" ht="15" x14ac:dyDescent="0.25">
      <c r="D271" s="132">
        <v>1</v>
      </c>
      <c r="G271" s="210"/>
      <c r="H271" s="2" t="s">
        <v>108</v>
      </c>
      <c r="I271" s="6"/>
      <c r="J271" s="208"/>
      <c r="K271" s="6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</row>
    <row r="272" spans="1:29" ht="15" x14ac:dyDescent="0.25">
      <c r="D272" s="132">
        <v>1</v>
      </c>
      <c r="G272" s="209"/>
      <c r="H272" s="2" t="s">
        <v>109</v>
      </c>
      <c r="I272" s="6"/>
      <c r="J272" s="208"/>
      <c r="K272" s="6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</row>
    <row r="273" spans="4:29" ht="15" x14ac:dyDescent="0.25">
      <c r="D273" s="132">
        <v>1</v>
      </c>
      <c r="G273" s="211"/>
      <c r="H273" s="2" t="s">
        <v>110</v>
      </c>
      <c r="I273" s="6"/>
      <c r="J273" s="6"/>
      <c r="K273" s="6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</row>
    <row r="274" spans="4:29" ht="15" x14ac:dyDescent="0.25">
      <c r="D274" s="132">
        <v>1</v>
      </c>
      <c r="G274" s="211"/>
      <c r="H274" s="2" t="s">
        <v>111</v>
      </c>
      <c r="I274" s="6"/>
      <c r="J274" s="6"/>
      <c r="K274" s="6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</row>
    <row r="275" spans="4:29" ht="15" x14ac:dyDescent="0.25">
      <c r="D275" s="132">
        <v>1</v>
      </c>
      <c r="G275" s="211"/>
      <c r="H275" s="2" t="s">
        <v>112</v>
      </c>
      <c r="I275" s="6"/>
      <c r="J275" s="6"/>
      <c r="K275" s="6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</row>
    <row r="276" spans="4:29" ht="15" x14ac:dyDescent="0.25">
      <c r="D276" s="132">
        <v>0</v>
      </c>
      <c r="G276" s="211"/>
      <c r="H276" s="2" t="s">
        <v>113</v>
      </c>
      <c r="I276" s="6"/>
      <c r="J276" s="6"/>
      <c r="K276" s="6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</row>
    <row r="277" spans="4:29" ht="15" x14ac:dyDescent="0.25">
      <c r="D277" s="132">
        <v>0</v>
      </c>
      <c r="G277" s="211"/>
      <c r="I277" s="6"/>
      <c r="J277" s="6"/>
      <c r="K277" s="6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</row>
    <row r="278" spans="4:29" ht="15" x14ac:dyDescent="0.25">
      <c r="D278" s="132">
        <v>0</v>
      </c>
      <c r="G278" s="211">
        <v>13</v>
      </c>
      <c r="H278" s="208"/>
      <c r="I278" s="6"/>
      <c r="J278" s="6"/>
      <c r="K278" s="6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</row>
    <row r="279" spans="4:29" ht="15" x14ac:dyDescent="0.25">
      <c r="D279" s="132">
        <v>0</v>
      </c>
      <c r="G279" s="211">
        <v>14</v>
      </c>
      <c r="H279" s="6"/>
      <c r="I279" s="6"/>
      <c r="J279" s="6"/>
      <c r="K279" s="6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</row>
    <row r="280" spans="4:29" ht="15" x14ac:dyDescent="0.25">
      <c r="D280" s="132">
        <v>0</v>
      </c>
      <c r="G280" s="211">
        <v>15</v>
      </c>
      <c r="H280" s="6"/>
      <c r="I280" s="6"/>
      <c r="J280" s="6"/>
      <c r="K280" s="6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</row>
    <row r="281" spans="4:29" ht="15" x14ac:dyDescent="0.25">
      <c r="D281" s="132">
        <v>0</v>
      </c>
      <c r="G281" s="211">
        <v>16</v>
      </c>
      <c r="H281" s="6"/>
      <c r="I281" s="6"/>
      <c r="J281" s="6"/>
      <c r="K281" s="6"/>
      <c r="L281" s="5"/>
      <c r="N281" s="5"/>
      <c r="R281" s="5"/>
      <c r="AA281" s="5"/>
      <c r="AB281" s="5"/>
      <c r="AC281" s="5"/>
    </row>
    <row r="282" spans="4:29" ht="15" x14ac:dyDescent="0.25">
      <c r="D282" s="132">
        <v>0</v>
      </c>
      <c r="G282" s="211">
        <v>17</v>
      </c>
      <c r="H282" s="6"/>
      <c r="I282" s="15"/>
      <c r="J282" s="15"/>
      <c r="K282" s="15"/>
      <c r="L282" s="15"/>
      <c r="M282" s="15"/>
      <c r="N282" s="15"/>
      <c r="O282" s="15"/>
      <c r="P282" s="15"/>
      <c r="R282" s="5"/>
      <c r="AA282" s="5"/>
      <c r="AB282" s="5"/>
      <c r="AC282" s="5"/>
    </row>
    <row r="283" spans="4:29" ht="15.75" thickBot="1" x14ac:dyDescent="0.3">
      <c r="D283" s="132">
        <v>0</v>
      </c>
      <c r="H283" s="6"/>
      <c r="I283" s="6"/>
      <c r="J283" s="6"/>
      <c r="K283" s="6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</row>
    <row r="284" spans="4:29" ht="13.5" thickBot="1" x14ac:dyDescent="0.25">
      <c r="G284" s="212" t="s">
        <v>114</v>
      </c>
      <c r="H284" s="213"/>
      <c r="I284" s="213"/>
      <c r="J284" s="213"/>
      <c r="K284" s="213"/>
      <c r="L284" s="213"/>
      <c r="M284" s="213"/>
      <c r="N284" s="214"/>
      <c r="O284" s="215" t="s">
        <v>114</v>
      </c>
      <c r="P284" s="35"/>
      <c r="Q284" s="35"/>
      <c r="R284" s="35"/>
      <c r="S284" s="35"/>
      <c r="T284" s="35"/>
      <c r="U284" s="35"/>
      <c r="V284" s="36"/>
      <c r="W284" s="5"/>
      <c r="X284" s="5"/>
      <c r="Y284" s="5"/>
      <c r="Z284" s="5"/>
      <c r="AA284" s="5"/>
      <c r="AB284" s="5"/>
      <c r="AC284" s="5"/>
    </row>
    <row r="285" spans="4:29" x14ac:dyDescent="0.2">
      <c r="H285" s="76">
        <f t="shared" ref="H285:Z285" si="63">+H19</f>
        <v>2013</v>
      </c>
      <c r="I285" s="76">
        <f t="shared" si="63"/>
        <v>2014</v>
      </c>
      <c r="J285" s="76">
        <f t="shared" si="63"/>
        <v>2015</v>
      </c>
      <c r="K285" s="76">
        <f t="shared" si="63"/>
        <v>2016</v>
      </c>
      <c r="L285" s="76">
        <f t="shared" si="63"/>
        <v>2017</v>
      </c>
      <c r="M285" s="76">
        <f t="shared" si="63"/>
        <v>2018</v>
      </c>
      <c r="N285" s="216">
        <f t="shared" si="63"/>
        <v>2019</v>
      </c>
      <c r="O285" s="216">
        <f t="shared" si="63"/>
        <v>2020</v>
      </c>
      <c r="P285" s="76">
        <f t="shared" si="63"/>
        <v>2021</v>
      </c>
      <c r="Q285" s="76">
        <f t="shared" si="63"/>
        <v>2022</v>
      </c>
      <c r="R285" s="76">
        <f t="shared" si="63"/>
        <v>2023</v>
      </c>
      <c r="S285" s="76">
        <f t="shared" si="63"/>
        <v>2024</v>
      </c>
      <c r="T285" s="76">
        <f t="shared" si="63"/>
        <v>2025</v>
      </c>
      <c r="U285" s="76">
        <f t="shared" si="63"/>
        <v>2026</v>
      </c>
      <c r="V285" s="76">
        <f t="shared" si="63"/>
        <v>2027</v>
      </c>
      <c r="W285" s="76">
        <f t="shared" si="63"/>
        <v>2028</v>
      </c>
      <c r="X285" s="76">
        <f t="shared" si="63"/>
        <v>2029</v>
      </c>
      <c r="Y285" s="76">
        <f t="shared" si="63"/>
        <v>2030</v>
      </c>
      <c r="Z285" s="76">
        <f t="shared" si="63"/>
        <v>2031</v>
      </c>
      <c r="AA285" s="76">
        <f t="shared" ref="AA285" si="64">+Z285+1</f>
        <v>2032</v>
      </c>
    </row>
    <row r="286" spans="4:29" x14ac:dyDescent="0.2">
      <c r="H286" s="76"/>
      <c r="I286" s="76"/>
      <c r="J286" s="76"/>
      <c r="K286" s="76"/>
      <c r="L286" s="76"/>
      <c r="M286" s="76"/>
      <c r="N286" s="76"/>
      <c r="O286" s="76"/>
      <c r="P286" s="76"/>
      <c r="Q286" s="76"/>
      <c r="R286" s="76"/>
      <c r="S286" s="76"/>
      <c r="T286" s="76"/>
      <c r="U286" s="76"/>
      <c r="V286" s="76"/>
      <c r="W286" s="76"/>
      <c r="X286" s="76"/>
      <c r="Y286" s="76"/>
      <c r="Z286" s="76"/>
      <c r="AA286" s="76"/>
    </row>
    <row r="287" spans="4:29" x14ac:dyDescent="0.2">
      <c r="G287" s="2" t="s">
        <v>115</v>
      </c>
      <c r="H287" s="217">
        <f>+H449</f>
        <v>0</v>
      </c>
      <c r="I287" s="217">
        <f t="shared" ref="I287:J287" si="65">+I449</f>
        <v>0</v>
      </c>
      <c r="J287" s="217">
        <f t="shared" si="65"/>
        <v>0</v>
      </c>
      <c r="K287" s="217"/>
      <c r="L287" s="217">
        <v>10225921</v>
      </c>
      <c r="M287" s="217">
        <f>+L287+M304-M309</f>
        <v>10225921</v>
      </c>
      <c r="N287" s="217">
        <f>+M287+N304-N309</f>
        <v>10365471</v>
      </c>
      <c r="O287" s="217">
        <f>+N287+O304-O309</f>
        <v>10505805</v>
      </c>
      <c r="P287" s="217">
        <f>+O287+P304-P309</f>
        <v>10648048</v>
      </c>
      <c r="Q287" s="217">
        <f>+P287+Q304-Q309</f>
        <v>10792217</v>
      </c>
      <c r="R287" s="217">
        <f>+Q287+R304-R309</f>
        <v>10938338</v>
      </c>
      <c r="S287" s="217">
        <f>+R287+S304-S309</f>
        <v>11086438</v>
      </c>
      <c r="T287" s="217">
        <f>+S287+T304-T309</f>
        <v>11236543</v>
      </c>
      <c r="U287" s="217">
        <f>+T287+U304-U309</f>
        <v>11388405</v>
      </c>
      <c r="V287" s="217">
        <f>+U287+V304-V309</f>
        <v>11542320</v>
      </c>
      <c r="W287" s="217">
        <f>+V287+W304-W309</f>
        <v>11698315</v>
      </c>
      <c r="X287" s="217">
        <f>+W287+X304-X309</f>
        <v>11856418</v>
      </c>
      <c r="Y287" s="217">
        <f>+X287+Y304-Y309</f>
        <v>12016657</v>
      </c>
      <c r="Z287" s="217">
        <f>+Y287+Z304-Z309</f>
        <v>12179062</v>
      </c>
      <c r="AA287" s="76"/>
    </row>
    <row r="288" spans="4:29" x14ac:dyDescent="0.2">
      <c r="G288" s="2" t="s">
        <v>116</v>
      </c>
      <c r="H288" s="217">
        <f t="shared" ref="H288:J288" si="66">+H450</f>
        <v>0</v>
      </c>
      <c r="I288" s="217">
        <f t="shared" si="66"/>
        <v>0</v>
      </c>
      <c r="J288" s="217">
        <f t="shared" si="66"/>
        <v>0</v>
      </c>
      <c r="K288" s="217"/>
      <c r="L288" s="217">
        <v>3483924</v>
      </c>
      <c r="M288" s="217">
        <f>+L288+M312-M309</f>
        <v>3656742.0649000001</v>
      </c>
      <c r="N288" s="217">
        <f>+M288+N312-N309</f>
        <v>3805903.9335000003</v>
      </c>
      <c r="O288" s="217">
        <f>+N288+O312-O309</f>
        <v>3957291.8649000004</v>
      </c>
      <c r="P288" s="217">
        <f>+O288+P312-P309</f>
        <v>4110727.7456000005</v>
      </c>
      <c r="Q288" s="217">
        <f>+P288+Q312-Q309</f>
        <v>4266240.7870000005</v>
      </c>
      <c r="R288" s="217">
        <f>+Q288+R312-R309</f>
        <v>4423860.4709000001</v>
      </c>
      <c r="S288" s="217">
        <f>+R288+S312-S309</f>
        <v>4583613.7016000003</v>
      </c>
      <c r="T288" s="217">
        <f>+S288+T312-T309</f>
        <v>4745529.8397000004</v>
      </c>
      <c r="U288" s="217">
        <f>+T288+U312-U309</f>
        <v>4909685.5133000007</v>
      </c>
      <c r="V288" s="217">
        <f>+U288+V312-V309</f>
        <v>5076059.5369000006</v>
      </c>
      <c r="W288" s="217">
        <f>+V288+W312-W309</f>
        <v>5244682.5217000004</v>
      </c>
      <c r="X288" s="217">
        <f>+W288+X312-X309</f>
        <v>5415584.5352000007</v>
      </c>
      <c r="Y288" s="217">
        <f>+X288+Y312-Y309</f>
        <v>5588795.1012000004</v>
      </c>
      <c r="Z288" s="217">
        <f>+Y288+Z312-Z309</f>
        <v>5764346.2505000001</v>
      </c>
      <c r="AA288" s="76"/>
    </row>
    <row r="289" spans="4:27" ht="13.5" thickBot="1" x14ac:dyDescent="0.25">
      <c r="G289" s="218" t="s">
        <v>117</v>
      </c>
      <c r="H289" s="219">
        <f>+H287-H288</f>
        <v>0</v>
      </c>
      <c r="I289" s="219">
        <f t="shared" ref="I289:Z289" si="67">+I287-I288</f>
        <v>0</v>
      </c>
      <c r="J289" s="219">
        <f t="shared" si="67"/>
        <v>0</v>
      </c>
      <c r="K289" s="219"/>
      <c r="L289" s="219">
        <v>6741997</v>
      </c>
      <c r="M289" s="219">
        <f t="shared" si="67"/>
        <v>6569178.9351000004</v>
      </c>
      <c r="N289" s="219">
        <f t="shared" si="67"/>
        <v>6559567.0664999997</v>
      </c>
      <c r="O289" s="219">
        <f t="shared" si="67"/>
        <v>6548513.1350999996</v>
      </c>
      <c r="P289" s="219">
        <f t="shared" si="67"/>
        <v>6537320.2544</v>
      </c>
      <c r="Q289" s="219">
        <f t="shared" si="67"/>
        <v>6525976.2129999995</v>
      </c>
      <c r="R289" s="219">
        <f t="shared" si="67"/>
        <v>6514477.5290999999</v>
      </c>
      <c r="S289" s="219">
        <f t="shared" si="67"/>
        <v>6502824.2983999997</v>
      </c>
      <c r="T289" s="219">
        <f t="shared" si="67"/>
        <v>6491013.1602999996</v>
      </c>
      <c r="U289" s="219">
        <f t="shared" si="67"/>
        <v>6478719.4866999993</v>
      </c>
      <c r="V289" s="219">
        <f t="shared" si="67"/>
        <v>6466260.4630999994</v>
      </c>
      <c r="W289" s="219">
        <f t="shared" si="67"/>
        <v>6453632.4782999996</v>
      </c>
      <c r="X289" s="219">
        <f t="shared" si="67"/>
        <v>6440833.4647999993</v>
      </c>
      <c r="Y289" s="219">
        <f t="shared" si="67"/>
        <v>6427861.8987999996</v>
      </c>
      <c r="Z289" s="219">
        <f t="shared" si="67"/>
        <v>6414715.7494999999</v>
      </c>
      <c r="AA289" s="76"/>
    </row>
    <row r="290" spans="4:27" ht="13.5" thickTop="1" x14ac:dyDescent="0.2">
      <c r="H290" s="76"/>
      <c r="I290" s="76"/>
      <c r="J290" s="76"/>
      <c r="K290" s="76"/>
      <c r="L290" s="220"/>
      <c r="M290" s="76"/>
      <c r="N290" s="76"/>
      <c r="O290" s="76"/>
      <c r="P290" s="76"/>
      <c r="Q290" s="76"/>
      <c r="R290" s="76"/>
      <c r="S290" s="76"/>
      <c r="T290" s="76"/>
      <c r="U290" s="76"/>
      <c r="V290" s="76"/>
      <c r="W290" s="76"/>
      <c r="X290" s="76"/>
      <c r="Y290" s="76"/>
      <c r="Z290" s="220"/>
      <c r="AA290" s="76"/>
    </row>
    <row r="291" spans="4:27" ht="15" x14ac:dyDescent="0.25">
      <c r="G291" s="69" t="s">
        <v>118</v>
      </c>
      <c r="H291" s="217">
        <f>+H453</f>
        <v>0</v>
      </c>
      <c r="I291" s="217">
        <f t="shared" ref="I291:K292" si="68">+I453</f>
        <v>0</v>
      </c>
      <c r="J291" s="217">
        <f t="shared" si="68"/>
        <v>0</v>
      </c>
      <c r="K291" s="217">
        <f t="shared" si="68"/>
        <v>0</v>
      </c>
      <c r="L291" s="221">
        <f>+K291</f>
        <v>0</v>
      </c>
      <c r="M291" s="222">
        <f>+L291</f>
        <v>0</v>
      </c>
      <c r="N291" s="222">
        <f>+M291</f>
        <v>0</v>
      </c>
      <c r="O291" s="223"/>
      <c r="P291" s="223"/>
      <c r="Q291" s="223"/>
      <c r="R291" s="223"/>
      <c r="S291" s="223"/>
      <c r="T291" s="223"/>
      <c r="U291" s="223"/>
      <c r="V291" s="223"/>
      <c r="W291" s="223"/>
      <c r="X291" s="223"/>
      <c r="Y291" s="223"/>
      <c r="Z291" s="223"/>
      <c r="AA291" s="76"/>
    </row>
    <row r="292" spans="4:27" ht="15" x14ac:dyDescent="0.25">
      <c r="D292" s="224"/>
      <c r="G292" s="69" t="s">
        <v>119</v>
      </c>
      <c r="H292" s="217">
        <f>+H454</f>
        <v>0</v>
      </c>
      <c r="I292" s="217">
        <f t="shared" si="68"/>
        <v>0</v>
      </c>
      <c r="J292" s="217">
        <f t="shared" si="68"/>
        <v>0</v>
      </c>
      <c r="K292" s="217">
        <f t="shared" si="68"/>
        <v>5675460</v>
      </c>
      <c r="L292" s="221">
        <f>+K292</f>
        <v>5675460</v>
      </c>
      <c r="M292" s="221">
        <f t="shared" ref="M292:N292" si="69">+L292</f>
        <v>5675460</v>
      </c>
      <c r="N292" s="221">
        <f t="shared" si="69"/>
        <v>5675460</v>
      </c>
      <c r="O292" s="223"/>
      <c r="P292" s="223"/>
      <c r="Q292" s="223"/>
      <c r="R292" s="223"/>
      <c r="S292" s="223"/>
      <c r="T292" s="223"/>
      <c r="U292" s="223"/>
      <c r="V292" s="223"/>
      <c r="W292" s="223"/>
      <c r="X292" s="223"/>
      <c r="Y292" s="223"/>
      <c r="Z292" s="223"/>
      <c r="AA292" s="76"/>
    </row>
    <row r="293" spans="4:27" ht="13.5" thickBot="1" x14ac:dyDescent="0.25">
      <c r="G293" s="218" t="s">
        <v>120</v>
      </c>
      <c r="H293" s="219">
        <f>SUM(H291:H292)</f>
        <v>0</v>
      </c>
      <c r="I293" s="219">
        <f t="shared" ref="I293:L293" si="70">SUM(I291:I292)</f>
        <v>0</v>
      </c>
      <c r="J293" s="219">
        <f t="shared" si="70"/>
        <v>0</v>
      </c>
      <c r="K293" s="219">
        <f t="shared" si="70"/>
        <v>5675460</v>
      </c>
      <c r="L293" s="219">
        <f t="shared" si="70"/>
        <v>5675460</v>
      </c>
      <c r="M293" s="225">
        <f>SUM(M291:M292)</f>
        <v>5675460</v>
      </c>
      <c r="N293" s="225">
        <f>SUM(N291:N292)</f>
        <v>5675460</v>
      </c>
      <c r="O293" s="219"/>
      <c r="P293" s="219"/>
      <c r="Q293" s="219"/>
      <c r="R293" s="219"/>
      <c r="S293" s="219"/>
      <c r="T293" s="219"/>
      <c r="U293" s="219"/>
      <c r="V293" s="219"/>
      <c r="W293" s="219"/>
      <c r="X293" s="219"/>
      <c r="Y293" s="219"/>
      <c r="Z293" s="219"/>
      <c r="AA293" s="76"/>
    </row>
    <row r="294" spans="4:27" ht="13.5" thickTop="1" x14ac:dyDescent="0.2">
      <c r="H294" s="76"/>
      <c r="I294" s="76"/>
      <c r="J294" s="76"/>
      <c r="K294" s="76"/>
      <c r="L294" s="76"/>
      <c r="M294" s="76"/>
      <c r="N294" s="76"/>
      <c r="O294" s="76"/>
      <c r="P294" s="76"/>
      <c r="Q294" s="76"/>
      <c r="R294" s="76"/>
      <c r="S294" s="76"/>
      <c r="T294" s="76"/>
      <c r="U294" s="76"/>
      <c r="V294" s="76"/>
      <c r="W294" s="76"/>
      <c r="X294" s="76"/>
      <c r="Y294" s="76"/>
      <c r="Z294" s="76"/>
      <c r="AA294" s="76"/>
    </row>
    <row r="295" spans="4:27" x14ac:dyDescent="0.2">
      <c r="H295" s="76"/>
      <c r="I295" s="76"/>
      <c r="J295" s="76"/>
      <c r="K295" s="76"/>
      <c r="L295" s="76"/>
      <c r="M295" s="76"/>
      <c r="O295" s="216"/>
      <c r="P295" s="76"/>
      <c r="Q295" s="76"/>
      <c r="R295" s="76"/>
      <c r="S295" s="76"/>
      <c r="T295" s="76"/>
      <c r="U295" s="76"/>
      <c r="V295" s="76"/>
      <c r="W295" s="76"/>
      <c r="X295" s="76"/>
      <c r="Y295" s="76"/>
      <c r="Z295" s="76"/>
      <c r="AA295" s="76"/>
    </row>
    <row r="296" spans="4:27" x14ac:dyDescent="0.2">
      <c r="G296" s="2" t="s">
        <v>121</v>
      </c>
      <c r="H296" s="71" t="e">
        <f>+H48/H287</f>
        <v>#DIV/0!</v>
      </c>
      <c r="I296" s="71" t="e">
        <f>+I48/I287</f>
        <v>#DIV/0!</v>
      </c>
      <c r="J296" s="71" t="e">
        <f>+J48/J287</f>
        <v>#DIV/0!</v>
      </c>
      <c r="K296" s="71">
        <f>+L296</f>
        <v>1.6899999999999998E-2</v>
      </c>
      <c r="L296" s="71">
        <v>1.6899999999999998E-2</v>
      </c>
      <c r="M296" s="71">
        <v>1.6899999999999998E-2</v>
      </c>
      <c r="O296" s="216"/>
      <c r="P296" s="76"/>
      <c r="Q296" s="76"/>
      <c r="R296" s="76"/>
      <c r="S296" s="76"/>
      <c r="T296" s="76"/>
      <c r="U296" s="76"/>
      <c r="V296" s="76"/>
      <c r="W296" s="76"/>
      <c r="X296" s="76"/>
      <c r="Y296" s="76"/>
      <c r="Z296" s="76"/>
      <c r="AA296" s="76"/>
    </row>
    <row r="297" spans="4:27" x14ac:dyDescent="0.2">
      <c r="H297" s="76"/>
      <c r="I297" s="76"/>
      <c r="J297" s="76"/>
      <c r="K297" s="76"/>
      <c r="L297" s="76"/>
      <c r="M297" s="76"/>
      <c r="N297" s="76"/>
      <c r="O297" s="76"/>
      <c r="P297" s="76"/>
      <c r="Q297" s="76"/>
      <c r="R297" s="76"/>
      <c r="S297" s="76"/>
      <c r="T297" s="76"/>
      <c r="U297" s="76"/>
      <c r="V297" s="76"/>
      <c r="W297" s="76"/>
      <c r="X297" s="76"/>
      <c r="Y297" s="76"/>
      <c r="Z297" s="76"/>
      <c r="AA297" s="76"/>
    </row>
    <row r="298" spans="4:27" x14ac:dyDescent="0.2">
      <c r="H298" s="76"/>
      <c r="I298" s="76"/>
      <c r="J298" s="76"/>
      <c r="K298" s="76"/>
      <c r="L298" s="76"/>
      <c r="M298" s="76"/>
      <c r="N298" s="76"/>
      <c r="O298" s="76"/>
      <c r="P298" s="76"/>
      <c r="Q298" s="76"/>
      <c r="R298" s="76"/>
      <c r="S298" s="76"/>
      <c r="T298" s="76"/>
      <c r="U298" s="76"/>
      <c r="V298" s="76"/>
      <c r="W298" s="76"/>
      <c r="X298" s="76"/>
      <c r="Y298" s="76"/>
      <c r="Z298" s="76"/>
      <c r="AA298" s="76"/>
    </row>
    <row r="299" spans="4:27" x14ac:dyDescent="0.2">
      <c r="H299" s="76"/>
      <c r="I299" s="76"/>
      <c r="J299" s="76"/>
      <c r="K299" s="76"/>
      <c r="L299" s="76"/>
      <c r="M299" s="76"/>
      <c r="N299" s="76"/>
      <c r="O299" s="76"/>
      <c r="P299" s="76"/>
      <c r="Q299" s="76"/>
      <c r="R299" s="76"/>
      <c r="S299" s="76"/>
      <c r="T299" s="76"/>
      <c r="U299" s="76"/>
      <c r="V299" s="76"/>
      <c r="W299" s="76"/>
      <c r="X299" s="76"/>
      <c r="Y299" s="76"/>
      <c r="Z299" s="76"/>
      <c r="AA299" s="76"/>
    </row>
    <row r="300" spans="4:27" ht="13.5" thickBot="1" x14ac:dyDescent="0.25">
      <c r="H300" s="76"/>
      <c r="I300" s="76"/>
      <c r="J300" s="76"/>
      <c r="K300" s="123" t="s">
        <v>122</v>
      </c>
      <c r="L300" s="204">
        <f>+L323</f>
        <v>0</v>
      </c>
      <c r="M300" s="204">
        <f t="shared" ref="M300:T300" si="71">+M323</f>
        <v>0</v>
      </c>
      <c r="N300" s="204">
        <f t="shared" si="71"/>
        <v>164177.161655</v>
      </c>
      <c r="O300" s="204">
        <f t="shared" si="71"/>
        <v>165099.42516999997</v>
      </c>
      <c r="P300" s="204">
        <f t="shared" si="71"/>
        <v>167345.28482999999</v>
      </c>
      <c r="Q300" s="204">
        <f t="shared" si="71"/>
        <v>169610.98666499997</v>
      </c>
      <c r="R300" s="204">
        <f t="shared" si="71"/>
        <v>171907.28932999997</v>
      </c>
      <c r="S300" s="204">
        <f t="shared" si="71"/>
        <v>174235.39970499999</v>
      </c>
      <c r="T300" s="204">
        <f t="shared" si="71"/>
        <v>176593.81916499996</v>
      </c>
      <c r="U300" s="76"/>
      <c r="V300" s="76"/>
      <c r="W300" s="76"/>
      <c r="X300" s="76"/>
      <c r="Y300" s="76"/>
      <c r="Z300" s="76"/>
      <c r="AA300" s="76"/>
    </row>
    <row r="301" spans="4:27" ht="13.5" thickBot="1" x14ac:dyDescent="0.25">
      <c r="H301" s="76"/>
      <c r="I301" s="76"/>
      <c r="J301" s="2" t="s">
        <v>123</v>
      </c>
      <c r="K301" s="226">
        <v>0</v>
      </c>
      <c r="L301" s="76"/>
      <c r="M301" s="76"/>
      <c r="N301" s="117">
        <f t="shared" ref="N301:T301" si="72">IF($C$10="IOU",1-$K301,1)</f>
        <v>1</v>
      </c>
      <c r="O301" s="117">
        <f t="shared" si="72"/>
        <v>1</v>
      </c>
      <c r="P301" s="117">
        <f t="shared" si="72"/>
        <v>1</v>
      </c>
      <c r="Q301" s="117">
        <f t="shared" si="72"/>
        <v>1</v>
      </c>
      <c r="R301" s="117">
        <f t="shared" si="72"/>
        <v>1</v>
      </c>
      <c r="S301" s="117">
        <f t="shared" si="72"/>
        <v>1</v>
      </c>
      <c r="T301" s="117">
        <f t="shared" si="72"/>
        <v>1</v>
      </c>
      <c r="U301" s="76"/>
      <c r="V301" s="76"/>
      <c r="W301" s="76"/>
      <c r="X301" s="76"/>
      <c r="Y301" s="76"/>
      <c r="Z301" s="76"/>
      <c r="AA301" s="76"/>
    </row>
    <row r="302" spans="4:27" x14ac:dyDescent="0.2">
      <c r="H302" s="76"/>
      <c r="I302" s="76"/>
      <c r="J302" s="76"/>
      <c r="K302" s="76"/>
      <c r="L302" s="76"/>
      <c r="M302" s="76"/>
      <c r="N302" s="76"/>
      <c r="O302" s="76"/>
      <c r="P302" s="76"/>
      <c r="Q302" s="76"/>
      <c r="R302" s="76"/>
      <c r="S302" s="76"/>
      <c r="T302" s="76"/>
      <c r="U302" s="76"/>
      <c r="V302" s="76"/>
      <c r="W302" s="76"/>
      <c r="X302" s="76"/>
      <c r="Y302" s="76"/>
      <c r="Z302" s="76"/>
      <c r="AA302" s="76"/>
    </row>
    <row r="303" spans="4:27" ht="18.75" x14ac:dyDescent="0.3">
      <c r="H303" s="76"/>
      <c r="I303" s="76"/>
      <c r="J303" s="76"/>
      <c r="K303" s="123" t="s">
        <v>124</v>
      </c>
      <c r="M303" s="71"/>
      <c r="N303" s="71"/>
      <c r="O303" s="71"/>
      <c r="P303" s="71"/>
      <c r="Q303" s="227">
        <v>1.5900000000000001E-2</v>
      </c>
      <c r="R303" s="71">
        <f t="shared" ref="R303:Z303" si="73">+Q303</f>
        <v>1.5900000000000001E-2</v>
      </c>
      <c r="S303" s="71">
        <f t="shared" si="73"/>
        <v>1.5900000000000001E-2</v>
      </c>
      <c r="T303" s="71">
        <f t="shared" si="73"/>
        <v>1.5900000000000001E-2</v>
      </c>
      <c r="U303" s="71">
        <f t="shared" si="73"/>
        <v>1.5900000000000001E-2</v>
      </c>
      <c r="V303" s="71">
        <f t="shared" si="73"/>
        <v>1.5900000000000001E-2</v>
      </c>
      <c r="W303" s="71">
        <f t="shared" si="73"/>
        <v>1.5900000000000001E-2</v>
      </c>
      <c r="X303" s="71">
        <f t="shared" si="73"/>
        <v>1.5900000000000001E-2</v>
      </c>
      <c r="Y303" s="71">
        <f t="shared" si="73"/>
        <v>1.5900000000000001E-2</v>
      </c>
      <c r="Z303" s="71">
        <f t="shared" si="73"/>
        <v>1.5900000000000001E-2</v>
      </c>
      <c r="AA303" s="76"/>
    </row>
    <row r="304" spans="4:27" x14ac:dyDescent="0.2">
      <c r="H304" s="76"/>
      <c r="I304" s="76"/>
      <c r="J304" s="76"/>
      <c r="K304" s="123" t="s">
        <v>125</v>
      </c>
      <c r="L304" s="204">
        <f>+L323</f>
        <v>0</v>
      </c>
      <c r="M304" s="204">
        <f t="shared" ref="M304" si="74">+M323</f>
        <v>0</v>
      </c>
      <c r="N304" s="204">
        <f>+ROUND(+N301*N300,0)</f>
        <v>164177</v>
      </c>
      <c r="O304" s="204">
        <f t="shared" ref="O304:T304" si="75">+ROUND(+O301*O300,0)</f>
        <v>165099</v>
      </c>
      <c r="P304" s="204">
        <f t="shared" si="75"/>
        <v>167345</v>
      </c>
      <c r="Q304" s="204">
        <f t="shared" si="75"/>
        <v>169611</v>
      </c>
      <c r="R304" s="204">
        <f t="shared" si="75"/>
        <v>171907</v>
      </c>
      <c r="S304" s="204">
        <f t="shared" si="75"/>
        <v>174235</v>
      </c>
      <c r="T304" s="204">
        <f t="shared" si="75"/>
        <v>176594</v>
      </c>
      <c r="U304" s="72">
        <f>ROUND(+U303*T287,0)</f>
        <v>178661</v>
      </c>
      <c r="V304" s="72">
        <f>ROUND(+V303*U287,0)</f>
        <v>181076</v>
      </c>
      <c r="W304" s="72">
        <f>ROUND(+W303*V287,0)</f>
        <v>183523</v>
      </c>
      <c r="X304" s="72">
        <f>ROUND(+X303*W287,0)</f>
        <v>186003</v>
      </c>
      <c r="Y304" s="72">
        <f>ROUND(+Y303*X287,0)</f>
        <v>188517</v>
      </c>
      <c r="Z304" s="72">
        <f>ROUND(+Z303*Y287,0)</f>
        <v>191065</v>
      </c>
      <c r="AA304" s="76"/>
    </row>
    <row r="305" spans="7:27" x14ac:dyDescent="0.2">
      <c r="H305" s="76"/>
      <c r="I305" s="76"/>
      <c r="J305" s="76"/>
      <c r="K305" s="123" t="s">
        <v>126</v>
      </c>
      <c r="L305" s="228">
        <f>+K296</f>
        <v>1.6899999999999998E-2</v>
      </c>
      <c r="M305" s="228">
        <f>+M296</f>
        <v>1.6899999999999998E-2</v>
      </c>
      <c r="N305" s="228">
        <f>+M296</f>
        <v>1.6899999999999998E-2</v>
      </c>
      <c r="O305" s="228">
        <f t="shared" ref="O305:Z305" si="76">+N305</f>
        <v>1.6899999999999998E-2</v>
      </c>
      <c r="P305" s="228">
        <f t="shared" si="76"/>
        <v>1.6899999999999998E-2</v>
      </c>
      <c r="Q305" s="228">
        <f t="shared" si="76"/>
        <v>1.6899999999999998E-2</v>
      </c>
      <c r="R305" s="228">
        <f t="shared" si="76"/>
        <v>1.6899999999999998E-2</v>
      </c>
      <c r="S305" s="228">
        <f t="shared" si="76"/>
        <v>1.6899999999999998E-2</v>
      </c>
      <c r="T305" s="228">
        <f t="shared" si="76"/>
        <v>1.6899999999999998E-2</v>
      </c>
      <c r="U305" s="228">
        <f t="shared" si="76"/>
        <v>1.6899999999999998E-2</v>
      </c>
      <c r="V305" s="228">
        <f t="shared" si="76"/>
        <v>1.6899999999999998E-2</v>
      </c>
      <c r="W305" s="228">
        <f t="shared" si="76"/>
        <v>1.6899999999999998E-2</v>
      </c>
      <c r="X305" s="228">
        <f t="shared" si="76"/>
        <v>1.6899999999999998E-2</v>
      </c>
      <c r="Y305" s="228">
        <f t="shared" si="76"/>
        <v>1.6899999999999998E-2</v>
      </c>
      <c r="Z305" s="228">
        <f t="shared" si="76"/>
        <v>1.6899999999999998E-2</v>
      </c>
      <c r="AA305" s="76"/>
    </row>
    <row r="306" spans="7:27" x14ac:dyDescent="0.2">
      <c r="H306" s="76"/>
      <c r="I306" s="76"/>
      <c r="J306" s="76"/>
      <c r="K306" s="123" t="s">
        <v>127</v>
      </c>
      <c r="L306" s="71">
        <f>+L305*0.5</f>
        <v>8.4499999999999992E-3</v>
      </c>
      <c r="M306" s="71">
        <f>+M305*0.5</f>
        <v>8.4499999999999992E-3</v>
      </c>
      <c r="N306" s="71">
        <f>+N305*0.5</f>
        <v>8.4499999999999992E-3</v>
      </c>
      <c r="O306" s="71">
        <f t="shared" ref="O306:Z306" si="77">+O305*0.5</f>
        <v>8.4499999999999992E-3</v>
      </c>
      <c r="P306" s="71">
        <f t="shared" si="77"/>
        <v>8.4499999999999992E-3</v>
      </c>
      <c r="Q306" s="71">
        <f t="shared" si="77"/>
        <v>8.4499999999999992E-3</v>
      </c>
      <c r="R306" s="71">
        <f t="shared" si="77"/>
        <v>8.4499999999999992E-3</v>
      </c>
      <c r="S306" s="71">
        <f t="shared" si="77"/>
        <v>8.4499999999999992E-3</v>
      </c>
      <c r="T306" s="71">
        <f t="shared" si="77"/>
        <v>8.4499999999999992E-3</v>
      </c>
      <c r="U306" s="71">
        <f t="shared" si="77"/>
        <v>8.4499999999999992E-3</v>
      </c>
      <c r="V306" s="71">
        <f t="shared" si="77"/>
        <v>8.4499999999999992E-3</v>
      </c>
      <c r="W306" s="71">
        <f t="shared" si="77"/>
        <v>8.4499999999999992E-3</v>
      </c>
      <c r="X306" s="71">
        <f t="shared" si="77"/>
        <v>8.4499999999999992E-3</v>
      </c>
      <c r="Y306" s="71">
        <f t="shared" si="77"/>
        <v>8.4499999999999992E-3</v>
      </c>
      <c r="Z306" s="71">
        <f t="shared" si="77"/>
        <v>8.4499999999999992E-3</v>
      </c>
      <c r="AA306" s="76"/>
    </row>
    <row r="307" spans="7:27" x14ac:dyDescent="0.2">
      <c r="H307" s="76"/>
      <c r="K307" s="123" t="s">
        <v>128</v>
      </c>
      <c r="L307" s="72">
        <f>ROUND(+L306*L304,0)</f>
        <v>0</v>
      </c>
      <c r="M307" s="72">
        <f>ROUND(+M306*M304,0)</f>
        <v>0</v>
      </c>
      <c r="N307" s="72">
        <f>ROUND(+N306*N304,0)</f>
        <v>1387</v>
      </c>
      <c r="O307" s="72">
        <f t="shared" ref="O307:Z307" si="78">ROUND(+O306*O304,0)</f>
        <v>1395</v>
      </c>
      <c r="P307" s="72">
        <f t="shared" si="78"/>
        <v>1414</v>
      </c>
      <c r="Q307" s="72">
        <f t="shared" si="78"/>
        <v>1433</v>
      </c>
      <c r="R307" s="72">
        <f t="shared" si="78"/>
        <v>1453</v>
      </c>
      <c r="S307" s="72">
        <f t="shared" si="78"/>
        <v>1472</v>
      </c>
      <c r="T307" s="72">
        <f t="shared" si="78"/>
        <v>1492</v>
      </c>
      <c r="U307" s="72">
        <f t="shared" si="78"/>
        <v>1510</v>
      </c>
      <c r="V307" s="72">
        <f t="shared" si="78"/>
        <v>1530</v>
      </c>
      <c r="W307" s="72">
        <f t="shared" si="78"/>
        <v>1551</v>
      </c>
      <c r="X307" s="72">
        <f t="shared" si="78"/>
        <v>1572</v>
      </c>
      <c r="Y307" s="72">
        <f t="shared" si="78"/>
        <v>1593</v>
      </c>
      <c r="Z307" s="72">
        <f t="shared" si="78"/>
        <v>1614</v>
      </c>
      <c r="AA307" s="76"/>
    </row>
    <row r="308" spans="7:27" x14ac:dyDescent="0.2">
      <c r="H308" s="76"/>
      <c r="K308" s="123" t="s">
        <v>129</v>
      </c>
      <c r="L308" s="73">
        <v>0.15</v>
      </c>
      <c r="M308" s="73">
        <v>0.15</v>
      </c>
      <c r="N308" s="73">
        <f>+M308</f>
        <v>0.15</v>
      </c>
      <c r="O308" s="73">
        <f t="shared" ref="O308:Z308" si="79">+N308</f>
        <v>0.15</v>
      </c>
      <c r="P308" s="73">
        <f t="shared" si="79"/>
        <v>0.15</v>
      </c>
      <c r="Q308" s="73">
        <f t="shared" si="79"/>
        <v>0.15</v>
      </c>
      <c r="R308" s="73">
        <f t="shared" si="79"/>
        <v>0.15</v>
      </c>
      <c r="S308" s="73">
        <f t="shared" si="79"/>
        <v>0.15</v>
      </c>
      <c r="T308" s="73">
        <f t="shared" si="79"/>
        <v>0.15</v>
      </c>
      <c r="U308" s="73">
        <f t="shared" si="79"/>
        <v>0.15</v>
      </c>
      <c r="V308" s="73">
        <f t="shared" si="79"/>
        <v>0.15</v>
      </c>
      <c r="W308" s="73">
        <f t="shared" si="79"/>
        <v>0.15</v>
      </c>
      <c r="X308" s="73">
        <f t="shared" si="79"/>
        <v>0.15</v>
      </c>
      <c r="Y308" s="73">
        <f t="shared" si="79"/>
        <v>0.15</v>
      </c>
      <c r="Z308" s="73">
        <f t="shared" si="79"/>
        <v>0.15</v>
      </c>
      <c r="AA308" s="76"/>
    </row>
    <row r="309" spans="7:27" x14ac:dyDescent="0.2">
      <c r="H309" s="76"/>
      <c r="K309" s="123" t="s">
        <v>130</v>
      </c>
      <c r="L309" s="72">
        <f>ROUND(+L308*L304,0)</f>
        <v>0</v>
      </c>
      <c r="M309" s="72">
        <f>ROUND(+M308*M304,0)</f>
        <v>0</v>
      </c>
      <c r="N309" s="72">
        <f t="shared" ref="N309:Z309" si="80">ROUND(+N308*N304,0)</f>
        <v>24627</v>
      </c>
      <c r="O309" s="72">
        <f t="shared" si="80"/>
        <v>24765</v>
      </c>
      <c r="P309" s="72">
        <f t="shared" si="80"/>
        <v>25102</v>
      </c>
      <c r="Q309" s="72">
        <f t="shared" si="80"/>
        <v>25442</v>
      </c>
      <c r="R309" s="72">
        <f t="shared" si="80"/>
        <v>25786</v>
      </c>
      <c r="S309" s="72">
        <f t="shared" si="80"/>
        <v>26135</v>
      </c>
      <c r="T309" s="72">
        <f t="shared" si="80"/>
        <v>26489</v>
      </c>
      <c r="U309" s="72">
        <f t="shared" si="80"/>
        <v>26799</v>
      </c>
      <c r="V309" s="72">
        <f t="shared" si="80"/>
        <v>27161</v>
      </c>
      <c r="W309" s="72">
        <f t="shared" si="80"/>
        <v>27528</v>
      </c>
      <c r="X309" s="72">
        <f t="shared" si="80"/>
        <v>27900</v>
      </c>
      <c r="Y309" s="72">
        <f t="shared" si="80"/>
        <v>28278</v>
      </c>
      <c r="Z309" s="72">
        <f t="shared" si="80"/>
        <v>28660</v>
      </c>
      <c r="AA309" s="76"/>
    </row>
    <row r="310" spans="7:27" x14ac:dyDescent="0.2">
      <c r="H310" s="76"/>
      <c r="K310" s="123" t="s">
        <v>131</v>
      </c>
      <c r="L310" s="72">
        <f>+L309*L305</f>
        <v>0</v>
      </c>
      <c r="M310" s="72">
        <f t="shared" ref="M310:Z310" si="81">+M309*M305</f>
        <v>0</v>
      </c>
      <c r="N310" s="72">
        <f t="shared" si="81"/>
        <v>416.19629999999995</v>
      </c>
      <c r="O310" s="72">
        <f t="shared" si="81"/>
        <v>418.52849999999995</v>
      </c>
      <c r="P310" s="72">
        <f t="shared" si="81"/>
        <v>424.22379999999998</v>
      </c>
      <c r="Q310" s="72">
        <f t="shared" si="81"/>
        <v>429.96979999999996</v>
      </c>
      <c r="R310" s="72">
        <f t="shared" si="81"/>
        <v>435.78339999999997</v>
      </c>
      <c r="S310" s="72">
        <f t="shared" si="81"/>
        <v>441.68149999999997</v>
      </c>
      <c r="T310" s="72">
        <f t="shared" si="81"/>
        <v>447.66409999999996</v>
      </c>
      <c r="U310" s="72">
        <f t="shared" si="81"/>
        <v>452.90309999999994</v>
      </c>
      <c r="V310" s="72">
        <f t="shared" si="81"/>
        <v>459.02089999999998</v>
      </c>
      <c r="W310" s="72">
        <f t="shared" si="81"/>
        <v>465.22319999999996</v>
      </c>
      <c r="X310" s="72">
        <f t="shared" si="81"/>
        <v>471.50999999999993</v>
      </c>
      <c r="Y310" s="72">
        <f t="shared" si="81"/>
        <v>477.89819999999997</v>
      </c>
      <c r="Z310" s="72">
        <f t="shared" si="81"/>
        <v>484.35399999999993</v>
      </c>
      <c r="AA310" s="76"/>
    </row>
    <row r="311" spans="7:27" x14ac:dyDescent="0.2">
      <c r="H311" s="76"/>
      <c r="K311" s="123" t="s">
        <v>132</v>
      </c>
      <c r="L311" s="72">
        <f>+K314</f>
        <v>131221</v>
      </c>
      <c r="M311" s="72">
        <f>+M305*L287</f>
        <v>172818.0649</v>
      </c>
      <c r="N311" s="72">
        <f>+N305*M287</f>
        <v>172818.0649</v>
      </c>
      <c r="O311" s="72">
        <f>+O305*N287</f>
        <v>175176.45989999999</v>
      </c>
      <c r="P311" s="72">
        <f>+P305*O287</f>
        <v>177548.10449999999</v>
      </c>
      <c r="Q311" s="72">
        <f>+Q305*P287</f>
        <v>179952.01119999998</v>
      </c>
      <c r="R311" s="72">
        <f>+R305*Q287</f>
        <v>182388.46729999999</v>
      </c>
      <c r="S311" s="72">
        <f>+S305*R287</f>
        <v>184857.91219999999</v>
      </c>
      <c r="T311" s="72">
        <f>+T305*S287</f>
        <v>187360.80219999998</v>
      </c>
      <c r="U311" s="72">
        <f>+U305*T287</f>
        <v>189897.57669999998</v>
      </c>
      <c r="V311" s="72">
        <f>+V305*U287</f>
        <v>192464.04449999999</v>
      </c>
      <c r="W311" s="72">
        <f>+W305*V287</f>
        <v>195065.20799999998</v>
      </c>
      <c r="X311" s="72">
        <f>+X305*W287</f>
        <v>197701.52349999998</v>
      </c>
      <c r="Y311" s="72">
        <f>+Y305*X287</f>
        <v>200373.46419999999</v>
      </c>
      <c r="Z311" s="72">
        <f>+Z305*Y287</f>
        <v>203081.50329999998</v>
      </c>
      <c r="AA311" s="76"/>
    </row>
    <row r="312" spans="7:27" ht="13.5" thickBot="1" x14ac:dyDescent="0.25">
      <c r="H312" s="76"/>
      <c r="I312" s="76"/>
      <c r="J312" s="76"/>
      <c r="K312" s="123" t="s">
        <v>133</v>
      </c>
      <c r="L312" s="219">
        <f>+L311+L307-L310</f>
        <v>131221</v>
      </c>
      <c r="M312" s="219">
        <f t="shared" ref="M312:Z312" si="82">+M311+M307-M310</f>
        <v>172818.0649</v>
      </c>
      <c r="N312" s="219">
        <f t="shared" si="82"/>
        <v>173788.86859999999</v>
      </c>
      <c r="O312" s="219">
        <f t="shared" si="82"/>
        <v>176152.9314</v>
      </c>
      <c r="P312" s="219">
        <f t="shared" si="82"/>
        <v>178537.88069999998</v>
      </c>
      <c r="Q312" s="219">
        <f t="shared" si="82"/>
        <v>180955.04139999999</v>
      </c>
      <c r="R312" s="219">
        <f t="shared" si="82"/>
        <v>183405.6839</v>
      </c>
      <c r="S312" s="219">
        <f t="shared" si="82"/>
        <v>185888.23069999999</v>
      </c>
      <c r="T312" s="219">
        <f t="shared" si="82"/>
        <v>188405.13809999998</v>
      </c>
      <c r="U312" s="219">
        <f t="shared" si="82"/>
        <v>190954.67359999998</v>
      </c>
      <c r="V312" s="219">
        <f t="shared" si="82"/>
        <v>193535.02359999999</v>
      </c>
      <c r="W312" s="219">
        <f t="shared" si="82"/>
        <v>196150.98479999998</v>
      </c>
      <c r="X312" s="219">
        <f t="shared" si="82"/>
        <v>198802.01349999997</v>
      </c>
      <c r="Y312" s="219">
        <f t="shared" si="82"/>
        <v>201488.56599999999</v>
      </c>
      <c r="Z312" s="219">
        <f t="shared" si="82"/>
        <v>204211.14929999999</v>
      </c>
      <c r="AA312" s="76"/>
    </row>
    <row r="313" spans="7:27" ht="13.5" thickTop="1" x14ac:dyDescent="0.2">
      <c r="H313" s="76"/>
      <c r="I313" s="76"/>
      <c r="J313" s="76"/>
      <c r="K313" s="123"/>
      <c r="M313" s="123"/>
      <c r="N313" s="123"/>
      <c r="O313" s="123"/>
      <c r="P313" s="123"/>
      <c r="Q313" s="123"/>
      <c r="R313" s="123"/>
      <c r="S313" s="123"/>
      <c r="T313" s="123"/>
      <c r="U313" s="123"/>
      <c r="V313" s="123"/>
      <c r="W313" s="123"/>
      <c r="X313" s="123"/>
      <c r="Y313" s="123"/>
      <c r="Z313" s="123"/>
      <c r="AA313" s="76"/>
    </row>
    <row r="314" spans="7:27" x14ac:dyDescent="0.2">
      <c r="G314" s="74" t="s">
        <v>134</v>
      </c>
      <c r="H314" s="74">
        <v>0</v>
      </c>
      <c r="I314" s="74">
        <v>0</v>
      </c>
      <c r="J314" s="74">
        <v>0</v>
      </c>
      <c r="K314" s="74">
        <f>+K459</f>
        <v>131221</v>
      </c>
      <c r="L314" s="74">
        <f>+L312</f>
        <v>131221</v>
      </c>
      <c r="R314" s="76"/>
      <c r="S314" s="76"/>
      <c r="T314" s="76"/>
      <c r="U314" s="76"/>
      <c r="V314" s="76"/>
      <c r="W314" s="76"/>
      <c r="X314" s="76"/>
      <c r="Y314" s="76"/>
      <c r="Z314" s="76"/>
      <c r="AA314" s="76"/>
    </row>
    <row r="315" spans="7:27" x14ac:dyDescent="0.2">
      <c r="H315" s="76"/>
      <c r="I315" s="76"/>
      <c r="J315" s="76"/>
      <c r="K315" s="76"/>
      <c r="L315" s="123"/>
      <c r="M315" s="76"/>
      <c r="N315" s="76"/>
      <c r="O315" s="76"/>
      <c r="P315" s="76"/>
      <c r="Q315" s="76"/>
      <c r="R315" s="76"/>
      <c r="S315" s="76"/>
      <c r="T315" s="76"/>
      <c r="U315" s="76"/>
      <c r="V315" s="76"/>
      <c r="W315" s="76"/>
      <c r="X315" s="76"/>
      <c r="Y315" s="76"/>
      <c r="Z315" s="76"/>
      <c r="AA315" s="76"/>
    </row>
    <row r="316" spans="7:27" x14ac:dyDescent="0.2">
      <c r="H316" s="76"/>
      <c r="I316" s="76"/>
      <c r="J316" s="76"/>
      <c r="K316" s="76"/>
      <c r="L316" s="123"/>
      <c r="M316" s="76"/>
      <c r="N316" s="76"/>
      <c r="O316" s="76"/>
      <c r="P316" s="76"/>
      <c r="Q316" s="76"/>
      <c r="R316" s="76"/>
      <c r="S316" s="76"/>
      <c r="T316" s="76"/>
      <c r="U316" s="76"/>
      <c r="V316" s="76"/>
      <c r="W316" s="76"/>
      <c r="X316" s="76"/>
      <c r="Y316" s="76"/>
      <c r="Z316" s="76"/>
      <c r="AA316" s="76"/>
    </row>
    <row r="317" spans="7:27" x14ac:dyDescent="0.2">
      <c r="H317" s="76"/>
      <c r="I317" s="76"/>
      <c r="J317" s="76"/>
      <c r="K317" s="2" t="s">
        <v>117</v>
      </c>
      <c r="M317" s="123" t="s">
        <v>135</v>
      </c>
      <c r="N317" s="25">
        <v>1.5277653962955469E-3</v>
      </c>
      <c r="O317" s="76"/>
      <c r="P317" s="76"/>
      <c r="Q317" s="76"/>
      <c r="R317" s="76"/>
      <c r="S317" s="76"/>
      <c r="T317" s="76"/>
      <c r="U317" s="76"/>
      <c r="V317" s="76"/>
      <c r="W317" s="76"/>
      <c r="X317" s="76"/>
      <c r="Y317" s="76"/>
      <c r="Z317" s="76"/>
      <c r="AA317" s="76"/>
    </row>
    <row r="318" spans="7:27" x14ac:dyDescent="0.2">
      <c r="H318" s="76"/>
      <c r="I318" s="76"/>
      <c r="J318" s="76"/>
      <c r="K318" s="2" t="s">
        <v>136</v>
      </c>
      <c r="M318" s="123" t="s">
        <v>137</v>
      </c>
      <c r="N318" s="25">
        <v>5.6525344234822491E-3</v>
      </c>
      <c r="O318" s="76"/>
      <c r="P318" s="76"/>
      <c r="Q318" s="76"/>
      <c r="R318" s="76"/>
      <c r="S318" s="76"/>
      <c r="T318" s="76"/>
      <c r="U318" s="76"/>
      <c r="V318" s="76"/>
      <c r="W318" s="76"/>
      <c r="X318" s="76"/>
      <c r="Y318" s="76"/>
      <c r="Z318" s="76"/>
      <c r="AA318" s="76"/>
    </row>
    <row r="319" spans="7:27" x14ac:dyDescent="0.2">
      <c r="H319" s="76"/>
      <c r="I319" s="76"/>
      <c r="J319" s="76"/>
      <c r="K319" s="76"/>
      <c r="L319" s="123"/>
      <c r="M319" s="76"/>
      <c r="N319" s="76"/>
      <c r="O319" s="76"/>
      <c r="P319" s="76"/>
      <c r="Q319" s="76"/>
      <c r="R319" s="76"/>
      <c r="S319" s="76"/>
      <c r="T319" s="76"/>
      <c r="U319" s="76"/>
      <c r="V319" s="76"/>
      <c r="W319" s="76"/>
      <c r="X319" s="76"/>
      <c r="Y319" s="76"/>
      <c r="Z319" s="76"/>
      <c r="AA319" s="76"/>
    </row>
    <row r="320" spans="7:27" x14ac:dyDescent="0.2">
      <c r="H320" s="76"/>
      <c r="I320" s="76"/>
      <c r="J320" s="76"/>
      <c r="K320" s="76"/>
      <c r="L320" s="123"/>
      <c r="M320" s="76"/>
      <c r="N320" s="76"/>
      <c r="O320" s="76"/>
      <c r="P320" s="76"/>
      <c r="Q320" s="76"/>
      <c r="R320" s="76"/>
      <c r="S320" s="76"/>
      <c r="T320" s="76"/>
      <c r="U320" s="76"/>
      <c r="V320" s="76"/>
      <c r="W320" s="76"/>
      <c r="X320" s="76"/>
      <c r="Y320" s="76"/>
      <c r="Z320" s="76"/>
      <c r="AA320" s="76"/>
    </row>
    <row r="321" spans="7:27" x14ac:dyDescent="0.2">
      <c r="H321" s="76"/>
      <c r="I321" s="76"/>
      <c r="J321" s="76"/>
      <c r="K321" s="76"/>
      <c r="L321" s="123"/>
      <c r="M321" s="76"/>
      <c r="N321" s="76"/>
      <c r="O321" s="76"/>
      <c r="P321" s="76"/>
      <c r="Q321" s="76"/>
      <c r="R321" s="76"/>
      <c r="S321" s="76"/>
      <c r="T321" s="76"/>
      <c r="U321" s="76"/>
      <c r="V321" s="76"/>
      <c r="W321" s="76"/>
      <c r="X321" s="76"/>
      <c r="Y321" s="76"/>
      <c r="Z321" s="76"/>
      <c r="AA321" s="76"/>
    </row>
    <row r="322" spans="7:27" x14ac:dyDescent="0.2">
      <c r="H322" s="76"/>
      <c r="I322" s="76"/>
      <c r="J322" s="76"/>
      <c r="K322" s="76"/>
      <c r="L322" s="229"/>
      <c r="M322" s="229"/>
      <c r="N322" s="230"/>
      <c r="O322" s="230"/>
      <c r="P322" s="230"/>
      <c r="Q322" s="230"/>
      <c r="R322" s="230"/>
      <c r="S322" s="230"/>
      <c r="T322" s="230"/>
      <c r="U322" s="76"/>
      <c r="V322" s="76"/>
      <c r="W322" s="76"/>
      <c r="X322" s="76"/>
      <c r="Y322" s="76"/>
      <c r="Z322" s="76"/>
      <c r="AA322" s="76"/>
    </row>
    <row r="323" spans="7:27" x14ac:dyDescent="0.2">
      <c r="H323" s="76"/>
      <c r="I323" s="76"/>
      <c r="J323" s="76"/>
      <c r="K323" s="66" t="s">
        <v>138</v>
      </c>
      <c r="L323" s="5">
        <v>0</v>
      </c>
      <c r="M323" s="2">
        <f>+L323</f>
        <v>0</v>
      </c>
      <c r="N323" s="72">
        <f>+M312*0.95</f>
        <v>164177.161655</v>
      </c>
      <c r="O323" s="72">
        <f>+N312*0.95</f>
        <v>165099.42516999997</v>
      </c>
      <c r="P323" s="72">
        <f>+O312*0.95</f>
        <v>167345.28482999999</v>
      </c>
      <c r="Q323" s="72">
        <f>+P312*0.95</f>
        <v>169610.98666499997</v>
      </c>
      <c r="R323" s="72">
        <f t="shared" ref="R323:T323" si="83">+Q312*0.95</f>
        <v>171907.28932999997</v>
      </c>
      <c r="S323" s="72">
        <f t="shared" si="83"/>
        <v>174235.39970499999</v>
      </c>
      <c r="T323" s="72">
        <f t="shared" si="83"/>
        <v>176593.81916499996</v>
      </c>
      <c r="U323" s="76"/>
      <c r="V323" s="76"/>
      <c r="W323" s="76"/>
      <c r="X323" s="76"/>
      <c r="Y323" s="76"/>
      <c r="Z323" s="76"/>
      <c r="AA323" s="76"/>
    </row>
    <row r="324" spans="7:27" x14ac:dyDescent="0.2">
      <c r="H324" s="76"/>
      <c r="I324" s="76"/>
      <c r="J324" s="76"/>
      <c r="K324" s="76"/>
      <c r="L324" s="123"/>
      <c r="M324" s="76"/>
      <c r="N324" s="76"/>
      <c r="O324" s="76"/>
      <c r="P324" s="76"/>
      <c r="Q324" s="76"/>
      <c r="R324" s="76"/>
      <c r="S324" s="76"/>
      <c r="T324" s="76"/>
      <c r="U324" s="76"/>
      <c r="V324" s="76"/>
      <c r="W324" s="76"/>
      <c r="X324" s="76"/>
      <c r="Y324" s="76"/>
      <c r="Z324" s="76"/>
      <c r="AA324" s="76"/>
    </row>
    <row r="325" spans="7:27" x14ac:dyDescent="0.2">
      <c r="H325" s="76"/>
      <c r="I325" s="76"/>
      <c r="J325" s="76"/>
      <c r="K325" s="76"/>
      <c r="L325" s="5" t="s">
        <v>139</v>
      </c>
      <c r="M325" s="76"/>
      <c r="N325" s="76"/>
      <c r="O325" s="76"/>
      <c r="P325" s="76"/>
      <c r="Q325" s="76"/>
      <c r="R325" s="76"/>
      <c r="S325" s="76"/>
      <c r="T325" s="76"/>
      <c r="U325" s="76"/>
      <c r="V325" s="76"/>
      <c r="W325" s="76"/>
      <c r="X325" s="76"/>
      <c r="Y325" s="76"/>
      <c r="Z325" s="76"/>
      <c r="AA325" s="76"/>
    </row>
    <row r="326" spans="7:27" x14ac:dyDescent="0.2">
      <c r="H326" s="76"/>
      <c r="I326" s="76"/>
      <c r="J326" s="76"/>
      <c r="K326" s="76"/>
      <c r="L326" s="2" t="s">
        <v>140</v>
      </c>
      <c r="M326" s="76"/>
      <c r="N326" s="76"/>
      <c r="O326" s="76"/>
      <c r="P326" s="76"/>
      <c r="Q326" s="76"/>
      <c r="R326" s="76"/>
      <c r="S326" s="76"/>
      <c r="T326" s="76"/>
      <c r="U326" s="76"/>
      <c r="V326" s="76"/>
      <c r="W326" s="76"/>
      <c r="X326" s="76"/>
      <c r="Y326" s="76"/>
      <c r="Z326" s="76"/>
      <c r="AA326" s="76"/>
    </row>
    <row r="327" spans="7:27" x14ac:dyDescent="0.2">
      <c r="H327" s="76"/>
      <c r="I327" s="76"/>
      <c r="J327" s="76"/>
      <c r="K327" s="76"/>
      <c r="L327" s="123"/>
      <c r="M327" s="76"/>
      <c r="N327" s="76"/>
      <c r="O327" s="76"/>
      <c r="P327" s="76"/>
      <c r="Q327" s="76"/>
      <c r="R327" s="76"/>
      <c r="S327" s="76"/>
      <c r="T327" s="76"/>
      <c r="U327" s="76"/>
      <c r="V327" s="76"/>
      <c r="W327" s="76"/>
      <c r="X327" s="76"/>
      <c r="Y327" s="76"/>
      <c r="Z327" s="76"/>
      <c r="AA327" s="76"/>
    </row>
    <row r="328" spans="7:27" x14ac:dyDescent="0.2">
      <c r="H328" s="76"/>
      <c r="I328" s="76"/>
      <c r="J328" s="76"/>
      <c r="K328" s="76"/>
      <c r="L328" s="123"/>
      <c r="M328" s="76"/>
      <c r="N328" s="76"/>
      <c r="O328" s="76"/>
      <c r="P328" s="76"/>
      <c r="Q328" s="76"/>
      <c r="R328" s="76"/>
      <c r="S328" s="76"/>
      <c r="T328" s="76"/>
      <c r="U328" s="76"/>
      <c r="V328" s="76"/>
      <c r="W328" s="76"/>
      <c r="X328" s="76"/>
      <c r="Y328" s="76"/>
      <c r="Z328" s="76"/>
      <c r="AA328" s="76"/>
    </row>
    <row r="329" spans="7:27" ht="13.5" thickBot="1" x14ac:dyDescent="0.25">
      <c r="H329" s="76"/>
      <c r="I329" s="76"/>
      <c r="J329" s="76"/>
      <c r="K329" s="76"/>
      <c r="L329" s="216">
        <f>+L285</f>
        <v>2017</v>
      </c>
      <c r="M329" s="216">
        <f>+M285</f>
        <v>2018</v>
      </c>
      <c r="N329" s="76"/>
      <c r="O329" s="76"/>
      <c r="P329" s="76"/>
      <c r="Q329" s="76"/>
      <c r="R329" s="76"/>
      <c r="S329" s="76"/>
      <c r="T329" s="76"/>
      <c r="U329" s="76"/>
      <c r="V329" s="76"/>
      <c r="W329" s="76"/>
      <c r="X329" s="76"/>
      <c r="Y329" s="76"/>
      <c r="Z329" s="76"/>
      <c r="AA329" s="76"/>
    </row>
    <row r="330" spans="7:27" ht="13.5" thickBot="1" x14ac:dyDescent="0.25">
      <c r="H330" s="76"/>
      <c r="I330" s="76"/>
      <c r="J330" s="76"/>
      <c r="K330" s="76"/>
      <c r="L330" s="123"/>
      <c r="M330" s="231">
        <f>4750*M334</f>
        <v>61750</v>
      </c>
      <c r="N330" s="231">
        <f t="shared" ref="N330:Q330" si="84">4750*N334</f>
        <v>61750</v>
      </c>
      <c r="O330" s="231">
        <f t="shared" si="84"/>
        <v>61750</v>
      </c>
      <c r="P330" s="231">
        <f t="shared" si="84"/>
        <v>61750</v>
      </c>
      <c r="Q330" s="231">
        <f t="shared" si="84"/>
        <v>61750</v>
      </c>
      <c r="R330" s="232">
        <f>4750*R334</f>
        <v>66500</v>
      </c>
      <c r="S330" s="232">
        <f t="shared" ref="S330:Z330" si="85">4750*S334</f>
        <v>66500</v>
      </c>
      <c r="T330" s="232">
        <f t="shared" si="85"/>
        <v>66500</v>
      </c>
      <c r="U330" s="232">
        <f t="shared" si="85"/>
        <v>66500</v>
      </c>
      <c r="V330" s="232">
        <f t="shared" si="85"/>
        <v>66500</v>
      </c>
      <c r="W330" s="232">
        <f t="shared" si="85"/>
        <v>66500</v>
      </c>
      <c r="X330" s="232">
        <f t="shared" si="85"/>
        <v>66500</v>
      </c>
      <c r="Y330" s="232">
        <f t="shared" si="85"/>
        <v>66500</v>
      </c>
      <c r="Z330" s="232">
        <f t="shared" si="85"/>
        <v>66500</v>
      </c>
      <c r="AA330" s="76"/>
    </row>
    <row r="331" spans="7:27" x14ac:dyDescent="0.2">
      <c r="R331" s="76"/>
      <c r="S331" s="76"/>
      <c r="T331" s="76"/>
      <c r="U331" s="76"/>
      <c r="V331" s="76"/>
      <c r="W331" s="76"/>
      <c r="X331" s="76"/>
      <c r="Y331" s="76"/>
      <c r="Z331" s="76"/>
      <c r="AA331" s="76"/>
    </row>
    <row r="332" spans="7:27" x14ac:dyDescent="0.2">
      <c r="G332" s="145" t="s">
        <v>141</v>
      </c>
      <c r="H332" s="6">
        <f>+H21</f>
        <v>0</v>
      </c>
      <c r="I332" s="6">
        <f>+I21</f>
        <v>0</v>
      </c>
      <c r="J332" s="6">
        <f>+J21</f>
        <v>0</v>
      </c>
      <c r="K332" s="6">
        <f>+K21</f>
        <v>1829023</v>
      </c>
      <c r="L332" s="6">
        <f>+L21</f>
        <v>1888466.2475000001</v>
      </c>
      <c r="M332" s="6">
        <f>+M21</f>
        <v>2066795.9899999998</v>
      </c>
      <c r="N332" s="6">
        <f>ROUND(+N335*N337,0)</f>
        <v>1221990</v>
      </c>
      <c r="O332" s="6">
        <f>ROUND(+O335*O337,0)</f>
        <v>1227970</v>
      </c>
      <c r="P332" s="6">
        <f>ROUND(+P335*P337,0)</f>
        <v>1233950</v>
      </c>
      <c r="Q332" s="5">
        <f>ROUND(+Q335*Q337,0)</f>
        <v>1239930</v>
      </c>
      <c r="R332" s="76"/>
      <c r="S332" s="76"/>
      <c r="T332" s="76"/>
      <c r="U332" s="76"/>
      <c r="V332" s="76"/>
      <c r="W332" s="76"/>
      <c r="X332" s="76"/>
      <c r="Y332" s="76"/>
      <c r="Z332" s="76"/>
      <c r="AA332" s="76"/>
    </row>
    <row r="333" spans="7:27" ht="13.5" thickBot="1" x14ac:dyDescent="0.25">
      <c r="G333" s="2" t="s">
        <v>142</v>
      </c>
      <c r="H333" s="2">
        <v>0</v>
      </c>
      <c r="I333" s="2">
        <v>0</v>
      </c>
      <c r="J333" s="2">
        <v>0</v>
      </c>
      <c r="K333" s="2">
        <f>+L333</f>
        <v>2637</v>
      </c>
      <c r="L333" s="2">
        <f>1186+1451</f>
        <v>2637</v>
      </c>
      <c r="M333" s="2">
        <f t="shared" ref="M333:Z333" si="86">+L333+M334</f>
        <v>2650</v>
      </c>
      <c r="N333" s="2">
        <f t="shared" si="86"/>
        <v>2663</v>
      </c>
      <c r="O333" s="2">
        <f t="shared" si="86"/>
        <v>2676</v>
      </c>
      <c r="P333" s="2">
        <f t="shared" si="86"/>
        <v>2689</v>
      </c>
      <c r="Q333" s="2">
        <f t="shared" si="86"/>
        <v>2702</v>
      </c>
      <c r="R333" s="2">
        <f t="shared" si="86"/>
        <v>2716</v>
      </c>
      <c r="S333" s="2">
        <f t="shared" si="86"/>
        <v>2730</v>
      </c>
      <c r="T333" s="2">
        <f t="shared" si="86"/>
        <v>2744</v>
      </c>
      <c r="U333" s="2">
        <f t="shared" si="86"/>
        <v>2758</v>
      </c>
      <c r="V333" s="2">
        <f t="shared" si="86"/>
        <v>2772</v>
      </c>
      <c r="W333" s="2">
        <f t="shared" si="86"/>
        <v>2786</v>
      </c>
      <c r="X333" s="2">
        <f t="shared" si="86"/>
        <v>2800</v>
      </c>
      <c r="Y333" s="2">
        <f t="shared" si="86"/>
        <v>2814</v>
      </c>
      <c r="Z333" s="2">
        <f t="shared" si="86"/>
        <v>2828</v>
      </c>
      <c r="AA333" s="76"/>
    </row>
    <row r="334" spans="7:27" ht="13.5" thickBot="1" x14ac:dyDescent="0.25">
      <c r="L334" s="233">
        <v>0</v>
      </c>
      <c r="M334" s="234">
        <f>ROUND(0.005*L333,0)</f>
        <v>13</v>
      </c>
      <c r="N334" s="234">
        <f t="shared" ref="N334:Q334" si="87">ROUND(0.005*M333,0)</f>
        <v>13</v>
      </c>
      <c r="O334" s="234">
        <f t="shared" si="87"/>
        <v>13</v>
      </c>
      <c r="P334" s="234">
        <f t="shared" si="87"/>
        <v>13</v>
      </c>
      <c r="Q334" s="234">
        <f t="shared" si="87"/>
        <v>13</v>
      </c>
      <c r="R334" s="123">
        <f>ROUND(+Q333*(R344),0)</f>
        <v>14</v>
      </c>
      <c r="S334" s="123">
        <f t="shared" ref="S334:Z334" si="88">ROUND(+R333*(S344),0)</f>
        <v>14</v>
      </c>
      <c r="T334" s="123">
        <f t="shared" si="88"/>
        <v>14</v>
      </c>
      <c r="U334" s="123">
        <f t="shared" si="88"/>
        <v>14</v>
      </c>
      <c r="V334" s="123">
        <f t="shared" si="88"/>
        <v>14</v>
      </c>
      <c r="W334" s="123">
        <f t="shared" si="88"/>
        <v>14</v>
      </c>
      <c r="X334" s="123">
        <f t="shared" si="88"/>
        <v>14</v>
      </c>
      <c r="Y334" s="123">
        <f t="shared" si="88"/>
        <v>14</v>
      </c>
      <c r="Z334" s="123">
        <f t="shared" si="88"/>
        <v>14</v>
      </c>
      <c r="AA334" s="76"/>
    </row>
    <row r="335" spans="7:27" x14ac:dyDescent="0.2">
      <c r="I335" s="2">
        <f t="shared" ref="I335:Q335" si="89">AVERAGE(H333:I333)</f>
        <v>0</v>
      </c>
      <c r="J335" s="2">
        <f t="shared" si="89"/>
        <v>0</v>
      </c>
      <c r="K335" s="2">
        <f t="shared" si="89"/>
        <v>1318.5</v>
      </c>
      <c r="L335" s="2">
        <f t="shared" si="89"/>
        <v>2637</v>
      </c>
      <c r="M335" s="2">
        <f t="shared" si="89"/>
        <v>2643.5</v>
      </c>
      <c r="N335" s="2">
        <f t="shared" si="89"/>
        <v>2656.5</v>
      </c>
      <c r="O335" s="2">
        <f t="shared" si="89"/>
        <v>2669.5</v>
      </c>
      <c r="P335" s="2">
        <f t="shared" si="89"/>
        <v>2682.5</v>
      </c>
      <c r="Q335" s="2">
        <f t="shared" si="89"/>
        <v>2695.5</v>
      </c>
      <c r="R335" s="76"/>
      <c r="S335" s="76"/>
      <c r="T335" s="76"/>
      <c r="U335" s="76"/>
      <c r="V335" s="76"/>
      <c r="W335" s="76"/>
      <c r="X335" s="76"/>
      <c r="Y335" s="76"/>
      <c r="Z335" s="76"/>
      <c r="AA335" s="76"/>
    </row>
    <row r="336" spans="7:27" x14ac:dyDescent="0.2">
      <c r="H336" s="2" t="e">
        <f>+H332/H333</f>
        <v>#DIV/0!</v>
      </c>
      <c r="I336" s="2" t="e">
        <f>+I332/I333</f>
        <v>#DIV/0!</v>
      </c>
      <c r="J336" s="2" t="e">
        <f>+J332/J333</f>
        <v>#DIV/0!</v>
      </c>
      <c r="K336" s="2">
        <f>+K332/K333</f>
        <v>693.5999241562381</v>
      </c>
      <c r="L336" s="2">
        <f>+L332/L333</f>
        <v>716.14192169131593</v>
      </c>
      <c r="R336" s="76"/>
      <c r="S336" s="76"/>
      <c r="T336" s="76"/>
      <c r="U336" s="76"/>
      <c r="V336" s="76"/>
      <c r="W336" s="76"/>
      <c r="X336" s="76"/>
      <c r="Y336" s="76"/>
      <c r="Z336" s="76"/>
      <c r="AA336" s="76"/>
    </row>
    <row r="337" spans="8:29" x14ac:dyDescent="0.2">
      <c r="M337" s="235">
        <v>460</v>
      </c>
      <c r="N337" s="235">
        <v>460</v>
      </c>
      <c r="O337" s="235">
        <v>460</v>
      </c>
      <c r="P337" s="235">
        <v>460</v>
      </c>
      <c r="Q337" s="235">
        <v>460</v>
      </c>
      <c r="R337" s="76"/>
      <c r="S337" s="76"/>
      <c r="T337" s="76"/>
      <c r="U337" s="76"/>
      <c r="V337" s="76"/>
      <c r="W337" s="76"/>
      <c r="X337" s="76"/>
      <c r="Y337" s="76"/>
      <c r="Z337" s="76"/>
      <c r="AA337" s="76"/>
    </row>
    <row r="338" spans="8:29" x14ac:dyDescent="0.2">
      <c r="I338" s="2" t="e">
        <f t="shared" ref="I338:M338" si="90">+I332/I335</f>
        <v>#DIV/0!</v>
      </c>
      <c r="J338" s="2" t="e">
        <f t="shared" si="90"/>
        <v>#DIV/0!</v>
      </c>
      <c r="K338" s="2">
        <f t="shared" si="90"/>
        <v>1387.1998483124762</v>
      </c>
      <c r="L338" s="2">
        <f t="shared" si="90"/>
        <v>716.14192169131593</v>
      </c>
      <c r="M338" s="2">
        <f t="shared" si="90"/>
        <v>781.84073765840731</v>
      </c>
      <c r="R338" s="76"/>
      <c r="S338" s="76"/>
      <c r="T338" s="76"/>
      <c r="U338" s="76"/>
      <c r="V338" s="76"/>
      <c r="W338" s="76"/>
      <c r="X338" s="76"/>
      <c r="Y338" s="76"/>
      <c r="Z338" s="76"/>
      <c r="AA338" s="76"/>
    </row>
    <row r="339" spans="8:29" x14ac:dyDescent="0.2">
      <c r="H339" s="76"/>
      <c r="I339" s="76"/>
      <c r="J339" s="76"/>
      <c r="K339" s="76"/>
      <c r="L339" s="123"/>
      <c r="M339" s="76"/>
      <c r="N339" s="76"/>
      <c r="O339" s="76"/>
      <c r="P339" s="76"/>
      <c r="Q339" s="76"/>
      <c r="R339" s="76"/>
      <c r="S339" s="76"/>
      <c r="T339" s="76"/>
      <c r="U339" s="76"/>
      <c r="V339" s="76"/>
      <c r="W339" s="76"/>
      <c r="X339" s="76"/>
      <c r="Y339" s="76"/>
      <c r="Z339" s="76"/>
      <c r="AA339" s="76"/>
    </row>
    <row r="340" spans="8:29" x14ac:dyDescent="0.2">
      <c r="H340" s="76"/>
      <c r="I340" s="76"/>
      <c r="J340" s="76"/>
      <c r="K340" s="76"/>
      <c r="L340" s="25" t="s">
        <v>143</v>
      </c>
      <c r="M340" s="75">
        <v>2343</v>
      </c>
      <c r="N340" s="76"/>
      <c r="O340" s="76"/>
      <c r="P340" s="76"/>
      <c r="Q340" s="76"/>
      <c r="R340" s="76"/>
      <c r="S340" s="76"/>
      <c r="T340" s="76"/>
      <c r="U340" s="76"/>
      <c r="V340" s="76"/>
      <c r="W340" s="76"/>
      <c r="X340" s="76"/>
      <c r="Y340" s="76"/>
      <c r="Z340" s="76"/>
      <c r="AA340" s="76"/>
    </row>
    <row r="341" spans="8:29" x14ac:dyDescent="0.2">
      <c r="H341" s="76"/>
      <c r="I341" s="76"/>
      <c r="J341" s="76"/>
      <c r="K341" s="76"/>
      <c r="L341" s="25" t="s">
        <v>144</v>
      </c>
      <c r="M341" s="75">
        <v>2343</v>
      </c>
      <c r="N341" s="76"/>
      <c r="O341" s="76"/>
      <c r="P341" s="76"/>
      <c r="Q341" s="76"/>
      <c r="R341" s="76"/>
      <c r="S341" s="76"/>
      <c r="T341" s="76"/>
      <c r="U341" s="76"/>
      <c r="V341" s="76"/>
      <c r="W341" s="76"/>
      <c r="X341" s="76"/>
      <c r="Y341" s="76"/>
      <c r="Z341" s="76"/>
      <c r="AA341" s="76"/>
    </row>
    <row r="342" spans="8:29" x14ac:dyDescent="0.2">
      <c r="H342" s="76"/>
      <c r="I342" s="76"/>
      <c r="J342" s="76"/>
      <c r="K342" s="76"/>
      <c r="L342" s="76"/>
      <c r="M342" s="77">
        <f>+M340/M341</f>
        <v>1</v>
      </c>
      <c r="N342" s="76"/>
      <c r="O342" s="76"/>
      <c r="P342" s="76"/>
      <c r="Q342" s="76"/>
      <c r="R342" s="76"/>
      <c r="S342" s="76"/>
      <c r="T342" s="76"/>
      <c r="U342" s="76"/>
      <c r="V342" s="76"/>
      <c r="W342" s="76"/>
      <c r="X342" s="76"/>
      <c r="Y342" s="76"/>
      <c r="Z342" s="76"/>
      <c r="AA342" s="76"/>
    </row>
    <row r="343" spans="8:29" ht="13.5" thickBot="1" x14ac:dyDescent="0.25">
      <c r="H343" s="76"/>
      <c r="I343" s="76"/>
      <c r="J343" s="76"/>
      <c r="K343" s="25">
        <f>1.742*1000000</f>
        <v>1742000</v>
      </c>
      <c r="L343" s="76"/>
      <c r="M343" s="76"/>
      <c r="N343" s="76"/>
      <c r="O343" s="76"/>
      <c r="P343" s="76"/>
      <c r="Q343" s="76"/>
      <c r="R343" s="76"/>
      <c r="S343" s="76"/>
      <c r="T343" s="76"/>
      <c r="U343" s="76"/>
      <c r="V343" s="76"/>
      <c r="W343" s="76"/>
      <c r="X343" s="76"/>
      <c r="Y343" s="76"/>
      <c r="Z343" s="220"/>
      <c r="AA343" s="76"/>
    </row>
    <row r="344" spans="8:29" ht="13.5" thickBot="1" x14ac:dyDescent="0.25">
      <c r="H344" s="76"/>
      <c r="I344" s="25" t="s">
        <v>145</v>
      </c>
      <c r="J344" s="76"/>
      <c r="L344" s="123"/>
      <c r="M344" s="78">
        <f t="shared" ref="M344:Q344" si="91">+M334</f>
        <v>13</v>
      </c>
      <c r="N344" s="78">
        <f t="shared" si="91"/>
        <v>13</v>
      </c>
      <c r="O344" s="78">
        <f t="shared" si="91"/>
        <v>13</v>
      </c>
      <c r="P344" s="78">
        <f t="shared" si="91"/>
        <v>13</v>
      </c>
      <c r="Q344" s="78">
        <f t="shared" si="91"/>
        <v>13</v>
      </c>
      <c r="R344" s="71">
        <v>5.0000000000000001E-3</v>
      </c>
      <c r="S344" s="71">
        <f t="shared" ref="S344:Z344" si="92">+R344</f>
        <v>5.0000000000000001E-3</v>
      </c>
      <c r="T344" s="71">
        <f t="shared" si="92"/>
        <v>5.0000000000000001E-3</v>
      </c>
      <c r="U344" s="71">
        <f t="shared" si="92"/>
        <v>5.0000000000000001E-3</v>
      </c>
      <c r="V344" s="71">
        <f t="shared" si="92"/>
        <v>5.0000000000000001E-3</v>
      </c>
      <c r="W344" s="71">
        <f t="shared" si="92"/>
        <v>5.0000000000000001E-3</v>
      </c>
      <c r="X344" s="71">
        <f t="shared" si="92"/>
        <v>5.0000000000000001E-3</v>
      </c>
      <c r="Y344" s="71">
        <f t="shared" si="92"/>
        <v>5.0000000000000001E-3</v>
      </c>
      <c r="Z344" s="71">
        <f t="shared" si="92"/>
        <v>5.0000000000000001E-3</v>
      </c>
      <c r="AA344" s="76"/>
    </row>
    <row r="345" spans="8:29" ht="13.5" thickBot="1" x14ac:dyDescent="0.25">
      <c r="H345" s="76"/>
      <c r="I345" s="123" t="s">
        <v>146</v>
      </c>
      <c r="J345" s="82">
        <v>0</v>
      </c>
      <c r="K345" s="81">
        <f>(100000*2343)/K346</f>
        <v>88850.967007963598</v>
      </c>
      <c r="L345" s="79">
        <f>+L346*K350</f>
        <v>88850.967007963598</v>
      </c>
      <c r="M345" s="79">
        <f>+M346*L350</f>
        <v>89288.988460790119</v>
      </c>
      <c r="N345" s="79">
        <f t="shared" ref="N345:Z345" si="93">+N346*M350</f>
        <v>89727.009913616639</v>
      </c>
      <c r="O345" s="79">
        <f t="shared" si="93"/>
        <v>90165.03136644316</v>
      </c>
      <c r="P345" s="79">
        <f t="shared" si="93"/>
        <v>90603.052819269666</v>
      </c>
      <c r="Q345" s="79">
        <f t="shared" si="93"/>
        <v>91041.074272096186</v>
      </c>
      <c r="R345" s="79">
        <f t="shared" si="93"/>
        <v>91496.279643456655</v>
      </c>
      <c r="S345" s="79">
        <f t="shared" si="93"/>
        <v>91953.761041673934</v>
      </c>
      <c r="T345" s="79">
        <f t="shared" si="93"/>
        <v>92413.529846882302</v>
      </c>
      <c r="U345" s="79">
        <f t="shared" si="93"/>
        <v>92875.597496116708</v>
      </c>
      <c r="V345" s="79">
        <f t="shared" si="93"/>
        <v>93339.975483597271</v>
      </c>
      <c r="W345" s="79">
        <f t="shared" si="93"/>
        <v>93806.675361015237</v>
      </c>
      <c r="X345" s="79">
        <f t="shared" si="93"/>
        <v>94275.708737820314</v>
      </c>
      <c r="Y345" s="79">
        <f t="shared" si="93"/>
        <v>94747.087281509404</v>
      </c>
      <c r="Z345" s="79">
        <f t="shared" si="93"/>
        <v>95220.822717916948</v>
      </c>
      <c r="AA345" s="76"/>
    </row>
    <row r="346" spans="8:29" ht="13.5" thickBot="1" x14ac:dyDescent="0.25">
      <c r="H346" s="76"/>
      <c r="I346" s="25" t="s">
        <v>147</v>
      </c>
      <c r="J346" s="79">
        <v>2637</v>
      </c>
      <c r="K346" s="79">
        <v>2637</v>
      </c>
      <c r="L346" s="79">
        <v>2637</v>
      </c>
      <c r="M346" s="80">
        <f>+L346+($M342*M344)</f>
        <v>2650</v>
      </c>
      <c r="N346" s="80">
        <f t="shared" ref="N346:P346" si="94">+M346+($M342*N344)</f>
        <v>2663</v>
      </c>
      <c r="O346" s="80">
        <f t="shared" si="94"/>
        <v>2676</v>
      </c>
      <c r="P346" s="80">
        <f t="shared" si="94"/>
        <v>2689</v>
      </c>
      <c r="Q346" s="80">
        <f>+P346+($M342*Q344)</f>
        <v>2702</v>
      </c>
      <c r="R346" s="79">
        <f t="shared" ref="R346:Z346" si="95">+Q346*(1+R344)</f>
        <v>2715.5099999999998</v>
      </c>
      <c r="S346" s="79">
        <f t="shared" si="95"/>
        <v>2729.0875499999993</v>
      </c>
      <c r="T346" s="79">
        <f t="shared" si="95"/>
        <v>2742.7329877499992</v>
      </c>
      <c r="U346" s="79">
        <f t="shared" si="95"/>
        <v>2756.4466526887491</v>
      </c>
      <c r="V346" s="79">
        <f t="shared" si="95"/>
        <v>2770.2288859521923</v>
      </c>
      <c r="W346" s="79">
        <f t="shared" si="95"/>
        <v>2784.0800303819528</v>
      </c>
      <c r="X346" s="79">
        <f t="shared" si="95"/>
        <v>2798.0004305338625</v>
      </c>
      <c r="Y346" s="79">
        <f t="shared" si="95"/>
        <v>2811.9904326865317</v>
      </c>
      <c r="Z346" s="79">
        <f t="shared" si="95"/>
        <v>2826.0503848499638</v>
      </c>
      <c r="AA346" s="76"/>
    </row>
    <row r="347" spans="8:29" x14ac:dyDescent="0.2">
      <c r="H347" s="76"/>
      <c r="I347" s="198" t="s">
        <v>148</v>
      </c>
      <c r="J347" s="6">
        <f>+J24-0</f>
        <v>0</v>
      </c>
      <c r="K347" s="6">
        <f>+K24-0</f>
        <v>1887240</v>
      </c>
      <c r="L347" s="6">
        <f>+L24-0</f>
        <v>1946683.2475000001</v>
      </c>
      <c r="M347" s="6">
        <f>+M24-0</f>
        <v>2125012.9899999998</v>
      </c>
      <c r="N347" s="6">
        <f>+N24-0</f>
        <v>2188442</v>
      </c>
      <c r="O347" s="6">
        <f>+O24-0</f>
        <v>2252001</v>
      </c>
      <c r="P347" s="6">
        <f>+P24-0</f>
        <v>2494153</v>
      </c>
      <c r="Q347" s="6">
        <f>+Q24-0</f>
        <v>2505958</v>
      </c>
      <c r="R347" s="6">
        <f>+R24-0</f>
        <v>2517995</v>
      </c>
      <c r="S347" s="6">
        <f>+S24-0</f>
        <v>2621761</v>
      </c>
      <c r="T347" s="6">
        <f>+T24-0</f>
        <v>2634578</v>
      </c>
      <c r="U347" s="6">
        <f>+U24-0</f>
        <v>2647460</v>
      </c>
      <c r="V347" s="6">
        <f>+V24-0</f>
        <v>2756687</v>
      </c>
      <c r="W347" s="6">
        <f>+W24-0</f>
        <v>2770180</v>
      </c>
      <c r="X347" s="6">
        <f>+X24-0</f>
        <v>2783739</v>
      </c>
      <c r="Y347" s="6">
        <f>+Y24-0</f>
        <v>2898716</v>
      </c>
      <c r="Z347" s="6">
        <f>+Z24-0</f>
        <v>2912918</v>
      </c>
      <c r="AA347" s="76"/>
    </row>
    <row r="348" spans="8:29" x14ac:dyDescent="0.2">
      <c r="H348" s="76"/>
      <c r="I348" s="76"/>
      <c r="J348" s="76"/>
      <c r="K348" s="25"/>
      <c r="L348" s="123"/>
      <c r="M348" s="76"/>
      <c r="N348" s="76"/>
      <c r="O348" s="76"/>
      <c r="P348" s="76"/>
      <c r="Q348" s="236">
        <f>+Q349/P349</f>
        <v>0.99989904679219199</v>
      </c>
      <c r="R348" s="76"/>
      <c r="S348" s="76"/>
      <c r="T348" s="236">
        <f>+T349/S349</f>
        <v>0.9998892525925015</v>
      </c>
      <c r="U348" s="76"/>
      <c r="V348" s="76"/>
      <c r="W348" s="76"/>
      <c r="X348" s="76"/>
      <c r="Y348" s="76"/>
      <c r="Z348" s="76"/>
      <c r="AA348" s="76"/>
    </row>
    <row r="349" spans="8:29" x14ac:dyDescent="0.2">
      <c r="H349" s="76"/>
      <c r="I349" s="25" t="s">
        <v>149</v>
      </c>
      <c r="J349" s="81">
        <f>+J347/J346</f>
        <v>0</v>
      </c>
      <c r="K349" s="81">
        <f>+K347/K346</f>
        <v>715.67690557451647</v>
      </c>
      <c r="L349" s="81">
        <f>+L347/L346</f>
        <v>738.21890310959429</v>
      </c>
      <c r="M349" s="81">
        <f>+M347/M346</f>
        <v>801.89169433962252</v>
      </c>
      <c r="N349" s="81">
        <f t="shared" ref="N349:Z349" si="96">+N347/N346</f>
        <v>821.7957191137815</v>
      </c>
      <c r="O349" s="81">
        <f t="shared" si="96"/>
        <v>841.55493273542606</v>
      </c>
      <c r="P349" s="81">
        <f t="shared" si="96"/>
        <v>927.5392339159539</v>
      </c>
      <c r="Q349" s="81">
        <f t="shared" si="96"/>
        <v>927.44559585492232</v>
      </c>
      <c r="R349" s="81">
        <f t="shared" si="96"/>
        <v>927.26412349798022</v>
      </c>
      <c r="S349" s="81">
        <f t="shared" si="96"/>
        <v>960.67310116159547</v>
      </c>
      <c r="T349" s="81">
        <f t="shared" si="96"/>
        <v>960.56670910618823</v>
      </c>
      <c r="U349" s="81">
        <f t="shared" si="96"/>
        <v>960.4611783135947</v>
      </c>
      <c r="V349" s="81">
        <f t="shared" si="96"/>
        <v>995.11163643521911</v>
      </c>
      <c r="W349" s="81">
        <f t="shared" si="96"/>
        <v>995.00731651738977</v>
      </c>
      <c r="X349" s="81">
        <f t="shared" si="96"/>
        <v>994.90299201592995</v>
      </c>
      <c r="Y349" s="81">
        <f t="shared" si="96"/>
        <v>1030.841345086161</v>
      </c>
      <c r="Z349" s="81">
        <f t="shared" si="96"/>
        <v>1030.738169289451</v>
      </c>
      <c r="AA349" s="76"/>
    </row>
    <row r="350" spans="8:29" x14ac:dyDescent="0.2">
      <c r="H350" s="76"/>
      <c r="I350" s="25" t="s">
        <v>150</v>
      </c>
      <c r="J350" s="82">
        <f>+J345/J346</f>
        <v>0</v>
      </c>
      <c r="K350" s="82">
        <f>+K345/K346</f>
        <v>33.69395790973212</v>
      </c>
      <c r="L350" s="82">
        <f>+L345/L346</f>
        <v>33.69395790973212</v>
      </c>
      <c r="M350" s="82">
        <f>+M345/M346</f>
        <v>33.69395790973212</v>
      </c>
      <c r="N350" s="82">
        <f t="shared" ref="N350:Z350" si="97">+N345/N346</f>
        <v>33.69395790973212</v>
      </c>
      <c r="O350" s="82">
        <f t="shared" si="97"/>
        <v>33.69395790973212</v>
      </c>
      <c r="P350" s="82">
        <f t="shared" si="97"/>
        <v>33.69395790973212</v>
      </c>
      <c r="Q350" s="82">
        <f t="shared" si="97"/>
        <v>33.69395790973212</v>
      </c>
      <c r="R350" s="82">
        <f t="shared" si="97"/>
        <v>33.69395790973212</v>
      </c>
      <c r="S350" s="82">
        <f t="shared" si="97"/>
        <v>33.69395790973212</v>
      </c>
      <c r="T350" s="82">
        <f t="shared" si="97"/>
        <v>33.69395790973212</v>
      </c>
      <c r="U350" s="82">
        <f t="shared" si="97"/>
        <v>33.69395790973212</v>
      </c>
      <c r="V350" s="82">
        <f t="shared" si="97"/>
        <v>33.69395790973212</v>
      </c>
      <c r="W350" s="82">
        <f t="shared" si="97"/>
        <v>33.69395790973212</v>
      </c>
      <c r="X350" s="82">
        <f t="shared" si="97"/>
        <v>33.69395790973212</v>
      </c>
      <c r="Y350" s="82">
        <f t="shared" si="97"/>
        <v>33.69395790973212</v>
      </c>
      <c r="Z350" s="82">
        <f t="shared" si="97"/>
        <v>33.69395790973212</v>
      </c>
      <c r="AA350" s="76"/>
      <c r="AC350" s="237"/>
    </row>
    <row r="351" spans="8:29" x14ac:dyDescent="0.2">
      <c r="H351" s="76"/>
      <c r="I351" s="25"/>
      <c r="J351" s="76"/>
      <c r="L351" s="123"/>
      <c r="M351" s="76"/>
      <c r="N351" s="76"/>
      <c r="O351" s="76"/>
      <c r="P351" s="76"/>
      <c r="Q351" s="76"/>
      <c r="R351" s="76"/>
      <c r="S351" s="76"/>
      <c r="T351" s="76"/>
      <c r="U351" s="76"/>
      <c r="V351" s="76"/>
      <c r="W351" s="76"/>
      <c r="X351" s="76"/>
      <c r="Y351" s="76"/>
      <c r="Z351" s="76"/>
      <c r="AA351" s="76"/>
    </row>
    <row r="352" spans="8:29" x14ac:dyDescent="0.2">
      <c r="H352" s="76"/>
      <c r="I352" s="25" t="s">
        <v>151</v>
      </c>
      <c r="J352" s="81" t="e">
        <f>+J347/J333</f>
        <v>#DIV/0!</v>
      </c>
      <c r="K352" s="81">
        <f t="shared" ref="K352:Z352" si="98">+K347/K333</f>
        <v>715.67690557451647</v>
      </c>
      <c r="L352" s="81">
        <f t="shared" si="98"/>
        <v>738.21890310959429</v>
      </c>
      <c r="M352" s="81">
        <f t="shared" si="98"/>
        <v>801.89169433962252</v>
      </c>
      <c r="N352" s="81">
        <f t="shared" si="98"/>
        <v>821.7957191137815</v>
      </c>
      <c r="O352" s="81">
        <f t="shared" si="98"/>
        <v>841.55493273542606</v>
      </c>
      <c r="P352" s="81">
        <f t="shared" si="98"/>
        <v>927.5392339159539</v>
      </c>
      <c r="Q352" s="81">
        <f t="shared" si="98"/>
        <v>927.44559585492232</v>
      </c>
      <c r="R352" s="81">
        <f t="shared" si="98"/>
        <v>927.09683357879237</v>
      </c>
      <c r="S352" s="81">
        <f t="shared" si="98"/>
        <v>960.35201465201465</v>
      </c>
      <c r="T352" s="81">
        <f t="shared" si="98"/>
        <v>960.12317784256561</v>
      </c>
      <c r="U352" s="81">
        <f t="shared" si="98"/>
        <v>959.92023205221176</v>
      </c>
      <c r="V352" s="81">
        <f t="shared" si="98"/>
        <v>994.47582972582973</v>
      </c>
      <c r="W352" s="81">
        <f t="shared" si="98"/>
        <v>994.321608040201</v>
      </c>
      <c r="X352" s="81">
        <f t="shared" si="98"/>
        <v>994.1925</v>
      </c>
      <c r="Y352" s="81">
        <f t="shared" si="98"/>
        <v>1030.1051883439943</v>
      </c>
      <c r="Z352" s="81">
        <f t="shared" si="98"/>
        <v>1030.0275813295616</v>
      </c>
      <c r="AA352" s="76"/>
    </row>
    <row r="353" spans="7:29" x14ac:dyDescent="0.2">
      <c r="H353" s="76"/>
      <c r="I353" s="25" t="s">
        <v>152</v>
      </c>
      <c r="J353" s="82" t="e">
        <f>+J345/J333</f>
        <v>#DIV/0!</v>
      </c>
      <c r="K353" s="82">
        <f t="shared" ref="K353:Z353" si="99">+K345/K333</f>
        <v>33.69395790973212</v>
      </c>
      <c r="L353" s="82">
        <f t="shared" si="99"/>
        <v>33.69395790973212</v>
      </c>
      <c r="M353" s="82">
        <f t="shared" si="99"/>
        <v>33.69395790973212</v>
      </c>
      <c r="N353" s="82">
        <f t="shared" si="99"/>
        <v>33.69395790973212</v>
      </c>
      <c r="O353" s="82">
        <f t="shared" si="99"/>
        <v>33.69395790973212</v>
      </c>
      <c r="P353" s="82">
        <f t="shared" si="99"/>
        <v>33.69395790973212</v>
      </c>
      <c r="Q353" s="82">
        <f t="shared" si="99"/>
        <v>33.69395790973212</v>
      </c>
      <c r="R353" s="82">
        <f t="shared" si="99"/>
        <v>33.68787910289273</v>
      </c>
      <c r="S353" s="82">
        <f t="shared" si="99"/>
        <v>33.682696352261516</v>
      </c>
      <c r="T353" s="82">
        <f t="shared" si="99"/>
        <v>33.678400089971682</v>
      </c>
      <c r="U353" s="82">
        <f t="shared" si="99"/>
        <v>33.674980963058992</v>
      </c>
      <c r="V353" s="82">
        <f t="shared" si="99"/>
        <v>33.672429828137545</v>
      </c>
      <c r="W353" s="82">
        <f t="shared" si="99"/>
        <v>33.670737746236625</v>
      </c>
      <c r="X353" s="82">
        <f t="shared" si="99"/>
        <v>33.669895977792969</v>
      </c>
      <c r="Y353" s="82">
        <f t="shared" si="99"/>
        <v>33.669895977792969</v>
      </c>
      <c r="Z353" s="82">
        <f t="shared" si="99"/>
        <v>33.670729391059744</v>
      </c>
      <c r="AA353" s="76"/>
    </row>
    <row r="354" spans="7:29" x14ac:dyDescent="0.2">
      <c r="H354" s="76"/>
      <c r="I354" s="25"/>
      <c r="J354" s="76"/>
      <c r="L354" s="123"/>
      <c r="M354" s="76"/>
      <c r="N354" s="76"/>
      <c r="O354" s="76"/>
      <c r="P354" s="76"/>
      <c r="Q354" s="76"/>
      <c r="R354" s="76"/>
      <c r="S354" s="76"/>
      <c r="T354" s="76"/>
      <c r="U354" s="76"/>
      <c r="V354" s="76"/>
      <c r="W354" s="76"/>
      <c r="X354" s="76"/>
      <c r="Y354" s="76"/>
      <c r="Z354" s="76"/>
      <c r="AA354" s="76"/>
    </row>
    <row r="355" spans="7:29" x14ac:dyDescent="0.2">
      <c r="H355" s="76"/>
      <c r="I355" s="25" t="s">
        <v>153</v>
      </c>
      <c r="J355" s="76"/>
      <c r="L355" s="123"/>
      <c r="M355" s="72">
        <f>+M346*L349</f>
        <v>1956280.093240425</v>
      </c>
      <c r="N355" s="72">
        <f>AVERAGE(M346:N346)*M349</f>
        <v>2130225.2860132074</v>
      </c>
      <c r="O355" s="72">
        <f t="shared" ref="O355:Z355" si="100">AVERAGE(N346:O346)*N349</f>
        <v>2193783.6721742395</v>
      </c>
      <c r="P355" s="72">
        <f t="shared" si="100"/>
        <v>2257471.1070627803</v>
      </c>
      <c r="Q355" s="72">
        <f t="shared" si="100"/>
        <v>2500182.0050204536</v>
      </c>
      <c r="R355" s="72">
        <f t="shared" si="100"/>
        <v>2512222.895</v>
      </c>
      <c r="S355" s="72">
        <f t="shared" si="100"/>
        <v>2524289.9874999998</v>
      </c>
      <c r="T355" s="72">
        <f t="shared" si="100"/>
        <v>2628315.4024999999</v>
      </c>
      <c r="U355" s="72">
        <f t="shared" si="100"/>
        <v>2641164.4449999998</v>
      </c>
      <c r="V355" s="72">
        <f t="shared" si="100"/>
        <v>2654078.6499999994</v>
      </c>
      <c r="W355" s="72">
        <f t="shared" si="100"/>
        <v>2763578.7174999998</v>
      </c>
      <c r="X355" s="72">
        <f t="shared" si="100"/>
        <v>2777105.4499999997</v>
      </c>
      <c r="Y355" s="72">
        <f t="shared" si="100"/>
        <v>2790698.3475000001</v>
      </c>
      <c r="Z355" s="72">
        <f t="shared" si="100"/>
        <v>2905962.79</v>
      </c>
      <c r="AA355" s="76"/>
    </row>
    <row r="356" spans="7:29" x14ac:dyDescent="0.2">
      <c r="H356" s="76"/>
      <c r="I356" s="25"/>
      <c r="J356" s="76"/>
      <c r="L356" s="238"/>
      <c r="M356" s="72"/>
      <c r="N356" s="72"/>
      <c r="O356" s="72"/>
      <c r="P356" s="72"/>
      <c r="Q356" s="72"/>
      <c r="R356" s="72"/>
      <c r="S356" s="72"/>
      <c r="T356" s="72"/>
      <c r="U356" s="72"/>
      <c r="V356" s="72"/>
      <c r="W356" s="72"/>
      <c r="X356" s="72"/>
      <c r="Y356" s="72"/>
      <c r="Z356" s="72"/>
      <c r="AA356" s="76"/>
    </row>
    <row r="357" spans="7:29" x14ac:dyDescent="0.2">
      <c r="H357" s="76"/>
      <c r="I357" s="25"/>
      <c r="J357" s="76"/>
      <c r="L357" s="123"/>
      <c r="M357" s="72"/>
      <c r="N357" s="72"/>
      <c r="O357" s="72"/>
      <c r="P357" s="72"/>
      <c r="Q357" s="74" t="s">
        <v>155</v>
      </c>
      <c r="R357" s="72"/>
      <c r="S357" s="72"/>
      <c r="T357" s="72"/>
      <c r="U357" s="72"/>
      <c r="V357" s="72"/>
      <c r="W357" s="72"/>
      <c r="X357" s="72"/>
      <c r="Y357" s="72"/>
      <c r="Z357" s="72"/>
      <c r="AA357" s="76"/>
    </row>
    <row r="358" spans="7:29" x14ac:dyDescent="0.2">
      <c r="H358" s="76"/>
      <c r="I358" s="76"/>
      <c r="J358" s="76"/>
      <c r="K358" s="25"/>
      <c r="L358" s="123"/>
      <c r="M358" s="239">
        <f>+M285</f>
        <v>2018</v>
      </c>
      <c r="N358" s="239">
        <f>+N285</f>
        <v>2019</v>
      </c>
      <c r="O358" s="239">
        <f>+O285</f>
        <v>2020</v>
      </c>
      <c r="P358" s="239">
        <f>+P285</f>
        <v>2021</v>
      </c>
      <c r="Q358" s="239">
        <f>+Q285</f>
        <v>2022</v>
      </c>
      <c r="R358" s="239">
        <f>+R285</f>
        <v>2023</v>
      </c>
      <c r="S358" s="239">
        <f>+S285</f>
        <v>2024</v>
      </c>
      <c r="T358" s="239">
        <f>+T285</f>
        <v>2025</v>
      </c>
      <c r="U358" s="239">
        <f>+U285</f>
        <v>2026</v>
      </c>
      <c r="V358" s="239">
        <f>+V285</f>
        <v>2027</v>
      </c>
      <c r="W358" s="239">
        <f>+W285</f>
        <v>2028</v>
      </c>
      <c r="X358" s="239">
        <f>+X285</f>
        <v>2029</v>
      </c>
      <c r="Y358" s="239">
        <f>+Y285</f>
        <v>2030</v>
      </c>
      <c r="Z358" s="239">
        <f>+Z285</f>
        <v>2031</v>
      </c>
      <c r="AA358" s="76"/>
    </row>
    <row r="359" spans="7:29" ht="13.5" thickBot="1" x14ac:dyDescent="0.25">
      <c r="H359" s="76"/>
      <c r="I359" s="76"/>
      <c r="J359" s="76"/>
      <c r="K359" s="25"/>
      <c r="M359" s="2" t="s">
        <v>154</v>
      </c>
      <c r="N359" s="240"/>
      <c r="O359" s="240"/>
      <c r="P359" s="171">
        <v>0.105</v>
      </c>
      <c r="Q359" s="171"/>
      <c r="R359" s="171"/>
      <c r="S359" s="171">
        <v>3.6999999999999998E-2</v>
      </c>
      <c r="T359" s="171"/>
      <c r="U359" s="171"/>
      <c r="V359" s="171">
        <v>3.6999999999999998E-2</v>
      </c>
      <c r="W359" s="171"/>
      <c r="X359" s="171"/>
      <c r="Y359" s="171">
        <v>3.6999999999999998E-2</v>
      </c>
      <c r="Z359" s="240"/>
    </row>
    <row r="360" spans="7:29" ht="13.5" thickBot="1" x14ac:dyDescent="0.25">
      <c r="H360" s="76"/>
      <c r="I360" s="76"/>
      <c r="J360" s="76"/>
      <c r="K360" s="76"/>
      <c r="L360" s="241">
        <f>+L349</f>
        <v>738.21890310959429</v>
      </c>
      <c r="M360" s="241">
        <f>+M349</f>
        <v>801.89169433962252</v>
      </c>
      <c r="N360" s="241">
        <f>+N349</f>
        <v>821.7957191137815</v>
      </c>
      <c r="O360" s="242">
        <f>N360*(1+O359)</f>
        <v>821.7957191137815</v>
      </c>
      <c r="P360" s="243">
        <f t="shared" ref="P360:Z360" si="101">O360*(1+P359)</f>
        <v>908.08426962072849</v>
      </c>
      <c r="Q360" s="243">
        <f t="shared" si="101"/>
        <v>908.08426962072849</v>
      </c>
      <c r="R360" s="243">
        <f t="shared" si="101"/>
        <v>908.08426962072849</v>
      </c>
      <c r="S360" s="243">
        <f t="shared" si="101"/>
        <v>941.68338759669541</v>
      </c>
      <c r="T360" s="243">
        <f t="shared" si="101"/>
        <v>941.68338759669541</v>
      </c>
      <c r="U360" s="243">
        <f t="shared" si="101"/>
        <v>941.68338759669541</v>
      </c>
      <c r="V360" s="243">
        <f t="shared" si="101"/>
        <v>976.52567293777304</v>
      </c>
      <c r="W360" s="243">
        <f t="shared" si="101"/>
        <v>976.52567293777304</v>
      </c>
      <c r="X360" s="244">
        <f t="shared" si="101"/>
        <v>976.52567293777304</v>
      </c>
      <c r="Y360" s="245">
        <f t="shared" si="101"/>
        <v>1012.6571228364705</v>
      </c>
      <c r="Z360" s="245">
        <f t="shared" si="101"/>
        <v>1012.6571228364705</v>
      </c>
      <c r="AA360" s="83">
        <f>1.04^10</f>
        <v>1.4802442849183446</v>
      </c>
      <c r="AB360" s="241">
        <f>+AA360*M360</f>
        <v>1186.9955976697142</v>
      </c>
      <c r="AC360" s="246">
        <f>+AB360-X360</f>
        <v>210.46992473194121</v>
      </c>
    </row>
    <row r="361" spans="7:29" x14ac:dyDescent="0.2">
      <c r="H361" s="76"/>
      <c r="I361" s="76"/>
      <c r="J361" s="76"/>
      <c r="K361" s="76"/>
      <c r="L361" s="123"/>
      <c r="M361" s="76"/>
      <c r="N361" s="76"/>
      <c r="O361" s="247">
        <f>+O360-N360</f>
        <v>0</v>
      </c>
      <c r="P361" s="247">
        <f>+P360-O360</f>
        <v>86.28855050694699</v>
      </c>
      <c r="Q361" s="247">
        <f>+Q360-P360</f>
        <v>0</v>
      </c>
      <c r="R361" s="247">
        <f t="shared" ref="R361:Z361" si="102">+R360-Q360</f>
        <v>0</v>
      </c>
      <c r="S361" s="247">
        <f t="shared" si="102"/>
        <v>33.599117975966919</v>
      </c>
      <c r="T361" s="247">
        <f t="shared" si="102"/>
        <v>0</v>
      </c>
      <c r="U361" s="247">
        <f t="shared" si="102"/>
        <v>0</v>
      </c>
      <c r="V361" s="247">
        <f t="shared" si="102"/>
        <v>34.842285341077627</v>
      </c>
      <c r="W361" s="247">
        <f t="shared" si="102"/>
        <v>0</v>
      </c>
      <c r="X361" s="247">
        <f t="shared" si="102"/>
        <v>0</v>
      </c>
      <c r="Y361" s="247">
        <f t="shared" si="102"/>
        <v>36.131449898697497</v>
      </c>
      <c r="Z361" s="247">
        <f t="shared" si="102"/>
        <v>0</v>
      </c>
      <c r="AA361" s="76"/>
    </row>
    <row r="362" spans="7:29" x14ac:dyDescent="0.2">
      <c r="H362" s="76"/>
      <c r="I362" s="76"/>
      <c r="J362" s="76"/>
      <c r="K362" s="76"/>
      <c r="L362" s="123"/>
      <c r="M362" s="76"/>
      <c r="N362" s="76"/>
      <c r="O362" s="76"/>
      <c r="P362" s="76"/>
      <c r="Q362" s="76"/>
      <c r="R362" s="76"/>
      <c r="S362" s="76"/>
      <c r="T362" s="76"/>
      <c r="U362" s="76"/>
      <c r="V362" s="76"/>
      <c r="W362" s="76"/>
      <c r="X362" s="76"/>
      <c r="Y362" s="76"/>
      <c r="Z362" s="76"/>
      <c r="AA362" s="76"/>
    </row>
    <row r="363" spans="7:29" ht="15" x14ac:dyDescent="0.25">
      <c r="G363" s="84"/>
      <c r="H363" s="85"/>
      <c r="J363" s="85"/>
      <c r="K363" s="85"/>
      <c r="L363" s="248"/>
      <c r="M363" s="248">
        <f>(((+M346-L346)/2)*L349)</f>
        <v>4798.4228702123628</v>
      </c>
      <c r="N363" s="248">
        <f>(((+N346-M346)/2)*M349)</f>
        <v>5212.2960132075459</v>
      </c>
      <c r="O363" s="248">
        <f>(((+O346-N346)/2)*N349)</f>
        <v>5341.6721742395794</v>
      </c>
      <c r="P363" s="248">
        <f>(((+P346-O346)/2)*P360)+(O346*P360)</f>
        <v>2435936.0532576041</v>
      </c>
      <c r="Q363" s="248">
        <f>(((+Q346-P346)/2)*P349)</f>
        <v>6029.0050204537001</v>
      </c>
      <c r="R363" s="248">
        <f>(((+R346-Q346)/2)*Q349)</f>
        <v>6264.8949999998904</v>
      </c>
      <c r="S363" s="248">
        <f>(((+S346-R346)/2)*R349)</f>
        <v>6294.9874999997774</v>
      </c>
      <c r="T363" s="248">
        <f>(((+T346-S346)/2)*S349)</f>
        <v>6554.4024999999674</v>
      </c>
      <c r="U363" s="248">
        <f>(((+U346-T346)/2)*T349)</f>
        <v>6586.4449999999269</v>
      </c>
      <c r="V363" s="248">
        <f>(((+V346-U346)/2)*U349)</f>
        <v>6618.6499999997532</v>
      </c>
      <c r="W363" s="248">
        <f>(((+W346-V346)/2)*V349)</f>
        <v>6891.717499999796</v>
      </c>
      <c r="X363" s="248">
        <f>(((+X346-W346)/2)*W349)</f>
        <v>6925.4499999999625</v>
      </c>
      <c r="Y363" s="248">
        <f>(((+Y346-X346)/2)*X349)</f>
        <v>6959.3474999999189</v>
      </c>
      <c r="Z363" s="248">
        <f>(((+Z346-Y346)/2)*Y349)</f>
        <v>7246.7899999997499</v>
      </c>
      <c r="AA363" s="76"/>
    </row>
    <row r="364" spans="7:29" ht="15" x14ac:dyDescent="0.25">
      <c r="G364" s="84"/>
      <c r="H364" s="85"/>
      <c r="J364" s="85"/>
      <c r="K364" s="85"/>
      <c r="L364" s="248"/>
      <c r="M364" s="248"/>
      <c r="N364" s="248"/>
      <c r="O364" s="248"/>
      <c r="P364" s="248"/>
      <c r="Q364" s="248"/>
      <c r="R364" s="248"/>
      <c r="S364" s="248"/>
      <c r="T364" s="248"/>
      <c r="U364" s="248"/>
      <c r="V364" s="248"/>
      <c r="W364" s="248"/>
      <c r="X364" s="248"/>
      <c r="Y364" s="248"/>
      <c r="Z364" s="248"/>
      <c r="AA364" s="76"/>
    </row>
    <row r="365" spans="7:29" ht="15" x14ac:dyDescent="0.25">
      <c r="G365" s="84"/>
      <c r="H365" s="85"/>
      <c r="J365" s="85"/>
      <c r="K365" s="85"/>
      <c r="L365" s="248"/>
      <c r="M365" s="248">
        <f>+ROUND((L360*(L346+((M346-L346)/2))),0)</f>
        <v>1951482</v>
      </c>
      <c r="N365" s="248">
        <f>+ROUND((M360*(M346+((N346-M346)/2))),0)</f>
        <v>2130225</v>
      </c>
      <c r="O365" s="248">
        <f>+ROUND((N360*(N346+((O346-N346)/2))),0)</f>
        <v>2193784</v>
      </c>
      <c r="P365" s="248">
        <f>+ROUND((O360*(O346+((P346-O346)/2))),0)</f>
        <v>2204467</v>
      </c>
      <c r="Q365" s="248">
        <f>+ROUND((P360*(P346+((Q346-P346)/2))),0)</f>
        <v>2447741</v>
      </c>
      <c r="R365" s="248">
        <f>+ROUND((Q360*(Q346+((R346-Q346)/2))),0)</f>
        <v>2459778</v>
      </c>
      <c r="S365" s="248">
        <f>+ROUND((R360*(R346+((S346-R346)/2))),0)</f>
        <v>2472077</v>
      </c>
      <c r="T365" s="248">
        <f>+ROUND((S360*(S346+((T346-S346)/2))),0)</f>
        <v>2576361</v>
      </c>
      <c r="U365" s="248">
        <f>+ROUND((T360*(T346+((U346-T346)/2))),0)</f>
        <v>2589243</v>
      </c>
      <c r="V365" s="248">
        <f>+ROUND((U360*(U346+((V346-U346)/2))),0)</f>
        <v>2602189</v>
      </c>
      <c r="W365" s="248">
        <f>+ROUND((V360*(V346+((W346-V346)/2))),0)</f>
        <v>2711963</v>
      </c>
      <c r="X365" s="248">
        <f>+ROUND((W360*(W346+((X346-W346)/2))),0)</f>
        <v>2725522</v>
      </c>
      <c r="Y365" s="248">
        <f>+ROUND((X360*(X346+((Y346-X346)/2))),0)</f>
        <v>2739150</v>
      </c>
      <c r="Z365" s="248">
        <f>+ROUND((Y360*(Y346+((Z346-Y346)/2))),0)</f>
        <v>2854701</v>
      </c>
      <c r="AA365" s="76"/>
    </row>
    <row r="366" spans="7:29" ht="15" x14ac:dyDescent="0.25">
      <c r="G366" s="84"/>
      <c r="H366" s="85"/>
      <c r="J366" s="85"/>
      <c r="K366" s="85"/>
      <c r="L366" s="248"/>
      <c r="M366" s="248">
        <f>+ROUND((+M361*(L346+((M346-L346)/2))),0)</f>
        <v>0</v>
      </c>
      <c r="N366" s="248">
        <f>+ROUND((+N361*(M346+((N346-M346)/2))),0)</f>
        <v>0</v>
      </c>
      <c r="O366" s="248">
        <f>+ROUND((+O361*(N346+((O346-N346)/2))),0)</f>
        <v>0</v>
      </c>
      <c r="P366" s="248">
        <f>+ROUND((+P361*(O346+((P346-O346)/2))),0)</f>
        <v>231469</v>
      </c>
      <c r="Q366" s="248">
        <f>+ROUND((+Q361*(P346+((Q346-P346)/2))),0)</f>
        <v>0</v>
      </c>
      <c r="R366" s="248">
        <f>+ROUND((+R361*(Q346+((R346-Q346)/2))),0)</f>
        <v>0</v>
      </c>
      <c r="S366" s="248">
        <f>+ROUND((+S361*(R346+((S346-R346)/2))),0)</f>
        <v>91467</v>
      </c>
      <c r="T366" s="248">
        <f>+ROUND((+T361*(S346+((T346-S346)/2))),0)</f>
        <v>0</v>
      </c>
      <c r="U366" s="248">
        <f>+ROUND((+U361*(T346+((U346-T346)/2))),0)</f>
        <v>0</v>
      </c>
      <c r="V366" s="248">
        <f>+ROUND((+V361*(U346+((V346-U346)/2))),0)</f>
        <v>96281</v>
      </c>
      <c r="W366" s="248">
        <f>+ROUND((+W361*(V346+((W346-V346)/2))),0)</f>
        <v>0</v>
      </c>
      <c r="X366" s="248">
        <f>+ROUND((+X361*(W346+((X346-W346)/2))),0)</f>
        <v>0</v>
      </c>
      <c r="Y366" s="248">
        <f>+ROUND((+Y361*(X346+((Y346-X346)/2))),0)</f>
        <v>101349</v>
      </c>
      <c r="Z366" s="248">
        <f>+ROUND((+Z361*(Y346+((Z346-Y346)/2))),0)</f>
        <v>0</v>
      </c>
      <c r="AA366" s="76"/>
    </row>
    <row r="367" spans="7:29" ht="15" x14ac:dyDescent="0.25">
      <c r="G367" s="84"/>
      <c r="H367" s="85"/>
      <c r="J367" s="85"/>
      <c r="K367" s="85"/>
      <c r="L367" s="85"/>
      <c r="M367" s="85"/>
      <c r="R367" s="76"/>
      <c r="S367" s="76"/>
      <c r="T367" s="76"/>
      <c r="U367" s="76"/>
      <c r="V367" s="76"/>
      <c r="W367" s="76"/>
      <c r="X367" s="76"/>
      <c r="Y367" s="76"/>
      <c r="Z367" s="76"/>
      <c r="AA367" s="76"/>
    </row>
    <row r="368" spans="7:29" ht="15.75" thickBot="1" x14ac:dyDescent="0.3">
      <c r="G368" s="85"/>
      <c r="H368" s="85"/>
      <c r="I368" s="85"/>
      <c r="J368" s="85"/>
      <c r="K368" s="85"/>
      <c r="L368" s="248"/>
      <c r="M368" s="248"/>
      <c r="R368" s="76"/>
      <c r="S368" s="76"/>
      <c r="T368" s="76"/>
      <c r="U368" s="76"/>
      <c r="V368" s="76"/>
      <c r="W368" s="76"/>
      <c r="X368" s="76"/>
      <c r="Y368" s="76"/>
      <c r="Z368" s="76"/>
      <c r="AA368" s="76"/>
    </row>
    <row r="369" spans="8:27" ht="15" x14ac:dyDescent="0.25">
      <c r="H369" s="249"/>
      <c r="I369" s="250"/>
      <c r="J369" s="251"/>
      <c r="K369" s="251"/>
      <c r="L369" s="251"/>
      <c r="M369" s="250"/>
      <c r="N369" s="250"/>
      <c r="O369" s="250"/>
      <c r="P369" s="250"/>
      <c r="Q369" s="250"/>
      <c r="R369" s="252"/>
      <c r="S369" s="252"/>
      <c r="T369" s="252"/>
      <c r="U369" s="252"/>
      <c r="V369" s="252"/>
      <c r="W369" s="252"/>
      <c r="X369" s="252"/>
      <c r="Y369" s="252"/>
      <c r="Z369" s="253"/>
      <c r="AA369" s="76"/>
    </row>
    <row r="370" spans="8:27" ht="15" x14ac:dyDescent="0.25">
      <c r="H370" s="86" t="s">
        <v>156</v>
      </c>
      <c r="I370" s="4"/>
      <c r="J370" s="4"/>
      <c r="K370" s="254"/>
      <c r="L370" s="254"/>
      <c r="M370" s="4"/>
      <c r="N370" s="4"/>
      <c r="O370" s="4"/>
      <c r="P370" s="4"/>
      <c r="Q370" s="4"/>
      <c r="R370" s="255"/>
      <c r="S370" s="255"/>
      <c r="T370" s="255"/>
      <c r="U370" s="255"/>
      <c r="V370" s="255"/>
      <c r="W370" s="255"/>
      <c r="X370" s="255"/>
      <c r="Y370" s="255"/>
      <c r="Z370" s="256"/>
      <c r="AA370" s="76"/>
    </row>
    <row r="371" spans="8:27" ht="15" x14ac:dyDescent="0.25">
      <c r="H371" s="86" t="s">
        <v>157</v>
      </c>
      <c r="I371" s="87" t="s">
        <v>135</v>
      </c>
      <c r="J371" s="257">
        <v>1.4319999999999999E-3</v>
      </c>
      <c r="K371" s="255"/>
      <c r="L371" s="258"/>
      <c r="M371" s="259">
        <f>ROUND(+$J371*L289,0)</f>
        <v>9655</v>
      </c>
      <c r="N371" s="259">
        <f>ROUND(+$J371*M289,0)</f>
        <v>9407</v>
      </c>
      <c r="O371" s="259">
        <f>ROUND(+$J371*N289,0)</f>
        <v>9393</v>
      </c>
      <c r="P371" s="259">
        <f>ROUND(+$J371*O289,0)</f>
        <v>9377</v>
      </c>
      <c r="Q371" s="259">
        <f>ROUND(+$J371*P289,0)</f>
        <v>9361</v>
      </c>
      <c r="R371" s="259">
        <f>ROUND(+$J371*Q289,0)</f>
        <v>9345</v>
      </c>
      <c r="S371" s="259">
        <f>ROUND(+$J371*R289,0)</f>
        <v>9329</v>
      </c>
      <c r="T371" s="259">
        <f>ROUND(+$J371*S289,0)</f>
        <v>9312</v>
      </c>
      <c r="U371" s="259">
        <f>ROUND(+$J371*T289,0)</f>
        <v>9295</v>
      </c>
      <c r="V371" s="259">
        <f>ROUND(+$J371*U289,0)</f>
        <v>9278</v>
      </c>
      <c r="W371" s="259">
        <f>ROUND(+$J371*V289,0)</f>
        <v>9260</v>
      </c>
      <c r="X371" s="259">
        <f>ROUND(+$J371*W289,0)</f>
        <v>9242</v>
      </c>
      <c r="Y371" s="259">
        <f>ROUND(+$J371*X289,0)</f>
        <v>9223</v>
      </c>
      <c r="Z371" s="260">
        <f>ROUND(+$J371*Y289,0)</f>
        <v>9205</v>
      </c>
      <c r="AA371" s="76"/>
    </row>
    <row r="372" spans="8:27" ht="15" x14ac:dyDescent="0.25">
      <c r="H372" s="86" t="s">
        <v>158</v>
      </c>
      <c r="I372" s="87" t="s">
        <v>159</v>
      </c>
      <c r="J372" s="257">
        <v>5.6899999999999997E-3</v>
      </c>
      <c r="K372" s="255"/>
      <c r="L372" s="258"/>
      <c r="M372" s="259">
        <f>ROUND(+$J372*L24,0)</f>
        <v>11077</v>
      </c>
      <c r="N372" s="259">
        <f>ROUND(+$J372*M24,0)</f>
        <v>12091</v>
      </c>
      <c r="O372" s="259">
        <f>ROUND(+$J372*N24,0)</f>
        <v>12452</v>
      </c>
      <c r="P372" s="259">
        <f>ROUND(+$J372*O24,0)</f>
        <v>12814</v>
      </c>
      <c r="Q372" s="259">
        <f>ROUND(+$J372*P24,0)</f>
        <v>14192</v>
      </c>
      <c r="R372" s="259">
        <f>ROUND(+$J372*Q24,0)</f>
        <v>14259</v>
      </c>
      <c r="S372" s="259">
        <f>ROUND(+$J372*R24,0)</f>
        <v>14327</v>
      </c>
      <c r="T372" s="259">
        <f>ROUND(+$J372*S24,0)</f>
        <v>14918</v>
      </c>
      <c r="U372" s="259">
        <f>ROUND(+$J372*T24,0)</f>
        <v>14991</v>
      </c>
      <c r="V372" s="259">
        <f>ROUND(+$J372*U24,0)</f>
        <v>15064</v>
      </c>
      <c r="W372" s="259">
        <f>ROUND(+$J372*V24,0)</f>
        <v>15686</v>
      </c>
      <c r="X372" s="259">
        <f>ROUND(+$J372*W24,0)</f>
        <v>15762</v>
      </c>
      <c r="Y372" s="259">
        <f>ROUND(+$J372*X24,0)</f>
        <v>15839</v>
      </c>
      <c r="Z372" s="260">
        <f>ROUND(+$J372*Y24,0)</f>
        <v>16494</v>
      </c>
      <c r="AA372" s="76"/>
    </row>
    <row r="373" spans="8:27" ht="15.75" thickBot="1" x14ac:dyDescent="0.3">
      <c r="H373" s="261"/>
      <c r="I373" s="255"/>
      <c r="J373" s="255"/>
      <c r="K373" s="255"/>
      <c r="L373" s="258"/>
      <c r="M373" s="262">
        <f>SUM(M371:M372)</f>
        <v>20732</v>
      </c>
      <c r="N373" s="262">
        <f t="shared" ref="N373:Z373" si="103">SUM(N371:N372)</f>
        <v>21498</v>
      </c>
      <c r="O373" s="262">
        <f t="shared" si="103"/>
        <v>21845</v>
      </c>
      <c r="P373" s="262">
        <f t="shared" si="103"/>
        <v>22191</v>
      </c>
      <c r="Q373" s="262">
        <f t="shared" si="103"/>
        <v>23553</v>
      </c>
      <c r="R373" s="262">
        <f t="shared" si="103"/>
        <v>23604</v>
      </c>
      <c r="S373" s="262">
        <f t="shared" si="103"/>
        <v>23656</v>
      </c>
      <c r="T373" s="262">
        <f t="shared" si="103"/>
        <v>24230</v>
      </c>
      <c r="U373" s="262">
        <f t="shared" si="103"/>
        <v>24286</v>
      </c>
      <c r="V373" s="262">
        <f t="shared" si="103"/>
        <v>24342</v>
      </c>
      <c r="W373" s="262">
        <f t="shared" si="103"/>
        <v>24946</v>
      </c>
      <c r="X373" s="262">
        <f t="shared" si="103"/>
        <v>25004</v>
      </c>
      <c r="Y373" s="262">
        <f t="shared" si="103"/>
        <v>25062</v>
      </c>
      <c r="Z373" s="263">
        <f t="shared" si="103"/>
        <v>25699</v>
      </c>
      <c r="AA373" s="76"/>
    </row>
    <row r="374" spans="8:27" ht="13.5" thickTop="1" x14ac:dyDescent="0.2">
      <c r="H374" s="261"/>
      <c r="I374" s="255"/>
      <c r="J374" s="255"/>
      <c r="K374" s="255"/>
      <c r="L374" s="258"/>
      <c r="M374" s="255"/>
      <c r="N374" s="255"/>
      <c r="O374" s="255"/>
      <c r="P374" s="255"/>
      <c r="Q374" s="255"/>
      <c r="R374" s="255"/>
      <c r="S374" s="255"/>
      <c r="T374" s="255"/>
      <c r="U374" s="255"/>
      <c r="V374" s="255"/>
      <c r="W374" s="255"/>
      <c r="X374" s="255"/>
      <c r="Y374" s="255"/>
      <c r="Z374" s="256"/>
      <c r="AA374" s="76"/>
    </row>
    <row r="375" spans="8:27" ht="13.5" thickBot="1" x14ac:dyDescent="0.25">
      <c r="H375" s="264"/>
      <c r="I375" s="265"/>
      <c r="J375" s="265"/>
      <c r="K375" s="265"/>
      <c r="L375" s="266"/>
      <c r="M375" s="265"/>
      <c r="N375" s="265"/>
      <c r="O375" s="265"/>
      <c r="P375" s="265"/>
      <c r="Q375" s="265"/>
      <c r="R375" s="265"/>
      <c r="S375" s="265"/>
      <c r="T375" s="265"/>
      <c r="U375" s="265"/>
      <c r="V375" s="265"/>
      <c r="W375" s="265"/>
      <c r="X375" s="265"/>
      <c r="Y375" s="265"/>
      <c r="Z375" s="267"/>
      <c r="AA375" s="76"/>
    </row>
    <row r="376" spans="8:27" ht="15" x14ac:dyDescent="0.25">
      <c r="H376" s="76"/>
      <c r="I376" s="76"/>
      <c r="J376" s="85"/>
      <c r="K376" s="76"/>
      <c r="L376" s="123"/>
      <c r="M376" s="76"/>
      <c r="N376" s="76"/>
      <c r="O376" s="76"/>
      <c r="P376" s="76"/>
      <c r="Q376" s="76"/>
      <c r="R376" s="76"/>
      <c r="S376" s="76"/>
      <c r="T376" s="76"/>
      <c r="U376" s="76"/>
      <c r="V376" s="76"/>
      <c r="W376" s="76"/>
      <c r="X376" s="76"/>
      <c r="Y376" s="76"/>
      <c r="Z376" s="76"/>
      <c r="AA376" s="76"/>
    </row>
    <row r="377" spans="8:27" ht="15" x14ac:dyDescent="0.25">
      <c r="H377" s="76"/>
      <c r="I377" s="76"/>
      <c r="J377" s="85"/>
      <c r="K377" s="76"/>
      <c r="L377" s="123"/>
      <c r="M377" s="76"/>
      <c r="N377" s="76"/>
      <c r="O377" s="76"/>
      <c r="P377" s="76"/>
      <c r="Q377" s="76"/>
      <c r="R377" s="76"/>
      <c r="S377" s="76"/>
      <c r="T377" s="76"/>
      <c r="U377" s="76"/>
      <c r="V377" s="76"/>
      <c r="W377" s="76"/>
      <c r="X377" s="76"/>
      <c r="Y377" s="76"/>
      <c r="Z377" s="76"/>
      <c r="AA377" s="76"/>
    </row>
    <row r="378" spans="8:27" ht="15" x14ac:dyDescent="0.25">
      <c r="H378" s="76"/>
      <c r="I378" s="76"/>
      <c r="J378" s="85"/>
      <c r="K378" s="76"/>
      <c r="L378" s="123"/>
      <c r="M378" s="76"/>
      <c r="N378" s="76"/>
      <c r="O378" s="76"/>
      <c r="P378" s="76"/>
      <c r="Q378" s="76"/>
      <c r="R378" s="76"/>
      <c r="S378" s="76"/>
      <c r="T378" s="76"/>
      <c r="U378" s="76"/>
      <c r="V378" s="76"/>
      <c r="W378" s="76"/>
      <c r="X378" s="76"/>
      <c r="Y378" s="76"/>
      <c r="Z378" s="76"/>
      <c r="AA378" s="76"/>
    </row>
    <row r="379" spans="8:27" ht="15" x14ac:dyDescent="0.25">
      <c r="H379" s="76"/>
      <c r="I379" s="76"/>
      <c r="J379" s="85"/>
      <c r="K379" s="76"/>
      <c r="L379" s="123"/>
      <c r="M379" s="76"/>
      <c r="N379" s="76"/>
      <c r="O379" s="76"/>
      <c r="P379" s="76"/>
      <c r="Q379" s="76"/>
      <c r="R379" s="76"/>
      <c r="S379" s="76"/>
      <c r="T379" s="76"/>
      <c r="U379" s="76"/>
      <c r="V379" s="76"/>
      <c r="W379" s="76"/>
      <c r="X379" s="76"/>
      <c r="Y379" s="76"/>
      <c r="Z379" s="76"/>
      <c r="AA379" s="76"/>
    </row>
    <row r="380" spans="8:27" x14ac:dyDescent="0.2">
      <c r="H380" s="76"/>
      <c r="I380" s="76"/>
      <c r="J380" s="87"/>
      <c r="K380" s="76"/>
      <c r="L380" s="123"/>
      <c r="M380" s="76"/>
      <c r="N380" s="76"/>
      <c r="O380" s="76"/>
      <c r="P380" s="76"/>
      <c r="Q380" s="76"/>
      <c r="R380" s="76"/>
      <c r="S380" s="76"/>
      <c r="T380" s="76"/>
      <c r="U380" s="76"/>
      <c r="V380" s="76"/>
      <c r="W380" s="76"/>
      <c r="X380" s="76"/>
      <c r="Y380" s="76"/>
      <c r="Z380" s="76"/>
      <c r="AA380" s="76"/>
    </row>
    <row r="381" spans="8:27" x14ac:dyDescent="0.2">
      <c r="H381" s="76"/>
      <c r="I381" s="76"/>
      <c r="J381" s="76"/>
      <c r="K381" s="76"/>
      <c r="L381" s="123"/>
      <c r="M381" s="76"/>
      <c r="N381" s="76"/>
      <c r="O381" s="76"/>
      <c r="P381" s="76"/>
      <c r="Q381" s="76"/>
      <c r="R381" s="76"/>
      <c r="S381" s="76"/>
      <c r="T381" s="76"/>
      <c r="U381" s="76"/>
      <c r="V381" s="76"/>
      <c r="W381" s="76"/>
      <c r="X381" s="76"/>
      <c r="Y381" s="76"/>
      <c r="Z381" s="76"/>
      <c r="AA381" s="76"/>
    </row>
    <row r="382" spans="8:27" x14ac:dyDescent="0.2">
      <c r="H382" s="76"/>
      <c r="I382" s="76"/>
      <c r="J382" s="76"/>
      <c r="K382" s="76"/>
      <c r="L382" s="123"/>
      <c r="M382" s="76"/>
      <c r="N382" s="76"/>
      <c r="O382" s="76"/>
      <c r="P382" s="76"/>
      <c r="Q382" s="76"/>
      <c r="R382" s="76"/>
      <c r="S382" s="76"/>
      <c r="T382" s="76"/>
      <c r="U382" s="76"/>
      <c r="V382" s="76"/>
      <c r="W382" s="76"/>
      <c r="X382" s="76"/>
      <c r="Y382" s="76"/>
      <c r="Z382" s="76"/>
      <c r="AA382" s="76"/>
    </row>
    <row r="383" spans="8:27" x14ac:dyDescent="0.2">
      <c r="H383" s="76"/>
      <c r="I383" s="76"/>
      <c r="J383" s="76"/>
      <c r="K383" s="2" t="s">
        <v>182</v>
      </c>
      <c r="O383" s="76"/>
      <c r="P383" s="76"/>
      <c r="Q383" s="76"/>
      <c r="R383" s="76"/>
      <c r="S383" s="76"/>
      <c r="T383" s="76"/>
      <c r="U383" s="76"/>
      <c r="V383" s="76"/>
      <c r="W383" s="76"/>
      <c r="X383" s="76"/>
      <c r="Y383" s="76"/>
      <c r="Z383" s="76"/>
      <c r="AA383" s="76"/>
    </row>
    <row r="384" spans="8:27" ht="15" x14ac:dyDescent="0.25">
      <c r="H384" s="76"/>
      <c r="I384" s="76"/>
      <c r="J384" s="76"/>
      <c r="K384" s="69" t="s">
        <v>160</v>
      </c>
      <c r="L384" s="224">
        <f>+L293</f>
        <v>5675460</v>
      </c>
      <c r="M384" s="76"/>
      <c r="O384" s="76"/>
      <c r="P384" s="76"/>
      <c r="Q384" s="76"/>
      <c r="R384" s="76"/>
      <c r="S384" s="76"/>
      <c r="T384" s="76"/>
      <c r="U384" s="76"/>
      <c r="V384" s="76"/>
      <c r="W384" s="76"/>
      <c r="X384" s="76"/>
      <c r="Y384" s="76"/>
      <c r="Z384" s="76"/>
      <c r="AA384" s="76"/>
    </row>
    <row r="385" spans="8:27" ht="15" x14ac:dyDescent="0.25">
      <c r="H385" s="76"/>
      <c r="I385" s="76"/>
      <c r="J385" s="76"/>
      <c r="K385" s="69" t="s">
        <v>161</v>
      </c>
      <c r="L385" s="5">
        <f>+L287</f>
        <v>10225921</v>
      </c>
      <c r="M385" s="76"/>
      <c r="N385" s="5"/>
      <c r="O385" s="76"/>
      <c r="P385" s="76"/>
      <c r="Q385" s="76"/>
      <c r="R385" s="76"/>
      <c r="S385" s="76"/>
      <c r="T385" s="76"/>
      <c r="U385" s="76"/>
      <c r="V385" s="76"/>
      <c r="W385" s="76"/>
      <c r="X385" s="76"/>
      <c r="Y385" s="76"/>
      <c r="Z385" s="76"/>
      <c r="AA385" s="76"/>
    </row>
    <row r="386" spans="8:27" ht="15" x14ac:dyDescent="0.25">
      <c r="H386" s="76"/>
      <c r="I386" s="76"/>
      <c r="J386" s="76"/>
      <c r="K386" s="69" t="s">
        <v>162</v>
      </c>
      <c r="L386" s="5">
        <f>+L289</f>
        <v>6741997</v>
      </c>
      <c r="M386" s="76"/>
      <c r="N386" s="5"/>
      <c r="O386" s="76"/>
      <c r="P386" s="76"/>
      <c r="Q386" s="76"/>
      <c r="R386" s="76"/>
      <c r="S386" s="76"/>
      <c r="T386" s="76"/>
      <c r="U386" s="76"/>
      <c r="V386" s="76"/>
      <c r="W386" s="76"/>
      <c r="X386" s="76"/>
      <c r="Y386" s="76"/>
      <c r="Z386" s="76"/>
      <c r="AA386" s="76"/>
    </row>
    <row r="387" spans="8:27" ht="15" x14ac:dyDescent="0.25">
      <c r="H387" s="76"/>
      <c r="I387" s="76"/>
      <c r="J387" s="76"/>
      <c r="K387" s="69" t="s">
        <v>46</v>
      </c>
      <c r="L387" s="5">
        <f>+L40</f>
        <v>1946683.2475000001</v>
      </c>
      <c r="M387" s="76"/>
      <c r="O387" s="76"/>
      <c r="P387" s="76"/>
      <c r="Q387" s="76"/>
      <c r="R387" s="76"/>
      <c r="S387" s="76"/>
      <c r="T387" s="76"/>
      <c r="U387" s="76"/>
      <c r="V387" s="76"/>
      <c r="W387" s="76"/>
      <c r="X387" s="76"/>
      <c r="Y387" s="76"/>
      <c r="Z387" s="76"/>
      <c r="AA387" s="76"/>
    </row>
    <row r="388" spans="8:27" ht="15" x14ac:dyDescent="0.25">
      <c r="H388" s="76"/>
      <c r="I388" s="76"/>
      <c r="J388" s="76"/>
      <c r="K388" s="69" t="s">
        <v>7</v>
      </c>
      <c r="L388" s="5">
        <f>+L41</f>
        <v>-21875.95250000013</v>
      </c>
      <c r="M388" s="76"/>
      <c r="O388" s="76"/>
      <c r="P388" s="76"/>
      <c r="Q388" s="76"/>
      <c r="R388" s="76"/>
      <c r="S388" s="76"/>
      <c r="T388" s="76"/>
      <c r="U388" s="76"/>
      <c r="V388" s="76"/>
      <c r="W388" s="76"/>
      <c r="X388" s="76"/>
      <c r="Y388" s="76"/>
      <c r="Z388" s="76"/>
      <c r="AA388" s="76"/>
    </row>
    <row r="389" spans="8:27" ht="15" x14ac:dyDescent="0.25">
      <c r="H389" s="76"/>
      <c r="I389" s="76"/>
      <c r="J389" s="76"/>
      <c r="K389" s="69" t="s">
        <v>4</v>
      </c>
      <c r="L389" s="5">
        <f>+L42</f>
        <v>-153096.95250000013</v>
      </c>
      <c r="M389" s="76"/>
      <c r="O389" s="76"/>
      <c r="P389" s="76"/>
      <c r="Q389" s="76"/>
      <c r="R389" s="76"/>
      <c r="S389" s="76"/>
      <c r="T389" s="76"/>
      <c r="U389" s="76"/>
      <c r="V389" s="76"/>
      <c r="W389" s="76"/>
      <c r="X389" s="76"/>
      <c r="Y389" s="76"/>
      <c r="Z389" s="76"/>
      <c r="AA389" s="76"/>
    </row>
    <row r="390" spans="8:27" ht="15" x14ac:dyDescent="0.25">
      <c r="H390" s="76"/>
      <c r="I390" s="76"/>
      <c r="J390" s="76"/>
      <c r="K390" s="69" t="s">
        <v>147</v>
      </c>
      <c r="L390" s="224">
        <f>+L346</f>
        <v>2637</v>
      </c>
      <c r="M390" s="76"/>
      <c r="O390" s="76"/>
      <c r="P390" s="76"/>
      <c r="Q390" s="76"/>
      <c r="R390" s="76"/>
      <c r="S390" s="76"/>
      <c r="T390" s="76"/>
      <c r="U390" s="76"/>
      <c r="V390" s="76"/>
      <c r="W390" s="76"/>
      <c r="X390" s="76"/>
      <c r="Y390" s="76"/>
      <c r="Z390" s="76"/>
      <c r="AA390" s="76"/>
    </row>
    <row r="391" spans="8:27" ht="15" x14ac:dyDescent="0.25">
      <c r="H391" s="76"/>
      <c r="I391" s="76"/>
      <c r="J391" s="76"/>
      <c r="K391" s="69" t="s">
        <v>163</v>
      </c>
      <c r="L391" s="224">
        <f>4218*2</f>
        <v>8436</v>
      </c>
      <c r="M391" s="76"/>
      <c r="O391" s="76"/>
      <c r="P391" s="76"/>
      <c r="Q391" s="76"/>
      <c r="R391" s="76"/>
      <c r="S391" s="76"/>
      <c r="T391" s="76"/>
      <c r="U391" s="76"/>
      <c r="V391" s="76"/>
      <c r="W391" s="76"/>
      <c r="X391" s="76"/>
      <c r="Y391" s="76"/>
      <c r="Z391" s="76"/>
      <c r="AA391" s="76"/>
    </row>
    <row r="392" spans="8:27" x14ac:dyDescent="0.2">
      <c r="H392" s="76"/>
      <c r="I392" s="76"/>
      <c r="J392" s="76"/>
      <c r="K392" s="76"/>
      <c r="L392" s="123"/>
      <c r="M392" s="76"/>
      <c r="N392" s="76"/>
      <c r="O392" s="76"/>
      <c r="P392" s="76"/>
      <c r="Q392" s="76"/>
      <c r="R392" s="76"/>
      <c r="S392" s="76"/>
      <c r="T392" s="76"/>
      <c r="U392" s="76"/>
      <c r="V392" s="76"/>
      <c r="W392" s="76"/>
      <c r="X392" s="76"/>
      <c r="Y392" s="76"/>
      <c r="Z392" s="76"/>
      <c r="AA392" s="76"/>
    </row>
    <row r="393" spans="8:27" x14ac:dyDescent="0.2">
      <c r="H393" s="76"/>
      <c r="I393" s="76"/>
      <c r="J393" s="76"/>
      <c r="K393" s="76"/>
      <c r="L393" s="123"/>
      <c r="M393" s="76"/>
      <c r="N393" s="76"/>
      <c r="O393" s="76"/>
      <c r="P393" s="76"/>
      <c r="Q393" s="76"/>
      <c r="R393" s="76"/>
      <c r="S393" s="76"/>
      <c r="T393" s="76"/>
      <c r="U393" s="76"/>
      <c r="V393" s="76"/>
      <c r="W393" s="76"/>
      <c r="X393" s="76"/>
      <c r="Y393" s="76"/>
      <c r="Z393" s="76"/>
      <c r="AA393" s="76"/>
    </row>
    <row r="394" spans="8:27" x14ac:dyDescent="0.2">
      <c r="H394" s="76"/>
      <c r="I394" s="76"/>
      <c r="J394" s="76"/>
      <c r="K394" s="76"/>
      <c r="L394" s="123"/>
      <c r="M394" s="76"/>
      <c r="N394" s="76"/>
      <c r="O394" s="76"/>
      <c r="P394" s="76"/>
      <c r="Q394" s="76"/>
      <c r="R394" s="76"/>
      <c r="S394" s="76"/>
      <c r="T394" s="76"/>
      <c r="U394" s="76"/>
      <c r="V394" s="76"/>
      <c r="W394" s="76"/>
      <c r="X394" s="76"/>
      <c r="Y394" s="76"/>
      <c r="Z394" s="76"/>
      <c r="AA394" s="76"/>
    </row>
    <row r="395" spans="8:27" x14ac:dyDescent="0.2">
      <c r="H395" s="76"/>
      <c r="I395" s="76"/>
      <c r="J395" s="76"/>
      <c r="K395" s="76"/>
      <c r="L395" s="123"/>
      <c r="M395" s="76"/>
      <c r="N395" s="76"/>
      <c r="O395" s="76"/>
      <c r="P395" s="76"/>
      <c r="Q395" s="76"/>
      <c r="R395" s="76"/>
      <c r="S395" s="76"/>
      <c r="T395" s="76"/>
      <c r="U395" s="76"/>
      <c r="V395" s="76"/>
      <c r="W395" s="76"/>
      <c r="X395" s="76"/>
      <c r="Y395" s="76"/>
      <c r="Z395" s="76"/>
      <c r="AA395" s="76"/>
    </row>
    <row r="396" spans="8:27" x14ac:dyDescent="0.2">
      <c r="H396" s="76"/>
      <c r="I396" s="76"/>
      <c r="J396" s="76"/>
      <c r="K396" s="76"/>
      <c r="L396" s="123"/>
      <c r="M396" s="76"/>
      <c r="N396" s="76"/>
      <c r="O396" s="76"/>
      <c r="P396" s="76"/>
      <c r="Q396" s="76"/>
      <c r="R396" s="76"/>
      <c r="S396" s="76"/>
      <c r="T396" s="76"/>
      <c r="U396" s="76"/>
      <c r="V396" s="76"/>
      <c r="W396" s="76"/>
      <c r="X396" s="76"/>
      <c r="Y396" s="76"/>
      <c r="Z396" s="76"/>
      <c r="AA396" s="76"/>
    </row>
    <row r="397" spans="8:27" x14ac:dyDescent="0.2">
      <c r="H397" s="76"/>
      <c r="I397" s="2" t="s">
        <v>164</v>
      </c>
      <c r="J397" s="224">
        <f>+J287</f>
        <v>0</v>
      </c>
      <c r="K397" s="224">
        <f>+K287</f>
        <v>0</v>
      </c>
      <c r="L397" s="224">
        <f>+L287</f>
        <v>10225921</v>
      </c>
      <c r="M397" s="224">
        <f>+M287</f>
        <v>10225921</v>
      </c>
      <c r="N397" s="76"/>
      <c r="O397" s="76"/>
      <c r="P397" s="76"/>
      <c r="Q397" s="76"/>
      <c r="R397" s="76"/>
      <c r="S397" s="76"/>
      <c r="T397" s="76"/>
      <c r="U397" s="76"/>
      <c r="V397" s="76"/>
      <c r="W397" s="76"/>
      <c r="X397" s="76"/>
      <c r="Y397" s="76"/>
      <c r="Z397" s="76"/>
      <c r="AA397" s="76"/>
    </row>
    <row r="398" spans="8:27" x14ac:dyDescent="0.2">
      <c r="H398" s="76"/>
      <c r="I398" s="2" t="s">
        <v>165</v>
      </c>
      <c r="J398" s="224">
        <f>+J289</f>
        <v>0</v>
      </c>
      <c r="K398" s="224">
        <f>+K289</f>
        <v>0</v>
      </c>
      <c r="L398" s="224">
        <f>+L289</f>
        <v>6741997</v>
      </c>
      <c r="M398" s="224">
        <f>+M289</f>
        <v>6569178.9351000004</v>
      </c>
      <c r="N398" s="76"/>
      <c r="O398" s="76"/>
      <c r="P398" s="76"/>
      <c r="Q398" s="76"/>
      <c r="R398" s="76"/>
      <c r="S398" s="76"/>
      <c r="T398" s="76"/>
      <c r="U398" s="76"/>
      <c r="V398" s="76"/>
      <c r="W398" s="76"/>
      <c r="X398" s="76"/>
      <c r="Y398" s="76"/>
      <c r="Z398" s="76"/>
      <c r="AA398" s="76"/>
    </row>
    <row r="399" spans="8:27" x14ac:dyDescent="0.2">
      <c r="H399" s="76"/>
      <c r="I399" s="76"/>
      <c r="N399" s="76"/>
      <c r="O399" s="76"/>
      <c r="P399" s="76"/>
      <c r="Q399" s="76"/>
      <c r="R399" s="76"/>
      <c r="S399" s="76"/>
      <c r="T399" s="76"/>
      <c r="U399" s="76"/>
      <c r="V399" s="76"/>
      <c r="W399" s="76"/>
      <c r="X399" s="76"/>
      <c r="Y399" s="76"/>
      <c r="Z399" s="76"/>
      <c r="AA399" s="76"/>
    </row>
    <row r="400" spans="8:27" x14ac:dyDescent="0.2">
      <c r="I400" s="2" t="s">
        <v>166</v>
      </c>
      <c r="J400" s="224">
        <f>+J346</f>
        <v>2637</v>
      </c>
      <c r="K400" s="224">
        <f>+K346</f>
        <v>2637</v>
      </c>
      <c r="L400" s="224">
        <f>+L346</f>
        <v>2637</v>
      </c>
      <c r="M400" s="224">
        <f>+M346</f>
        <v>2650</v>
      </c>
      <c r="R400" s="76"/>
      <c r="S400" s="76"/>
      <c r="T400" s="76"/>
      <c r="U400" s="76"/>
      <c r="V400" s="76"/>
      <c r="W400" s="76"/>
      <c r="X400" s="76"/>
      <c r="Y400" s="76"/>
      <c r="Z400" s="76"/>
      <c r="AA400" s="76"/>
    </row>
    <row r="401" spans="5:27" x14ac:dyDescent="0.2">
      <c r="W401" s="76"/>
      <c r="X401" s="76"/>
      <c r="Y401" s="76"/>
      <c r="Z401" s="76"/>
      <c r="AA401" s="76"/>
    </row>
    <row r="402" spans="5:27" x14ac:dyDescent="0.2">
      <c r="W402" s="76"/>
      <c r="X402" s="76"/>
      <c r="Y402" s="76"/>
      <c r="Z402" s="76"/>
      <c r="AA402" s="76"/>
    </row>
    <row r="403" spans="5:27" ht="15" x14ac:dyDescent="0.25">
      <c r="E403" s="13"/>
      <c r="F403" s="13"/>
      <c r="G403" s="13"/>
      <c r="H403" s="88">
        <f>+H19</f>
        <v>2013</v>
      </c>
      <c r="I403" s="88">
        <f>+I19</f>
        <v>2014</v>
      </c>
      <c r="J403" s="88">
        <f>+J19</f>
        <v>2015</v>
      </c>
      <c r="K403" s="88">
        <f>+K19</f>
        <v>2016</v>
      </c>
      <c r="L403" s="88">
        <f>+L19</f>
        <v>2017</v>
      </c>
      <c r="M403" s="88">
        <f>+M19</f>
        <v>2018</v>
      </c>
      <c r="N403" s="13"/>
      <c r="O403" s="13"/>
      <c r="P403" s="13"/>
      <c r="Q403" s="13"/>
      <c r="R403" s="13"/>
      <c r="S403" s="13"/>
      <c r="T403" s="13"/>
      <c r="U403" s="13"/>
      <c r="V403" s="13"/>
      <c r="W403" s="76"/>
      <c r="X403" s="76"/>
      <c r="Y403" s="76"/>
      <c r="Z403" s="76"/>
      <c r="AA403" s="76"/>
    </row>
    <row r="404" spans="5:27" ht="15" x14ac:dyDescent="0.25">
      <c r="E404" s="13"/>
      <c r="F404" s="13"/>
      <c r="G404" s="13"/>
      <c r="J404" s="13"/>
      <c r="K404" s="13"/>
      <c r="L404" s="13"/>
      <c r="M404" s="13"/>
      <c r="N404" s="13"/>
      <c r="O404" s="89"/>
      <c r="P404" s="13"/>
      <c r="Q404" s="13"/>
      <c r="R404" s="13"/>
      <c r="S404" s="13"/>
      <c r="T404" s="13"/>
      <c r="U404" s="13"/>
      <c r="V404" s="13"/>
      <c r="W404" s="76"/>
      <c r="X404" s="76"/>
      <c r="Y404" s="76"/>
      <c r="Z404" s="76"/>
      <c r="AA404" s="76"/>
    </row>
    <row r="405" spans="5:27" ht="15" x14ac:dyDescent="0.25">
      <c r="E405" s="13"/>
      <c r="F405" s="13"/>
      <c r="G405" s="13"/>
      <c r="J405" s="13"/>
      <c r="K405" s="13"/>
      <c r="L405" s="13"/>
      <c r="M405" s="13"/>
      <c r="N405" s="13"/>
      <c r="O405" s="89"/>
      <c r="P405" s="13"/>
      <c r="Q405" s="13"/>
      <c r="R405" s="13"/>
      <c r="S405" s="13"/>
      <c r="T405" s="13"/>
      <c r="U405" s="13"/>
      <c r="V405" s="13"/>
      <c r="W405" s="76"/>
      <c r="X405" s="76"/>
      <c r="Y405" s="76"/>
      <c r="Z405" s="76"/>
      <c r="AA405" s="76"/>
    </row>
    <row r="406" spans="5:27" ht="15" x14ac:dyDescent="0.25">
      <c r="E406" s="13"/>
      <c r="F406" s="13"/>
      <c r="G406" s="13" t="s">
        <v>32</v>
      </c>
      <c r="H406" s="2">
        <v>0</v>
      </c>
      <c r="I406" s="2">
        <v>0</v>
      </c>
      <c r="J406" s="2">
        <v>0</v>
      </c>
      <c r="K406" s="268">
        <v>181930</v>
      </c>
      <c r="L406" s="268">
        <f>+K406*(1+$AC$28)</f>
        <v>185568.6</v>
      </c>
      <c r="M406" s="268">
        <f t="shared" ref="M406:M408" si="104">+L406*(1+$AC$28)</f>
        <v>189279.97200000001</v>
      </c>
      <c r="N406" s="13"/>
      <c r="O406" s="90"/>
      <c r="P406" s="13">
        <v>0.15</v>
      </c>
      <c r="Q406" s="13"/>
      <c r="R406" s="13" t="s">
        <v>32</v>
      </c>
      <c r="S406" s="151" t="s">
        <v>33</v>
      </c>
      <c r="T406" s="152"/>
      <c r="U406" s="153" t="s">
        <v>34</v>
      </c>
      <c r="V406" s="154">
        <v>0.15</v>
      </c>
      <c r="W406" s="13">
        <v>0.15</v>
      </c>
      <c r="X406" s="76"/>
      <c r="Y406" s="76"/>
      <c r="Z406" s="76"/>
      <c r="AA406" s="76"/>
    </row>
    <row r="407" spans="5:27" ht="15" x14ac:dyDescent="0.25">
      <c r="E407" s="13"/>
      <c r="F407" s="13"/>
      <c r="G407" s="13" t="s">
        <v>35</v>
      </c>
      <c r="H407" s="2">
        <v>0</v>
      </c>
      <c r="I407" s="2">
        <v>0</v>
      </c>
      <c r="J407" s="2">
        <v>0</v>
      </c>
      <c r="K407" s="268">
        <v>220710</v>
      </c>
      <c r="L407" s="268">
        <f t="shared" ref="L407:L408" si="105">+K407*(1+$AC$28)</f>
        <v>225124.2</v>
      </c>
      <c r="M407" s="268">
        <f t="shared" si="104"/>
        <v>229626.68400000001</v>
      </c>
      <c r="N407" s="13"/>
      <c r="O407" s="90"/>
      <c r="P407" s="13">
        <v>0.5</v>
      </c>
      <c r="Q407" s="91"/>
      <c r="R407" s="13" t="s">
        <v>35</v>
      </c>
      <c r="S407" s="151" t="s">
        <v>36</v>
      </c>
      <c r="T407" s="152"/>
      <c r="U407" s="153" t="s">
        <v>37</v>
      </c>
      <c r="V407" s="154">
        <v>0.5</v>
      </c>
      <c r="W407" s="13">
        <v>0.5</v>
      </c>
      <c r="X407" s="76"/>
      <c r="Y407" s="76"/>
      <c r="Z407" s="76"/>
      <c r="AA407" s="76"/>
    </row>
    <row r="408" spans="5:27" ht="15" x14ac:dyDescent="0.25">
      <c r="G408" s="13" t="s">
        <v>38</v>
      </c>
      <c r="H408" s="2">
        <v>0</v>
      </c>
      <c r="I408" s="2">
        <v>0</v>
      </c>
      <c r="J408" s="2">
        <v>0</v>
      </c>
      <c r="K408" s="268">
        <v>36431</v>
      </c>
      <c r="L408" s="268">
        <f t="shared" si="105"/>
        <v>37159.620000000003</v>
      </c>
      <c r="M408" s="268">
        <f t="shared" si="104"/>
        <v>37902.812400000003</v>
      </c>
      <c r="Q408" s="13"/>
      <c r="R408" s="13" t="s">
        <v>38</v>
      </c>
      <c r="S408" s="151" t="s">
        <v>39</v>
      </c>
      <c r="T408" s="152"/>
      <c r="U408" s="153" t="s">
        <v>40</v>
      </c>
      <c r="V408" s="154">
        <v>0.1</v>
      </c>
      <c r="W408" s="13">
        <v>0.1</v>
      </c>
      <c r="X408" s="76"/>
      <c r="Y408" s="76"/>
      <c r="Z408" s="76"/>
      <c r="AA408" s="76"/>
    </row>
    <row r="409" spans="5:27" ht="15" x14ac:dyDescent="0.25">
      <c r="G409" s="13"/>
      <c r="H409" s="13"/>
      <c r="I409" s="13"/>
      <c r="J409" s="13"/>
      <c r="K409" s="13"/>
      <c r="M409" s="13"/>
      <c r="P409" s="15"/>
      <c r="Q409" s="13"/>
      <c r="R409" s="13"/>
      <c r="S409" s="13"/>
      <c r="T409" s="13"/>
      <c r="U409" s="13"/>
      <c r="V409" s="13"/>
      <c r="W409" s="76"/>
      <c r="X409" s="76"/>
      <c r="Y409" s="76"/>
      <c r="Z409" s="76"/>
      <c r="AA409" s="76"/>
    </row>
    <row r="410" spans="5:27" ht="15" x14ac:dyDescent="0.25">
      <c r="G410" s="13"/>
      <c r="H410" s="13"/>
      <c r="I410" s="13"/>
      <c r="J410" s="13"/>
      <c r="K410" s="13"/>
      <c r="M410" s="13"/>
      <c r="P410" s="15"/>
      <c r="Q410" s="13"/>
      <c r="R410" s="13"/>
      <c r="S410" s="13"/>
      <c r="T410" s="13"/>
      <c r="U410" s="13"/>
      <c r="V410" s="13"/>
      <c r="W410" s="76"/>
      <c r="X410" s="76"/>
      <c r="Y410" s="76"/>
      <c r="Z410" s="76"/>
      <c r="AA410" s="76"/>
    </row>
    <row r="411" spans="5:27" ht="15" x14ac:dyDescent="0.25">
      <c r="G411" s="13"/>
      <c r="H411" s="13"/>
      <c r="I411" s="13"/>
      <c r="J411" s="13"/>
      <c r="K411" s="13"/>
      <c r="L411" s="13"/>
      <c r="M411" s="13"/>
      <c r="P411" s="15"/>
      <c r="Q411" s="13"/>
      <c r="R411" s="13"/>
      <c r="S411" s="13"/>
      <c r="T411" s="13"/>
      <c r="U411" s="13"/>
      <c r="V411" s="13"/>
      <c r="W411" s="76"/>
      <c r="X411" s="76"/>
      <c r="Y411" s="76"/>
      <c r="Z411" s="76"/>
      <c r="AA411" s="76"/>
    </row>
    <row r="412" spans="5:27" ht="15" x14ac:dyDescent="0.25">
      <c r="G412" s="92" t="s">
        <v>167</v>
      </c>
      <c r="H412" s="93"/>
      <c r="I412" s="93"/>
      <c r="J412" s="93"/>
      <c r="K412" s="93"/>
      <c r="L412" s="269"/>
      <c r="M412" s="93"/>
      <c r="N412" s="270"/>
      <c r="P412" s="15"/>
      <c r="Q412" s="13"/>
      <c r="R412" s="13"/>
      <c r="S412" s="13"/>
      <c r="T412" s="13"/>
      <c r="U412" s="13"/>
      <c r="V412" s="13"/>
      <c r="W412" s="76"/>
      <c r="X412" s="76"/>
      <c r="Y412" s="76"/>
      <c r="Z412" s="76"/>
      <c r="AA412" s="76"/>
    </row>
    <row r="413" spans="5:27" ht="15" x14ac:dyDescent="0.25">
      <c r="G413" s="94"/>
      <c r="H413" s="13"/>
      <c r="I413" s="13"/>
      <c r="J413" s="13"/>
      <c r="K413" s="13"/>
      <c r="L413" s="13"/>
      <c r="M413" s="13"/>
      <c r="N413" s="271"/>
      <c r="P413" s="15"/>
      <c r="Q413" s="13"/>
      <c r="R413" s="13"/>
      <c r="S413" s="13"/>
      <c r="T413" s="13"/>
      <c r="U413" s="13"/>
      <c r="V413" s="13"/>
      <c r="W413" s="76"/>
      <c r="X413" s="76"/>
      <c r="Y413" s="76"/>
      <c r="Z413" s="76"/>
      <c r="AA413" s="76"/>
    </row>
    <row r="414" spans="5:27" ht="15" x14ac:dyDescent="0.25">
      <c r="G414" s="272"/>
      <c r="H414" s="4"/>
      <c r="I414" s="4"/>
      <c r="J414" s="4"/>
      <c r="K414" s="4"/>
      <c r="L414" s="4"/>
      <c r="M414" s="4"/>
      <c r="N414" s="271"/>
      <c r="P414" s="15"/>
      <c r="Q414" s="13"/>
      <c r="R414" s="13"/>
      <c r="S414" s="13"/>
      <c r="T414" s="13"/>
      <c r="U414" s="13"/>
      <c r="V414" s="13"/>
      <c r="W414" s="76"/>
      <c r="X414" s="76"/>
      <c r="Y414" s="76"/>
      <c r="Z414" s="76"/>
      <c r="AA414" s="76"/>
    </row>
    <row r="415" spans="5:27" ht="15" x14ac:dyDescent="0.25">
      <c r="G415" s="95" t="s">
        <v>168</v>
      </c>
      <c r="H415" s="96" t="s">
        <v>169</v>
      </c>
      <c r="I415" s="4"/>
      <c r="J415" s="96"/>
      <c r="K415" s="97">
        <v>181930</v>
      </c>
      <c r="L415" s="4"/>
      <c r="M415" s="4"/>
      <c r="N415" s="271"/>
      <c r="P415" s="15"/>
      <c r="Q415" s="13"/>
      <c r="R415" s="13"/>
      <c r="S415" s="13"/>
      <c r="T415" s="13"/>
      <c r="U415" s="13"/>
      <c r="V415" s="13"/>
      <c r="W415" s="76"/>
      <c r="X415" s="76"/>
      <c r="Y415" s="76"/>
      <c r="Z415" s="76"/>
      <c r="AA415" s="76"/>
    </row>
    <row r="416" spans="5:27" ht="15" x14ac:dyDescent="0.25">
      <c r="G416" s="95"/>
      <c r="H416" s="96"/>
      <c r="I416" s="4"/>
      <c r="J416" s="96"/>
      <c r="K416" s="97"/>
      <c r="L416" s="4"/>
      <c r="M416" s="4"/>
      <c r="N416" s="271"/>
      <c r="P416" s="15"/>
      <c r="Q416" s="13"/>
      <c r="R416" s="13"/>
      <c r="S416" s="13"/>
      <c r="T416" s="13"/>
      <c r="U416" s="13"/>
      <c r="V416" s="13"/>
      <c r="W416" s="76"/>
      <c r="X416" s="76"/>
      <c r="Y416" s="76"/>
      <c r="Z416" s="76"/>
      <c r="AA416" s="76"/>
    </row>
    <row r="417" spans="7:27" ht="15" x14ac:dyDescent="0.25">
      <c r="G417" s="95" t="s">
        <v>170</v>
      </c>
      <c r="H417" s="96" t="s">
        <v>171</v>
      </c>
      <c r="I417" s="4"/>
      <c r="J417" s="96"/>
      <c r="K417" s="97">
        <v>11483</v>
      </c>
      <c r="L417" s="4"/>
      <c r="M417" s="4"/>
      <c r="N417" s="271"/>
      <c r="P417" s="15"/>
      <c r="Q417" s="13"/>
      <c r="R417" s="13"/>
      <c r="S417" s="13"/>
      <c r="T417" s="13"/>
      <c r="U417" s="13"/>
      <c r="V417" s="13"/>
      <c r="W417" s="76"/>
      <c r="X417" s="76"/>
      <c r="Y417" s="76"/>
      <c r="Z417" s="76"/>
      <c r="AA417" s="76"/>
    </row>
    <row r="418" spans="7:27" ht="15" x14ac:dyDescent="0.25">
      <c r="G418" s="95" t="s">
        <v>170</v>
      </c>
      <c r="H418" s="96" t="s">
        <v>39</v>
      </c>
      <c r="I418" s="4"/>
      <c r="J418" s="96"/>
      <c r="K418" s="97">
        <v>24948</v>
      </c>
      <c r="L418" s="4"/>
      <c r="M418" s="4"/>
      <c r="N418" s="271"/>
      <c r="P418" s="15"/>
      <c r="Q418" s="13"/>
      <c r="R418" s="13"/>
      <c r="S418" s="13"/>
      <c r="T418" s="13"/>
      <c r="U418" s="13"/>
      <c r="V418" s="13"/>
      <c r="W418" s="76"/>
      <c r="X418" s="76"/>
      <c r="Y418" s="76"/>
      <c r="Z418" s="76"/>
      <c r="AA418" s="76"/>
    </row>
    <row r="419" spans="7:27" ht="15.75" thickBot="1" x14ac:dyDescent="0.3">
      <c r="G419" s="95"/>
      <c r="H419" s="96"/>
      <c r="I419" s="4"/>
      <c r="J419" s="96"/>
      <c r="K419" s="98">
        <f>SUM(K417:K418)</f>
        <v>36431</v>
      </c>
      <c r="L419" s="4"/>
      <c r="M419" s="4"/>
      <c r="N419" s="271"/>
      <c r="P419" s="15"/>
      <c r="Q419" s="13"/>
      <c r="R419" s="13"/>
      <c r="S419" s="13"/>
      <c r="T419" s="13"/>
      <c r="U419" s="13"/>
      <c r="V419" s="13"/>
      <c r="W419" s="76"/>
      <c r="X419" s="76"/>
      <c r="Y419" s="76"/>
      <c r="Z419" s="76"/>
      <c r="AA419" s="76"/>
    </row>
    <row r="420" spans="7:27" ht="15.75" thickTop="1" x14ac:dyDescent="0.25">
      <c r="G420" s="95"/>
      <c r="H420" s="96"/>
      <c r="I420" s="4"/>
      <c r="J420" s="96"/>
      <c r="K420" s="97"/>
      <c r="L420" s="4"/>
      <c r="M420" s="4"/>
      <c r="N420" s="271"/>
      <c r="P420" s="15"/>
      <c r="Q420" s="13"/>
      <c r="R420" s="13"/>
      <c r="S420" s="13"/>
      <c r="T420" s="13"/>
      <c r="U420" s="13"/>
      <c r="V420" s="13"/>
      <c r="W420" s="76"/>
      <c r="X420" s="76"/>
      <c r="Y420" s="76"/>
      <c r="Z420" s="76"/>
      <c r="AA420" s="76"/>
    </row>
    <row r="421" spans="7:27" ht="15" x14ac:dyDescent="0.25">
      <c r="G421" s="95" t="s">
        <v>172</v>
      </c>
      <c r="H421" s="96" t="s">
        <v>173</v>
      </c>
      <c r="I421" s="4"/>
      <c r="J421" s="96"/>
      <c r="K421" s="97">
        <v>183782</v>
      </c>
      <c r="L421" s="4"/>
      <c r="M421" s="4"/>
      <c r="N421" s="271"/>
      <c r="P421" s="15"/>
      <c r="Q421" s="13"/>
      <c r="R421" s="13"/>
      <c r="S421" s="13"/>
      <c r="T421" s="13"/>
      <c r="U421" s="13"/>
      <c r="V421" s="13"/>
      <c r="W421" s="76"/>
      <c r="X421" s="76"/>
      <c r="Y421" s="76"/>
      <c r="Z421" s="76"/>
      <c r="AA421" s="76"/>
    </row>
    <row r="422" spans="7:27" ht="15" x14ac:dyDescent="0.25">
      <c r="G422" s="95" t="s">
        <v>172</v>
      </c>
      <c r="H422" s="96" t="s">
        <v>174</v>
      </c>
      <c r="I422" s="4"/>
      <c r="J422" s="96"/>
      <c r="K422" s="97">
        <v>18426</v>
      </c>
      <c r="L422" s="4"/>
      <c r="M422" s="4"/>
      <c r="N422" s="271"/>
      <c r="P422" s="15"/>
      <c r="Q422" s="13"/>
      <c r="R422" s="13"/>
      <c r="S422" s="13"/>
      <c r="T422" s="13"/>
      <c r="U422" s="13"/>
      <c r="V422" s="13"/>
      <c r="W422" s="76"/>
      <c r="X422" s="76"/>
      <c r="Y422" s="76"/>
      <c r="Z422" s="76"/>
      <c r="AA422" s="76"/>
    </row>
    <row r="423" spans="7:27" ht="15" x14ac:dyDescent="0.25">
      <c r="G423" s="95" t="s">
        <v>172</v>
      </c>
      <c r="H423" s="96" t="s">
        <v>175</v>
      </c>
      <c r="I423" s="4"/>
      <c r="J423" s="96"/>
      <c r="K423" s="97">
        <v>18502</v>
      </c>
      <c r="L423" s="4"/>
      <c r="M423" s="4"/>
      <c r="N423" s="271"/>
      <c r="P423" s="15"/>
      <c r="Q423" s="13"/>
      <c r="R423" s="13"/>
      <c r="S423" s="13"/>
      <c r="T423" s="13"/>
      <c r="U423" s="13"/>
      <c r="V423" s="13"/>
      <c r="W423" s="76"/>
      <c r="X423" s="76"/>
      <c r="Y423" s="76"/>
      <c r="Z423" s="76"/>
      <c r="AA423" s="76"/>
    </row>
    <row r="424" spans="7:27" ht="15.75" thickBot="1" x14ac:dyDescent="0.3">
      <c r="G424" s="95"/>
      <c r="H424" s="96"/>
      <c r="I424" s="4"/>
      <c r="J424" s="4"/>
      <c r="K424" s="273">
        <f>SUM(K421:K423)</f>
        <v>220710</v>
      </c>
      <c r="L424" s="4"/>
      <c r="M424" s="4"/>
      <c r="N424" s="271"/>
      <c r="P424" s="15"/>
      <c r="Q424" s="13"/>
      <c r="R424" s="13"/>
      <c r="S424" s="13"/>
      <c r="T424" s="13"/>
      <c r="U424" s="13"/>
      <c r="V424" s="13"/>
      <c r="W424" s="76"/>
      <c r="X424" s="76"/>
      <c r="Y424" s="76"/>
      <c r="Z424" s="76"/>
      <c r="AA424" s="76"/>
    </row>
    <row r="425" spans="7:27" ht="15.75" thickTop="1" x14ac:dyDescent="0.25">
      <c r="G425" s="274"/>
      <c r="H425" s="275"/>
      <c r="I425" s="275"/>
      <c r="J425" s="275"/>
      <c r="K425" s="275"/>
      <c r="L425" s="275"/>
      <c r="M425" s="275"/>
      <c r="N425" s="276"/>
      <c r="P425" s="15"/>
      <c r="Q425" s="13"/>
      <c r="R425" s="13"/>
      <c r="S425" s="13"/>
      <c r="T425" s="13"/>
      <c r="U425" s="13"/>
      <c r="V425" s="13"/>
      <c r="W425" s="76"/>
      <c r="X425" s="76"/>
      <c r="Y425" s="76"/>
      <c r="Z425" s="76"/>
      <c r="AA425" s="76"/>
    </row>
    <row r="426" spans="7:27" ht="15" x14ac:dyDescent="0.25">
      <c r="P426" s="15"/>
      <c r="Q426" s="13"/>
      <c r="R426" s="13"/>
      <c r="S426" s="13"/>
      <c r="T426" s="13"/>
      <c r="U426" s="13"/>
      <c r="V426" s="13"/>
      <c r="W426" s="76"/>
      <c r="X426" s="76"/>
      <c r="Y426" s="76"/>
      <c r="Z426" s="76"/>
      <c r="AA426" s="76"/>
    </row>
    <row r="427" spans="7:27" ht="15" x14ac:dyDescent="0.25">
      <c r="P427" s="15"/>
      <c r="Q427" s="13"/>
      <c r="R427" s="13"/>
      <c r="S427" s="13"/>
      <c r="T427" s="13"/>
      <c r="U427" s="13"/>
      <c r="V427" s="13"/>
      <c r="W427" s="76"/>
      <c r="X427" s="76"/>
      <c r="Y427" s="76"/>
      <c r="Z427" s="76"/>
      <c r="AA427" s="76"/>
    </row>
    <row r="428" spans="7:27" ht="15" x14ac:dyDescent="0.25">
      <c r="P428" s="15"/>
      <c r="Q428" s="13"/>
      <c r="R428" s="13"/>
      <c r="S428" s="13"/>
      <c r="T428" s="13"/>
      <c r="U428" s="13"/>
      <c r="V428" s="13"/>
      <c r="W428" s="76"/>
      <c r="X428" s="76"/>
      <c r="Y428" s="76"/>
      <c r="Z428" s="76"/>
      <c r="AA428" s="76"/>
    </row>
    <row r="429" spans="7:27" ht="15" x14ac:dyDescent="0.25">
      <c r="P429" s="15"/>
      <c r="Q429" s="13"/>
      <c r="R429" s="13"/>
      <c r="S429" s="13"/>
      <c r="T429" s="13"/>
      <c r="U429" s="13"/>
      <c r="V429" s="13"/>
      <c r="W429" s="76"/>
      <c r="X429" s="76"/>
      <c r="Y429" s="76"/>
      <c r="Z429" s="76"/>
      <c r="AA429" s="76"/>
    </row>
    <row r="430" spans="7:27" ht="15" x14ac:dyDescent="0.25">
      <c r="P430" s="15"/>
      <c r="Q430" s="13"/>
      <c r="R430" s="13"/>
      <c r="S430" s="13"/>
      <c r="T430" s="13"/>
      <c r="U430" s="13"/>
      <c r="V430" s="13"/>
      <c r="W430" s="76"/>
      <c r="X430" s="76"/>
      <c r="Y430" s="76"/>
      <c r="Z430" s="76"/>
      <c r="AA430" s="76"/>
    </row>
    <row r="431" spans="7:27" ht="15" x14ac:dyDescent="0.25">
      <c r="P431" s="15"/>
      <c r="Q431" s="13"/>
      <c r="R431" s="13"/>
      <c r="S431" s="13"/>
      <c r="T431" s="13"/>
      <c r="U431" s="13"/>
      <c r="V431" s="13"/>
      <c r="W431" s="76"/>
      <c r="X431" s="76"/>
      <c r="Y431" s="76"/>
      <c r="Z431" s="76"/>
      <c r="AA431" s="76"/>
    </row>
    <row r="432" spans="7:27" ht="15" x14ac:dyDescent="0.25">
      <c r="P432" s="15"/>
      <c r="Q432" s="13"/>
      <c r="R432" s="13"/>
      <c r="S432" s="13"/>
      <c r="T432" s="13"/>
      <c r="U432" s="13"/>
      <c r="V432" s="13"/>
      <c r="W432" s="76"/>
      <c r="X432" s="76"/>
      <c r="Y432" s="76"/>
      <c r="Z432" s="76"/>
      <c r="AA432" s="76"/>
    </row>
    <row r="433" spans="5:27" ht="15" x14ac:dyDescent="0.25">
      <c r="P433" s="15"/>
      <c r="Q433" s="13"/>
      <c r="R433" s="13"/>
      <c r="S433" s="13"/>
      <c r="T433" s="13"/>
      <c r="U433" s="13"/>
      <c r="V433" s="13"/>
      <c r="W433" s="76"/>
      <c r="X433" s="76"/>
      <c r="Y433" s="76"/>
      <c r="Z433" s="76"/>
      <c r="AA433" s="76"/>
    </row>
    <row r="434" spans="5:27" ht="15" x14ac:dyDescent="0.25">
      <c r="P434" s="15"/>
      <c r="Q434" s="13"/>
      <c r="R434" s="13"/>
      <c r="S434" s="13"/>
      <c r="T434" s="13"/>
      <c r="U434" s="13"/>
      <c r="V434" s="13"/>
      <c r="W434" s="76"/>
      <c r="X434" s="76"/>
      <c r="Y434" s="76"/>
      <c r="Z434" s="76"/>
      <c r="AA434" s="76"/>
    </row>
    <row r="435" spans="5:27" ht="15" x14ac:dyDescent="0.25">
      <c r="P435" s="15"/>
      <c r="Q435" s="13"/>
      <c r="R435" s="13"/>
      <c r="S435" s="13"/>
      <c r="T435" s="13"/>
      <c r="U435" s="13"/>
      <c r="V435" s="13"/>
      <c r="W435" s="76"/>
      <c r="X435" s="76"/>
      <c r="Y435" s="76"/>
      <c r="Z435" s="76"/>
      <c r="AA435" s="76"/>
    </row>
    <row r="436" spans="5:27" ht="15" x14ac:dyDescent="0.25">
      <c r="P436" s="15"/>
      <c r="Q436" s="13"/>
      <c r="R436" s="13"/>
      <c r="S436" s="13"/>
      <c r="T436" s="13"/>
      <c r="U436" s="13"/>
      <c r="V436" s="13"/>
      <c r="W436" s="76"/>
      <c r="X436" s="76"/>
      <c r="Y436" s="76"/>
      <c r="Z436" s="76"/>
      <c r="AA436" s="76"/>
    </row>
    <row r="437" spans="5:27" ht="15" x14ac:dyDescent="0.25">
      <c r="P437" s="15"/>
      <c r="Q437" s="13"/>
      <c r="R437" s="13"/>
      <c r="S437" s="13"/>
      <c r="T437" s="13"/>
      <c r="U437" s="13"/>
      <c r="V437" s="13"/>
      <c r="W437" s="76"/>
      <c r="X437" s="76"/>
      <c r="Y437" s="76"/>
      <c r="Z437" s="76"/>
      <c r="AA437" s="76"/>
    </row>
    <row r="438" spans="5:27" ht="15" x14ac:dyDescent="0.25">
      <c r="J438" s="96"/>
      <c r="P438" s="15"/>
      <c r="Q438" s="13"/>
      <c r="R438" s="13"/>
      <c r="S438" s="13"/>
      <c r="T438" s="13"/>
      <c r="U438" s="13"/>
      <c r="V438" s="13"/>
      <c r="W438" s="76"/>
      <c r="X438" s="76"/>
      <c r="Y438" s="76"/>
      <c r="Z438" s="76"/>
      <c r="AA438" s="76"/>
    </row>
    <row r="439" spans="5:27" ht="15" x14ac:dyDescent="0.25">
      <c r="J439" s="96"/>
      <c r="P439" s="15"/>
      <c r="Q439" s="13"/>
      <c r="R439" s="13"/>
      <c r="S439" s="13"/>
      <c r="T439" s="13"/>
      <c r="U439" s="13"/>
      <c r="V439" s="13"/>
      <c r="W439" s="76"/>
      <c r="X439" s="76"/>
      <c r="Y439" s="76"/>
      <c r="Z439" s="76"/>
      <c r="AA439" s="76"/>
    </row>
    <row r="440" spans="5:27" ht="15" x14ac:dyDescent="0.25">
      <c r="F440" s="13"/>
      <c r="M440" s="13"/>
      <c r="N440" s="13"/>
      <c r="O440" s="13"/>
      <c r="P440" s="13"/>
      <c r="Q440" s="13"/>
      <c r="R440" s="13"/>
      <c r="S440" s="13"/>
      <c r="T440" s="13"/>
      <c r="U440" s="13"/>
      <c r="V440" s="13"/>
      <c r="W440" s="76"/>
      <c r="X440" s="76"/>
      <c r="Y440" s="76"/>
      <c r="Z440" s="76"/>
      <c r="AA440" s="76"/>
    </row>
    <row r="441" spans="5:27" ht="15" x14ac:dyDescent="0.25">
      <c r="F441" s="13"/>
      <c r="M441" s="13"/>
      <c r="N441" s="13"/>
      <c r="O441" s="13"/>
      <c r="P441" s="13"/>
      <c r="Q441" s="13"/>
      <c r="R441" s="13"/>
      <c r="S441" s="13"/>
      <c r="T441" s="13"/>
      <c r="U441" s="13"/>
      <c r="V441" s="13"/>
      <c r="W441" s="76"/>
      <c r="X441" s="76"/>
      <c r="Y441" s="76"/>
      <c r="Z441" s="76"/>
      <c r="AA441" s="76"/>
    </row>
    <row r="442" spans="5:27" ht="15" x14ac:dyDescent="0.25">
      <c r="F442" s="13"/>
      <c r="M442" s="13"/>
      <c r="N442" s="13"/>
      <c r="O442" s="13"/>
      <c r="P442" s="13"/>
      <c r="Q442" s="13"/>
      <c r="R442" s="13"/>
      <c r="S442" s="13"/>
      <c r="T442" s="13"/>
      <c r="U442" s="13"/>
      <c r="V442" s="13"/>
      <c r="W442" s="76"/>
      <c r="X442" s="76"/>
      <c r="Y442" s="76"/>
      <c r="Z442" s="76"/>
      <c r="AA442" s="76"/>
    </row>
    <row r="443" spans="5:27" ht="15" x14ac:dyDescent="0.25">
      <c r="E443" s="13"/>
      <c r="F443" s="13"/>
      <c r="G443" s="13"/>
      <c r="J443" s="13"/>
      <c r="K443" s="99"/>
      <c r="L443" s="13"/>
      <c r="M443" s="13"/>
      <c r="N443" s="13"/>
      <c r="O443" s="13"/>
      <c r="P443" s="13"/>
      <c r="Q443" s="13"/>
      <c r="R443" s="13"/>
      <c r="S443" s="13"/>
      <c r="T443" s="13"/>
      <c r="U443" s="13"/>
      <c r="V443" s="13"/>
      <c r="W443" s="76"/>
      <c r="X443" s="76"/>
      <c r="Y443" s="76"/>
      <c r="Z443" s="76"/>
      <c r="AA443" s="76"/>
    </row>
    <row r="444" spans="5:27" x14ac:dyDescent="0.2">
      <c r="G444" s="2" t="s">
        <v>176</v>
      </c>
      <c r="H444" s="2">
        <v>0</v>
      </c>
      <c r="I444" s="2">
        <v>0</v>
      </c>
      <c r="J444" s="2">
        <v>0</v>
      </c>
      <c r="K444" s="2">
        <v>135908</v>
      </c>
      <c r="L444" s="123"/>
      <c r="M444" s="76"/>
      <c r="N444" s="76"/>
      <c r="O444" s="76"/>
      <c r="P444" s="76"/>
      <c r="Q444" s="76"/>
      <c r="W444" s="76"/>
      <c r="X444" s="76"/>
      <c r="Y444" s="76"/>
      <c r="Z444" s="76"/>
      <c r="AA444" s="76"/>
    </row>
    <row r="445" spans="5:27" ht="15" x14ac:dyDescent="0.2">
      <c r="E445" s="100" t="s">
        <v>177</v>
      </c>
      <c r="F445" s="100"/>
      <c r="G445" s="100"/>
      <c r="H445" s="100"/>
      <c r="I445" s="100"/>
      <c r="J445" s="100"/>
      <c r="K445" s="100"/>
      <c r="L445" s="101">
        <v>6842383</v>
      </c>
      <c r="M445" s="101">
        <v>4742081</v>
      </c>
      <c r="N445" s="101">
        <v>11782781</v>
      </c>
      <c r="O445" s="101">
        <v>6795581</v>
      </c>
      <c r="P445" s="101">
        <v>4482781</v>
      </c>
      <c r="Q445" s="101">
        <v>4482781</v>
      </c>
      <c r="R445" s="101">
        <v>4482781</v>
      </c>
      <c r="S445" s="101">
        <v>4482781</v>
      </c>
      <c r="T445" s="101">
        <v>4482783</v>
      </c>
      <c r="U445" s="102"/>
      <c r="W445" s="76"/>
      <c r="X445" s="76"/>
      <c r="Y445" s="76"/>
      <c r="Z445" s="76"/>
      <c r="AA445" s="76"/>
    </row>
    <row r="446" spans="5:27" ht="15.75" thickBot="1" x14ac:dyDescent="0.25">
      <c r="E446" s="96"/>
      <c r="F446" s="96"/>
      <c r="G446" s="96"/>
      <c r="H446" s="96"/>
      <c r="I446" s="96"/>
      <c r="J446" s="96"/>
      <c r="K446" s="96"/>
      <c r="L446" s="96"/>
      <c r="M446" s="96"/>
      <c r="N446" s="96"/>
      <c r="O446" s="96"/>
      <c r="P446" s="76"/>
      <c r="Q446" s="76"/>
      <c r="W446" s="76"/>
      <c r="X446" s="76"/>
      <c r="Y446" s="76"/>
      <c r="Z446" s="76"/>
      <c r="AA446" s="76"/>
    </row>
    <row r="447" spans="5:27" ht="15" x14ac:dyDescent="0.25">
      <c r="E447" s="96"/>
      <c r="F447" s="96"/>
      <c r="H447" s="103">
        <v>2013</v>
      </c>
      <c r="I447" s="103">
        <v>2014</v>
      </c>
      <c r="J447" s="103">
        <v>2015</v>
      </c>
      <c r="K447" s="277">
        <v>2016</v>
      </c>
      <c r="L447" s="277">
        <v>2017</v>
      </c>
      <c r="M447" s="96"/>
      <c r="N447" s="96"/>
      <c r="O447" s="104" t="s">
        <v>178</v>
      </c>
      <c r="P447" s="76" t="s">
        <v>179</v>
      </c>
      <c r="Q447" s="76" t="s">
        <v>180</v>
      </c>
      <c r="W447" s="76"/>
      <c r="X447" s="76"/>
      <c r="Y447" s="76"/>
      <c r="Z447" s="76"/>
      <c r="AA447" s="76"/>
    </row>
    <row r="448" spans="5:27" ht="15" x14ac:dyDescent="0.2">
      <c r="E448" s="96"/>
      <c r="F448" s="96"/>
      <c r="H448" s="76"/>
      <c r="I448" s="76"/>
      <c r="J448" s="76"/>
      <c r="K448" s="76"/>
      <c r="L448" s="96"/>
      <c r="M448" s="96"/>
      <c r="N448" s="96"/>
      <c r="O448" s="105"/>
      <c r="P448" s="76"/>
      <c r="Q448" s="76"/>
      <c r="W448" s="76"/>
      <c r="X448" s="76"/>
      <c r="Y448" s="76"/>
      <c r="Z448" s="76"/>
      <c r="AA448" s="76"/>
    </row>
    <row r="449" spans="5:27" ht="15" x14ac:dyDescent="0.2">
      <c r="E449" s="96"/>
      <c r="F449" s="96"/>
      <c r="G449" s="2" t="s">
        <v>115</v>
      </c>
      <c r="H449" s="217">
        <v>0</v>
      </c>
      <c r="I449" s="217">
        <v>0</v>
      </c>
      <c r="J449" s="217">
        <v>0</v>
      </c>
      <c r="K449" s="108">
        <v>5536556</v>
      </c>
      <c r="L449" s="108">
        <f>+O449</f>
        <v>10225921</v>
      </c>
      <c r="M449" s="96"/>
      <c r="N449" s="96"/>
      <c r="O449" s="278">
        <v>10225921</v>
      </c>
      <c r="P449" s="108">
        <v>0</v>
      </c>
      <c r="Q449" s="76"/>
      <c r="W449" s="76"/>
      <c r="X449" s="76"/>
      <c r="Y449" s="76"/>
      <c r="Z449" s="76"/>
      <c r="AA449" s="76"/>
    </row>
    <row r="450" spans="5:27" ht="15" x14ac:dyDescent="0.2">
      <c r="E450" s="96"/>
      <c r="F450" s="96"/>
      <c r="G450" s="2" t="s">
        <v>116</v>
      </c>
      <c r="H450" s="217">
        <v>0</v>
      </c>
      <c r="I450" s="217">
        <v>0</v>
      </c>
      <c r="J450" s="217">
        <v>0</v>
      </c>
      <c r="K450" s="108">
        <v>2585534</v>
      </c>
      <c r="L450" s="108">
        <f>+O450</f>
        <v>3483924</v>
      </c>
      <c r="M450" s="96"/>
      <c r="N450" s="96"/>
      <c r="O450" s="278">
        <v>3483924</v>
      </c>
      <c r="P450" s="108">
        <v>0</v>
      </c>
      <c r="Q450" s="76"/>
      <c r="W450" s="76"/>
      <c r="X450" s="76"/>
      <c r="Y450" s="76"/>
      <c r="Z450" s="76"/>
      <c r="AA450" s="76"/>
    </row>
    <row r="451" spans="5:27" ht="15.75" thickBot="1" x14ac:dyDescent="0.4">
      <c r="E451" s="96"/>
      <c r="F451" s="96"/>
      <c r="G451" s="218" t="s">
        <v>117</v>
      </c>
      <c r="H451" s="219">
        <v>0</v>
      </c>
      <c r="I451" s="219">
        <v>0</v>
      </c>
      <c r="J451" s="219">
        <v>0</v>
      </c>
      <c r="K451" s="219">
        <f>+K449-K450</f>
        <v>2951022</v>
      </c>
      <c r="L451" s="219">
        <f>+L449-L450</f>
        <v>6741997</v>
      </c>
      <c r="M451" s="96"/>
      <c r="N451" s="96"/>
      <c r="O451" s="279">
        <f>+O449-O450</f>
        <v>6741997</v>
      </c>
      <c r="P451" s="219">
        <f>+P449-P450</f>
        <v>0</v>
      </c>
      <c r="Q451" s="280">
        <f>+O451-P451</f>
        <v>6741997</v>
      </c>
      <c r="W451" s="76"/>
      <c r="X451" s="76"/>
      <c r="Y451" s="76"/>
      <c r="Z451" s="76"/>
      <c r="AA451" s="76"/>
    </row>
    <row r="452" spans="5:27" ht="15.75" thickTop="1" x14ac:dyDescent="0.2">
      <c r="E452" s="96"/>
      <c r="F452" s="96"/>
      <c r="H452" s="76"/>
      <c r="I452" s="76"/>
      <c r="J452" s="76"/>
      <c r="K452" s="76"/>
      <c r="L452" s="76"/>
      <c r="M452" s="96"/>
      <c r="N452" s="96"/>
      <c r="O452" s="281"/>
      <c r="P452" s="76"/>
      <c r="Q452" s="76"/>
      <c r="W452" s="76"/>
      <c r="X452" s="76"/>
      <c r="Y452" s="76"/>
      <c r="Z452" s="76"/>
      <c r="AA452" s="76"/>
    </row>
    <row r="453" spans="5:27" ht="15" x14ac:dyDescent="0.25">
      <c r="E453" s="96"/>
      <c r="F453" s="96"/>
      <c r="G453" s="69" t="s">
        <v>118</v>
      </c>
      <c r="H453" s="217">
        <v>0</v>
      </c>
      <c r="I453" s="217">
        <v>0</v>
      </c>
      <c r="J453" s="217">
        <v>0</v>
      </c>
      <c r="K453" s="217">
        <v>0</v>
      </c>
      <c r="L453" s="217">
        <f>+K453</f>
        <v>0</v>
      </c>
      <c r="M453" s="96"/>
      <c r="N453" s="96"/>
      <c r="O453" s="278">
        <v>172803</v>
      </c>
      <c r="P453" s="76"/>
      <c r="Q453" s="76"/>
      <c r="W453" s="76"/>
      <c r="X453" s="76"/>
      <c r="Y453" s="76"/>
      <c r="Z453" s="76"/>
      <c r="AA453" s="76"/>
    </row>
    <row r="454" spans="5:27" ht="15.75" thickBot="1" x14ac:dyDescent="0.3">
      <c r="E454" s="96"/>
      <c r="F454" s="96"/>
      <c r="G454" s="69" t="s">
        <v>119</v>
      </c>
      <c r="H454" s="217">
        <v>0</v>
      </c>
      <c r="I454" s="217">
        <v>0</v>
      </c>
      <c r="J454" s="217">
        <v>0</v>
      </c>
      <c r="K454" s="217">
        <v>5675460</v>
      </c>
      <c r="L454" s="217">
        <v>0</v>
      </c>
      <c r="M454" s="96"/>
      <c r="N454" s="96"/>
      <c r="O454" s="106"/>
      <c r="P454" s="76"/>
      <c r="Q454" s="76"/>
      <c r="W454" s="76"/>
      <c r="X454" s="76"/>
      <c r="Y454" s="76"/>
      <c r="Z454" s="76"/>
      <c r="AA454" s="76"/>
    </row>
    <row r="455" spans="5:27" ht="15.75" thickBot="1" x14ac:dyDescent="0.25">
      <c r="E455" s="96"/>
      <c r="F455" s="96"/>
      <c r="G455" s="218" t="s">
        <v>120</v>
      </c>
      <c r="H455" s="219">
        <v>0</v>
      </c>
      <c r="I455" s="219">
        <v>0</v>
      </c>
      <c r="J455" s="219">
        <v>0</v>
      </c>
      <c r="K455" s="219">
        <f>SUM(K453:K454)</f>
        <v>5675460</v>
      </c>
      <c r="L455" s="219">
        <f>SUM(L453:L454)</f>
        <v>0</v>
      </c>
      <c r="M455" s="96"/>
      <c r="N455" s="96"/>
      <c r="O455" s="96"/>
      <c r="P455" s="76"/>
      <c r="Q455" s="76"/>
      <c r="W455" s="76"/>
      <c r="X455" s="76"/>
      <c r="Y455" s="76"/>
      <c r="Z455" s="76"/>
      <c r="AA455" s="76"/>
    </row>
    <row r="456" spans="5:27" ht="15.75" thickTop="1" x14ac:dyDescent="0.2">
      <c r="E456" s="96"/>
      <c r="F456" s="96"/>
      <c r="G456" s="96"/>
      <c r="H456" s="96"/>
      <c r="I456" s="96"/>
      <c r="J456" s="96"/>
      <c r="K456" s="96"/>
      <c r="L456" s="96"/>
      <c r="M456" s="96"/>
      <c r="N456" s="96"/>
      <c r="O456" s="96"/>
      <c r="P456" s="76"/>
      <c r="Q456" s="76"/>
      <c r="W456" s="76"/>
      <c r="X456" s="76"/>
      <c r="Y456" s="76"/>
      <c r="Z456" s="76"/>
      <c r="AA456" s="76"/>
    </row>
    <row r="457" spans="5:27" ht="15" x14ac:dyDescent="0.2">
      <c r="E457" s="87" t="s">
        <v>181</v>
      </c>
      <c r="F457" s="96"/>
      <c r="G457" s="96"/>
      <c r="H457" s="107">
        <v>0</v>
      </c>
      <c r="I457" s="107">
        <v>0</v>
      </c>
      <c r="J457" s="107">
        <v>0</v>
      </c>
      <c r="K457" s="107">
        <f>+K459/K449</f>
        <v>2.3700834959494675E-2</v>
      </c>
      <c r="L457" s="107">
        <f>+O453/O449</f>
        <v>1.6898526792843403E-2</v>
      </c>
      <c r="M457" s="96"/>
      <c r="N457" s="96"/>
      <c r="O457" s="96"/>
      <c r="P457" s="76"/>
      <c r="Q457" s="76"/>
      <c r="W457" s="76"/>
      <c r="X457" s="76"/>
      <c r="Y457" s="76"/>
      <c r="Z457" s="76"/>
      <c r="AA457" s="76"/>
    </row>
    <row r="458" spans="5:27" ht="15" x14ac:dyDescent="0.2">
      <c r="E458" s="96"/>
      <c r="F458" s="96"/>
      <c r="G458" s="96"/>
      <c r="H458" s="96"/>
      <c r="I458" s="96"/>
      <c r="J458" s="96"/>
      <c r="K458" s="96"/>
      <c r="L458" s="96"/>
      <c r="M458" s="96"/>
      <c r="N458" s="96"/>
      <c r="O458" s="96"/>
      <c r="P458" s="76"/>
      <c r="Q458" s="76"/>
      <c r="W458" s="76"/>
      <c r="X458" s="76"/>
      <c r="Y458" s="76"/>
      <c r="Z458" s="76"/>
      <c r="AA458" s="76"/>
    </row>
    <row r="459" spans="5:27" ht="15" x14ac:dyDescent="0.2">
      <c r="E459" s="96" t="s">
        <v>134</v>
      </c>
      <c r="F459" s="96"/>
      <c r="G459" s="96"/>
      <c r="H459" s="102">
        <v>0</v>
      </c>
      <c r="I459" s="102">
        <v>0</v>
      </c>
      <c r="J459" s="102">
        <v>0</v>
      </c>
      <c r="K459" s="102">
        <v>131221</v>
      </c>
      <c r="L459" s="282">
        <f>+O453</f>
        <v>172803</v>
      </c>
      <c r="M459" s="96"/>
      <c r="N459" s="96"/>
      <c r="O459" s="96"/>
      <c r="P459" s="76"/>
      <c r="Q459" s="76"/>
      <c r="W459" s="76"/>
      <c r="X459" s="76"/>
      <c r="Y459" s="76"/>
      <c r="Z459" s="76"/>
      <c r="AA459" s="76"/>
    </row>
    <row r="460" spans="5:27" ht="15" x14ac:dyDescent="0.2">
      <c r="E460" s="96"/>
      <c r="F460" s="96"/>
      <c r="G460" s="96"/>
      <c r="H460" s="96"/>
      <c r="I460" s="96"/>
      <c r="J460" s="96"/>
      <c r="K460" s="96"/>
      <c r="L460" s="96"/>
      <c r="M460" s="96"/>
      <c r="N460" s="96"/>
      <c r="O460" s="96"/>
      <c r="P460" s="76"/>
      <c r="Q460" s="76"/>
      <c r="W460" s="76"/>
      <c r="X460" s="76"/>
      <c r="Y460" s="76"/>
      <c r="Z460" s="76"/>
      <c r="AA460" s="76"/>
    </row>
    <row r="461" spans="5:27" ht="15" x14ac:dyDescent="0.2">
      <c r="E461" s="96"/>
      <c r="F461" s="96"/>
      <c r="G461" s="96"/>
      <c r="H461" s="96"/>
      <c r="I461" s="96"/>
      <c r="J461" s="96"/>
      <c r="K461" s="96"/>
      <c r="L461" s="96"/>
      <c r="M461" s="108"/>
      <c r="N461" s="96"/>
      <c r="O461" s="96"/>
      <c r="P461" s="76"/>
      <c r="Q461" s="76"/>
      <c r="W461" s="76"/>
      <c r="X461" s="76"/>
      <c r="Y461" s="76"/>
      <c r="Z461" s="76"/>
      <c r="AA461" s="76"/>
    </row>
  </sheetData>
  <mergeCells count="19">
    <mergeCell ref="H259:M259"/>
    <mergeCell ref="H251:M251"/>
    <mergeCell ref="H252:Q252"/>
    <mergeCell ref="H254:L254"/>
    <mergeCell ref="H256:M256"/>
    <mergeCell ref="H257:M257"/>
    <mergeCell ref="H258:M258"/>
    <mergeCell ref="H250:M250"/>
    <mergeCell ref="H204:M204"/>
    <mergeCell ref="H209:M209"/>
    <mergeCell ref="H213:M213"/>
    <mergeCell ref="H216:M216"/>
    <mergeCell ref="H218:M218"/>
    <mergeCell ref="H220:M220"/>
    <mergeCell ref="H222:M222"/>
    <mergeCell ref="H224:M224"/>
    <mergeCell ref="H225:M225"/>
    <mergeCell ref="H240:L240"/>
    <mergeCell ref="H246:M246"/>
  </mergeCells>
  <printOptions horizontalCentered="1"/>
  <pageMargins left="0.45" right="0.45" top="0.75" bottom="0.5" header="0.3" footer="0.3"/>
  <pageSetup scale="68" pageOrder="overThenDown" orientation="landscape" horizontalDpi="1200" verticalDpi="1200" r:id="rId1"/>
  <colBreaks count="1" manualBreakCount="1">
    <brk id="17" min="285" max="463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461"/>
  <sheetViews>
    <sheetView view="pageBreakPreview" topLeftCell="A286" zoomScale="60" zoomScaleNormal="100" workbookViewId="0">
      <selection activeCell="C319" sqref="C319"/>
    </sheetView>
  </sheetViews>
  <sheetFormatPr defaultColWidth="8.85546875" defaultRowHeight="12.75" x14ac:dyDescent="0.2"/>
  <cols>
    <col min="1" max="1" width="21.42578125" style="2" customWidth="1"/>
    <col min="2" max="2" width="8.85546875" style="25"/>
    <col min="3" max="3" width="22.7109375" style="2" customWidth="1"/>
    <col min="4" max="5" width="8.85546875" style="2"/>
    <col min="6" max="6" width="4.140625" style="2" customWidth="1"/>
    <col min="7" max="7" width="34.28515625" style="2" customWidth="1"/>
    <col min="8" max="14" width="13.7109375" style="2" customWidth="1"/>
    <col min="15" max="15" width="13.140625" style="2" customWidth="1"/>
    <col min="16" max="16" width="12.7109375" style="2" customWidth="1"/>
    <col min="17" max="17" width="14.140625" style="2" customWidth="1"/>
    <col min="18" max="18" width="16.28515625" style="2" customWidth="1"/>
    <col min="19" max="26" width="12.7109375" style="2" customWidth="1"/>
    <col min="27" max="27" width="10.140625" style="2" customWidth="1"/>
    <col min="28" max="28" width="11.7109375" style="2" customWidth="1"/>
    <col min="29" max="29" width="10.7109375" style="2" customWidth="1"/>
    <col min="30" max="30" width="12.28515625" style="2" customWidth="1"/>
    <col min="31" max="31" width="9.140625" style="2" customWidth="1"/>
    <col min="32" max="32" width="8.85546875" style="2"/>
    <col min="33" max="33" width="10.7109375" style="2" customWidth="1"/>
    <col min="34" max="34" width="8.85546875" style="2"/>
    <col min="35" max="35" width="12.7109375" style="2" customWidth="1"/>
    <col min="36" max="36" width="10.140625" style="2" bestFit="1" customWidth="1"/>
    <col min="37" max="37" width="10.140625" style="2" customWidth="1"/>
    <col min="38" max="38" width="10.28515625" style="2" customWidth="1"/>
    <col min="39" max="40" width="12.7109375" style="2" customWidth="1"/>
    <col min="41" max="41" width="9" style="2" customWidth="1"/>
    <col min="42" max="16384" width="8.85546875" style="2"/>
  </cols>
  <sheetData>
    <row r="1" spans="2:26" ht="15.75" x14ac:dyDescent="0.25">
      <c r="B1" s="2"/>
      <c r="G1" s="2" t="s">
        <v>0</v>
      </c>
      <c r="H1" s="118">
        <v>3.8399999999999997E-2</v>
      </c>
      <c r="I1" s="119">
        <v>43220</v>
      </c>
    </row>
    <row r="2" spans="2:26" ht="15.75" x14ac:dyDescent="0.25">
      <c r="B2" s="2"/>
      <c r="G2" s="120" t="s">
        <v>1</v>
      </c>
      <c r="H2" s="118">
        <v>7.1199999999999999E-2</v>
      </c>
      <c r="I2" s="119">
        <v>43220</v>
      </c>
    </row>
    <row r="3" spans="2:26" ht="15.75" x14ac:dyDescent="0.25">
      <c r="B3" s="2"/>
      <c r="G3" s="120" t="s">
        <v>3</v>
      </c>
      <c r="H3" s="118">
        <v>8.48E-2</v>
      </c>
      <c r="I3" s="119">
        <v>43220</v>
      </c>
    </row>
    <row r="4" spans="2:26" ht="15.75" x14ac:dyDescent="0.25">
      <c r="B4" s="2"/>
      <c r="G4" s="121" t="s">
        <v>4</v>
      </c>
      <c r="H4" s="2">
        <v>20.78</v>
      </c>
      <c r="I4" s="122" t="s">
        <v>5</v>
      </c>
      <c r="L4" s="123" t="str">
        <f>+C5&amp;" GROWTH:"</f>
        <v xml:space="preserve"> GROWTH:</v>
      </c>
      <c r="M4" s="124">
        <v>2.5000000000000001E-3</v>
      </c>
      <c r="N4" s="125"/>
    </row>
    <row r="5" spans="2:26" ht="15.75" x14ac:dyDescent="0.25">
      <c r="B5" s="2"/>
      <c r="G5" s="121" t="s">
        <v>7</v>
      </c>
      <c r="H5" s="2">
        <v>14.48</v>
      </c>
      <c r="I5" s="122" t="s">
        <v>5</v>
      </c>
      <c r="L5" s="123" t="str">
        <f>+C6&amp;" GROWTH:"</f>
        <v xml:space="preserve"> GROWTH:</v>
      </c>
      <c r="M5" s="124">
        <v>0.01</v>
      </c>
      <c r="N5" s="126"/>
    </row>
    <row r="6" spans="2:26" x14ac:dyDescent="0.2">
      <c r="B6" s="2"/>
      <c r="G6" s="2" t="s">
        <v>9</v>
      </c>
      <c r="H6" s="2">
        <v>0.7</v>
      </c>
      <c r="I6" s="122" t="s">
        <v>5</v>
      </c>
      <c r="L6" s="123" t="str">
        <f>+C7&amp;" GROWTH:"</f>
        <v xml:space="preserve"> GROWTH:</v>
      </c>
      <c r="M6" s="124">
        <v>0</v>
      </c>
      <c r="N6" s="126"/>
    </row>
    <row r="7" spans="2:26" ht="15.75" x14ac:dyDescent="0.25">
      <c r="B7" s="2"/>
      <c r="G7" s="121" t="s">
        <v>10</v>
      </c>
      <c r="H7" s="127">
        <v>14.6</v>
      </c>
      <c r="N7" s="1"/>
    </row>
    <row r="8" spans="2:26" ht="15.75" x14ac:dyDescent="0.25">
      <c r="B8" s="2"/>
      <c r="G8" s="121" t="s">
        <v>11</v>
      </c>
      <c r="H8" s="127">
        <v>10.1</v>
      </c>
      <c r="N8" s="128"/>
    </row>
    <row r="9" spans="2:26" ht="13.5" x14ac:dyDescent="0.25">
      <c r="C9" s="129" t="s">
        <v>12</v>
      </c>
      <c r="G9" s="2" t="s">
        <v>13</v>
      </c>
      <c r="H9" s="130">
        <f>IF(C10="IOU",M4,IF(C10="MUNI",M5,M6))</f>
        <v>2.5000000000000001E-3</v>
      </c>
    </row>
    <row r="10" spans="2:26" x14ac:dyDescent="0.2">
      <c r="C10" s="131" t="s">
        <v>6</v>
      </c>
      <c r="D10" s="66" t="s">
        <v>14</v>
      </c>
      <c r="G10" s="3"/>
      <c r="H10" s="3"/>
      <c r="I10" s="3"/>
      <c r="J10" s="3"/>
      <c r="K10" s="3"/>
      <c r="L10" s="3"/>
      <c r="M10" s="76" t="s">
        <v>15</v>
      </c>
      <c r="N10" s="3"/>
      <c r="O10" s="3"/>
      <c r="P10" s="3"/>
      <c r="Q10" s="3"/>
      <c r="R10" s="3"/>
      <c r="U10" s="76" t="str">
        <f>+M10</f>
        <v>Income Approach</v>
      </c>
    </row>
    <row r="11" spans="2:26" ht="15" x14ac:dyDescent="0.25">
      <c r="D11" s="132">
        <v>1</v>
      </c>
      <c r="G11" s="3"/>
      <c r="H11" s="3"/>
      <c r="I11" s="3"/>
      <c r="J11" s="3"/>
      <c r="K11" s="3"/>
      <c r="L11" s="3"/>
      <c r="M11" s="25" t="s">
        <v>182</v>
      </c>
      <c r="N11" s="3"/>
      <c r="O11" s="3"/>
      <c r="P11" s="3"/>
      <c r="Q11" s="3"/>
      <c r="R11" s="3"/>
      <c r="U11" s="25" t="str">
        <f t="shared" ref="U11:U14" si="0">+M11</f>
        <v>Township of Mahoning Sewer and Water Systems Assets</v>
      </c>
    </row>
    <row r="12" spans="2:26" ht="15" x14ac:dyDescent="0.25">
      <c r="D12" s="132">
        <v>1</v>
      </c>
      <c r="G12" s="3"/>
      <c r="H12" s="3"/>
      <c r="I12" s="3"/>
      <c r="J12" s="3"/>
      <c r="K12" s="3"/>
      <c r="L12" s="3"/>
      <c r="M12" s="25" t="str">
        <f>IF($C$10="SUBJECT","Pro Forma Operations",IF($C$10="MUNI","Pro Forma and Estimted Operations With MUNI Ownership","Pro Forma and Estimted Operations With IOU Ownership"))</f>
        <v>Pro Forma and Estimted Operations With IOU Ownership</v>
      </c>
      <c r="N12" s="3"/>
      <c r="O12" s="3"/>
      <c r="P12" s="3"/>
      <c r="Q12" s="3"/>
      <c r="R12" s="3"/>
      <c r="U12" s="25" t="str">
        <f t="shared" si="0"/>
        <v>Pro Forma and Estimted Operations With IOU Ownership</v>
      </c>
    </row>
    <row r="13" spans="2:26" ht="15" x14ac:dyDescent="0.25">
      <c r="D13" s="132">
        <f>IF($C$10="SUBJECT",0,1)</f>
        <v>1</v>
      </c>
      <c r="G13" s="3"/>
      <c r="H13" s="3"/>
      <c r="I13" s="3"/>
      <c r="J13" s="3"/>
      <c r="K13" s="3"/>
      <c r="L13" s="3"/>
      <c r="M13" s="25" t="s">
        <v>16</v>
      </c>
      <c r="N13" s="3"/>
      <c r="O13" s="3"/>
      <c r="P13" s="3"/>
      <c r="Q13" s="3"/>
      <c r="R13" s="3"/>
      <c r="U13" s="25" t="str">
        <f t="shared" si="0"/>
        <v>DCF With Capitalization of Terminal Value Model and</v>
      </c>
    </row>
    <row r="14" spans="2:26" ht="15" x14ac:dyDescent="0.25">
      <c r="D14" s="132">
        <v>1</v>
      </c>
      <c r="G14" s="3"/>
      <c r="H14" s="3"/>
      <c r="I14" s="3"/>
      <c r="J14" s="3"/>
      <c r="K14" s="3"/>
      <c r="L14" s="3"/>
      <c r="M14" s="44" t="str">
        <f>IF($C$10="SUBJECT","Earnings Capitalization Model","DCF With EBIT &amp; EBITDA Terminal Value Model")</f>
        <v>DCF With EBIT &amp; EBITDA Terminal Value Model</v>
      </c>
      <c r="N14" s="3"/>
      <c r="O14" s="3"/>
      <c r="P14" s="3"/>
      <c r="Q14" s="3"/>
      <c r="R14" s="3"/>
      <c r="U14" s="44" t="str">
        <f t="shared" si="0"/>
        <v>DCF With EBIT &amp; EBITDA Terminal Value Model</v>
      </c>
    </row>
    <row r="15" spans="2:26" ht="15" x14ac:dyDescent="0.25">
      <c r="D15" s="132">
        <v>1</v>
      </c>
      <c r="F15" s="133"/>
      <c r="G15" s="3"/>
      <c r="H15" s="3"/>
      <c r="I15" s="3"/>
      <c r="J15" s="3"/>
      <c r="K15" s="3"/>
      <c r="L15" s="3"/>
      <c r="M15" s="134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</row>
    <row r="16" spans="2:26" ht="15.75" thickBot="1" x14ac:dyDescent="0.3">
      <c r="D16" s="132">
        <v>1</v>
      </c>
      <c r="E16" s="135" t="s">
        <v>17</v>
      </c>
      <c r="N16" s="4"/>
      <c r="O16" s="136"/>
      <c r="P16" s="136"/>
      <c r="Q16" s="136"/>
      <c r="R16" s="136"/>
    </row>
    <row r="17" spans="1:35" ht="15.75" thickBot="1" x14ac:dyDescent="0.3">
      <c r="B17" s="66" t="s">
        <v>18</v>
      </c>
      <c r="D17" s="132">
        <v>1</v>
      </c>
      <c r="M17" s="137" t="s">
        <v>19</v>
      </c>
      <c r="N17" s="137" t="s">
        <v>19</v>
      </c>
      <c r="O17" s="137" t="s">
        <v>19</v>
      </c>
      <c r="P17" s="137" t="s">
        <v>19</v>
      </c>
      <c r="Q17" s="137" t="s">
        <v>19</v>
      </c>
      <c r="R17" s="137" t="s">
        <v>19</v>
      </c>
      <c r="S17" s="137" t="s">
        <v>19</v>
      </c>
      <c r="T17" s="137" t="s">
        <v>19</v>
      </c>
      <c r="U17" s="137" t="s">
        <v>19</v>
      </c>
      <c r="V17" s="137" t="s">
        <v>19</v>
      </c>
      <c r="W17" s="137" t="s">
        <v>19</v>
      </c>
      <c r="X17" s="137" t="s">
        <v>19</v>
      </c>
      <c r="Y17" s="137" t="s">
        <v>19</v>
      </c>
      <c r="Z17" s="137" t="s">
        <v>19</v>
      </c>
      <c r="AA17" s="69"/>
      <c r="AB17" s="69"/>
    </row>
    <row r="18" spans="1:35" ht="15.75" thickBot="1" x14ac:dyDescent="0.3">
      <c r="C18" s="138">
        <f>IF(D18=0,F17,IF(ISBLANK(G18),F17,1+F17))</f>
        <v>0</v>
      </c>
      <c r="D18" s="132">
        <v>1</v>
      </c>
      <c r="E18" s="138"/>
      <c r="F18" s="139" t="str">
        <f>IF(ISBLANK(G18),"",C18)</f>
        <v/>
      </c>
      <c r="H18" s="140"/>
      <c r="I18" s="140" t="s">
        <v>20</v>
      </c>
      <c r="J18" s="141"/>
      <c r="K18" s="140" t="s">
        <v>20</v>
      </c>
      <c r="L18" s="142"/>
      <c r="M18" s="143" t="str">
        <f t="shared" ref="M18:Z18" si="1">"Year "&amp;M53+0.5</f>
        <v>Year 0</v>
      </c>
      <c r="N18" s="143" t="str">
        <f t="shared" si="1"/>
        <v>Year 1</v>
      </c>
      <c r="O18" s="143" t="str">
        <f t="shared" si="1"/>
        <v>Year 2</v>
      </c>
      <c r="P18" s="143" t="str">
        <f t="shared" si="1"/>
        <v>Year 3</v>
      </c>
      <c r="Q18" s="143" t="str">
        <f t="shared" si="1"/>
        <v>Year 4</v>
      </c>
      <c r="R18" s="143" t="str">
        <f t="shared" si="1"/>
        <v>Year 5</v>
      </c>
      <c r="S18" s="143" t="str">
        <f t="shared" si="1"/>
        <v>Year 6</v>
      </c>
      <c r="T18" s="143" t="str">
        <f t="shared" si="1"/>
        <v>Year 7</v>
      </c>
      <c r="U18" s="143" t="str">
        <f t="shared" si="1"/>
        <v>Year 8</v>
      </c>
      <c r="V18" s="143" t="str">
        <f t="shared" si="1"/>
        <v>Year 9</v>
      </c>
      <c r="W18" s="143" t="str">
        <f t="shared" si="1"/>
        <v>Year 10</v>
      </c>
      <c r="X18" s="143" t="str">
        <f t="shared" si="1"/>
        <v>Year 11</v>
      </c>
      <c r="Y18" s="143" t="str">
        <f t="shared" si="1"/>
        <v>Year 12</v>
      </c>
      <c r="Z18" s="143" t="str">
        <f t="shared" si="1"/>
        <v>Year 13</v>
      </c>
      <c r="AA18" s="69" t="s">
        <v>21</v>
      </c>
      <c r="AB18" s="69"/>
    </row>
    <row r="19" spans="1:35" ht="15" x14ac:dyDescent="0.25">
      <c r="C19" s="138">
        <f>IF(D19=0,C18,IF(ISBLANK(G19),C18,1+MAX(C$5:C18)))</f>
        <v>0</v>
      </c>
      <c r="D19" s="132">
        <v>1</v>
      </c>
      <c r="E19" s="138"/>
      <c r="F19" s="139" t="str">
        <f t="shared" ref="F19:F76" si="2">IF(ISBLANK(G19),"",C19)</f>
        <v/>
      </c>
      <c r="H19" s="76">
        <v>2013</v>
      </c>
      <c r="I19" s="76">
        <f t="shared" ref="I19:AA19" si="3">+H19+1</f>
        <v>2014</v>
      </c>
      <c r="J19" s="76">
        <f t="shared" si="3"/>
        <v>2015</v>
      </c>
      <c r="K19" s="76">
        <f t="shared" si="3"/>
        <v>2016</v>
      </c>
      <c r="L19" s="76">
        <f t="shared" si="3"/>
        <v>2017</v>
      </c>
      <c r="M19" s="76">
        <f t="shared" si="3"/>
        <v>2018</v>
      </c>
      <c r="N19" s="76">
        <f t="shared" si="3"/>
        <v>2019</v>
      </c>
      <c r="O19" s="76">
        <f t="shared" si="3"/>
        <v>2020</v>
      </c>
      <c r="P19" s="76">
        <f t="shared" si="3"/>
        <v>2021</v>
      </c>
      <c r="Q19" s="76">
        <f t="shared" si="3"/>
        <v>2022</v>
      </c>
      <c r="R19" s="76">
        <f t="shared" si="3"/>
        <v>2023</v>
      </c>
      <c r="S19" s="76">
        <f t="shared" si="3"/>
        <v>2024</v>
      </c>
      <c r="T19" s="76">
        <f t="shared" si="3"/>
        <v>2025</v>
      </c>
      <c r="U19" s="76">
        <f t="shared" si="3"/>
        <v>2026</v>
      </c>
      <c r="V19" s="76">
        <f t="shared" si="3"/>
        <v>2027</v>
      </c>
      <c r="W19" s="76">
        <f t="shared" si="3"/>
        <v>2028</v>
      </c>
      <c r="X19" s="76">
        <f t="shared" si="3"/>
        <v>2029</v>
      </c>
      <c r="Y19" s="76">
        <f t="shared" si="3"/>
        <v>2030</v>
      </c>
      <c r="Z19" s="76">
        <f t="shared" si="3"/>
        <v>2031</v>
      </c>
      <c r="AA19" s="76">
        <f t="shared" si="3"/>
        <v>2032</v>
      </c>
      <c r="AB19" s="69"/>
    </row>
    <row r="20" spans="1:35" ht="15" x14ac:dyDescent="0.25">
      <c r="A20" s="144" t="s">
        <v>22</v>
      </c>
      <c r="B20" s="66">
        <v>1</v>
      </c>
      <c r="C20" s="138">
        <f>IF(D20=0,C19,IF(ISBLANK(G20),C19,1+MAX(C$18:C19)))</f>
        <v>1</v>
      </c>
      <c r="D20" s="132">
        <v>1</v>
      </c>
      <c r="E20" s="138"/>
      <c r="F20" s="139">
        <v>1</v>
      </c>
      <c r="G20" s="144" t="str">
        <f>+A20&amp;" ("&amp;B20&amp;")"</f>
        <v>OPERATING REVENUES (1)</v>
      </c>
      <c r="AB20" s="69"/>
    </row>
    <row r="21" spans="1:35" ht="15" x14ac:dyDescent="0.25">
      <c r="C21" s="138">
        <f>IF(D21=0,C20,IF(ISBLANK(G21),C20,1+MAX(C$18:C20)))</f>
        <v>2</v>
      </c>
      <c r="D21" s="132">
        <v>1</v>
      </c>
      <c r="F21" s="139">
        <f t="shared" si="2"/>
        <v>2</v>
      </c>
      <c r="G21" s="145" t="s">
        <v>23</v>
      </c>
      <c r="H21" s="6">
        <v>0</v>
      </c>
      <c r="I21" s="6">
        <v>0</v>
      </c>
      <c r="J21" s="6">
        <v>0</v>
      </c>
      <c r="K21" s="6">
        <v>1829023</v>
      </c>
      <c r="L21" s="6">
        <f>$K21*(1+(((0.4*0.1)+(0.6*0.15))*(3/12)))</f>
        <v>1888466.2475000001</v>
      </c>
      <c r="M21" s="5">
        <f>$K21*(1+(((0.4*0.1)+(0.6*0.15))*(12/12)))</f>
        <v>2066795.9899999998</v>
      </c>
      <c r="N21" s="5">
        <f t="shared" ref="N21:O21" si="4">+N365</f>
        <v>2130225</v>
      </c>
      <c r="O21" s="5">
        <f t="shared" si="4"/>
        <v>2193784</v>
      </c>
      <c r="P21" s="5">
        <f>+P365</f>
        <v>2204467</v>
      </c>
      <c r="Q21" s="5">
        <f t="shared" ref="Q21:Z21" si="5">+Q365</f>
        <v>2796627</v>
      </c>
      <c r="R21" s="5">
        <f t="shared" si="5"/>
        <v>2810380</v>
      </c>
      <c r="S21" s="5">
        <f t="shared" si="5"/>
        <v>2824432</v>
      </c>
      <c r="T21" s="5">
        <f t="shared" si="5"/>
        <v>2926549</v>
      </c>
      <c r="U21" s="5">
        <f t="shared" si="5"/>
        <v>2941182</v>
      </c>
      <c r="V21" s="5">
        <f t="shared" si="5"/>
        <v>2955887</v>
      </c>
      <c r="W21" s="5">
        <f t="shared" si="5"/>
        <v>3062758</v>
      </c>
      <c r="X21" s="5">
        <f t="shared" si="5"/>
        <v>3078071</v>
      </c>
      <c r="Y21" s="5">
        <f t="shared" si="5"/>
        <v>3093462</v>
      </c>
      <c r="Z21" s="5">
        <f t="shared" si="5"/>
        <v>3205306</v>
      </c>
      <c r="AA21" s="5">
        <v>0</v>
      </c>
      <c r="AB21" s="69"/>
    </row>
    <row r="22" spans="1:35" ht="15" x14ac:dyDescent="0.25">
      <c r="C22" s="138">
        <f>IF(D22=0,C21,IF(ISBLANK(G22),C21,1+MAX(C$18:C21)))</f>
        <v>3</v>
      </c>
      <c r="D22" s="132">
        <v>1</v>
      </c>
      <c r="F22" s="139">
        <f t="shared" si="2"/>
        <v>3</v>
      </c>
      <c r="G22" s="145" t="s">
        <v>24</v>
      </c>
      <c r="H22" s="6">
        <v>0</v>
      </c>
      <c r="I22" s="6">
        <v>0</v>
      </c>
      <c r="J22" s="6">
        <v>0</v>
      </c>
      <c r="K22" s="6">
        <v>58217</v>
      </c>
      <c r="L22" s="6">
        <f>+K22</f>
        <v>58217</v>
      </c>
      <c r="M22" s="6">
        <f>+L22</f>
        <v>58217</v>
      </c>
      <c r="N22" s="6">
        <f t="shared" ref="N22:Z22" si="6">+M22</f>
        <v>58217</v>
      </c>
      <c r="O22" s="6">
        <f t="shared" si="6"/>
        <v>58217</v>
      </c>
      <c r="P22" s="6">
        <f t="shared" si="6"/>
        <v>58217</v>
      </c>
      <c r="Q22" s="6">
        <f t="shared" si="6"/>
        <v>58217</v>
      </c>
      <c r="R22" s="6">
        <f t="shared" si="6"/>
        <v>58217</v>
      </c>
      <c r="S22" s="6">
        <f t="shared" si="6"/>
        <v>58217</v>
      </c>
      <c r="T22" s="6">
        <f t="shared" si="6"/>
        <v>58217</v>
      </c>
      <c r="U22" s="6">
        <f t="shared" si="6"/>
        <v>58217</v>
      </c>
      <c r="V22" s="6">
        <f t="shared" si="6"/>
        <v>58217</v>
      </c>
      <c r="W22" s="6">
        <f t="shared" si="6"/>
        <v>58217</v>
      </c>
      <c r="X22" s="6">
        <f t="shared" si="6"/>
        <v>58217</v>
      </c>
      <c r="Y22" s="6">
        <f t="shared" si="6"/>
        <v>58217</v>
      </c>
      <c r="Z22" s="6">
        <f t="shared" si="6"/>
        <v>58217</v>
      </c>
      <c r="AA22" s="5"/>
      <c r="AB22" s="69"/>
    </row>
    <row r="23" spans="1:35" ht="15" x14ac:dyDescent="0.25">
      <c r="C23" s="138">
        <f>IF(D23=0,C22,IF(ISBLANK(G23),C22,1+MAX(C$18:C22)))</f>
        <v>4</v>
      </c>
      <c r="D23" s="132">
        <f>IF($C$10="SUBJECT",0,1)</f>
        <v>1</v>
      </c>
      <c r="F23" s="139">
        <f t="shared" si="2"/>
        <v>4</v>
      </c>
      <c r="G23" s="145" t="s">
        <v>25</v>
      </c>
      <c r="H23" s="6">
        <v>0</v>
      </c>
      <c r="I23" s="6">
        <v>0</v>
      </c>
      <c r="J23" s="6">
        <v>0</v>
      </c>
      <c r="K23" s="6">
        <v>0</v>
      </c>
      <c r="L23" s="6">
        <v>0</v>
      </c>
      <c r="M23" s="6">
        <v>0</v>
      </c>
      <c r="N23" s="6">
        <f t="shared" ref="N23:O23" si="7">+N366</f>
        <v>0</v>
      </c>
      <c r="O23" s="6">
        <f t="shared" si="7"/>
        <v>0</v>
      </c>
      <c r="P23" s="6">
        <f>+P366</f>
        <v>578673</v>
      </c>
      <c r="Q23" s="6">
        <f t="shared" ref="Q23:Z23" si="8">+Q366</f>
        <v>0</v>
      </c>
      <c r="R23" s="6">
        <f t="shared" si="8"/>
        <v>0</v>
      </c>
      <c r="S23" s="6">
        <f t="shared" si="8"/>
        <v>87557</v>
      </c>
      <c r="T23" s="6">
        <f t="shared" si="8"/>
        <v>0</v>
      </c>
      <c r="U23" s="6">
        <f t="shared" si="8"/>
        <v>0</v>
      </c>
      <c r="V23" s="6">
        <f t="shared" si="8"/>
        <v>91633</v>
      </c>
      <c r="W23" s="6">
        <f t="shared" si="8"/>
        <v>0</v>
      </c>
      <c r="X23" s="6">
        <f t="shared" si="8"/>
        <v>0</v>
      </c>
      <c r="Y23" s="6">
        <f t="shared" si="8"/>
        <v>95897</v>
      </c>
      <c r="Z23" s="6">
        <f t="shared" si="8"/>
        <v>0</v>
      </c>
      <c r="AA23" s="6">
        <v>0</v>
      </c>
      <c r="AB23" s="69"/>
    </row>
    <row r="24" spans="1:35" ht="15.75" thickBot="1" x14ac:dyDescent="0.3">
      <c r="C24" s="138">
        <f>IF(D24=0,C23,IF(ISBLANK(G24),C23,1+MAX(C$18:C23)))</f>
        <v>5</v>
      </c>
      <c r="D24" s="132">
        <v>1</v>
      </c>
      <c r="F24" s="139">
        <f t="shared" si="2"/>
        <v>5</v>
      </c>
      <c r="G24" s="146" t="s">
        <v>26</v>
      </c>
      <c r="H24" s="7">
        <f t="shared" ref="H24:AA24" si="9">SUM(H21:H23)</f>
        <v>0</v>
      </c>
      <c r="I24" s="7">
        <f t="shared" si="9"/>
        <v>0</v>
      </c>
      <c r="J24" s="7">
        <f t="shared" si="9"/>
        <v>0</v>
      </c>
      <c r="K24" s="7">
        <f t="shared" si="9"/>
        <v>1887240</v>
      </c>
      <c r="L24" s="7">
        <f t="shared" si="9"/>
        <v>1946683.2475000001</v>
      </c>
      <c r="M24" s="7">
        <f t="shared" si="9"/>
        <v>2125012.9899999998</v>
      </c>
      <c r="N24" s="7">
        <f t="shared" si="9"/>
        <v>2188442</v>
      </c>
      <c r="O24" s="7">
        <f t="shared" si="9"/>
        <v>2252001</v>
      </c>
      <c r="P24" s="7">
        <f t="shared" si="9"/>
        <v>2841357</v>
      </c>
      <c r="Q24" s="7">
        <f t="shared" si="9"/>
        <v>2854844</v>
      </c>
      <c r="R24" s="7">
        <f t="shared" si="9"/>
        <v>2868597</v>
      </c>
      <c r="S24" s="7">
        <f t="shared" si="9"/>
        <v>2970206</v>
      </c>
      <c r="T24" s="7">
        <f t="shared" si="9"/>
        <v>2984766</v>
      </c>
      <c r="U24" s="7">
        <f t="shared" si="9"/>
        <v>2999399</v>
      </c>
      <c r="V24" s="7">
        <f t="shared" si="9"/>
        <v>3105737</v>
      </c>
      <c r="W24" s="7">
        <f t="shared" si="9"/>
        <v>3120975</v>
      </c>
      <c r="X24" s="7">
        <f t="shared" si="9"/>
        <v>3136288</v>
      </c>
      <c r="Y24" s="7">
        <f t="shared" si="9"/>
        <v>3247576</v>
      </c>
      <c r="Z24" s="7">
        <f t="shared" si="9"/>
        <v>3263523</v>
      </c>
      <c r="AA24" s="7">
        <f t="shared" si="9"/>
        <v>0</v>
      </c>
      <c r="AB24" s="69"/>
    </row>
    <row r="25" spans="1:35" ht="15.75" thickTop="1" x14ac:dyDescent="0.25">
      <c r="C25" s="138">
        <f>IF(D25=0,C24,IF(ISBLANK(G25),C24,1+MAX(C$18:C24)))</f>
        <v>6</v>
      </c>
      <c r="D25" s="132">
        <v>1</v>
      </c>
      <c r="F25" s="139">
        <f t="shared" si="2"/>
        <v>6</v>
      </c>
      <c r="G25" s="147" t="s">
        <v>27</v>
      </c>
      <c r="H25" s="8"/>
      <c r="I25" s="8"/>
      <c r="J25" s="8"/>
      <c r="K25" s="8"/>
      <c r="L25" s="9"/>
      <c r="M25" s="9"/>
      <c r="N25" s="10" t="str">
        <f t="shared" ref="N25:Z25" si="10">IF(N23&gt;0,+N23/N21,"")</f>
        <v/>
      </c>
      <c r="O25" s="10" t="str">
        <f t="shared" si="10"/>
        <v/>
      </c>
      <c r="P25" s="10">
        <f t="shared" si="10"/>
        <v>0.26250018712006123</v>
      </c>
      <c r="Q25" s="10" t="str">
        <f t="shared" si="10"/>
        <v/>
      </c>
      <c r="R25" s="10" t="str">
        <f t="shared" si="10"/>
        <v/>
      </c>
      <c r="S25" s="10">
        <f t="shared" si="10"/>
        <v>3.0999861211032872E-2</v>
      </c>
      <c r="T25" s="10" t="str">
        <f t="shared" si="10"/>
        <v/>
      </c>
      <c r="U25" s="10" t="str">
        <f t="shared" si="10"/>
        <v/>
      </c>
      <c r="V25" s="10">
        <f t="shared" si="10"/>
        <v>3.10001701688867E-2</v>
      </c>
      <c r="W25" s="10" t="str">
        <f t="shared" si="10"/>
        <v/>
      </c>
      <c r="X25" s="10" t="str">
        <f t="shared" si="10"/>
        <v/>
      </c>
      <c r="Y25" s="10">
        <f t="shared" si="10"/>
        <v>3.0999895909502039E-2</v>
      </c>
      <c r="Z25" s="10" t="str">
        <f t="shared" si="10"/>
        <v/>
      </c>
      <c r="AA25" s="10"/>
      <c r="AB25" s="69"/>
      <c r="AE25" s="148"/>
      <c r="AF25" s="148"/>
      <c r="AG25" s="148"/>
    </row>
    <row r="26" spans="1:35" ht="15" x14ac:dyDescent="0.25">
      <c r="C26" s="138">
        <f>IF(D26=0,C25,IF(ISBLANK(G26),C25,1+MAX(C$18:C25)))</f>
        <v>6</v>
      </c>
      <c r="D26" s="132">
        <v>1</v>
      </c>
      <c r="F26" s="139" t="str">
        <f t="shared" si="2"/>
        <v/>
      </c>
      <c r="O26" s="5"/>
      <c r="P26" s="5"/>
      <c r="AB26" s="69"/>
      <c r="AE26" s="148"/>
      <c r="AF26" s="148"/>
      <c r="AG26" s="148"/>
    </row>
    <row r="27" spans="1:35" ht="15" x14ac:dyDescent="0.25">
      <c r="A27" s="144" t="s">
        <v>28</v>
      </c>
      <c r="B27" s="25">
        <v>1</v>
      </c>
      <c r="C27" s="138">
        <f>IF(D27=0,C26,IF(ISBLANK(G27),C26,1+MAX(C$18:C26)))</f>
        <v>7</v>
      </c>
      <c r="D27" s="132">
        <v>1</v>
      </c>
      <c r="F27" s="139">
        <f t="shared" si="2"/>
        <v>7</v>
      </c>
      <c r="G27" s="144" t="str">
        <f>+A27&amp;" ("&amp;B27&amp;")"</f>
        <v>OPERATING EXPENSES (1)</v>
      </c>
      <c r="H27" s="6"/>
      <c r="I27" s="6"/>
      <c r="J27" s="6"/>
      <c r="K27" s="6"/>
      <c r="L27" s="5"/>
      <c r="M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69"/>
      <c r="AB27" s="69"/>
      <c r="AC27" s="2" t="s">
        <v>29</v>
      </c>
    </row>
    <row r="28" spans="1:35" ht="15" x14ac:dyDescent="0.25">
      <c r="C28" s="138">
        <f>IF(D28=0,C27,IF(ISBLANK(G28),C27,1+MAX(C$18:C27)))</f>
        <v>8</v>
      </c>
      <c r="D28" s="132">
        <v>1</v>
      </c>
      <c r="F28" s="139">
        <f t="shared" si="2"/>
        <v>8</v>
      </c>
      <c r="G28" s="149" t="s">
        <v>30</v>
      </c>
      <c r="H28" s="6">
        <v>0</v>
      </c>
      <c r="I28" s="6">
        <v>0</v>
      </c>
      <c r="J28" s="6">
        <v>0</v>
      </c>
      <c r="K28" s="5">
        <v>1929960</v>
      </c>
      <c r="L28" s="6">
        <f t="shared" ref="L28:Z28" si="11">+K28*(1+$AC28)</f>
        <v>1968559.2</v>
      </c>
      <c r="M28" s="6">
        <f t="shared" si="11"/>
        <v>2007930.3840000001</v>
      </c>
      <c r="N28" s="6">
        <f t="shared" si="11"/>
        <v>2048088.9916800002</v>
      </c>
      <c r="O28" s="6">
        <f t="shared" si="11"/>
        <v>2089050.7715136001</v>
      </c>
      <c r="P28" s="6">
        <f t="shared" si="11"/>
        <v>2130831.786943872</v>
      </c>
      <c r="Q28" s="6">
        <f t="shared" si="11"/>
        <v>2173448.4226827496</v>
      </c>
      <c r="R28" s="6">
        <f t="shared" si="11"/>
        <v>2216917.3911364046</v>
      </c>
      <c r="S28" s="6">
        <f t="shared" si="11"/>
        <v>2261255.7389591327</v>
      </c>
      <c r="T28" s="6">
        <f t="shared" si="11"/>
        <v>2306480.8537383154</v>
      </c>
      <c r="U28" s="6">
        <f t="shared" si="11"/>
        <v>2352610.4708130816</v>
      </c>
      <c r="V28" s="6">
        <f t="shared" si="11"/>
        <v>2399662.6802293435</v>
      </c>
      <c r="W28" s="6">
        <f t="shared" si="11"/>
        <v>2447655.9338339302</v>
      </c>
      <c r="X28" s="6">
        <f t="shared" si="11"/>
        <v>2496609.0525106089</v>
      </c>
      <c r="Y28" s="6">
        <f t="shared" si="11"/>
        <v>2546541.233560821</v>
      </c>
      <c r="Z28" s="6">
        <f t="shared" si="11"/>
        <v>2597472.0582320374</v>
      </c>
      <c r="AA28" s="69"/>
      <c r="AB28" s="69"/>
      <c r="AC28" s="150">
        <v>0.02</v>
      </c>
    </row>
    <row r="29" spans="1:35" ht="15" x14ac:dyDescent="0.25">
      <c r="C29" s="138">
        <f>IF(D29=0,C28,IF(ISBLANK(G29),C28,1+MAX(C$18:C28)))</f>
        <v>9</v>
      </c>
      <c r="D29" s="132">
        <f>IF($C$10="SUBJECT",0,1)</f>
        <v>1</v>
      </c>
      <c r="F29" s="139">
        <f t="shared" si="2"/>
        <v>9</v>
      </c>
      <c r="G29" s="149" t="s">
        <v>31</v>
      </c>
      <c r="H29" s="11"/>
      <c r="I29" s="11"/>
      <c r="J29" s="11"/>
      <c r="K29" s="11"/>
      <c r="L29" s="11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9"/>
      <c r="AB29" s="69"/>
    </row>
    <row r="30" spans="1:35" ht="15" x14ac:dyDescent="0.25">
      <c r="C30" s="138">
        <f>IF(D30=0,C29,IF(ISBLANK(G30),C29,1+MAX(C$18:C29)))</f>
        <v>10</v>
      </c>
      <c r="D30" s="132">
        <f>IF($C$10="SUBJECT",0,1)</f>
        <v>1</v>
      </c>
      <c r="F30" s="139">
        <f t="shared" si="2"/>
        <v>10</v>
      </c>
      <c r="G30" s="12" t="s">
        <v>32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6">
        <f>+M406*(1+$AC30)*AH30*-1</f>
        <v>-28959.835715999998</v>
      </c>
      <c r="O30" s="6">
        <f t="shared" ref="O30:Z32" si="12">+N30*(1+$AC30)</f>
        <v>-29539.03243032</v>
      </c>
      <c r="P30" s="6">
        <f t="shared" si="12"/>
        <v>-30129.8130789264</v>
      </c>
      <c r="Q30" s="6">
        <f t="shared" si="12"/>
        <v>-30732.409340504928</v>
      </c>
      <c r="R30" s="6">
        <f t="shared" si="12"/>
        <v>-31347.057527315028</v>
      </c>
      <c r="S30" s="6">
        <f t="shared" si="12"/>
        <v>-31973.998677861327</v>
      </c>
      <c r="T30" s="6">
        <f t="shared" si="12"/>
        <v>-32613.478651418554</v>
      </c>
      <c r="U30" s="6">
        <f t="shared" si="12"/>
        <v>-33265.748224446928</v>
      </c>
      <c r="V30" s="6">
        <f t="shared" si="12"/>
        <v>-33931.06318893587</v>
      </c>
      <c r="W30" s="6">
        <f t="shared" si="12"/>
        <v>-34609.684452714588</v>
      </c>
      <c r="X30" s="6">
        <f t="shared" si="12"/>
        <v>-35301.878141768881</v>
      </c>
      <c r="Y30" s="6">
        <f t="shared" si="12"/>
        <v>-36007.91570460426</v>
      </c>
      <c r="Z30" s="6">
        <f t="shared" si="12"/>
        <v>-36728.074018696345</v>
      </c>
      <c r="AA30" s="69"/>
      <c r="AB30" s="69"/>
      <c r="AC30" s="2">
        <f>+AC28</f>
        <v>0.02</v>
      </c>
      <c r="AE30" s="151" t="s">
        <v>33</v>
      </c>
      <c r="AF30" s="152"/>
      <c r="AG30" s="153" t="s">
        <v>34</v>
      </c>
      <c r="AH30" s="154">
        <v>0.15</v>
      </c>
      <c r="AI30" s="13">
        <v>0.15</v>
      </c>
    </row>
    <row r="31" spans="1:35" ht="15" x14ac:dyDescent="0.25">
      <c r="C31" s="138">
        <f>IF(D31=0,C30,IF(ISBLANK(G31),C30,1+MAX(C$18:C30)))</f>
        <v>11</v>
      </c>
      <c r="D31" s="132">
        <f t="shared" ref="D31:D32" si="13">IF($C$10="SUBJECT",0,1)</f>
        <v>1</v>
      </c>
      <c r="F31" s="139">
        <f t="shared" si="2"/>
        <v>11</v>
      </c>
      <c r="G31" s="12" t="s">
        <v>35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6">
        <f>+M407*(1+$AC31)*AH31*-1</f>
        <v>-117109.60884</v>
      </c>
      <c r="O31" s="6">
        <f t="shared" si="12"/>
        <v>-119451.8010168</v>
      </c>
      <c r="P31" s="6">
        <f t="shared" si="12"/>
        <v>-121840.83703713601</v>
      </c>
      <c r="Q31" s="6">
        <f t="shared" si="12"/>
        <v>-124277.65377787873</v>
      </c>
      <c r="R31" s="6">
        <f t="shared" si="12"/>
        <v>-126763.20685343631</v>
      </c>
      <c r="S31" s="6">
        <f t="shared" si="12"/>
        <v>-129298.47099050504</v>
      </c>
      <c r="T31" s="6">
        <f t="shared" si="12"/>
        <v>-131884.44041031515</v>
      </c>
      <c r="U31" s="6">
        <f t="shared" si="12"/>
        <v>-134522.12921852144</v>
      </c>
      <c r="V31" s="6">
        <f t="shared" si="12"/>
        <v>-137212.57180289188</v>
      </c>
      <c r="W31" s="6">
        <f t="shared" si="12"/>
        <v>-139956.82323894973</v>
      </c>
      <c r="X31" s="6">
        <f t="shared" si="12"/>
        <v>-142755.95970372873</v>
      </c>
      <c r="Y31" s="6">
        <f t="shared" si="12"/>
        <v>-145611.07889780329</v>
      </c>
      <c r="Z31" s="6">
        <f t="shared" si="12"/>
        <v>-148523.30047575937</v>
      </c>
      <c r="AA31" s="69"/>
      <c r="AB31" s="69"/>
      <c r="AC31" s="2">
        <f>+AC30</f>
        <v>0.02</v>
      </c>
      <c r="AE31" s="151" t="s">
        <v>36</v>
      </c>
      <c r="AF31" s="152"/>
      <c r="AG31" s="153" t="s">
        <v>37</v>
      </c>
      <c r="AH31" s="154">
        <v>0.5</v>
      </c>
      <c r="AI31" s="13">
        <v>0.5</v>
      </c>
    </row>
    <row r="32" spans="1:35" ht="15" x14ac:dyDescent="0.25">
      <c r="C32" s="138">
        <f>IF(D32=0,C31,IF(ISBLANK(G32),C31,1+MAX(C$18:C31)))</f>
        <v>12</v>
      </c>
      <c r="D32" s="132">
        <f t="shared" si="13"/>
        <v>1</v>
      </c>
      <c r="F32" s="139">
        <f t="shared" si="2"/>
        <v>12</v>
      </c>
      <c r="G32" s="12" t="s">
        <v>38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6">
        <f>+M408*(1+$AC32)*AH32*-1</f>
        <v>-3866.0868648000005</v>
      </c>
      <c r="O32" s="6">
        <f t="shared" si="12"/>
        <v>-3943.4086020960008</v>
      </c>
      <c r="P32" s="6">
        <f t="shared" si="12"/>
        <v>-4022.2767741379207</v>
      </c>
      <c r="Q32" s="6">
        <f t="shared" si="12"/>
        <v>-4102.722309620679</v>
      </c>
      <c r="R32" s="6">
        <f t="shared" si="12"/>
        <v>-4184.7767558130927</v>
      </c>
      <c r="S32" s="6">
        <f t="shared" si="12"/>
        <v>-4268.472290929355</v>
      </c>
      <c r="T32" s="6">
        <f t="shared" si="12"/>
        <v>-4353.8417367479424</v>
      </c>
      <c r="U32" s="6">
        <f t="shared" si="12"/>
        <v>-4440.9185714829009</v>
      </c>
      <c r="V32" s="6">
        <f t="shared" si="12"/>
        <v>-4529.7369429125592</v>
      </c>
      <c r="W32" s="6">
        <f t="shared" si="12"/>
        <v>-4620.3316817708101</v>
      </c>
      <c r="X32" s="6">
        <f t="shared" si="12"/>
        <v>-4712.7383154062263</v>
      </c>
      <c r="Y32" s="6">
        <f t="shared" si="12"/>
        <v>-4806.9930817143513</v>
      </c>
      <c r="Z32" s="6">
        <f t="shared" si="12"/>
        <v>-4903.132943348638</v>
      </c>
      <c r="AA32" s="69"/>
      <c r="AB32" s="69"/>
      <c r="AC32" s="2">
        <f t="shared" ref="AC32" si="14">+AC31</f>
        <v>0.02</v>
      </c>
      <c r="AE32" s="151" t="s">
        <v>39</v>
      </c>
      <c r="AF32" s="152"/>
      <c r="AG32" s="153" t="s">
        <v>40</v>
      </c>
      <c r="AH32" s="154">
        <v>0.1</v>
      </c>
      <c r="AI32" s="13">
        <v>0.1</v>
      </c>
    </row>
    <row r="33" spans="1:28" ht="15" x14ac:dyDescent="0.25">
      <c r="C33" s="138">
        <f>IF(D33=0,C32,IF(ISBLANK(G33),C32,1+MAX(C$18:C32)))</f>
        <v>13</v>
      </c>
      <c r="D33" s="132">
        <f>IF($C$10="IOU",1,0)</f>
        <v>1</v>
      </c>
      <c r="F33" s="139">
        <f t="shared" si="2"/>
        <v>13</v>
      </c>
      <c r="G33" s="12" t="s">
        <v>41</v>
      </c>
      <c r="H33" s="6"/>
      <c r="I33" s="6"/>
      <c r="J33" s="6"/>
      <c r="K33" s="6"/>
      <c r="L33" s="6"/>
      <c r="M33" s="6"/>
      <c r="N33" s="6">
        <f>IF($C$10="IOU",+N373,0)</f>
        <v>21498</v>
      </c>
      <c r="O33" s="6">
        <f>IF($C$10="IOU",+O373,0)</f>
        <v>21845</v>
      </c>
      <c r="P33" s="6">
        <f>IF($C$10="IOU",+P373,0)</f>
        <v>22191</v>
      </c>
      <c r="Q33" s="6">
        <f>IF($C$10="IOU",+Q373,0)</f>
        <v>25528</v>
      </c>
      <c r="R33" s="6">
        <f>IF($C$10="IOU",+R373,0)</f>
        <v>25589</v>
      </c>
      <c r="S33" s="6">
        <f>IF($C$10="IOU",+S373,0)</f>
        <v>25651</v>
      </c>
      <c r="T33" s="6">
        <f>IF($C$10="IOU",+T373,0)</f>
        <v>26212</v>
      </c>
      <c r="U33" s="6">
        <f>IF($C$10="IOU",+U373,0)</f>
        <v>26278</v>
      </c>
      <c r="V33" s="6">
        <f>IF($C$10="IOU",+V373,0)</f>
        <v>26345</v>
      </c>
      <c r="W33" s="6">
        <f>IF($C$10="IOU",+W373,0)</f>
        <v>26932</v>
      </c>
      <c r="X33" s="6">
        <f>IF($C$10="IOU",+X373,0)</f>
        <v>27000</v>
      </c>
      <c r="Y33" s="6">
        <f>IF($C$10="IOU",+Y373,0)</f>
        <v>27068</v>
      </c>
      <c r="Z33" s="6">
        <f>IF($C$10="IOU",+Z373,0)</f>
        <v>27684</v>
      </c>
      <c r="AA33" s="69"/>
      <c r="AB33" s="69"/>
    </row>
    <row r="34" spans="1:28" ht="15" x14ac:dyDescent="0.25">
      <c r="C34" s="138">
        <f>IF(D34=0,C33,IF(ISBLANK(G34),C33,1+MAX(C$18:C33)))</f>
        <v>14</v>
      </c>
      <c r="D34" s="132">
        <v>1</v>
      </c>
      <c r="F34" s="139">
        <f t="shared" si="2"/>
        <v>14</v>
      </c>
      <c r="G34" s="155" t="s">
        <v>42</v>
      </c>
      <c r="H34" s="14">
        <f t="shared" ref="H34:Z34" si="15">SUM(H28:H33)</f>
        <v>0</v>
      </c>
      <c r="I34" s="14">
        <f t="shared" si="15"/>
        <v>0</v>
      </c>
      <c r="J34" s="14">
        <f t="shared" si="15"/>
        <v>0</v>
      </c>
      <c r="K34" s="14">
        <f t="shared" si="15"/>
        <v>1929960</v>
      </c>
      <c r="L34" s="14">
        <f t="shared" si="15"/>
        <v>1968559.2</v>
      </c>
      <c r="M34" s="14">
        <f t="shared" si="15"/>
        <v>2007930.3840000001</v>
      </c>
      <c r="N34" s="14">
        <f t="shared" si="15"/>
        <v>1919651.4602592003</v>
      </c>
      <c r="O34" s="14">
        <f t="shared" si="15"/>
        <v>1957961.5294643841</v>
      </c>
      <c r="P34" s="14">
        <f t="shared" si="15"/>
        <v>1997029.8600536715</v>
      </c>
      <c r="Q34" s="14">
        <f t="shared" si="15"/>
        <v>2039863.6372547452</v>
      </c>
      <c r="R34" s="14">
        <f t="shared" si="15"/>
        <v>2080211.3499998404</v>
      </c>
      <c r="S34" s="14">
        <f t="shared" si="15"/>
        <v>2121365.7969998368</v>
      </c>
      <c r="T34" s="14">
        <f t="shared" si="15"/>
        <v>2163841.0929398341</v>
      </c>
      <c r="U34" s="14">
        <f t="shared" si="15"/>
        <v>2206659.6747986302</v>
      </c>
      <c r="V34" s="14">
        <f t="shared" si="15"/>
        <v>2250334.3082946031</v>
      </c>
      <c r="W34" s="14">
        <f t="shared" si="15"/>
        <v>2295401.0944604953</v>
      </c>
      <c r="X34" s="14">
        <f t="shared" si="15"/>
        <v>2340838.4763497054</v>
      </c>
      <c r="Y34" s="14">
        <f t="shared" si="15"/>
        <v>2387183.2458766992</v>
      </c>
      <c r="Z34" s="14">
        <f t="shared" si="15"/>
        <v>2435001.5507942331</v>
      </c>
      <c r="AA34" s="69"/>
      <c r="AB34" s="69"/>
    </row>
    <row r="35" spans="1:28" ht="15" x14ac:dyDescent="0.25">
      <c r="A35" s="145" t="s">
        <v>43</v>
      </c>
      <c r="B35" s="25">
        <f>MAX(B$20:B34)+1</f>
        <v>2</v>
      </c>
      <c r="C35" s="138">
        <f>IF(D35=0,C34,IF(ISBLANK(G35),C34,1+MAX(C$18:C34)))</f>
        <v>15</v>
      </c>
      <c r="D35" s="132">
        <v>1</v>
      </c>
      <c r="F35" s="139">
        <f t="shared" si="2"/>
        <v>15</v>
      </c>
      <c r="G35" s="4" t="str">
        <f>+A35&amp;" ("&amp;B35&amp;")"</f>
        <v>Depreciation (2)</v>
      </c>
      <c r="H35" s="5">
        <f>+H314</f>
        <v>0</v>
      </c>
      <c r="I35" s="5">
        <f t="shared" ref="I35:J35" si="16">+I314</f>
        <v>0</v>
      </c>
      <c r="J35" s="5">
        <f t="shared" si="16"/>
        <v>0</v>
      </c>
      <c r="K35" s="5">
        <f>+K459</f>
        <v>131221</v>
      </c>
      <c r="L35" s="5">
        <f>+L312</f>
        <v>131221</v>
      </c>
      <c r="M35" s="5">
        <f>+M312</f>
        <v>172818.0649</v>
      </c>
      <c r="N35" s="5">
        <f>+N312</f>
        <v>173788.86859999999</v>
      </c>
      <c r="O35" s="5">
        <f t="shared" ref="O35:Z35" si="17">+O312</f>
        <v>176152.9314</v>
      </c>
      <c r="P35" s="5">
        <f t="shared" si="17"/>
        <v>178537.88069999998</v>
      </c>
      <c r="Q35" s="5">
        <f t="shared" si="17"/>
        <v>180955.04139999999</v>
      </c>
      <c r="R35" s="5">
        <f t="shared" si="17"/>
        <v>183405.6839</v>
      </c>
      <c r="S35" s="5">
        <f t="shared" si="17"/>
        <v>185888.23069999999</v>
      </c>
      <c r="T35" s="5">
        <f t="shared" si="17"/>
        <v>188405.13809999998</v>
      </c>
      <c r="U35" s="5">
        <f t="shared" si="17"/>
        <v>190954.67359999998</v>
      </c>
      <c r="V35" s="5">
        <f t="shared" si="17"/>
        <v>193535.02359999999</v>
      </c>
      <c r="W35" s="5">
        <f t="shared" si="17"/>
        <v>196150.98479999998</v>
      </c>
      <c r="X35" s="5">
        <f t="shared" si="17"/>
        <v>198802.01349999997</v>
      </c>
      <c r="Y35" s="5">
        <f t="shared" si="17"/>
        <v>201488.56599999999</v>
      </c>
      <c r="Z35" s="5">
        <f t="shared" si="17"/>
        <v>204211.14929999999</v>
      </c>
      <c r="AA35" s="69"/>
      <c r="AB35" s="69"/>
    </row>
    <row r="36" spans="1:28" ht="15.75" thickBot="1" x14ac:dyDescent="0.3">
      <c r="C36" s="138">
        <f>IF(D36=0,C35,IF(ISBLANK(G36),C35,1+MAX(C$18:C35)))</f>
        <v>16</v>
      </c>
      <c r="D36" s="132">
        <v>1</v>
      </c>
      <c r="F36" s="139">
        <f t="shared" si="2"/>
        <v>16</v>
      </c>
      <c r="G36" s="155" t="s">
        <v>44</v>
      </c>
      <c r="H36" s="7">
        <f t="shared" ref="H36:Z36" si="18">+H35+H34</f>
        <v>0</v>
      </c>
      <c r="I36" s="7">
        <f t="shared" si="18"/>
        <v>0</v>
      </c>
      <c r="J36" s="7">
        <f t="shared" si="18"/>
        <v>0</v>
      </c>
      <c r="K36" s="7">
        <f t="shared" si="18"/>
        <v>2061181</v>
      </c>
      <c r="L36" s="7">
        <f t="shared" si="18"/>
        <v>2099780.2000000002</v>
      </c>
      <c r="M36" s="7">
        <f t="shared" si="18"/>
        <v>2180748.4489000002</v>
      </c>
      <c r="N36" s="7">
        <f t="shared" si="18"/>
        <v>2093440.3288592002</v>
      </c>
      <c r="O36" s="7">
        <f t="shared" si="18"/>
        <v>2134114.4608643842</v>
      </c>
      <c r="P36" s="7">
        <f t="shared" si="18"/>
        <v>2175567.7407536716</v>
      </c>
      <c r="Q36" s="7">
        <f t="shared" si="18"/>
        <v>2220818.6786547452</v>
      </c>
      <c r="R36" s="7">
        <f t="shared" si="18"/>
        <v>2263617.0338998404</v>
      </c>
      <c r="S36" s="7">
        <f t="shared" si="18"/>
        <v>2307254.027699837</v>
      </c>
      <c r="T36" s="7">
        <f t="shared" si="18"/>
        <v>2352246.2310398342</v>
      </c>
      <c r="U36" s="7">
        <f t="shared" si="18"/>
        <v>2397614.34839863</v>
      </c>
      <c r="V36" s="7">
        <f t="shared" si="18"/>
        <v>2443869.3318946031</v>
      </c>
      <c r="W36" s="7">
        <f t="shared" si="18"/>
        <v>2491552.0792604955</v>
      </c>
      <c r="X36" s="7">
        <f t="shared" si="18"/>
        <v>2539640.4898497052</v>
      </c>
      <c r="Y36" s="7">
        <f t="shared" si="18"/>
        <v>2588671.8118766993</v>
      </c>
      <c r="Z36" s="7">
        <f t="shared" si="18"/>
        <v>2639212.7000942333</v>
      </c>
      <c r="AA36" s="69"/>
      <c r="AB36" s="69"/>
    </row>
    <row r="37" spans="1:28" ht="15.75" thickTop="1" x14ac:dyDescent="0.25">
      <c r="C37" s="138">
        <f>IF(D37=0,C36,IF(ISBLANK(G37),C36,1+MAX(C$18:C36)))</f>
        <v>16</v>
      </c>
      <c r="D37" s="132">
        <v>1</v>
      </c>
      <c r="F37" s="139" t="str">
        <f t="shared" si="2"/>
        <v/>
      </c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69"/>
      <c r="AB37" s="69"/>
    </row>
    <row r="38" spans="1:28" ht="15.75" thickBot="1" x14ac:dyDescent="0.3">
      <c r="C38" s="138">
        <f>IF(D38=0,C37,IF(ISBLANK(G38),C37,1+MAX(C$18:C37)))</f>
        <v>17</v>
      </c>
      <c r="D38" s="132">
        <v>1</v>
      </c>
      <c r="F38" s="139">
        <f t="shared" si="2"/>
        <v>17</v>
      </c>
      <c r="G38" s="146" t="s">
        <v>45</v>
      </c>
      <c r="H38" s="7">
        <f t="shared" ref="H38:Z38" si="19">+H24-H36</f>
        <v>0</v>
      </c>
      <c r="I38" s="7">
        <f t="shared" si="19"/>
        <v>0</v>
      </c>
      <c r="J38" s="7">
        <f t="shared" si="19"/>
        <v>0</v>
      </c>
      <c r="K38" s="7">
        <f t="shared" si="19"/>
        <v>-173941</v>
      </c>
      <c r="L38" s="7">
        <f t="shared" si="19"/>
        <v>-153096.95250000013</v>
      </c>
      <c r="M38" s="7">
        <f t="shared" si="19"/>
        <v>-55735.458900000434</v>
      </c>
      <c r="N38" s="7">
        <f t="shared" si="19"/>
        <v>95001.671140799765</v>
      </c>
      <c r="O38" s="7">
        <f t="shared" si="19"/>
        <v>117886.53913561581</v>
      </c>
      <c r="P38" s="7">
        <f t="shared" si="19"/>
        <v>665789.25924632838</v>
      </c>
      <c r="Q38" s="7">
        <f t="shared" si="19"/>
        <v>634025.32134525478</v>
      </c>
      <c r="R38" s="7">
        <f t="shared" si="19"/>
        <v>604979.96610015957</v>
      </c>
      <c r="S38" s="7">
        <f t="shared" si="19"/>
        <v>662951.972300163</v>
      </c>
      <c r="T38" s="7">
        <f t="shared" si="19"/>
        <v>632519.76896016579</v>
      </c>
      <c r="U38" s="7">
        <f t="shared" si="19"/>
        <v>601784.65160136996</v>
      </c>
      <c r="V38" s="7">
        <f t="shared" si="19"/>
        <v>661867.66810539691</v>
      </c>
      <c r="W38" s="7">
        <f t="shared" si="19"/>
        <v>629422.92073950451</v>
      </c>
      <c r="X38" s="7">
        <f t="shared" si="19"/>
        <v>596647.51015029475</v>
      </c>
      <c r="Y38" s="7">
        <f t="shared" si="19"/>
        <v>658904.18812330067</v>
      </c>
      <c r="Z38" s="7">
        <f t="shared" si="19"/>
        <v>624310.29990576673</v>
      </c>
      <c r="AA38" s="69"/>
      <c r="AB38" s="69"/>
    </row>
    <row r="39" spans="1:28" ht="15.75" thickTop="1" x14ac:dyDescent="0.25">
      <c r="C39" s="138">
        <f>IF(D39=0,C38,IF(ISBLANK(G39),C38,1+MAX(C$18:C38)))</f>
        <v>17</v>
      </c>
      <c r="D39" s="132">
        <v>1</v>
      </c>
      <c r="F39" s="139" t="str">
        <f t="shared" si="2"/>
        <v/>
      </c>
      <c r="H39" s="6"/>
      <c r="I39" s="6"/>
      <c r="J39" s="6"/>
      <c r="K39" s="6"/>
      <c r="L39" s="5"/>
      <c r="M39" s="5"/>
      <c r="N39" s="5"/>
      <c r="O39" s="5"/>
      <c r="P39" s="5"/>
      <c r="Q39" s="5"/>
      <c r="R39" s="5"/>
      <c r="S39" s="5"/>
      <c r="T39" s="5"/>
      <c r="AB39" s="69"/>
    </row>
    <row r="40" spans="1:28" ht="15" x14ac:dyDescent="0.25">
      <c r="A40" s="4" t="s">
        <v>46</v>
      </c>
      <c r="B40" s="25">
        <f>MAX(B$20:B39)+1</f>
        <v>3</v>
      </c>
      <c r="C40" s="138">
        <f>IF(D40=0,C39,IF(ISBLANK(G40),C39,1+MAX(C$18:C39)))</f>
        <v>18</v>
      </c>
      <c r="D40" s="132">
        <v>1</v>
      </c>
      <c r="F40" s="139">
        <f t="shared" si="2"/>
        <v>18</v>
      </c>
      <c r="G40" s="4" t="str">
        <f t="shared" ref="G40:G42" si="20">+A40&amp;" ("&amp;B40&amp;")"</f>
        <v>Revenues (3)</v>
      </c>
      <c r="H40" s="6">
        <f t="shared" ref="H40:Z40" si="21">+H24</f>
        <v>0</v>
      </c>
      <c r="I40" s="6">
        <f t="shared" si="21"/>
        <v>0</v>
      </c>
      <c r="J40" s="6">
        <f t="shared" si="21"/>
        <v>0</v>
      </c>
      <c r="K40" s="6">
        <f t="shared" si="21"/>
        <v>1887240</v>
      </c>
      <c r="L40" s="6">
        <f t="shared" si="21"/>
        <v>1946683.2475000001</v>
      </c>
      <c r="M40" s="6">
        <f t="shared" si="21"/>
        <v>2125012.9899999998</v>
      </c>
      <c r="N40" s="6">
        <f t="shared" si="21"/>
        <v>2188442</v>
      </c>
      <c r="O40" s="6">
        <f t="shared" si="21"/>
        <v>2252001</v>
      </c>
      <c r="P40" s="6">
        <f t="shared" si="21"/>
        <v>2841357</v>
      </c>
      <c r="Q40" s="6">
        <f t="shared" si="21"/>
        <v>2854844</v>
      </c>
      <c r="R40" s="6">
        <f t="shared" si="21"/>
        <v>2868597</v>
      </c>
      <c r="S40" s="6">
        <f t="shared" si="21"/>
        <v>2970206</v>
      </c>
      <c r="T40" s="6">
        <f t="shared" si="21"/>
        <v>2984766</v>
      </c>
      <c r="U40" s="6">
        <f t="shared" si="21"/>
        <v>2999399</v>
      </c>
      <c r="V40" s="6">
        <f t="shared" si="21"/>
        <v>3105737</v>
      </c>
      <c r="W40" s="6">
        <f t="shared" si="21"/>
        <v>3120975</v>
      </c>
      <c r="X40" s="6">
        <f t="shared" si="21"/>
        <v>3136288</v>
      </c>
      <c r="Y40" s="6">
        <f t="shared" si="21"/>
        <v>3247576</v>
      </c>
      <c r="Z40" s="6">
        <f t="shared" si="21"/>
        <v>3263523</v>
      </c>
      <c r="AA40" s="69"/>
      <c r="AB40" s="69"/>
    </row>
    <row r="41" spans="1:28" ht="15" x14ac:dyDescent="0.25">
      <c r="A41" s="4" t="s">
        <v>7</v>
      </c>
      <c r="B41" s="25">
        <f>MAX(B$20:B40)+1</f>
        <v>4</v>
      </c>
      <c r="C41" s="138">
        <f>IF(D41=0,C40,IF(ISBLANK(G41),C40,1+MAX(C$18:C40)))</f>
        <v>19</v>
      </c>
      <c r="D41" s="132">
        <v>1</v>
      </c>
      <c r="F41" s="139">
        <f t="shared" si="2"/>
        <v>19</v>
      </c>
      <c r="G41" s="4" t="str">
        <f t="shared" si="20"/>
        <v>EBITDA (4)</v>
      </c>
      <c r="H41" s="6">
        <f t="shared" ref="H41:Z41" si="22">+H38+H35</f>
        <v>0</v>
      </c>
      <c r="I41" s="6">
        <f t="shared" si="22"/>
        <v>0</v>
      </c>
      <c r="J41" s="6">
        <f t="shared" si="22"/>
        <v>0</v>
      </c>
      <c r="K41" s="6">
        <f t="shared" si="22"/>
        <v>-42720</v>
      </c>
      <c r="L41" s="6">
        <f t="shared" si="22"/>
        <v>-21875.95250000013</v>
      </c>
      <c r="M41" s="6">
        <f t="shared" si="22"/>
        <v>117082.60599999956</v>
      </c>
      <c r="N41" s="6">
        <f t="shared" si="22"/>
        <v>268790.53974079975</v>
      </c>
      <c r="O41" s="6">
        <f t="shared" si="22"/>
        <v>294039.47053561581</v>
      </c>
      <c r="P41" s="6">
        <f t="shared" si="22"/>
        <v>844327.13994632836</v>
      </c>
      <c r="Q41" s="6">
        <f t="shared" si="22"/>
        <v>814980.36274525477</v>
      </c>
      <c r="R41" s="6">
        <f t="shared" si="22"/>
        <v>788385.65000015963</v>
      </c>
      <c r="S41" s="6">
        <f t="shared" si="22"/>
        <v>848840.20300016296</v>
      </c>
      <c r="T41" s="6">
        <f t="shared" si="22"/>
        <v>820924.90706016577</v>
      </c>
      <c r="U41" s="6">
        <f t="shared" si="22"/>
        <v>792739.32520136994</v>
      </c>
      <c r="V41" s="6">
        <f t="shared" si="22"/>
        <v>855402.69170539686</v>
      </c>
      <c r="W41" s="6">
        <f t="shared" si="22"/>
        <v>825573.90553950449</v>
      </c>
      <c r="X41" s="6">
        <f t="shared" si="22"/>
        <v>795449.52365029475</v>
      </c>
      <c r="Y41" s="6">
        <f t="shared" si="22"/>
        <v>860392.75412330066</v>
      </c>
      <c r="Z41" s="6">
        <f t="shared" si="22"/>
        <v>828521.44920576666</v>
      </c>
      <c r="AA41" s="69"/>
      <c r="AB41" s="69"/>
    </row>
    <row r="42" spans="1:28" ht="15" x14ac:dyDescent="0.25">
      <c r="A42" s="4" t="s">
        <v>4</v>
      </c>
      <c r="B42" s="25">
        <f>MAX(B$20:B41)+1</f>
        <v>5</v>
      </c>
      <c r="C42" s="138">
        <f>IF(D42=0,C41,IF(ISBLANK(G42),C41,1+MAX(C$18:C41)))</f>
        <v>20</v>
      </c>
      <c r="D42" s="132">
        <v>1</v>
      </c>
      <c r="F42" s="139">
        <f t="shared" si="2"/>
        <v>20</v>
      </c>
      <c r="G42" s="4" t="str">
        <f t="shared" si="20"/>
        <v>EBIT (5)</v>
      </c>
      <c r="H42" s="6">
        <f t="shared" ref="H42:Z42" si="23">+H38</f>
        <v>0</v>
      </c>
      <c r="I42" s="6">
        <f t="shared" si="23"/>
        <v>0</v>
      </c>
      <c r="J42" s="6">
        <f t="shared" si="23"/>
        <v>0</v>
      </c>
      <c r="K42" s="6">
        <f t="shared" si="23"/>
        <v>-173941</v>
      </c>
      <c r="L42" s="6">
        <f t="shared" si="23"/>
        <v>-153096.95250000013</v>
      </c>
      <c r="M42" s="6">
        <f t="shared" si="23"/>
        <v>-55735.458900000434</v>
      </c>
      <c r="N42" s="6">
        <f t="shared" si="23"/>
        <v>95001.671140799765</v>
      </c>
      <c r="O42" s="6">
        <f t="shared" si="23"/>
        <v>117886.53913561581</v>
      </c>
      <c r="P42" s="6">
        <f t="shared" si="23"/>
        <v>665789.25924632838</v>
      </c>
      <c r="Q42" s="6">
        <f t="shared" si="23"/>
        <v>634025.32134525478</v>
      </c>
      <c r="R42" s="6">
        <f t="shared" si="23"/>
        <v>604979.96610015957</v>
      </c>
      <c r="S42" s="6">
        <f t="shared" si="23"/>
        <v>662951.972300163</v>
      </c>
      <c r="T42" s="6">
        <f t="shared" si="23"/>
        <v>632519.76896016579</v>
      </c>
      <c r="U42" s="6">
        <f t="shared" si="23"/>
        <v>601784.65160136996</v>
      </c>
      <c r="V42" s="6">
        <f t="shared" si="23"/>
        <v>661867.66810539691</v>
      </c>
      <c r="W42" s="6">
        <f t="shared" si="23"/>
        <v>629422.92073950451</v>
      </c>
      <c r="X42" s="6">
        <f t="shared" si="23"/>
        <v>596647.51015029475</v>
      </c>
      <c r="Y42" s="6">
        <f t="shared" si="23"/>
        <v>658904.18812330067</v>
      </c>
      <c r="Z42" s="6">
        <f t="shared" si="23"/>
        <v>624310.29990576673</v>
      </c>
      <c r="AA42" s="69"/>
      <c r="AB42" s="69"/>
    </row>
    <row r="43" spans="1:28" ht="15" x14ac:dyDescent="0.25">
      <c r="C43" s="138">
        <f>IF(D43=0,C42,IF(ISBLANK(G43),C42,1+MAX(C$18:C42)))</f>
        <v>20</v>
      </c>
      <c r="D43" s="132">
        <v>1</v>
      </c>
      <c r="F43" s="139" t="str">
        <f t="shared" si="2"/>
        <v/>
      </c>
      <c r="G43" s="4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9"/>
    </row>
    <row r="44" spans="1:28" ht="15" x14ac:dyDescent="0.25">
      <c r="C44" s="138">
        <f>IF(D44=0,C43,IF(ISBLANK(G44),C43,1+MAX(C$18:C43)))</f>
        <v>21</v>
      </c>
      <c r="D44" s="132">
        <v>1</v>
      </c>
      <c r="F44" s="139">
        <f t="shared" si="2"/>
        <v>21</v>
      </c>
      <c r="G44" s="156" t="s">
        <v>4</v>
      </c>
      <c r="H44" s="17">
        <f t="shared" ref="H44:Z44" si="24">+H42</f>
        <v>0</v>
      </c>
      <c r="I44" s="17">
        <f t="shared" si="24"/>
        <v>0</v>
      </c>
      <c r="J44" s="17">
        <f t="shared" si="24"/>
        <v>0</v>
      </c>
      <c r="K44" s="17">
        <f t="shared" si="24"/>
        <v>-173941</v>
      </c>
      <c r="L44" s="17">
        <f t="shared" si="24"/>
        <v>-153096.95250000013</v>
      </c>
      <c r="M44" s="17">
        <f t="shared" si="24"/>
        <v>-55735.458900000434</v>
      </c>
      <c r="N44" s="17">
        <f t="shared" si="24"/>
        <v>95001.671140799765</v>
      </c>
      <c r="O44" s="17">
        <f t="shared" si="24"/>
        <v>117886.53913561581</v>
      </c>
      <c r="P44" s="17">
        <f t="shared" si="24"/>
        <v>665789.25924632838</v>
      </c>
      <c r="Q44" s="17">
        <f t="shared" si="24"/>
        <v>634025.32134525478</v>
      </c>
      <c r="R44" s="17">
        <f t="shared" si="24"/>
        <v>604979.96610015957</v>
      </c>
      <c r="S44" s="17">
        <f t="shared" si="24"/>
        <v>662951.972300163</v>
      </c>
      <c r="T44" s="17">
        <f t="shared" si="24"/>
        <v>632519.76896016579</v>
      </c>
      <c r="U44" s="17">
        <f t="shared" si="24"/>
        <v>601784.65160136996</v>
      </c>
      <c r="V44" s="17">
        <f t="shared" si="24"/>
        <v>661867.66810539691</v>
      </c>
      <c r="W44" s="17">
        <f t="shared" si="24"/>
        <v>629422.92073950451</v>
      </c>
      <c r="X44" s="17">
        <f t="shared" si="24"/>
        <v>596647.51015029475</v>
      </c>
      <c r="Y44" s="17">
        <f t="shared" si="24"/>
        <v>658904.18812330067</v>
      </c>
      <c r="Z44" s="17">
        <f t="shared" si="24"/>
        <v>624310.29990576673</v>
      </c>
      <c r="AA44" s="69"/>
    </row>
    <row r="45" spans="1:28" ht="15" x14ac:dyDescent="0.25">
      <c r="C45" s="138">
        <f>IF(D45=0,C44,IF(ISBLANK(G45),C44,1+MAX(C$18:C44)))</f>
        <v>22</v>
      </c>
      <c r="D45" s="132">
        <v>1</v>
      </c>
      <c r="F45" s="139">
        <f t="shared" si="2"/>
        <v>22</v>
      </c>
      <c r="G45" s="17" t="s">
        <v>47</v>
      </c>
      <c r="H45" s="18">
        <v>0</v>
      </c>
      <c r="I45" s="18">
        <v>0</v>
      </c>
      <c r="J45" s="18">
        <v>0</v>
      </c>
      <c r="K45" s="18">
        <v>0</v>
      </c>
      <c r="L45" s="18">
        <v>0</v>
      </c>
      <c r="M45" s="18">
        <v>0</v>
      </c>
      <c r="N45" s="18">
        <f t="shared" ref="N45:Z45" si="25">IF($C$10="IOU",ROUND(+N44*$AB45,0),0)</f>
        <v>27446</v>
      </c>
      <c r="O45" s="18">
        <f t="shared" si="25"/>
        <v>34057</v>
      </c>
      <c r="P45" s="18">
        <f t="shared" si="25"/>
        <v>192347</v>
      </c>
      <c r="Q45" s="18">
        <f t="shared" si="25"/>
        <v>183170</v>
      </c>
      <c r="R45" s="18">
        <f t="shared" si="25"/>
        <v>174779</v>
      </c>
      <c r="S45" s="18">
        <f t="shared" si="25"/>
        <v>191527</v>
      </c>
      <c r="T45" s="18">
        <f t="shared" si="25"/>
        <v>182735</v>
      </c>
      <c r="U45" s="18">
        <f t="shared" si="25"/>
        <v>173856</v>
      </c>
      <c r="V45" s="18">
        <f t="shared" si="25"/>
        <v>191214</v>
      </c>
      <c r="W45" s="18">
        <f t="shared" si="25"/>
        <v>181840</v>
      </c>
      <c r="X45" s="18">
        <f t="shared" si="25"/>
        <v>172371</v>
      </c>
      <c r="Y45" s="18">
        <f t="shared" si="25"/>
        <v>190357</v>
      </c>
      <c r="Z45" s="18">
        <f t="shared" si="25"/>
        <v>180363</v>
      </c>
      <c r="AA45" s="69"/>
      <c r="AB45" s="157">
        <v>0.28889999999999999</v>
      </c>
    </row>
    <row r="46" spans="1:28" ht="15" x14ac:dyDescent="0.25">
      <c r="C46" s="138">
        <f>IF(D46=0,C45,IF(ISBLANK(G46),C45,1+MAX(C$18:C45)))</f>
        <v>22</v>
      </c>
      <c r="D46" s="132">
        <v>1</v>
      </c>
      <c r="F46" s="139" t="str">
        <f t="shared" si="2"/>
        <v/>
      </c>
      <c r="G46" s="17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69"/>
      <c r="AB46" s="69"/>
    </row>
    <row r="47" spans="1:28" ht="15" x14ac:dyDescent="0.25">
      <c r="C47" s="138">
        <f>IF(D47=0,C46,IF(ISBLANK(G47),C46,1+MAX(C$18:C46)))</f>
        <v>23</v>
      </c>
      <c r="D47" s="132">
        <v>1</v>
      </c>
      <c r="F47" s="139">
        <f t="shared" si="2"/>
        <v>23</v>
      </c>
      <c r="G47" s="158" t="s">
        <v>48</v>
      </c>
      <c r="H47" s="17">
        <f t="shared" ref="H47:Z47" si="26">+H44-H45</f>
        <v>0</v>
      </c>
      <c r="I47" s="17">
        <f t="shared" si="26"/>
        <v>0</v>
      </c>
      <c r="J47" s="17">
        <f t="shared" si="26"/>
        <v>0</v>
      </c>
      <c r="K47" s="17">
        <f t="shared" si="26"/>
        <v>-173941</v>
      </c>
      <c r="L47" s="17">
        <f t="shared" si="26"/>
        <v>-153096.95250000013</v>
      </c>
      <c r="M47" s="17">
        <f t="shared" si="26"/>
        <v>-55735.458900000434</v>
      </c>
      <c r="N47" s="17">
        <f t="shared" si="26"/>
        <v>67555.671140799765</v>
      </c>
      <c r="O47" s="17">
        <f t="shared" si="26"/>
        <v>83829.539135615807</v>
      </c>
      <c r="P47" s="17">
        <f t="shared" si="26"/>
        <v>473442.25924632838</v>
      </c>
      <c r="Q47" s="17">
        <f t="shared" si="26"/>
        <v>450855.32134525478</v>
      </c>
      <c r="R47" s="17">
        <f t="shared" si="26"/>
        <v>430200.96610015957</v>
      </c>
      <c r="S47" s="17">
        <f t="shared" si="26"/>
        <v>471424.972300163</v>
      </c>
      <c r="T47" s="17">
        <f t="shared" si="26"/>
        <v>449784.76896016579</v>
      </c>
      <c r="U47" s="17">
        <f t="shared" si="26"/>
        <v>427928.65160136996</v>
      </c>
      <c r="V47" s="17">
        <f t="shared" si="26"/>
        <v>470653.66810539691</v>
      </c>
      <c r="W47" s="17">
        <f t="shared" si="26"/>
        <v>447582.92073950451</v>
      </c>
      <c r="X47" s="17">
        <f t="shared" si="26"/>
        <v>424276.51015029475</v>
      </c>
      <c r="Y47" s="17">
        <f t="shared" si="26"/>
        <v>468547.18812330067</v>
      </c>
      <c r="Z47" s="17">
        <f t="shared" si="26"/>
        <v>443947.29990576673</v>
      </c>
      <c r="AA47" s="69"/>
      <c r="AB47" s="69"/>
    </row>
    <row r="48" spans="1:28" ht="15" x14ac:dyDescent="0.25">
      <c r="C48" s="138">
        <f>IF(D48=0,C47,IF(ISBLANK(G48),C47,1+MAX(C$18:C47)))</f>
        <v>24</v>
      </c>
      <c r="D48" s="132">
        <v>1</v>
      </c>
      <c r="F48" s="139">
        <f t="shared" si="2"/>
        <v>24</v>
      </c>
      <c r="G48" s="17" t="s">
        <v>49</v>
      </c>
      <c r="H48" s="17">
        <f t="shared" ref="H48:Z48" si="27">+H35</f>
        <v>0</v>
      </c>
      <c r="I48" s="17">
        <f t="shared" si="27"/>
        <v>0</v>
      </c>
      <c r="J48" s="17">
        <f t="shared" si="27"/>
        <v>0</v>
      </c>
      <c r="K48" s="17">
        <f t="shared" si="27"/>
        <v>131221</v>
      </c>
      <c r="L48" s="17">
        <f t="shared" si="27"/>
        <v>131221</v>
      </c>
      <c r="M48" s="17">
        <f t="shared" si="27"/>
        <v>172818.0649</v>
      </c>
      <c r="N48" s="17">
        <f t="shared" si="27"/>
        <v>173788.86859999999</v>
      </c>
      <c r="O48" s="17">
        <f t="shared" si="27"/>
        <v>176152.9314</v>
      </c>
      <c r="P48" s="17">
        <f t="shared" si="27"/>
        <v>178537.88069999998</v>
      </c>
      <c r="Q48" s="17">
        <f t="shared" si="27"/>
        <v>180955.04139999999</v>
      </c>
      <c r="R48" s="17">
        <f t="shared" si="27"/>
        <v>183405.6839</v>
      </c>
      <c r="S48" s="17">
        <f t="shared" si="27"/>
        <v>185888.23069999999</v>
      </c>
      <c r="T48" s="17">
        <f t="shared" si="27"/>
        <v>188405.13809999998</v>
      </c>
      <c r="U48" s="17">
        <f t="shared" si="27"/>
        <v>190954.67359999998</v>
      </c>
      <c r="V48" s="17">
        <f t="shared" si="27"/>
        <v>193535.02359999999</v>
      </c>
      <c r="W48" s="17">
        <f t="shared" si="27"/>
        <v>196150.98479999998</v>
      </c>
      <c r="X48" s="17">
        <f t="shared" si="27"/>
        <v>198802.01349999997</v>
      </c>
      <c r="Y48" s="17">
        <f t="shared" si="27"/>
        <v>201488.56599999999</v>
      </c>
      <c r="Z48" s="17">
        <f t="shared" si="27"/>
        <v>204211.14929999999</v>
      </c>
      <c r="AA48" s="69"/>
      <c r="AB48" s="69"/>
    </row>
    <row r="49" spans="1:34" ht="15" x14ac:dyDescent="0.25">
      <c r="A49" s="17" t="s">
        <v>50</v>
      </c>
      <c r="B49" s="25">
        <f>MAX(B$20:B48)+1</f>
        <v>6</v>
      </c>
      <c r="C49" s="138">
        <f>IF(D49=0,C48,IF(ISBLANK(G49),C48,1+MAX(C$18:C48)))</f>
        <v>25</v>
      </c>
      <c r="D49" s="132">
        <v>1</v>
      </c>
      <c r="F49" s="139">
        <f t="shared" si="2"/>
        <v>25</v>
      </c>
      <c r="G49" s="4" t="str">
        <f t="shared" ref="G49:G50" si="28">+A49&amp;" ("&amp;B49&amp;")"</f>
        <v>(-)  Capital Expenditures (6)</v>
      </c>
      <c r="H49" s="17">
        <f>+H444</f>
        <v>0</v>
      </c>
      <c r="I49" s="17">
        <f t="shared" ref="I49:K49" si="29">+I444</f>
        <v>0</v>
      </c>
      <c r="J49" s="17">
        <f t="shared" si="29"/>
        <v>0</v>
      </c>
      <c r="K49" s="17">
        <f t="shared" si="29"/>
        <v>135908</v>
      </c>
      <c r="L49" s="17">
        <f>+L304</f>
        <v>0</v>
      </c>
      <c r="M49" s="17">
        <f t="shared" ref="M49:Z49" si="30">+M304</f>
        <v>0</v>
      </c>
      <c r="N49" s="17">
        <f t="shared" si="30"/>
        <v>164177</v>
      </c>
      <c r="O49" s="17">
        <f t="shared" si="30"/>
        <v>165099</v>
      </c>
      <c r="P49" s="17">
        <f t="shared" si="30"/>
        <v>167345</v>
      </c>
      <c r="Q49" s="17">
        <f t="shared" si="30"/>
        <v>169611</v>
      </c>
      <c r="R49" s="17">
        <f t="shared" si="30"/>
        <v>171907</v>
      </c>
      <c r="S49" s="17">
        <f t="shared" si="30"/>
        <v>174235</v>
      </c>
      <c r="T49" s="17">
        <f t="shared" si="30"/>
        <v>176594</v>
      </c>
      <c r="U49" s="17">
        <f t="shared" si="30"/>
        <v>178661</v>
      </c>
      <c r="V49" s="17">
        <f t="shared" si="30"/>
        <v>181076</v>
      </c>
      <c r="W49" s="17">
        <f t="shared" si="30"/>
        <v>183523</v>
      </c>
      <c r="X49" s="17">
        <f t="shared" si="30"/>
        <v>186003</v>
      </c>
      <c r="Y49" s="17">
        <f t="shared" si="30"/>
        <v>188517</v>
      </c>
      <c r="Z49" s="17">
        <f t="shared" si="30"/>
        <v>191065</v>
      </c>
      <c r="AA49" s="69"/>
      <c r="AB49" s="69"/>
      <c r="AC49" s="69"/>
      <c r="AE49" s="69"/>
    </row>
    <row r="50" spans="1:34" ht="15" x14ac:dyDescent="0.25">
      <c r="A50" s="17" t="s">
        <v>51</v>
      </c>
      <c r="B50" s="25">
        <f>MAX(B$20:B49)+1</f>
        <v>7</v>
      </c>
      <c r="C50" s="138">
        <f>IF(D50=0,C49,IF(ISBLANK(G50),C49,1+MAX(C$18:C49)))</f>
        <v>26</v>
      </c>
      <c r="D50" s="132">
        <v>1</v>
      </c>
      <c r="F50" s="139">
        <f t="shared" si="2"/>
        <v>26</v>
      </c>
      <c r="G50" s="4" t="str">
        <f t="shared" si="28"/>
        <v>(-)  Changes in Working Capital (7)</v>
      </c>
      <c r="H50" s="18">
        <f t="shared" ref="H50:J50" si="31">0.0024*H40</f>
        <v>0</v>
      </c>
      <c r="I50" s="18">
        <f t="shared" si="31"/>
        <v>0</v>
      </c>
      <c r="J50" s="18">
        <f t="shared" si="31"/>
        <v>0</v>
      </c>
      <c r="K50" s="18">
        <f>-0.0119*K40</f>
        <v>-22458.156000000003</v>
      </c>
      <c r="L50" s="18">
        <f t="shared" ref="L50:Z50" si="32">-0.0119*L40</f>
        <v>-23165.530645250001</v>
      </c>
      <c r="M50" s="18">
        <f t="shared" si="32"/>
        <v>-25287.654580999999</v>
      </c>
      <c r="N50" s="18">
        <f t="shared" si="32"/>
        <v>-26042.459800000001</v>
      </c>
      <c r="O50" s="18">
        <f t="shared" si="32"/>
        <v>-26798.811900000001</v>
      </c>
      <c r="P50" s="18">
        <f t="shared" si="32"/>
        <v>-33812.148300000001</v>
      </c>
      <c r="Q50" s="18">
        <f t="shared" si="32"/>
        <v>-33972.643600000003</v>
      </c>
      <c r="R50" s="18">
        <f t="shared" si="32"/>
        <v>-34136.304300000003</v>
      </c>
      <c r="S50" s="18">
        <f t="shared" si="32"/>
        <v>-35345.451400000005</v>
      </c>
      <c r="T50" s="18">
        <f t="shared" si="32"/>
        <v>-35518.715400000001</v>
      </c>
      <c r="U50" s="18">
        <f t="shared" si="32"/>
        <v>-35692.848100000003</v>
      </c>
      <c r="V50" s="18">
        <f t="shared" si="32"/>
        <v>-36958.270300000004</v>
      </c>
      <c r="W50" s="18">
        <f t="shared" si="32"/>
        <v>-37139.602500000001</v>
      </c>
      <c r="X50" s="18">
        <f t="shared" si="32"/>
        <v>-37321.8272</v>
      </c>
      <c r="Y50" s="18">
        <f t="shared" si="32"/>
        <v>-38646.154399999999</v>
      </c>
      <c r="Z50" s="18">
        <f t="shared" si="32"/>
        <v>-38835.923699999999</v>
      </c>
      <c r="AA50" s="69"/>
      <c r="AB50" s="69"/>
      <c r="AC50" s="69"/>
      <c r="AE50" s="69"/>
    </row>
    <row r="51" spans="1:34" ht="15" x14ac:dyDescent="0.25">
      <c r="C51" s="138">
        <f>IF(D51=0,C50,IF(ISBLANK(G51),C50,1+MAX(C$18:C50)))</f>
        <v>26</v>
      </c>
      <c r="D51" s="132">
        <v>1</v>
      </c>
      <c r="F51" s="139" t="str">
        <f t="shared" si="2"/>
        <v/>
      </c>
      <c r="G51" s="17"/>
      <c r="H51" s="16"/>
      <c r="I51" s="16"/>
      <c r="J51" s="16"/>
      <c r="K51" s="16"/>
      <c r="L51" s="16"/>
    </row>
    <row r="52" spans="1:34" ht="15.75" thickBot="1" x14ac:dyDescent="0.3">
      <c r="C52" s="138">
        <f>IF(D52=0,C51,IF(ISBLANK(G52),C51,1+MAX(C$18:C51)))</f>
        <v>27</v>
      </c>
      <c r="D52" s="132">
        <v>1</v>
      </c>
      <c r="F52" s="139">
        <f t="shared" si="2"/>
        <v>27</v>
      </c>
      <c r="G52" s="158" t="s">
        <v>52</v>
      </c>
      <c r="H52" s="20">
        <f>+H47+H48-H49-H50</f>
        <v>0</v>
      </c>
      <c r="I52" s="20">
        <f t="shared" ref="I52:Z52" si="33">+I47+I48-I49-I50</f>
        <v>0</v>
      </c>
      <c r="J52" s="20">
        <f t="shared" si="33"/>
        <v>0</v>
      </c>
      <c r="K52" s="20">
        <f t="shared" si="33"/>
        <v>-156169.84399999998</v>
      </c>
      <c r="L52" s="20">
        <f t="shared" si="33"/>
        <v>1289.5781452498704</v>
      </c>
      <c r="M52" s="20">
        <f t="shared" si="33"/>
        <v>142370.26058099957</v>
      </c>
      <c r="N52" s="20">
        <f t="shared" si="33"/>
        <v>103209.99954079975</v>
      </c>
      <c r="O52" s="20">
        <f t="shared" si="33"/>
        <v>121682.28243561581</v>
      </c>
      <c r="P52" s="20">
        <f t="shared" si="33"/>
        <v>518447.28824632836</v>
      </c>
      <c r="Q52" s="20">
        <f t="shared" si="33"/>
        <v>496172.00634525478</v>
      </c>
      <c r="R52" s="20">
        <f t="shared" si="33"/>
        <v>475835.95430015965</v>
      </c>
      <c r="S52" s="20">
        <f t="shared" si="33"/>
        <v>518423.65440016298</v>
      </c>
      <c r="T52" s="20">
        <f t="shared" si="33"/>
        <v>497114.62246016576</v>
      </c>
      <c r="U52" s="20">
        <f t="shared" si="33"/>
        <v>475915.17330136994</v>
      </c>
      <c r="V52" s="20">
        <f t="shared" si="33"/>
        <v>520070.96200539684</v>
      </c>
      <c r="W52" s="20">
        <f t="shared" si="33"/>
        <v>497350.50803950446</v>
      </c>
      <c r="X52" s="20">
        <f t="shared" si="33"/>
        <v>474397.35085029475</v>
      </c>
      <c r="Y52" s="20">
        <f t="shared" si="33"/>
        <v>520164.90852330066</v>
      </c>
      <c r="Z52" s="20">
        <f t="shared" si="33"/>
        <v>495929.37290576665</v>
      </c>
      <c r="AA52" s="5"/>
      <c r="AB52" s="5">
        <f>+Z52</f>
        <v>495929.37290576665</v>
      </c>
      <c r="AC52" s="5"/>
      <c r="AE52" s="159"/>
    </row>
    <row r="53" spans="1:34" ht="15.75" thickTop="1" x14ac:dyDescent="0.25">
      <c r="C53" s="138">
        <f>IF(D53=0,C52,IF(ISBLANK(G53),C52,1+MAX(C$18:C52)))</f>
        <v>28</v>
      </c>
      <c r="D53" s="132">
        <f>IF($C$10="SUBJECT",0,1)</f>
        <v>1</v>
      </c>
      <c r="F53" s="139">
        <f t="shared" si="2"/>
        <v>28</v>
      </c>
      <c r="G53" s="160" t="s">
        <v>53</v>
      </c>
      <c r="H53" s="21"/>
      <c r="I53" s="22"/>
      <c r="J53" s="22"/>
      <c r="K53" s="22"/>
      <c r="L53" s="22"/>
      <c r="M53" s="23">
        <v>-0.5</v>
      </c>
      <c r="N53" s="24">
        <f t="shared" ref="N53:R53" si="34">+M53+1</f>
        <v>0.5</v>
      </c>
      <c r="O53" s="24">
        <f t="shared" si="34"/>
        <v>1.5</v>
      </c>
      <c r="P53" s="24">
        <f t="shared" si="34"/>
        <v>2.5</v>
      </c>
      <c r="Q53" s="24">
        <f t="shared" si="34"/>
        <v>3.5</v>
      </c>
      <c r="R53" s="24">
        <f t="shared" si="34"/>
        <v>4.5</v>
      </c>
      <c r="S53" s="24">
        <f>+R53+1</f>
        <v>5.5</v>
      </c>
      <c r="T53" s="24">
        <f>+S53+1</f>
        <v>6.5</v>
      </c>
      <c r="U53" s="24">
        <f>+T53+1</f>
        <v>7.5</v>
      </c>
      <c r="V53" s="24">
        <f>+U53+1</f>
        <v>8.5</v>
      </c>
      <c r="W53" s="24">
        <f t="shared" ref="W53:Z53" si="35">+V53+1</f>
        <v>9.5</v>
      </c>
      <c r="X53" s="24">
        <f t="shared" si="35"/>
        <v>10.5</v>
      </c>
      <c r="Y53" s="24">
        <f t="shared" si="35"/>
        <v>11.5</v>
      </c>
      <c r="Z53" s="24">
        <f t="shared" si="35"/>
        <v>12.5</v>
      </c>
      <c r="AA53" s="5"/>
      <c r="AB53" s="5"/>
      <c r="AC53" s="5"/>
    </row>
    <row r="54" spans="1:34" ht="15" x14ac:dyDescent="0.25">
      <c r="B54" s="25">
        <f>MAX(B$20:B53)+1</f>
        <v>8</v>
      </c>
      <c r="C54" s="138">
        <f>IF(D54=0,C53,IF(ISBLANK(G54),C53,1+MAX(C$18:C53)))</f>
        <v>29</v>
      </c>
      <c r="D54" s="132">
        <f t="shared" ref="D54:D68" si="36">IF($C$10="IOU",1,0)</f>
        <v>1</v>
      </c>
      <c r="F54" s="139">
        <f t="shared" si="2"/>
        <v>29</v>
      </c>
      <c r="G54" s="120" t="str">
        <f>+"Present Value Factor:   "&amp;TEXT(AC54,"0.00%")&amp;"  ("&amp;B54&amp;")"</f>
        <v>Present Value Factor:   7.12%  (8)</v>
      </c>
      <c r="J54" s="6"/>
      <c r="K54" s="6"/>
      <c r="L54" s="6"/>
      <c r="M54" s="6"/>
      <c r="N54" s="161">
        <f t="shared" ref="N54:Z54" si="37">ROUND((1/((1+$AC54)^N53)),4)</f>
        <v>0.96619999999999995</v>
      </c>
      <c r="O54" s="161">
        <f t="shared" si="37"/>
        <v>0.90200000000000002</v>
      </c>
      <c r="P54" s="161">
        <f t="shared" si="37"/>
        <v>0.84199999999999997</v>
      </c>
      <c r="Q54" s="161">
        <f t="shared" si="37"/>
        <v>0.78610000000000002</v>
      </c>
      <c r="R54" s="161">
        <f t="shared" si="37"/>
        <v>0.73380000000000001</v>
      </c>
      <c r="S54" s="161">
        <f t="shared" si="37"/>
        <v>0.68500000000000005</v>
      </c>
      <c r="T54" s="161">
        <f t="shared" si="37"/>
        <v>0.63949999999999996</v>
      </c>
      <c r="U54" s="161">
        <f t="shared" si="37"/>
        <v>0.59699999999999998</v>
      </c>
      <c r="V54" s="161">
        <f t="shared" si="37"/>
        <v>0.55730000000000002</v>
      </c>
      <c r="W54" s="161">
        <f t="shared" si="37"/>
        <v>0.52029999999999998</v>
      </c>
      <c r="X54" s="161">
        <f t="shared" si="37"/>
        <v>0.48570000000000002</v>
      </c>
      <c r="Y54" s="161">
        <f t="shared" si="37"/>
        <v>0.45340000000000003</v>
      </c>
      <c r="Z54" s="161">
        <f t="shared" si="37"/>
        <v>0.42330000000000001</v>
      </c>
      <c r="AC54" s="162">
        <f>+H2</f>
        <v>7.1199999999999999E-2</v>
      </c>
      <c r="AD54" s="163" t="s">
        <v>54</v>
      </c>
      <c r="AE54" s="5"/>
      <c r="AF54" s="5"/>
      <c r="AG54" s="5"/>
      <c r="AH54" s="5"/>
    </row>
    <row r="55" spans="1:34" ht="15" x14ac:dyDescent="0.25">
      <c r="C55" s="138">
        <f>IF(D55=0,C54,IF(ISBLANK(G55),C54,1+MAX(C$18:C54)))</f>
        <v>29</v>
      </c>
      <c r="D55" s="132">
        <f t="shared" si="36"/>
        <v>1</v>
      </c>
      <c r="F55" s="139" t="str">
        <f t="shared" si="2"/>
        <v/>
      </c>
      <c r="G55" s="120"/>
      <c r="H55" s="120"/>
      <c r="I55" s="164"/>
      <c r="J55" s="6"/>
      <c r="K55" s="6"/>
      <c r="L55" s="6"/>
      <c r="M55" s="6"/>
      <c r="N55" s="165"/>
      <c r="O55" s="165"/>
      <c r="P55" s="165"/>
      <c r="Q55" s="165"/>
      <c r="R55" s="165"/>
      <c r="S55" s="165"/>
      <c r="T55" s="165"/>
      <c r="U55" s="165"/>
      <c r="V55" s="165"/>
      <c r="W55" s="165"/>
      <c r="X55" s="165"/>
      <c r="Y55" s="165"/>
      <c r="Z55" s="165"/>
      <c r="AB55" s="5"/>
      <c r="AC55" s="5"/>
      <c r="AD55" s="5"/>
      <c r="AE55" s="5"/>
      <c r="AF55" s="5"/>
      <c r="AG55" s="5"/>
      <c r="AH55" s="5"/>
    </row>
    <row r="56" spans="1:34" ht="15.75" thickBot="1" x14ac:dyDescent="0.3">
      <c r="C56" s="138">
        <f>IF(D56=0,C55,IF(ISBLANK(G56),C55,1+MAX(C$18:C55)))</f>
        <v>30</v>
      </c>
      <c r="D56" s="132">
        <f t="shared" si="36"/>
        <v>1</v>
      </c>
      <c r="F56" s="139">
        <f t="shared" si="2"/>
        <v>30</v>
      </c>
      <c r="G56" s="120" t="s">
        <v>55</v>
      </c>
      <c r="H56" s="120"/>
      <c r="I56" s="33"/>
      <c r="J56" s="6"/>
      <c r="K56" s="6"/>
      <c r="L56" s="6"/>
      <c r="M56" s="6"/>
      <c r="N56" s="20">
        <f t="shared" ref="N56:R56" si="38">+N52*N54</f>
        <v>99721.501556320713</v>
      </c>
      <c r="O56" s="20">
        <f t="shared" si="38"/>
        <v>109757.41875692546</v>
      </c>
      <c r="P56" s="20">
        <f t="shared" si="38"/>
        <v>436532.61670340848</v>
      </c>
      <c r="Q56" s="20">
        <f t="shared" si="38"/>
        <v>390040.81418800476</v>
      </c>
      <c r="R56" s="20">
        <f t="shared" si="38"/>
        <v>349168.42326545715</v>
      </c>
      <c r="S56" s="20">
        <f>+S52*S54</f>
        <v>355120.20326411165</v>
      </c>
      <c r="T56" s="20">
        <f>+T52*T54</f>
        <v>317904.80106327595</v>
      </c>
      <c r="U56" s="20">
        <f>+U52*U54</f>
        <v>284121.35846091784</v>
      </c>
      <c r="V56" s="20">
        <f>+V52*V54</f>
        <v>289835.54712560767</v>
      </c>
      <c r="W56" s="20">
        <f t="shared" ref="W56:Z56" si="39">+W52*W54</f>
        <v>258771.46933295418</v>
      </c>
      <c r="X56" s="20">
        <f t="shared" si="39"/>
        <v>230414.79330798818</v>
      </c>
      <c r="Y56" s="20">
        <f t="shared" si="39"/>
        <v>235842.76952446453</v>
      </c>
      <c r="Z56" s="20">
        <f t="shared" si="39"/>
        <v>209926.90355101103</v>
      </c>
      <c r="AB56" s="17">
        <f>SUM(M56:Z56)</f>
        <v>3567158.620100447</v>
      </c>
      <c r="AC56" s="5"/>
      <c r="AD56" s="5"/>
      <c r="AE56" s="5"/>
      <c r="AF56" s="5"/>
      <c r="AG56" s="5"/>
      <c r="AH56" s="5"/>
    </row>
    <row r="57" spans="1:34" ht="15.75" thickTop="1" x14ac:dyDescent="0.25">
      <c r="C57" s="138">
        <f>IF(D57=0,C56,IF(ISBLANK(G57),C56,1+MAX(C$18:C56)))</f>
        <v>30</v>
      </c>
      <c r="D57" s="132">
        <f t="shared" si="36"/>
        <v>1</v>
      </c>
      <c r="F57" s="139" t="str">
        <f t="shared" si="2"/>
        <v/>
      </c>
      <c r="I57" s="6"/>
      <c r="J57" s="6"/>
      <c r="K57" s="6"/>
      <c r="L57" s="6"/>
      <c r="M57" s="6"/>
      <c r="N57" s="166">
        <f t="shared" ref="N57:R57" si="40">+N53</f>
        <v>0.5</v>
      </c>
      <c r="O57" s="166">
        <f t="shared" si="40"/>
        <v>1.5</v>
      </c>
      <c r="P57" s="166">
        <f t="shared" si="40"/>
        <v>2.5</v>
      </c>
      <c r="Q57" s="166">
        <f t="shared" si="40"/>
        <v>3.5</v>
      </c>
      <c r="R57" s="166">
        <f t="shared" si="40"/>
        <v>4.5</v>
      </c>
      <c r="S57" s="166">
        <f>+S53</f>
        <v>5.5</v>
      </c>
      <c r="T57" s="166">
        <f>+T53</f>
        <v>6.5</v>
      </c>
      <c r="U57" s="166">
        <f>+U53</f>
        <v>7.5</v>
      </c>
      <c r="V57" s="166">
        <f>+V53</f>
        <v>8.5</v>
      </c>
      <c r="W57" s="166">
        <f t="shared" ref="W57:Z57" si="41">+W53</f>
        <v>9.5</v>
      </c>
      <c r="X57" s="166">
        <f t="shared" si="41"/>
        <v>10.5</v>
      </c>
      <c r="Y57" s="166">
        <f t="shared" si="41"/>
        <v>11.5</v>
      </c>
      <c r="Z57" s="166">
        <f t="shared" si="41"/>
        <v>12.5</v>
      </c>
      <c r="AB57" s="5"/>
      <c r="AC57" s="5"/>
      <c r="AD57" s="5"/>
      <c r="AE57" s="5"/>
      <c r="AF57" s="5"/>
      <c r="AG57" s="5"/>
      <c r="AH57" s="5"/>
    </row>
    <row r="58" spans="1:34" ht="15" x14ac:dyDescent="0.25">
      <c r="B58" s="25">
        <f>MAX(B$20:B57)+1</f>
        <v>9</v>
      </c>
      <c r="C58" s="138">
        <f>IF(D58=0,C57,IF(ISBLANK(G58),C57,1+MAX(C$18:C57)))</f>
        <v>31</v>
      </c>
      <c r="D58" s="132">
        <f t="shared" si="36"/>
        <v>1</v>
      </c>
      <c r="F58" s="139">
        <f t="shared" si="2"/>
        <v>31</v>
      </c>
      <c r="G58" s="120" t="str">
        <f>+"Present Value Factor:   "&amp;TEXT(AC58,"0.00%")&amp;"  ("&amp;B58&amp;")"</f>
        <v>Present Value Factor:   8.48%  (9)</v>
      </c>
      <c r="J58" s="6"/>
      <c r="K58" s="6"/>
      <c r="L58" s="6"/>
      <c r="M58" s="6"/>
      <c r="N58" s="161">
        <f t="shared" ref="N58:Z58" si="42">ROUND((1/((1+$AC58)^N57)),4)</f>
        <v>0.96009999999999995</v>
      </c>
      <c r="O58" s="161">
        <f t="shared" si="42"/>
        <v>0.8851</v>
      </c>
      <c r="P58" s="161">
        <f t="shared" si="42"/>
        <v>0.81589999999999996</v>
      </c>
      <c r="Q58" s="161">
        <f t="shared" si="42"/>
        <v>0.75209999999999999</v>
      </c>
      <c r="R58" s="161">
        <f t="shared" si="42"/>
        <v>0.69330000000000003</v>
      </c>
      <c r="S58" s="161">
        <f t="shared" si="42"/>
        <v>0.6391</v>
      </c>
      <c r="T58" s="161">
        <f t="shared" si="42"/>
        <v>0.58919999999999995</v>
      </c>
      <c r="U58" s="161">
        <f t="shared" si="42"/>
        <v>0.54310000000000003</v>
      </c>
      <c r="V58" s="161">
        <f t="shared" si="42"/>
        <v>0.50060000000000004</v>
      </c>
      <c r="W58" s="161">
        <f t="shared" si="42"/>
        <v>0.46150000000000002</v>
      </c>
      <c r="X58" s="161">
        <f t="shared" si="42"/>
        <v>0.4254</v>
      </c>
      <c r="Y58" s="161">
        <f t="shared" si="42"/>
        <v>0.39219999999999999</v>
      </c>
      <c r="Z58" s="161">
        <f t="shared" si="42"/>
        <v>0.36149999999999999</v>
      </c>
      <c r="AB58" s="5"/>
      <c r="AC58" s="162">
        <f>+H3</f>
        <v>8.48E-2</v>
      </c>
      <c r="AD58" s="163" t="s">
        <v>56</v>
      </c>
      <c r="AE58" s="5"/>
      <c r="AF58" s="5"/>
      <c r="AG58" s="5"/>
      <c r="AH58" s="5"/>
    </row>
    <row r="59" spans="1:34" ht="15" x14ac:dyDescent="0.25">
      <c r="C59" s="138">
        <f>IF(D59=0,C58,IF(ISBLANK(G59),C58,1+MAX(C$18:C58)))</f>
        <v>31</v>
      </c>
      <c r="D59" s="132">
        <f t="shared" si="36"/>
        <v>1</v>
      </c>
      <c r="F59" s="139" t="str">
        <f t="shared" si="2"/>
        <v/>
      </c>
      <c r="G59" s="120"/>
      <c r="H59" s="120"/>
      <c r="I59" s="164"/>
      <c r="J59" s="6"/>
      <c r="K59" s="6"/>
      <c r="L59" s="6"/>
      <c r="M59" s="6"/>
      <c r="N59" s="165"/>
      <c r="O59" s="165"/>
      <c r="P59" s="165"/>
      <c r="Q59" s="165"/>
      <c r="R59" s="165"/>
      <c r="S59" s="165"/>
      <c r="T59" s="165"/>
      <c r="U59" s="165"/>
      <c r="V59" s="165"/>
      <c r="W59" s="165"/>
      <c r="X59" s="165"/>
      <c r="Y59" s="165"/>
      <c r="Z59" s="165"/>
      <c r="AB59" s="5"/>
      <c r="AC59" s="5"/>
      <c r="AD59" s="5"/>
      <c r="AE59" s="5"/>
      <c r="AF59" s="5"/>
      <c r="AG59" s="5"/>
      <c r="AH59" s="5"/>
    </row>
    <row r="60" spans="1:34" ht="15.75" thickBot="1" x14ac:dyDescent="0.3">
      <c r="C60" s="138">
        <f>IF(D60=0,C59,IF(ISBLANK(G60),C59,1+MAX(C$18:C59)))</f>
        <v>32</v>
      </c>
      <c r="D60" s="132">
        <f t="shared" si="36"/>
        <v>1</v>
      </c>
      <c r="F60" s="139">
        <f t="shared" si="2"/>
        <v>32</v>
      </c>
      <c r="G60" s="120" t="s">
        <v>55</v>
      </c>
      <c r="H60" s="120"/>
      <c r="I60" s="33"/>
      <c r="J60" s="6"/>
      <c r="K60" s="6"/>
      <c r="L60" s="6"/>
      <c r="M60" s="6"/>
      <c r="N60" s="20">
        <f t="shared" ref="N60:Z60" si="43">+N52*N58</f>
        <v>99091.920559121834</v>
      </c>
      <c r="O60" s="20">
        <f t="shared" si="43"/>
        <v>107700.98818376355</v>
      </c>
      <c r="P60" s="20">
        <f t="shared" si="43"/>
        <v>423001.14248017926</v>
      </c>
      <c r="Q60" s="20">
        <f t="shared" si="43"/>
        <v>373170.9659722661</v>
      </c>
      <c r="R60" s="20">
        <f t="shared" si="43"/>
        <v>329897.06711630069</v>
      </c>
      <c r="S60" s="20">
        <f t="shared" si="43"/>
        <v>331324.55752714415</v>
      </c>
      <c r="T60" s="20">
        <f t="shared" si="43"/>
        <v>292899.93555352965</v>
      </c>
      <c r="U60" s="20">
        <f t="shared" si="43"/>
        <v>258469.53061997402</v>
      </c>
      <c r="V60" s="20">
        <f t="shared" si="43"/>
        <v>260347.5235799017</v>
      </c>
      <c r="W60" s="20">
        <f t="shared" si="43"/>
        <v>229527.25946023132</v>
      </c>
      <c r="X60" s="20">
        <f t="shared" si="43"/>
        <v>201808.63305171538</v>
      </c>
      <c r="Y60" s="20">
        <f t="shared" si="43"/>
        <v>204008.6771228385</v>
      </c>
      <c r="Z60" s="20">
        <f t="shared" si="43"/>
        <v>179278.46830543462</v>
      </c>
      <c r="AB60" s="17">
        <f>SUM(M60:Z60)</f>
        <v>3290526.6695324006</v>
      </c>
      <c r="AC60" s="5"/>
      <c r="AD60" s="5"/>
      <c r="AE60" s="5"/>
      <c r="AF60" s="5"/>
      <c r="AG60" s="5"/>
      <c r="AH60" s="5"/>
    </row>
    <row r="61" spans="1:34" ht="15.75" thickTop="1" x14ac:dyDescent="0.25">
      <c r="C61" s="138">
        <f>IF(D61=0,C60,IF(ISBLANK(G61),C60,1+MAX(C$18:C60)))</f>
        <v>32</v>
      </c>
      <c r="D61" s="132">
        <f t="shared" si="36"/>
        <v>1</v>
      </c>
      <c r="F61" s="139" t="str">
        <f t="shared" si="2"/>
        <v/>
      </c>
      <c r="I61" s="6"/>
      <c r="J61" s="6"/>
      <c r="K61" s="6"/>
      <c r="L61" s="6"/>
      <c r="M61" s="6"/>
      <c r="N61" s="167">
        <f t="shared" ref="N61:Z61" si="44">+N57</f>
        <v>0.5</v>
      </c>
      <c r="O61" s="167">
        <f t="shared" si="44"/>
        <v>1.5</v>
      </c>
      <c r="P61" s="167">
        <f t="shared" si="44"/>
        <v>2.5</v>
      </c>
      <c r="Q61" s="167">
        <f t="shared" si="44"/>
        <v>3.5</v>
      </c>
      <c r="R61" s="167">
        <f t="shared" si="44"/>
        <v>4.5</v>
      </c>
      <c r="S61" s="167">
        <f t="shared" si="44"/>
        <v>5.5</v>
      </c>
      <c r="T61" s="167">
        <f t="shared" si="44"/>
        <v>6.5</v>
      </c>
      <c r="U61" s="167">
        <f t="shared" si="44"/>
        <v>7.5</v>
      </c>
      <c r="V61" s="167">
        <f t="shared" si="44"/>
        <v>8.5</v>
      </c>
      <c r="W61" s="167">
        <f t="shared" si="44"/>
        <v>9.5</v>
      </c>
      <c r="X61" s="167">
        <f t="shared" si="44"/>
        <v>10.5</v>
      </c>
      <c r="Y61" s="167">
        <f t="shared" si="44"/>
        <v>11.5</v>
      </c>
      <c r="Z61" s="167">
        <f t="shared" si="44"/>
        <v>12.5</v>
      </c>
      <c r="AB61" s="5"/>
      <c r="AC61" s="5"/>
      <c r="AD61" s="5"/>
      <c r="AE61" s="5"/>
      <c r="AF61" s="5"/>
      <c r="AG61" s="5"/>
      <c r="AH61" s="5"/>
    </row>
    <row r="62" spans="1:34" ht="15" x14ac:dyDescent="0.25">
      <c r="B62" s="25">
        <f>+B$54</f>
        <v>8</v>
      </c>
      <c r="C62" s="138">
        <f>IF(D62=0,C61,IF(ISBLANK(G62),C61,1+MAX(C$18:C61)))</f>
        <v>33</v>
      </c>
      <c r="D62" s="132">
        <f t="shared" si="36"/>
        <v>1</v>
      </c>
      <c r="F62" s="139">
        <f t="shared" si="2"/>
        <v>33</v>
      </c>
      <c r="G62" s="120" t="str">
        <f>+"Present Value Factor:   "&amp;TEXT(AC62,"0.00%")&amp;"  ("&amp;B62&amp;")"</f>
        <v>Present Value Factor:   6.87%  (8)</v>
      </c>
      <c r="J62" s="6"/>
      <c r="K62" s="6"/>
      <c r="L62" s="6"/>
      <c r="M62" s="6"/>
      <c r="N62" s="161">
        <f t="shared" ref="N62:Z62" si="45">ROUND((1/((1+$AC62)^N61)),4)</f>
        <v>0.96730000000000005</v>
      </c>
      <c r="O62" s="161">
        <f t="shared" si="45"/>
        <v>0.90510000000000002</v>
      </c>
      <c r="P62" s="161">
        <f t="shared" si="45"/>
        <v>0.84699999999999998</v>
      </c>
      <c r="Q62" s="161">
        <f t="shared" si="45"/>
        <v>0.79249999999999998</v>
      </c>
      <c r="R62" s="161">
        <f t="shared" si="45"/>
        <v>0.74160000000000004</v>
      </c>
      <c r="S62" s="161">
        <f t="shared" si="45"/>
        <v>0.69389999999999996</v>
      </c>
      <c r="T62" s="161">
        <f t="shared" si="45"/>
        <v>0.64929999999999999</v>
      </c>
      <c r="U62" s="161">
        <f t="shared" si="45"/>
        <v>0.60750000000000004</v>
      </c>
      <c r="V62" s="161">
        <f t="shared" si="45"/>
        <v>0.56850000000000001</v>
      </c>
      <c r="W62" s="161">
        <f t="shared" si="45"/>
        <v>0.53190000000000004</v>
      </c>
      <c r="X62" s="161">
        <f t="shared" si="45"/>
        <v>0.49780000000000002</v>
      </c>
      <c r="Y62" s="161">
        <f t="shared" si="45"/>
        <v>0.46579999999999999</v>
      </c>
      <c r="Z62" s="161">
        <f t="shared" si="45"/>
        <v>0.43580000000000002</v>
      </c>
      <c r="AC62" s="162">
        <f>+AC54-H9</f>
        <v>6.8699999999999997E-2</v>
      </c>
      <c r="AD62" s="163" t="s">
        <v>54</v>
      </c>
      <c r="AE62" s="5"/>
      <c r="AF62" s="5"/>
      <c r="AG62" s="5"/>
      <c r="AH62" s="5"/>
    </row>
    <row r="63" spans="1:34" ht="15" x14ac:dyDescent="0.25">
      <c r="C63" s="138">
        <f>IF(D63=0,C62,IF(ISBLANK(G63),C62,1+MAX(C$18:C62)))</f>
        <v>33</v>
      </c>
      <c r="D63" s="132">
        <f t="shared" si="36"/>
        <v>1</v>
      </c>
      <c r="F63" s="139" t="str">
        <f t="shared" si="2"/>
        <v/>
      </c>
      <c r="G63" s="120"/>
      <c r="H63" s="120"/>
      <c r="I63" s="164"/>
      <c r="J63" s="6"/>
      <c r="K63" s="6"/>
      <c r="L63" s="6"/>
      <c r="M63" s="6"/>
      <c r="N63" s="165"/>
      <c r="O63" s="165"/>
      <c r="P63" s="165"/>
      <c r="Q63" s="165"/>
      <c r="R63" s="165"/>
      <c r="S63" s="165"/>
      <c r="T63" s="165"/>
      <c r="U63" s="165"/>
      <c r="V63" s="165"/>
      <c r="W63" s="165"/>
      <c r="X63" s="165"/>
      <c r="Y63" s="165"/>
      <c r="Z63" s="165"/>
      <c r="AB63" s="5"/>
      <c r="AC63" s="5"/>
      <c r="AD63" s="5"/>
      <c r="AE63" s="5"/>
      <c r="AF63" s="5"/>
      <c r="AG63" s="5"/>
      <c r="AH63" s="5"/>
    </row>
    <row r="64" spans="1:34" ht="15.75" thickBot="1" x14ac:dyDescent="0.3">
      <c r="C64" s="138">
        <f>IF(D64=0,C63,IF(ISBLANK(G64),C63,1+MAX(C$18:C63)))</f>
        <v>34</v>
      </c>
      <c r="D64" s="132">
        <f t="shared" si="36"/>
        <v>1</v>
      </c>
      <c r="F64" s="139">
        <f t="shared" si="2"/>
        <v>34</v>
      </c>
      <c r="G64" s="120" t="s">
        <v>55</v>
      </c>
      <c r="H64" s="120"/>
      <c r="I64" s="33"/>
      <c r="J64" s="6"/>
      <c r="K64" s="6"/>
      <c r="L64" s="6"/>
      <c r="M64" s="6"/>
      <c r="N64" s="20">
        <f t="shared" ref="N64:Z64" si="46">+N$52*N62</f>
        <v>99835.032555815604</v>
      </c>
      <c r="O64" s="20">
        <f t="shared" si="46"/>
        <v>110134.63383247587</v>
      </c>
      <c r="P64" s="20">
        <f t="shared" si="46"/>
        <v>439124.8531446401</v>
      </c>
      <c r="Q64" s="20">
        <f t="shared" si="46"/>
        <v>393216.31502861442</v>
      </c>
      <c r="R64" s="20">
        <f t="shared" si="46"/>
        <v>352879.94370899838</v>
      </c>
      <c r="S64" s="20">
        <f t="shared" si="46"/>
        <v>359734.17378827307</v>
      </c>
      <c r="T64" s="20">
        <f t="shared" si="46"/>
        <v>322776.52436338563</v>
      </c>
      <c r="U64" s="20">
        <f t="shared" si="46"/>
        <v>289118.46778058226</v>
      </c>
      <c r="V64" s="20">
        <f t="shared" si="46"/>
        <v>295660.3419000681</v>
      </c>
      <c r="W64" s="20">
        <f t="shared" si="46"/>
        <v>264540.73522621242</v>
      </c>
      <c r="X64" s="20">
        <f t="shared" si="46"/>
        <v>236155.00125327674</v>
      </c>
      <c r="Y64" s="20">
        <f t="shared" si="46"/>
        <v>242292.81439015345</v>
      </c>
      <c r="Z64" s="20">
        <f t="shared" si="46"/>
        <v>216126.02071233312</v>
      </c>
      <c r="AB64" s="17">
        <f>SUM(M64:Z64)</f>
        <v>3621594.8576848288</v>
      </c>
      <c r="AC64" s="5"/>
      <c r="AD64" s="5"/>
      <c r="AE64" s="5"/>
      <c r="AF64" s="5"/>
      <c r="AG64" s="5"/>
      <c r="AH64" s="5"/>
    </row>
    <row r="65" spans="1:34" ht="15.75" thickTop="1" x14ac:dyDescent="0.25">
      <c r="C65" s="138">
        <f>IF(D65=0,C64,IF(ISBLANK(G65),C64,1+MAX(C$18:C64)))</f>
        <v>34</v>
      </c>
      <c r="D65" s="132">
        <f t="shared" si="36"/>
        <v>1</v>
      </c>
      <c r="F65" s="139" t="str">
        <f t="shared" si="2"/>
        <v/>
      </c>
      <c r="I65" s="6"/>
      <c r="J65" s="6"/>
      <c r="K65" s="6"/>
      <c r="L65" s="6"/>
      <c r="M65" s="6"/>
      <c r="N65" s="167">
        <f t="shared" ref="N65:Z65" si="47">+N61</f>
        <v>0.5</v>
      </c>
      <c r="O65" s="167">
        <f t="shared" si="47"/>
        <v>1.5</v>
      </c>
      <c r="P65" s="167">
        <f t="shared" si="47"/>
        <v>2.5</v>
      </c>
      <c r="Q65" s="167">
        <f t="shared" si="47"/>
        <v>3.5</v>
      </c>
      <c r="R65" s="167">
        <f t="shared" si="47"/>
        <v>4.5</v>
      </c>
      <c r="S65" s="167">
        <f t="shared" si="47"/>
        <v>5.5</v>
      </c>
      <c r="T65" s="167">
        <f t="shared" si="47"/>
        <v>6.5</v>
      </c>
      <c r="U65" s="167">
        <f t="shared" si="47"/>
        <v>7.5</v>
      </c>
      <c r="V65" s="167">
        <f t="shared" si="47"/>
        <v>8.5</v>
      </c>
      <c r="W65" s="167">
        <f t="shared" si="47"/>
        <v>9.5</v>
      </c>
      <c r="X65" s="167">
        <f t="shared" si="47"/>
        <v>10.5</v>
      </c>
      <c r="Y65" s="167">
        <f t="shared" si="47"/>
        <v>11.5</v>
      </c>
      <c r="Z65" s="167">
        <f t="shared" si="47"/>
        <v>12.5</v>
      </c>
      <c r="AB65" s="5"/>
      <c r="AC65" s="5"/>
      <c r="AD65" s="5"/>
      <c r="AE65" s="5"/>
      <c r="AF65" s="5"/>
      <c r="AG65" s="5"/>
      <c r="AH65" s="5"/>
    </row>
    <row r="66" spans="1:34" ht="15" x14ac:dyDescent="0.25">
      <c r="B66" s="25">
        <f>+B$58</f>
        <v>9</v>
      </c>
      <c r="C66" s="138">
        <f>IF(D66=0,C65,IF(ISBLANK(G66),C65,1+MAX(C$18:C65)))</f>
        <v>35</v>
      </c>
      <c r="D66" s="132">
        <f t="shared" si="36"/>
        <v>1</v>
      </c>
      <c r="F66" s="139">
        <f t="shared" si="2"/>
        <v>35</v>
      </c>
      <c r="G66" s="120" t="str">
        <f>+"Present Value Factor:   "&amp;TEXT(AC66,"0.00%")&amp;"  ("&amp;B66&amp;")"</f>
        <v>Present Value Factor:   8.23%  (9)</v>
      </c>
      <c r="J66" s="6"/>
      <c r="K66" s="6"/>
      <c r="L66" s="6"/>
      <c r="M66" s="6"/>
      <c r="N66" s="161">
        <f t="shared" ref="N66:Z66" si="48">ROUND((1/((1+$AC66)^N65)),4)</f>
        <v>0.96120000000000005</v>
      </c>
      <c r="O66" s="161">
        <f t="shared" si="48"/>
        <v>0.8881</v>
      </c>
      <c r="P66" s="161">
        <f t="shared" si="48"/>
        <v>0.8206</v>
      </c>
      <c r="Q66" s="161">
        <f t="shared" si="48"/>
        <v>0.75819999999999999</v>
      </c>
      <c r="R66" s="161">
        <f t="shared" si="48"/>
        <v>0.70050000000000001</v>
      </c>
      <c r="S66" s="161">
        <f t="shared" si="48"/>
        <v>0.64729999999999999</v>
      </c>
      <c r="T66" s="161">
        <f t="shared" si="48"/>
        <v>0.59809999999999997</v>
      </c>
      <c r="U66" s="161">
        <f t="shared" si="48"/>
        <v>0.55259999999999998</v>
      </c>
      <c r="V66" s="161">
        <f t="shared" si="48"/>
        <v>0.51060000000000005</v>
      </c>
      <c r="W66" s="161">
        <f t="shared" si="48"/>
        <v>0.47170000000000001</v>
      </c>
      <c r="X66" s="161">
        <f t="shared" si="48"/>
        <v>0.43590000000000001</v>
      </c>
      <c r="Y66" s="161">
        <f t="shared" si="48"/>
        <v>0.4027</v>
      </c>
      <c r="Z66" s="161">
        <f t="shared" si="48"/>
        <v>0.37209999999999999</v>
      </c>
      <c r="AB66" s="5"/>
      <c r="AC66" s="162">
        <f>+AC58-H9</f>
        <v>8.2299999999999998E-2</v>
      </c>
      <c r="AD66" s="163" t="s">
        <v>56</v>
      </c>
      <c r="AE66" s="5"/>
      <c r="AF66" s="5"/>
      <c r="AG66" s="5"/>
      <c r="AH66" s="5"/>
    </row>
    <row r="67" spans="1:34" ht="15" x14ac:dyDescent="0.25">
      <c r="C67" s="138">
        <f>IF(D67=0,C66,IF(ISBLANK(G67),C66,1+MAX(C$18:C66)))</f>
        <v>35</v>
      </c>
      <c r="D67" s="132">
        <f t="shared" si="36"/>
        <v>1</v>
      </c>
      <c r="F67" s="139" t="str">
        <f t="shared" si="2"/>
        <v/>
      </c>
      <c r="G67" s="120"/>
      <c r="H67" s="120"/>
      <c r="I67" s="164"/>
      <c r="J67" s="6"/>
      <c r="K67" s="6"/>
      <c r="L67" s="6"/>
      <c r="M67" s="6"/>
      <c r="N67" s="165"/>
      <c r="O67" s="165"/>
      <c r="P67" s="165"/>
      <c r="Q67" s="165"/>
      <c r="R67" s="165"/>
      <c r="S67" s="165"/>
      <c r="T67" s="165"/>
      <c r="U67" s="165"/>
      <c r="V67" s="165"/>
      <c r="W67" s="165"/>
      <c r="X67" s="165"/>
      <c r="Y67" s="165"/>
      <c r="Z67" s="165"/>
      <c r="AB67" s="5"/>
      <c r="AC67" s="5"/>
      <c r="AD67" s="5"/>
      <c r="AE67" s="5"/>
      <c r="AF67" s="5"/>
      <c r="AG67" s="5"/>
      <c r="AH67" s="5"/>
    </row>
    <row r="68" spans="1:34" ht="15.75" thickBot="1" x14ac:dyDescent="0.3">
      <c r="C68" s="138">
        <f>IF(D68=0,C67,IF(ISBLANK(G68),C67,1+MAX(C$18:C67)))</f>
        <v>36</v>
      </c>
      <c r="D68" s="132">
        <f t="shared" si="36"/>
        <v>1</v>
      </c>
      <c r="F68" s="139">
        <f t="shared" si="2"/>
        <v>36</v>
      </c>
      <c r="G68" s="120" t="s">
        <v>55</v>
      </c>
      <c r="H68" s="33"/>
      <c r="I68" s="33"/>
      <c r="J68" s="6"/>
      <c r="K68" s="6"/>
      <c r="L68" s="6"/>
      <c r="M68" s="6"/>
      <c r="N68" s="20">
        <f t="shared" ref="N68:Z68" si="49">+N$52*N66</f>
        <v>99205.451558616725</v>
      </c>
      <c r="O68" s="20">
        <f t="shared" si="49"/>
        <v>108066.03503107039</v>
      </c>
      <c r="P68" s="20">
        <f t="shared" si="49"/>
        <v>425437.84473493707</v>
      </c>
      <c r="Q68" s="20">
        <f t="shared" si="49"/>
        <v>376197.61521097214</v>
      </c>
      <c r="R68" s="20">
        <f t="shared" si="49"/>
        <v>333323.08598726185</v>
      </c>
      <c r="S68" s="20">
        <f t="shared" si="49"/>
        <v>335575.63149322552</v>
      </c>
      <c r="T68" s="20">
        <f t="shared" si="49"/>
        <v>297324.25569342513</v>
      </c>
      <c r="U68" s="20">
        <f t="shared" si="49"/>
        <v>262990.72476633702</v>
      </c>
      <c r="V68" s="20">
        <f t="shared" si="49"/>
        <v>265548.23319995566</v>
      </c>
      <c r="W68" s="20">
        <f t="shared" si="49"/>
        <v>234600.23464223425</v>
      </c>
      <c r="X68" s="20">
        <f t="shared" si="49"/>
        <v>206789.80523564349</v>
      </c>
      <c r="Y68" s="20">
        <f t="shared" si="49"/>
        <v>209470.40866233318</v>
      </c>
      <c r="Z68" s="20">
        <f t="shared" si="49"/>
        <v>184535.31965823576</v>
      </c>
      <c r="AB68" s="17">
        <f>SUM(M68:Z68)</f>
        <v>3339064.6458742479</v>
      </c>
      <c r="AC68" s="5"/>
      <c r="AD68" s="5"/>
      <c r="AE68" s="5"/>
      <c r="AF68" s="5"/>
      <c r="AG68" s="5"/>
      <c r="AH68" s="5"/>
    </row>
    <row r="69" spans="1:34" ht="15.75" thickTop="1" x14ac:dyDescent="0.25">
      <c r="C69" s="138">
        <f>IF(D69=0,C68,IF(ISBLANK(G69),C68,1+MAX(C$18:C68)))</f>
        <v>36</v>
      </c>
      <c r="D69" s="132">
        <f t="shared" ref="D69:D76" si="50">IF($C$10="MUNI",1,0)</f>
        <v>0</v>
      </c>
      <c r="F69" s="139" t="str">
        <f t="shared" si="2"/>
        <v/>
      </c>
      <c r="H69" s="6"/>
      <c r="I69" s="6"/>
      <c r="J69" s="6"/>
      <c r="K69" s="6"/>
      <c r="L69" s="6"/>
      <c r="M69" s="6"/>
      <c r="N69" s="167">
        <f t="shared" ref="N69:Z69" si="51">+N65</f>
        <v>0.5</v>
      </c>
      <c r="O69" s="167">
        <f t="shared" si="51"/>
        <v>1.5</v>
      </c>
      <c r="P69" s="167">
        <f t="shared" si="51"/>
        <v>2.5</v>
      </c>
      <c r="Q69" s="167">
        <f t="shared" si="51"/>
        <v>3.5</v>
      </c>
      <c r="R69" s="167">
        <f t="shared" si="51"/>
        <v>4.5</v>
      </c>
      <c r="S69" s="167">
        <f t="shared" si="51"/>
        <v>5.5</v>
      </c>
      <c r="T69" s="167">
        <f t="shared" si="51"/>
        <v>6.5</v>
      </c>
      <c r="U69" s="167">
        <f t="shared" si="51"/>
        <v>7.5</v>
      </c>
      <c r="V69" s="167">
        <f t="shared" si="51"/>
        <v>8.5</v>
      </c>
      <c r="W69" s="167">
        <f t="shared" si="51"/>
        <v>9.5</v>
      </c>
      <c r="X69" s="167">
        <f t="shared" si="51"/>
        <v>10.5</v>
      </c>
      <c r="Y69" s="167">
        <f t="shared" si="51"/>
        <v>11.5</v>
      </c>
      <c r="Z69" s="167">
        <f t="shared" si="51"/>
        <v>12.5</v>
      </c>
      <c r="AB69" s="5"/>
      <c r="AC69" s="5"/>
      <c r="AD69" s="5"/>
      <c r="AE69" s="5"/>
      <c r="AF69" s="5"/>
      <c r="AG69" s="5"/>
      <c r="AH69" s="5"/>
    </row>
    <row r="70" spans="1:34" ht="15" x14ac:dyDescent="0.25">
      <c r="B70" s="25">
        <f>+B$54</f>
        <v>8</v>
      </c>
      <c r="C70" s="138">
        <f>IF(D70=0,C69,IF(ISBLANK(G70),C69,1+MAX(C$18:C69)))</f>
        <v>36</v>
      </c>
      <c r="D70" s="132">
        <f t="shared" si="50"/>
        <v>0</v>
      </c>
      <c r="F70" s="139">
        <f t="shared" si="2"/>
        <v>36</v>
      </c>
      <c r="G70" s="120" t="str">
        <f>+"Present Value Factor:   "&amp;TEXT(AC70,"0.00%")&amp;"  ("&amp;B70&amp;")"</f>
        <v>Present Value Factor:   3.84%  (8)</v>
      </c>
      <c r="J70" s="6"/>
      <c r="K70" s="6"/>
      <c r="L70" s="6"/>
      <c r="M70" s="6"/>
      <c r="N70" s="161">
        <f t="shared" ref="N70:Z70" si="52">ROUND((1/((1+$AC70)^N69)),4)</f>
        <v>0.98129999999999995</v>
      </c>
      <c r="O70" s="161">
        <f t="shared" si="52"/>
        <v>0.94499999999999995</v>
      </c>
      <c r="P70" s="161">
        <f t="shared" si="52"/>
        <v>0.91010000000000002</v>
      </c>
      <c r="Q70" s="161">
        <f t="shared" si="52"/>
        <v>0.87639999999999996</v>
      </c>
      <c r="R70" s="161">
        <f t="shared" si="52"/>
        <v>0.84399999999999997</v>
      </c>
      <c r="S70" s="161">
        <f t="shared" si="52"/>
        <v>0.81279999999999997</v>
      </c>
      <c r="T70" s="161">
        <f t="shared" si="52"/>
        <v>0.78280000000000005</v>
      </c>
      <c r="U70" s="161">
        <f t="shared" si="52"/>
        <v>0.75380000000000003</v>
      </c>
      <c r="V70" s="161">
        <f t="shared" si="52"/>
        <v>0.72589999999999999</v>
      </c>
      <c r="W70" s="161">
        <f t="shared" si="52"/>
        <v>0.69910000000000005</v>
      </c>
      <c r="X70" s="161">
        <f t="shared" si="52"/>
        <v>0.67320000000000002</v>
      </c>
      <c r="Y70" s="161">
        <f t="shared" si="52"/>
        <v>0.64829999999999999</v>
      </c>
      <c r="Z70" s="161">
        <f t="shared" si="52"/>
        <v>0.62439999999999996</v>
      </c>
      <c r="AC70" s="162">
        <f>+H1</f>
        <v>3.8399999999999997E-2</v>
      </c>
      <c r="AD70" s="163" t="s">
        <v>54</v>
      </c>
      <c r="AE70" s="5"/>
      <c r="AF70" s="5"/>
      <c r="AG70" s="5"/>
      <c r="AH70" s="5"/>
    </row>
    <row r="71" spans="1:34" ht="15" x14ac:dyDescent="0.25">
      <c r="C71" s="138">
        <f>IF(D71=0,C70,IF(ISBLANK(G71),C70,1+MAX(C$18:C70)))</f>
        <v>36</v>
      </c>
      <c r="D71" s="132">
        <f t="shared" si="50"/>
        <v>0</v>
      </c>
      <c r="F71" s="139" t="str">
        <f t="shared" si="2"/>
        <v/>
      </c>
      <c r="G71" s="120"/>
      <c r="H71" s="164"/>
      <c r="I71" s="164"/>
      <c r="J71" s="6"/>
      <c r="K71" s="6"/>
      <c r="L71" s="6"/>
      <c r="M71" s="6"/>
      <c r="N71" s="165"/>
      <c r="O71" s="165"/>
      <c r="P71" s="165"/>
      <c r="Q71" s="165"/>
      <c r="R71" s="165"/>
      <c r="S71" s="165"/>
      <c r="T71" s="165"/>
      <c r="U71" s="165"/>
      <c r="V71" s="165"/>
      <c r="W71" s="165"/>
      <c r="X71" s="165"/>
      <c r="Y71" s="165"/>
      <c r="Z71" s="165"/>
      <c r="AB71" s="5"/>
      <c r="AC71" s="5"/>
      <c r="AD71" s="5"/>
      <c r="AE71" s="5"/>
      <c r="AF71" s="5"/>
      <c r="AG71" s="5"/>
      <c r="AH71" s="5"/>
    </row>
    <row r="72" spans="1:34" ht="15.75" thickBot="1" x14ac:dyDescent="0.3">
      <c r="C72" s="138">
        <f>IF(D72=0,C71,IF(ISBLANK(G72),C71,1+MAX(C$18:C71)))</f>
        <v>36</v>
      </c>
      <c r="D72" s="132">
        <f t="shared" si="50"/>
        <v>0</v>
      </c>
      <c r="F72" s="139">
        <f t="shared" si="2"/>
        <v>36</v>
      </c>
      <c r="G72" s="120" t="s">
        <v>55</v>
      </c>
      <c r="H72" s="33"/>
      <c r="I72" s="33"/>
      <c r="J72" s="6"/>
      <c r="K72" s="6"/>
      <c r="L72" s="6"/>
      <c r="M72" s="6"/>
      <c r="N72" s="20">
        <f t="shared" ref="N72:Z72" si="53">+N$52*N70</f>
        <v>101279.97254938679</v>
      </c>
      <c r="O72" s="20">
        <f t="shared" si="53"/>
        <v>114989.75690165693</v>
      </c>
      <c r="P72" s="20">
        <f t="shared" si="53"/>
        <v>471838.87703298347</v>
      </c>
      <c r="Q72" s="20">
        <f t="shared" si="53"/>
        <v>434845.14636098128</v>
      </c>
      <c r="R72" s="20">
        <f t="shared" si="53"/>
        <v>401605.54542933474</v>
      </c>
      <c r="S72" s="20">
        <f t="shared" si="53"/>
        <v>421374.74629645247</v>
      </c>
      <c r="T72" s="20">
        <f t="shared" si="53"/>
        <v>389141.32646181778</v>
      </c>
      <c r="U72" s="20">
        <f t="shared" si="53"/>
        <v>358744.85763457266</v>
      </c>
      <c r="V72" s="20">
        <f t="shared" si="53"/>
        <v>377519.51131971757</v>
      </c>
      <c r="W72" s="20">
        <f t="shared" si="53"/>
        <v>347697.74017041759</v>
      </c>
      <c r="X72" s="20">
        <f t="shared" si="53"/>
        <v>319364.29659241845</v>
      </c>
      <c r="Y72" s="20">
        <f t="shared" si="53"/>
        <v>337222.91019565583</v>
      </c>
      <c r="Z72" s="20">
        <f t="shared" si="53"/>
        <v>309658.30044236069</v>
      </c>
      <c r="AB72" s="17">
        <f>SUM(M72:Z72)</f>
        <v>4385282.9873877559</v>
      </c>
      <c r="AC72" s="5"/>
      <c r="AD72" s="5"/>
      <c r="AE72" s="5"/>
      <c r="AF72" s="5"/>
      <c r="AG72" s="5"/>
      <c r="AH72" s="5"/>
    </row>
    <row r="73" spans="1:34" ht="15.75" thickTop="1" x14ac:dyDescent="0.25">
      <c r="C73" s="138">
        <f>IF(D73=0,C72,IF(ISBLANK(G73),C72,1+MAX(C$18:C72)))</f>
        <v>36</v>
      </c>
      <c r="D73" s="132">
        <f t="shared" si="50"/>
        <v>0</v>
      </c>
      <c r="F73" s="139" t="str">
        <f t="shared" si="2"/>
        <v/>
      </c>
      <c r="H73" s="6"/>
      <c r="I73" s="6"/>
      <c r="J73" s="6"/>
      <c r="K73" s="6"/>
      <c r="L73" s="6"/>
      <c r="M73" s="6"/>
      <c r="N73" s="167">
        <f t="shared" ref="N73:Z73" si="54">+N69</f>
        <v>0.5</v>
      </c>
      <c r="O73" s="167">
        <f t="shared" si="54"/>
        <v>1.5</v>
      </c>
      <c r="P73" s="167">
        <f t="shared" si="54"/>
        <v>2.5</v>
      </c>
      <c r="Q73" s="167">
        <f t="shared" si="54"/>
        <v>3.5</v>
      </c>
      <c r="R73" s="167">
        <f t="shared" si="54"/>
        <v>4.5</v>
      </c>
      <c r="S73" s="167">
        <f t="shared" si="54"/>
        <v>5.5</v>
      </c>
      <c r="T73" s="167">
        <f t="shared" si="54"/>
        <v>6.5</v>
      </c>
      <c r="U73" s="167">
        <f t="shared" si="54"/>
        <v>7.5</v>
      </c>
      <c r="V73" s="167">
        <f t="shared" si="54"/>
        <v>8.5</v>
      </c>
      <c r="W73" s="167">
        <f t="shared" si="54"/>
        <v>9.5</v>
      </c>
      <c r="X73" s="167">
        <f t="shared" si="54"/>
        <v>10.5</v>
      </c>
      <c r="Y73" s="167">
        <f t="shared" si="54"/>
        <v>11.5</v>
      </c>
      <c r="Z73" s="167">
        <f t="shared" si="54"/>
        <v>12.5</v>
      </c>
      <c r="AB73" s="5"/>
      <c r="AC73" s="5"/>
      <c r="AD73" s="5"/>
      <c r="AE73" s="5"/>
      <c r="AF73" s="5"/>
      <c r="AG73" s="5"/>
      <c r="AH73" s="5"/>
    </row>
    <row r="74" spans="1:34" ht="15" x14ac:dyDescent="0.25">
      <c r="B74" s="25">
        <f>+B$58</f>
        <v>9</v>
      </c>
      <c r="C74" s="138">
        <f>IF(D74=0,C73,IF(ISBLANK(G74),C73,1+MAX(C$18:C73)))</f>
        <v>36</v>
      </c>
      <c r="D74" s="132">
        <f t="shared" si="50"/>
        <v>0</v>
      </c>
      <c r="F74" s="139">
        <f t="shared" si="2"/>
        <v>36</v>
      </c>
      <c r="G74" s="120" t="str">
        <f>+"Present Value Factor:   "&amp;TEXT(AC74,"0.00%")&amp;"  ("&amp;B74&amp;")"</f>
        <v>Present Value Factor:   3.59%  (9)</v>
      </c>
      <c r="J74" s="6"/>
      <c r="K74" s="6"/>
      <c r="L74" s="6"/>
      <c r="M74" s="6"/>
      <c r="N74" s="161">
        <f t="shared" ref="N74:Z74" si="55">ROUND((1/((1+$AC74)^N73)),4)</f>
        <v>0.98250000000000004</v>
      </c>
      <c r="O74" s="161">
        <f t="shared" si="55"/>
        <v>0.94850000000000001</v>
      </c>
      <c r="P74" s="161">
        <f t="shared" si="55"/>
        <v>0.91559999999999997</v>
      </c>
      <c r="Q74" s="161">
        <f t="shared" si="55"/>
        <v>0.88390000000000002</v>
      </c>
      <c r="R74" s="161">
        <f t="shared" si="55"/>
        <v>0.85319999999999996</v>
      </c>
      <c r="S74" s="161">
        <f t="shared" si="55"/>
        <v>0.82369999999999999</v>
      </c>
      <c r="T74" s="161">
        <f t="shared" si="55"/>
        <v>0.79510000000000003</v>
      </c>
      <c r="U74" s="161">
        <f t="shared" si="55"/>
        <v>0.76759999999999995</v>
      </c>
      <c r="V74" s="161">
        <f t="shared" si="55"/>
        <v>0.74099999999999999</v>
      </c>
      <c r="W74" s="161">
        <f t="shared" si="55"/>
        <v>0.71530000000000005</v>
      </c>
      <c r="X74" s="161">
        <f t="shared" si="55"/>
        <v>0.6905</v>
      </c>
      <c r="Y74" s="161">
        <f t="shared" si="55"/>
        <v>0.66659999999999997</v>
      </c>
      <c r="Z74" s="161">
        <f t="shared" si="55"/>
        <v>0.64349999999999996</v>
      </c>
      <c r="AB74" s="5"/>
      <c r="AC74" s="162">
        <f>+AC70-H9</f>
        <v>3.5899999999999994E-2</v>
      </c>
      <c r="AD74" s="163" t="s">
        <v>56</v>
      </c>
      <c r="AE74" s="5"/>
      <c r="AF74" s="5"/>
      <c r="AG74" s="5"/>
      <c r="AH74" s="5"/>
    </row>
    <row r="75" spans="1:34" ht="15" x14ac:dyDescent="0.25">
      <c r="C75" s="138">
        <f>IF(D75=0,C74,IF(ISBLANK(G75),C74,1+MAX(C$18:C74)))</f>
        <v>36</v>
      </c>
      <c r="D75" s="132">
        <f t="shared" si="50"/>
        <v>0</v>
      </c>
      <c r="F75" s="139" t="str">
        <f t="shared" si="2"/>
        <v/>
      </c>
      <c r="G75" s="120"/>
      <c r="H75" s="164"/>
      <c r="I75" s="164"/>
      <c r="J75" s="6"/>
      <c r="K75" s="6"/>
      <c r="L75" s="6"/>
      <c r="M75" s="6"/>
      <c r="N75" s="165"/>
      <c r="O75" s="165"/>
      <c r="P75" s="165"/>
      <c r="Q75" s="165"/>
      <c r="R75" s="165"/>
      <c r="S75" s="165"/>
      <c r="T75" s="165"/>
      <c r="U75" s="165"/>
      <c r="V75" s="165"/>
      <c r="W75" s="165"/>
      <c r="X75" s="165"/>
      <c r="Y75" s="165"/>
      <c r="Z75" s="165"/>
      <c r="AB75" s="5"/>
      <c r="AC75" s="5"/>
      <c r="AD75" s="5"/>
      <c r="AE75" s="5"/>
      <c r="AF75" s="5"/>
      <c r="AG75" s="5"/>
      <c r="AH75" s="5"/>
    </row>
    <row r="76" spans="1:34" ht="15.75" thickBot="1" x14ac:dyDescent="0.3">
      <c r="C76" s="138">
        <f>IF(D76=0,C75,IF(ISBLANK(G76),C75,1+MAX(C$18:C75)))</f>
        <v>36</v>
      </c>
      <c r="D76" s="132">
        <f t="shared" si="50"/>
        <v>0</v>
      </c>
      <c r="F76" s="139">
        <f t="shared" si="2"/>
        <v>36</v>
      </c>
      <c r="G76" s="120" t="s">
        <v>55</v>
      </c>
      <c r="H76" s="33"/>
      <c r="I76" s="33"/>
      <c r="J76" s="6"/>
      <c r="K76" s="6"/>
      <c r="L76" s="6"/>
      <c r="M76" s="6"/>
      <c r="N76" s="20">
        <f t="shared" ref="N76:Z76" si="56">+N$52*N74</f>
        <v>101403.82454883576</v>
      </c>
      <c r="O76" s="20">
        <f t="shared" si="56"/>
        <v>115415.64489018159</v>
      </c>
      <c r="P76" s="20">
        <f t="shared" si="56"/>
        <v>474690.33711833821</v>
      </c>
      <c r="Q76" s="20">
        <f t="shared" si="56"/>
        <v>438566.43640857073</v>
      </c>
      <c r="R76" s="20">
        <f t="shared" si="56"/>
        <v>405983.23620889621</v>
      </c>
      <c r="S76" s="20">
        <f t="shared" si="56"/>
        <v>427025.56412941427</v>
      </c>
      <c r="T76" s="20">
        <f t="shared" si="56"/>
        <v>395255.83631807781</v>
      </c>
      <c r="U76" s="20">
        <f t="shared" si="56"/>
        <v>365312.48702613154</v>
      </c>
      <c r="V76" s="20">
        <f t="shared" si="56"/>
        <v>385372.58284599904</v>
      </c>
      <c r="W76" s="20">
        <f t="shared" si="56"/>
        <v>355754.81840065756</v>
      </c>
      <c r="X76" s="20">
        <f t="shared" si="56"/>
        <v>327571.3707621285</v>
      </c>
      <c r="Y76" s="20">
        <f t="shared" si="56"/>
        <v>346741.92802163219</v>
      </c>
      <c r="Z76" s="20">
        <f t="shared" si="56"/>
        <v>319130.55146486079</v>
      </c>
      <c r="AB76" s="17">
        <f>SUM(M76:Z76)</f>
        <v>4458224.6181437243</v>
      </c>
      <c r="AC76" s="5"/>
      <c r="AD76" s="5"/>
      <c r="AE76" s="5"/>
      <c r="AF76" s="5"/>
      <c r="AG76" s="5"/>
      <c r="AH76" s="5"/>
    </row>
    <row r="77" spans="1:34" ht="17.25" thickTop="1" thickBot="1" x14ac:dyDescent="0.3">
      <c r="D77" s="132">
        <f>IF($C$10="SUBJECT",0,1)</f>
        <v>1</v>
      </c>
      <c r="G77" s="26"/>
      <c r="I77" s="27"/>
      <c r="J77" s="6"/>
      <c r="K77" s="28" t="s">
        <v>57</v>
      </c>
      <c r="L77" s="6"/>
      <c r="M77" s="6"/>
      <c r="N77" s="5"/>
      <c r="O77" s="5"/>
      <c r="P77" s="5"/>
      <c r="Q77" s="5"/>
      <c r="R77" s="5"/>
      <c r="S77" s="28" t="s">
        <v>57</v>
      </c>
      <c r="AB77" s="5"/>
      <c r="AC77" s="5"/>
      <c r="AD77" s="5"/>
      <c r="AE77" s="5"/>
      <c r="AF77" s="5"/>
      <c r="AG77" s="5"/>
      <c r="AH77" s="5"/>
    </row>
    <row r="78" spans="1:34" ht="15.75" thickBot="1" x14ac:dyDescent="0.3">
      <c r="C78" s="168" t="s">
        <v>58</v>
      </c>
      <c r="D78" s="132">
        <v>2</v>
      </c>
      <c r="H78" s="169"/>
      <c r="I78" s="170"/>
      <c r="J78" s="170"/>
      <c r="K78" s="34" t="str">
        <f>+"DCF With Capitalization of Terminal Value Model @ "&amp;TEXT(AB79,"0.00%")</f>
        <v>DCF With Capitalization of Terminal Value Model @ 7.12%</v>
      </c>
      <c r="L78" s="35"/>
      <c r="M78" s="35"/>
      <c r="N78" s="35"/>
      <c r="O78" s="36"/>
      <c r="P78" s="6"/>
      <c r="Q78" s="34" t="str">
        <f>+"DCF With EBIT &amp; EBITDA Terminal Value Model - Discount Rate of "&amp;TEXT(AD79,"0.00%")</f>
        <v>DCF With EBIT &amp; EBITDA Terminal Value Model - Discount Rate of 7.12%</v>
      </c>
      <c r="R78" s="35"/>
      <c r="S78" s="35"/>
      <c r="T78" s="35"/>
      <c r="U78" s="36"/>
      <c r="AB78" s="5"/>
      <c r="AC78" s="5"/>
      <c r="AD78" s="5"/>
      <c r="AE78" s="5"/>
      <c r="AF78" s="5"/>
      <c r="AG78" s="5"/>
      <c r="AH78" s="5"/>
    </row>
    <row r="79" spans="1:34" ht="15" x14ac:dyDescent="0.25">
      <c r="D79" s="132">
        <v>2</v>
      </c>
      <c r="G79" s="29"/>
      <c r="K79" s="37"/>
      <c r="L79" s="38"/>
      <c r="M79" s="39"/>
      <c r="N79" s="40" t="s">
        <v>59</v>
      </c>
      <c r="O79" s="41"/>
      <c r="Q79" s="37"/>
      <c r="R79" s="38"/>
      <c r="S79" s="39"/>
      <c r="T79" s="38"/>
      <c r="U79" s="42" t="s">
        <v>59</v>
      </c>
      <c r="AB79" s="171">
        <f>+AC54</f>
        <v>7.1199999999999999E-2</v>
      </c>
      <c r="AC79" s="5"/>
      <c r="AD79" s="171">
        <f>+AB79</f>
        <v>7.1199999999999999E-2</v>
      </c>
      <c r="AE79" s="5"/>
      <c r="AF79" s="5"/>
      <c r="AG79" s="5"/>
      <c r="AH79" s="5"/>
    </row>
    <row r="80" spans="1:34" ht="15" x14ac:dyDescent="0.25">
      <c r="A80" s="172" t="str">
        <f>TEXT(+Z53+0.5,0)</f>
        <v>13</v>
      </c>
      <c r="D80" s="132">
        <v>2</v>
      </c>
      <c r="K80" s="43"/>
      <c r="L80" s="32"/>
      <c r="M80" s="19"/>
      <c r="N80" s="44" t="s">
        <v>60</v>
      </c>
      <c r="O80" s="45"/>
      <c r="Q80" s="43"/>
      <c r="R80" s="32"/>
      <c r="S80" s="19"/>
      <c r="T80" s="44" t="str">
        <f>+"Multiples"&amp;" ("&amp;B105&amp;")"</f>
        <v>Multiples (13)</v>
      </c>
      <c r="U80" s="46" t="s">
        <v>60</v>
      </c>
      <c r="AB80" s="5"/>
      <c r="AC80" s="5"/>
      <c r="AD80" s="5"/>
      <c r="AE80" s="5"/>
      <c r="AF80" s="5"/>
      <c r="AG80" s="5"/>
      <c r="AH80" s="5"/>
    </row>
    <row r="81" spans="1:37" ht="15" x14ac:dyDescent="0.25">
      <c r="D81" s="132">
        <v>2</v>
      </c>
      <c r="K81" s="43"/>
      <c r="L81" s="32"/>
      <c r="M81" s="19"/>
      <c r="N81" s="32"/>
      <c r="O81" s="45"/>
      <c r="Q81" s="43"/>
      <c r="R81" s="32"/>
      <c r="S81" s="19"/>
      <c r="T81" s="32"/>
      <c r="U81" s="47"/>
      <c r="AB81" s="5"/>
      <c r="AC81" s="5"/>
      <c r="AD81" s="5"/>
      <c r="AE81" s="5"/>
      <c r="AF81" s="5"/>
      <c r="AG81" s="5"/>
      <c r="AH81" s="5"/>
    </row>
    <row r="82" spans="1:37" ht="15" x14ac:dyDescent="0.25">
      <c r="D82" s="132">
        <v>2</v>
      </c>
      <c r="K82" s="48" t="str">
        <f>+A83&amp;" ("&amp;B83&amp;")"</f>
        <v>Projected Debt Free Net Cash Flow (10)</v>
      </c>
      <c r="L82" s="32"/>
      <c r="M82" s="32"/>
      <c r="N82" s="32">
        <f>+AB83</f>
        <v>495929.37290576665</v>
      </c>
      <c r="O82" s="45"/>
      <c r="Q82" s="49" t="s">
        <v>61</v>
      </c>
      <c r="R82" s="32"/>
      <c r="S82" s="32">
        <f>+AD83</f>
        <v>624310.29990576673</v>
      </c>
      <c r="T82" s="50">
        <f>+AE83</f>
        <v>14.6</v>
      </c>
      <c r="U82" s="47">
        <f>+T82*S82</f>
        <v>9114930.3786241934</v>
      </c>
      <c r="AB82" s="5"/>
      <c r="AC82" s="5"/>
      <c r="AD82" s="5"/>
      <c r="AE82" s="5"/>
      <c r="AF82" s="5"/>
      <c r="AG82" s="5"/>
      <c r="AH82" s="5"/>
    </row>
    <row r="83" spans="1:37" ht="16.899999999999999" customHeight="1" x14ac:dyDescent="0.25">
      <c r="A83" s="173" t="s">
        <v>62</v>
      </c>
      <c r="B83" s="25">
        <f>MAX(B$20:B82)+1</f>
        <v>10</v>
      </c>
      <c r="D83" s="132">
        <v>2</v>
      </c>
      <c r="K83" s="48" t="str">
        <f>+A84&amp;" ("&amp;B84&amp;")"</f>
        <v>Divided by Capitalization Factor (8)</v>
      </c>
      <c r="L83" s="32"/>
      <c r="M83" s="33"/>
      <c r="N83" s="51">
        <f>+AB79</f>
        <v>7.1199999999999999E-2</v>
      </c>
      <c r="O83" s="45"/>
      <c r="Q83" s="49" t="s">
        <v>63</v>
      </c>
      <c r="R83" s="32"/>
      <c r="S83" s="33">
        <f>+AD84</f>
        <v>828521.44920576666</v>
      </c>
      <c r="T83" s="50">
        <f>+AE84</f>
        <v>10.1</v>
      </c>
      <c r="U83" s="52">
        <f>+T83*S83</f>
        <v>8368066.6369782435</v>
      </c>
      <c r="V83" s="174"/>
      <c r="W83" s="174"/>
      <c r="X83" s="174"/>
      <c r="Y83" s="174"/>
      <c r="Z83" s="174"/>
      <c r="AB83" s="5">
        <f>+AB52</f>
        <v>495929.37290576665</v>
      </c>
      <c r="AC83" s="5"/>
      <c r="AD83" s="5">
        <f>+Z$42</f>
        <v>624310.29990576673</v>
      </c>
      <c r="AE83" s="5">
        <f>+H7</f>
        <v>14.6</v>
      </c>
      <c r="AF83" s="5"/>
      <c r="AG83" s="5"/>
      <c r="AH83" s="5"/>
    </row>
    <row r="84" spans="1:37" ht="16.899999999999999" customHeight="1" x14ac:dyDescent="0.25">
      <c r="A84" s="173" t="s">
        <v>64</v>
      </c>
      <c r="B84" s="25">
        <f>+B$54</f>
        <v>8</v>
      </c>
      <c r="D84" s="132">
        <v>2</v>
      </c>
      <c r="K84" s="175" t="str">
        <f>+A85</f>
        <v>13th Year Terminal Value</v>
      </c>
      <c r="L84" s="32"/>
      <c r="M84" s="19"/>
      <c r="N84" s="33">
        <f>+N82/N83</f>
        <v>6965300.1812607674</v>
      </c>
      <c r="O84" s="45"/>
      <c r="Q84" s="53" t="s">
        <v>65</v>
      </c>
      <c r="R84" s="32"/>
      <c r="S84" s="19"/>
      <c r="T84" s="32"/>
      <c r="U84" s="54">
        <f>ROUND((0.33*U82)+(0.67*U83),0)</f>
        <v>8614532</v>
      </c>
      <c r="AB84" s="5"/>
      <c r="AC84" s="5"/>
      <c r="AD84" s="5">
        <f>+Z$41</f>
        <v>828521.44920576666</v>
      </c>
      <c r="AE84" s="5">
        <f>+H8</f>
        <v>10.1</v>
      </c>
      <c r="AF84" s="5"/>
      <c r="AG84" s="5"/>
      <c r="AH84" s="5"/>
    </row>
    <row r="85" spans="1:37" ht="16.899999999999999" customHeight="1" x14ac:dyDescent="0.25">
      <c r="A85" s="2" t="str">
        <f>+A80&amp;"th Year Terminal Value"</f>
        <v>13th Year Terminal Value</v>
      </c>
      <c r="D85" s="132">
        <v>2</v>
      </c>
      <c r="K85" s="48" t="str">
        <f>+A86&amp;" ("&amp;B86&amp;")"</f>
        <v>13th Year Present Value Factor (11)</v>
      </c>
      <c r="L85" s="32"/>
      <c r="M85" s="19"/>
      <c r="N85" s="55">
        <f>+AB86</f>
        <v>0.42330000000000001</v>
      </c>
      <c r="O85" s="45"/>
      <c r="Q85" s="49" t="str">
        <f>+K85</f>
        <v>13th Year Present Value Factor (11)</v>
      </c>
      <c r="R85" s="32"/>
      <c r="S85" s="19"/>
      <c r="T85" s="32"/>
      <c r="U85" s="56">
        <f>+AB86</f>
        <v>0.42330000000000001</v>
      </c>
      <c r="AC85" s="5"/>
      <c r="AD85" s="5"/>
      <c r="AE85" s="5"/>
      <c r="AF85" s="5"/>
      <c r="AG85" s="5"/>
      <c r="AH85" s="5"/>
    </row>
    <row r="86" spans="1:37" ht="16.899999999999999" customHeight="1" x14ac:dyDescent="0.25">
      <c r="A86" s="173" t="str">
        <f>+TEXT(A80,0)&amp;"th Year Present Value Factor"</f>
        <v>13th Year Present Value Factor</v>
      </c>
      <c r="B86" s="25">
        <f>MAX(B$20:B85)+1</f>
        <v>11</v>
      </c>
      <c r="D86" s="132">
        <v>2</v>
      </c>
      <c r="K86" s="48" t="s">
        <v>66</v>
      </c>
      <c r="L86" s="57"/>
      <c r="M86" s="19"/>
      <c r="N86" s="58">
        <f>+N85*N84</f>
        <v>2948411.5667276829</v>
      </c>
      <c r="O86" s="45"/>
      <c r="Q86" s="49" t="s">
        <v>66</v>
      </c>
      <c r="R86" s="57"/>
      <c r="S86" s="19"/>
      <c r="T86" s="33"/>
      <c r="U86" s="59">
        <f>+U85*U84</f>
        <v>3646531.3955999999</v>
      </c>
      <c r="AB86" s="176">
        <f>+Z$54</f>
        <v>0.42330000000000001</v>
      </c>
      <c r="AC86" s="5"/>
      <c r="AD86" s="177"/>
      <c r="AE86" s="5"/>
      <c r="AF86" s="5"/>
      <c r="AG86" s="5"/>
      <c r="AH86" s="5"/>
    </row>
    <row r="87" spans="1:37" ht="16.899999999999999" customHeight="1" x14ac:dyDescent="0.25">
      <c r="D87" s="132">
        <v>2</v>
      </c>
      <c r="K87" s="48" t="s">
        <v>67</v>
      </c>
      <c r="L87" s="57"/>
      <c r="M87" s="19"/>
      <c r="N87" s="32"/>
      <c r="O87" s="45"/>
      <c r="Q87" s="49" t="s">
        <v>67</v>
      </c>
      <c r="R87" s="57"/>
      <c r="S87" s="19"/>
      <c r="T87" s="57"/>
      <c r="U87" s="47"/>
      <c r="AB87" s="5"/>
      <c r="AC87" s="5"/>
      <c r="AD87" s="5"/>
      <c r="AE87" s="5"/>
      <c r="AF87" s="5"/>
      <c r="AG87" s="5"/>
      <c r="AH87" s="5"/>
    </row>
    <row r="88" spans="1:37" ht="16.899999999999999" customHeight="1" x14ac:dyDescent="0.25">
      <c r="D88" s="132">
        <v>2</v>
      </c>
      <c r="K88" s="48" t="str">
        <f>+A89</f>
        <v>Cash Flow for 13 Years</v>
      </c>
      <c r="L88" s="57"/>
      <c r="M88" s="19"/>
      <c r="N88" s="60">
        <f>+AB89</f>
        <v>3567158.620100447</v>
      </c>
      <c r="O88" s="45"/>
      <c r="Q88" s="49" t="str">
        <f>+K88</f>
        <v>Cash Flow for 13 Years</v>
      </c>
      <c r="R88" s="57"/>
      <c r="S88" s="19"/>
      <c r="T88" s="33"/>
      <c r="U88" s="52">
        <f>+AB89</f>
        <v>3567158.620100447</v>
      </c>
      <c r="AB88" s="5"/>
      <c r="AC88" s="5"/>
      <c r="AD88" s="5"/>
      <c r="AE88" s="5"/>
      <c r="AF88" s="5"/>
      <c r="AG88" s="5"/>
      <c r="AH88" s="5"/>
    </row>
    <row r="89" spans="1:37" ht="16.899999999999999" customHeight="1" x14ac:dyDescent="0.25">
      <c r="A89" s="2" t="str">
        <f>+"Cash Flow for "&amp;TEXT(A80,0)&amp;" Years"</f>
        <v>Cash Flow for 13 Years</v>
      </c>
      <c r="D89" s="132">
        <v>2</v>
      </c>
      <c r="K89" s="48"/>
      <c r="L89" s="57"/>
      <c r="M89" s="19"/>
      <c r="N89" s="32"/>
      <c r="O89" s="45"/>
      <c r="Q89" s="49"/>
      <c r="R89" s="57"/>
      <c r="S89" s="19"/>
      <c r="T89" s="32"/>
      <c r="U89" s="47"/>
      <c r="AB89" s="5">
        <f>+AB56</f>
        <v>3567158.620100447</v>
      </c>
      <c r="AC89" s="5"/>
      <c r="AD89" s="5"/>
      <c r="AE89" s="5"/>
      <c r="AF89" s="5"/>
      <c r="AG89" s="5"/>
      <c r="AH89" s="5"/>
    </row>
    <row r="90" spans="1:37" ht="16.899999999999999" customHeight="1" thickBot="1" x14ac:dyDescent="0.3">
      <c r="D90" s="132">
        <v>2</v>
      </c>
      <c r="K90" s="48" t="s">
        <v>68</v>
      </c>
      <c r="L90" s="57"/>
      <c r="M90" s="19"/>
      <c r="N90" s="20">
        <f>+N86+N88</f>
        <v>6515570.1868281299</v>
      </c>
      <c r="O90" s="45"/>
      <c r="Q90" s="49" t="s">
        <v>68</v>
      </c>
      <c r="R90" s="57"/>
      <c r="S90" s="19"/>
      <c r="T90" s="33"/>
      <c r="U90" s="61">
        <f>+U86+U88</f>
        <v>7213690.0157004464</v>
      </c>
      <c r="AB90" s="5"/>
      <c r="AC90" s="5"/>
      <c r="AD90" s="5"/>
      <c r="AE90" s="5"/>
      <c r="AF90" s="5"/>
      <c r="AG90" s="5"/>
      <c r="AH90" s="5"/>
      <c r="AI90" s="5"/>
      <c r="AJ90" s="5"/>
      <c r="AK90" s="5"/>
    </row>
    <row r="91" spans="1:37" ht="16.899999999999999" customHeight="1" thickTop="1" thickBot="1" x14ac:dyDescent="0.3">
      <c r="D91" s="132">
        <v>2</v>
      </c>
      <c r="K91" s="62"/>
      <c r="L91" s="63"/>
      <c r="M91" s="64"/>
      <c r="N91" s="63"/>
      <c r="O91" s="65"/>
      <c r="Q91" s="62"/>
      <c r="R91" s="63"/>
      <c r="S91" s="64"/>
      <c r="T91" s="63"/>
      <c r="U91" s="65"/>
      <c r="AB91" s="5"/>
      <c r="AC91" s="5"/>
      <c r="AD91" s="5"/>
      <c r="AE91" s="5"/>
      <c r="AF91" s="5"/>
      <c r="AG91" s="5"/>
      <c r="AH91" s="5"/>
      <c r="AI91" s="5"/>
      <c r="AJ91" s="5"/>
      <c r="AK91" s="5"/>
    </row>
    <row r="92" spans="1:37" ht="15" x14ac:dyDescent="0.25">
      <c r="D92" s="132">
        <v>2</v>
      </c>
      <c r="K92" s="6"/>
      <c r="L92" s="5"/>
      <c r="M92" s="5"/>
      <c r="N92" s="5"/>
      <c r="O92" s="5"/>
      <c r="P92" s="6"/>
      <c r="Q92" s="6"/>
      <c r="R92" s="5"/>
      <c r="S92" s="5"/>
      <c r="T92" s="5"/>
      <c r="U92" s="5"/>
      <c r="AB92" s="5"/>
      <c r="AC92" s="5"/>
      <c r="AD92" s="5"/>
      <c r="AE92" s="5"/>
      <c r="AF92" s="5"/>
      <c r="AG92" s="5"/>
      <c r="AH92" s="5"/>
      <c r="AI92" s="5"/>
      <c r="AJ92" s="5"/>
      <c r="AK92" s="5"/>
    </row>
    <row r="93" spans="1:37" ht="15.75" thickBot="1" x14ac:dyDescent="0.3">
      <c r="D93" s="132">
        <v>2</v>
      </c>
      <c r="K93" s="6"/>
      <c r="L93" s="5"/>
      <c r="M93" s="5"/>
      <c r="N93" s="5"/>
      <c r="O93" s="5"/>
      <c r="P93" s="6"/>
      <c r="Q93" s="6"/>
      <c r="R93" s="5"/>
      <c r="S93" s="5"/>
      <c r="T93" s="5"/>
      <c r="U93" s="5"/>
      <c r="AB93" s="5"/>
      <c r="AC93" s="5"/>
      <c r="AD93" s="5"/>
      <c r="AE93" s="5"/>
      <c r="AF93" s="5"/>
      <c r="AG93" s="5"/>
      <c r="AH93" s="5"/>
      <c r="AI93" s="5"/>
      <c r="AJ93" s="5"/>
      <c r="AK93" s="5"/>
    </row>
    <row r="94" spans="1:37" ht="15.75" thickBot="1" x14ac:dyDescent="0.3">
      <c r="D94" s="132">
        <v>2</v>
      </c>
      <c r="K94" s="34" t="str">
        <f>+"DCF With Capitalization of Terminal Value Model @ "&amp;TEXT(AB95,"0.00%")</f>
        <v>DCF With Capitalization of Terminal Value Model @ 8.48%</v>
      </c>
      <c r="L94" s="35"/>
      <c r="M94" s="35"/>
      <c r="N94" s="35"/>
      <c r="O94" s="36"/>
      <c r="P94" s="6"/>
      <c r="Q94" s="34" t="str">
        <f>+"DCF With EBIT &amp; EBITDA Terminal Value Model - Discount Rate of "&amp;TEXT(AD95,"0.00%")</f>
        <v>DCF With EBIT &amp; EBITDA Terminal Value Model - Discount Rate of 8.48%</v>
      </c>
      <c r="R94" s="35"/>
      <c r="S94" s="35"/>
      <c r="T94" s="35"/>
      <c r="U94" s="36"/>
      <c r="AB94" s="5"/>
      <c r="AC94" s="5"/>
      <c r="AD94" s="5"/>
      <c r="AE94" s="5"/>
      <c r="AF94" s="5"/>
      <c r="AG94" s="5"/>
      <c r="AH94" s="5"/>
      <c r="AI94" s="5"/>
      <c r="AJ94" s="5"/>
      <c r="AK94" s="5"/>
    </row>
    <row r="95" spans="1:37" ht="15" x14ac:dyDescent="0.25">
      <c r="D95" s="132">
        <v>2</v>
      </c>
      <c r="K95" s="37"/>
      <c r="L95" s="38"/>
      <c r="M95" s="39"/>
      <c r="N95" s="40" t="s">
        <v>59</v>
      </c>
      <c r="O95" s="41"/>
      <c r="P95" s="6"/>
      <c r="Q95" s="37"/>
      <c r="R95" s="38"/>
      <c r="S95" s="39"/>
      <c r="T95" s="38"/>
      <c r="U95" s="42" t="s">
        <v>59</v>
      </c>
      <c r="AB95" s="171">
        <f>+AC58</f>
        <v>8.48E-2</v>
      </c>
      <c r="AC95" s="5"/>
      <c r="AD95" s="171">
        <f>+AB95</f>
        <v>8.48E-2</v>
      </c>
      <c r="AE95" s="5"/>
      <c r="AF95" s="5"/>
      <c r="AG95" s="5"/>
      <c r="AH95" s="5"/>
      <c r="AI95" s="5"/>
      <c r="AJ95" s="5"/>
      <c r="AK95" s="5"/>
    </row>
    <row r="96" spans="1:37" ht="15" x14ac:dyDescent="0.25">
      <c r="D96" s="132">
        <v>2</v>
      </c>
      <c r="K96" s="43"/>
      <c r="L96" s="32"/>
      <c r="M96" s="19"/>
      <c r="N96" s="44" t="s">
        <v>60</v>
      </c>
      <c r="O96" s="45"/>
      <c r="P96" s="6"/>
      <c r="Q96" s="43"/>
      <c r="R96" s="32"/>
      <c r="S96" s="19"/>
      <c r="T96" s="44" t="str">
        <f>+T80</f>
        <v>Multiples (13)</v>
      </c>
      <c r="U96" s="46" t="s">
        <v>60</v>
      </c>
      <c r="AB96" s="5"/>
      <c r="AC96" s="5"/>
      <c r="AD96" s="5"/>
      <c r="AE96" s="5"/>
      <c r="AF96" s="5"/>
      <c r="AG96" s="5"/>
      <c r="AH96" s="5"/>
      <c r="AI96" s="5"/>
      <c r="AJ96" s="5"/>
      <c r="AK96" s="5"/>
    </row>
    <row r="97" spans="1:37" ht="15" x14ac:dyDescent="0.25">
      <c r="D97" s="132">
        <v>2</v>
      </c>
      <c r="K97" s="43"/>
      <c r="L97" s="32"/>
      <c r="M97" s="19"/>
      <c r="N97" s="32"/>
      <c r="O97" s="45"/>
      <c r="P97" s="6"/>
      <c r="Q97" s="43"/>
      <c r="R97" s="32"/>
      <c r="S97" s="19"/>
      <c r="T97" s="32"/>
      <c r="U97" s="47"/>
      <c r="AB97" s="5"/>
      <c r="AC97" s="5"/>
      <c r="AD97" s="5"/>
      <c r="AE97" s="5"/>
      <c r="AF97" s="5"/>
      <c r="AG97" s="5"/>
      <c r="AH97" s="5"/>
      <c r="AI97" s="5"/>
      <c r="AJ97" s="5"/>
      <c r="AK97" s="5"/>
    </row>
    <row r="98" spans="1:37" ht="15" x14ac:dyDescent="0.25">
      <c r="D98" s="132">
        <v>2</v>
      </c>
      <c r="K98" s="48" t="str">
        <f>+A99&amp;" ("&amp;B99&amp;")"</f>
        <v>Projected Debt Free Net Cash Flow (10)</v>
      </c>
      <c r="L98" s="32"/>
      <c r="M98" s="32"/>
      <c r="N98" s="32">
        <f>+AB99</f>
        <v>495929.37290576665</v>
      </c>
      <c r="O98" s="45"/>
      <c r="P98" s="6"/>
      <c r="Q98" s="49" t="s">
        <v>61</v>
      </c>
      <c r="R98" s="32"/>
      <c r="S98" s="32">
        <f>+AD99</f>
        <v>624310.29990576673</v>
      </c>
      <c r="T98" s="50">
        <f>+AE99</f>
        <v>14.6</v>
      </c>
      <c r="U98" s="47">
        <f>+T98*S98</f>
        <v>9114930.3786241934</v>
      </c>
      <c r="AB98" s="5"/>
      <c r="AC98" s="5"/>
      <c r="AD98" s="5"/>
      <c r="AE98" s="5"/>
      <c r="AF98" s="5"/>
      <c r="AG98" s="5"/>
      <c r="AH98" s="5"/>
      <c r="AI98" s="5"/>
      <c r="AJ98" s="5"/>
      <c r="AK98" s="5"/>
    </row>
    <row r="99" spans="1:37" ht="16.899999999999999" customHeight="1" x14ac:dyDescent="0.25">
      <c r="A99" s="173" t="s">
        <v>62</v>
      </c>
      <c r="B99" s="25">
        <f>+B$83</f>
        <v>10</v>
      </c>
      <c r="D99" s="132">
        <v>2</v>
      </c>
      <c r="K99" s="48" t="str">
        <f>+A100&amp;" ("&amp;B100&amp;")"</f>
        <v>Divided by Capitalization Factor (9)</v>
      </c>
      <c r="L99" s="32"/>
      <c r="M99" s="33"/>
      <c r="N99" s="51">
        <f>+AB95</f>
        <v>8.48E-2</v>
      </c>
      <c r="O99" s="45"/>
      <c r="P99" s="6"/>
      <c r="Q99" s="49" t="s">
        <v>63</v>
      </c>
      <c r="R99" s="32"/>
      <c r="S99" s="33">
        <f>+AD100</f>
        <v>828521.44920576666</v>
      </c>
      <c r="T99" s="50">
        <f>+AE100</f>
        <v>10.1</v>
      </c>
      <c r="U99" s="52">
        <f>+T99*S99</f>
        <v>8368066.6369782435</v>
      </c>
      <c r="AB99" s="5">
        <f>+AB52</f>
        <v>495929.37290576665</v>
      </c>
      <c r="AC99" s="5"/>
      <c r="AD99" s="5">
        <f>+AD83</f>
        <v>624310.29990576673</v>
      </c>
      <c r="AE99" s="5">
        <f>+AE$83</f>
        <v>14.6</v>
      </c>
      <c r="AF99" s="5"/>
      <c r="AG99" s="5"/>
      <c r="AH99" s="5"/>
      <c r="AI99" s="5"/>
      <c r="AJ99" s="5"/>
      <c r="AK99" s="5"/>
    </row>
    <row r="100" spans="1:37" ht="16.899999999999999" customHeight="1" x14ac:dyDescent="0.25">
      <c r="A100" s="173" t="s">
        <v>64</v>
      </c>
      <c r="B100" s="25">
        <f>+B$58</f>
        <v>9</v>
      </c>
      <c r="D100" s="132">
        <v>2</v>
      </c>
      <c r="K100" s="175" t="str">
        <f>+K84</f>
        <v>13th Year Terminal Value</v>
      </c>
      <c r="L100" s="32"/>
      <c r="M100" s="19"/>
      <c r="N100" s="33">
        <f>+N98/N99</f>
        <v>5848223.737096305</v>
      </c>
      <c r="O100" s="45"/>
      <c r="P100" s="6"/>
      <c r="Q100" s="53" t="s">
        <v>65</v>
      </c>
      <c r="R100" s="32"/>
      <c r="S100" s="19"/>
      <c r="T100" s="32"/>
      <c r="U100" s="54">
        <f>ROUND((0.33*U98)+(0.67*U99),0)</f>
        <v>8614532</v>
      </c>
      <c r="AB100" s="5"/>
      <c r="AC100" s="5"/>
      <c r="AD100" s="5">
        <f>+AD84</f>
        <v>828521.44920576666</v>
      </c>
      <c r="AE100" s="5">
        <f>+AE$84</f>
        <v>10.1</v>
      </c>
      <c r="AF100" s="5"/>
      <c r="AG100" s="5"/>
      <c r="AH100" s="5"/>
      <c r="AI100" s="5"/>
      <c r="AJ100" s="5"/>
      <c r="AK100" s="5"/>
    </row>
    <row r="101" spans="1:37" ht="16.899999999999999" customHeight="1" x14ac:dyDescent="0.25">
      <c r="D101" s="132">
        <v>2</v>
      </c>
      <c r="K101" s="48" t="str">
        <f>+A102&amp;" ("&amp;B102&amp;")"</f>
        <v>13th Year Present Value Factor (12)</v>
      </c>
      <c r="L101" s="32"/>
      <c r="M101" s="19"/>
      <c r="N101" s="55">
        <f>+AB102</f>
        <v>0.36149999999999999</v>
      </c>
      <c r="O101" s="45"/>
      <c r="P101" s="6"/>
      <c r="Q101" s="49" t="str">
        <f>+K101</f>
        <v>13th Year Present Value Factor (12)</v>
      </c>
      <c r="R101" s="32"/>
      <c r="S101" s="19"/>
      <c r="T101" s="32"/>
      <c r="U101" s="56">
        <f>+AB102</f>
        <v>0.36149999999999999</v>
      </c>
      <c r="AC101" s="5"/>
      <c r="AD101" s="5"/>
      <c r="AE101" s="5"/>
      <c r="AF101" s="5"/>
      <c r="AG101" s="5"/>
      <c r="AH101" s="5"/>
      <c r="AI101" s="5"/>
      <c r="AJ101" s="5"/>
      <c r="AK101" s="5"/>
    </row>
    <row r="102" spans="1:37" ht="16.899999999999999" customHeight="1" x14ac:dyDescent="0.25">
      <c r="A102" s="173" t="str">
        <f>+A86</f>
        <v>13th Year Present Value Factor</v>
      </c>
      <c r="B102" s="25">
        <f>MAX(B$20:B101)+1</f>
        <v>12</v>
      </c>
      <c r="D102" s="132">
        <v>2</v>
      </c>
      <c r="K102" s="48" t="s">
        <v>66</v>
      </c>
      <c r="L102" s="57"/>
      <c r="M102" s="19"/>
      <c r="N102" s="58">
        <f>+N101*N100</f>
        <v>2114132.8809603141</v>
      </c>
      <c r="O102" s="45"/>
      <c r="P102" s="6"/>
      <c r="Q102" s="49" t="s">
        <v>66</v>
      </c>
      <c r="R102" s="57"/>
      <c r="S102" s="19"/>
      <c r="T102" s="33"/>
      <c r="U102" s="59">
        <f>+U101*U100</f>
        <v>3114153.318</v>
      </c>
      <c r="AB102" s="176">
        <f>+Z$58</f>
        <v>0.36149999999999999</v>
      </c>
      <c r="AC102" s="5"/>
      <c r="AD102" s="177"/>
      <c r="AE102" s="5"/>
      <c r="AF102" s="5"/>
      <c r="AG102" s="5"/>
      <c r="AH102" s="5"/>
      <c r="AI102" s="5"/>
      <c r="AJ102" s="5"/>
      <c r="AK102" s="5"/>
    </row>
    <row r="103" spans="1:37" ht="16.899999999999999" customHeight="1" x14ac:dyDescent="0.25">
      <c r="D103" s="132">
        <v>2</v>
      </c>
      <c r="K103" s="48" t="s">
        <v>67</v>
      </c>
      <c r="L103" s="57"/>
      <c r="M103" s="19"/>
      <c r="N103" s="32"/>
      <c r="O103" s="45"/>
      <c r="P103" s="6"/>
      <c r="Q103" s="49" t="s">
        <v>67</v>
      </c>
      <c r="R103" s="57"/>
      <c r="S103" s="19"/>
      <c r="T103" s="57"/>
      <c r="U103" s="47"/>
      <c r="AB103" s="5"/>
      <c r="AC103" s="5"/>
      <c r="AD103" s="5"/>
      <c r="AE103" s="5"/>
      <c r="AF103" s="5"/>
      <c r="AG103" s="5"/>
      <c r="AH103" s="5"/>
      <c r="AI103" s="5"/>
      <c r="AJ103" s="5"/>
      <c r="AK103" s="5"/>
    </row>
    <row r="104" spans="1:37" ht="16.899999999999999" customHeight="1" x14ac:dyDescent="0.25">
      <c r="D104" s="132">
        <v>2</v>
      </c>
      <c r="K104" s="48" t="str">
        <f>+K$88</f>
        <v>Cash Flow for 13 Years</v>
      </c>
      <c r="L104" s="57"/>
      <c r="M104" s="19"/>
      <c r="N104" s="60">
        <f>+AB105</f>
        <v>3290526.6695324006</v>
      </c>
      <c r="O104" s="45"/>
      <c r="P104" s="6"/>
      <c r="Q104" s="49" t="str">
        <f>+Q$88</f>
        <v>Cash Flow for 13 Years</v>
      </c>
      <c r="R104" s="57"/>
      <c r="S104" s="19"/>
      <c r="T104" s="33"/>
      <c r="U104" s="52">
        <f>+AB105</f>
        <v>3290526.6695324006</v>
      </c>
      <c r="AB104" s="5"/>
      <c r="AC104" s="5"/>
      <c r="AD104" s="5"/>
      <c r="AE104" s="5"/>
      <c r="AF104" s="5"/>
      <c r="AG104" s="5"/>
      <c r="AH104" s="5"/>
      <c r="AI104" s="5"/>
      <c r="AJ104" s="5"/>
      <c r="AK104" s="5"/>
    </row>
    <row r="105" spans="1:37" ht="16.899999999999999" customHeight="1" x14ac:dyDescent="0.25">
      <c r="B105" s="178">
        <f>MAX(B$20:B104)+1</f>
        <v>13</v>
      </c>
      <c r="D105" s="132">
        <v>2</v>
      </c>
      <c r="K105" s="48"/>
      <c r="L105" s="57"/>
      <c r="M105" s="19"/>
      <c r="N105" s="32"/>
      <c r="O105" s="45"/>
      <c r="P105" s="6"/>
      <c r="Q105" s="49"/>
      <c r="R105" s="57"/>
      <c r="S105" s="19"/>
      <c r="T105" s="32"/>
      <c r="U105" s="47"/>
      <c r="AB105" s="5">
        <f>+AB60</f>
        <v>3290526.6695324006</v>
      </c>
      <c r="AC105" s="5"/>
      <c r="AD105" s="5"/>
      <c r="AE105" s="5"/>
      <c r="AF105" s="5"/>
      <c r="AG105" s="5"/>
      <c r="AH105" s="5"/>
      <c r="AI105" s="5"/>
      <c r="AJ105" s="5"/>
      <c r="AK105" s="5"/>
    </row>
    <row r="106" spans="1:37" ht="16.899999999999999" customHeight="1" thickBot="1" x14ac:dyDescent="0.3">
      <c r="D106" s="132">
        <v>2</v>
      </c>
      <c r="K106" s="48" t="s">
        <v>68</v>
      </c>
      <c r="L106" s="57"/>
      <c r="M106" s="19"/>
      <c r="N106" s="20">
        <f>+N102+N104</f>
        <v>5404659.5504927151</v>
      </c>
      <c r="O106" s="45"/>
      <c r="P106" s="6"/>
      <c r="Q106" s="49" t="s">
        <v>68</v>
      </c>
      <c r="R106" s="57"/>
      <c r="S106" s="19"/>
      <c r="T106" s="33"/>
      <c r="U106" s="61">
        <f>+U102+U104</f>
        <v>6404679.9875324005</v>
      </c>
      <c r="AB106" s="5"/>
      <c r="AC106" s="5"/>
      <c r="AD106" s="5"/>
      <c r="AE106" s="5"/>
      <c r="AF106" s="5"/>
      <c r="AG106" s="5"/>
      <c r="AH106" s="5"/>
      <c r="AI106" s="5"/>
      <c r="AJ106" s="5"/>
      <c r="AK106" s="5"/>
    </row>
    <row r="107" spans="1:37" ht="16.899999999999999" customHeight="1" thickTop="1" thickBot="1" x14ac:dyDescent="0.3">
      <c r="D107" s="132">
        <v>2</v>
      </c>
      <c r="K107" s="62"/>
      <c r="L107" s="63"/>
      <c r="M107" s="64"/>
      <c r="N107" s="63"/>
      <c r="O107" s="65"/>
      <c r="P107" s="6"/>
      <c r="Q107" s="62"/>
      <c r="R107" s="63"/>
      <c r="S107" s="64"/>
      <c r="T107" s="63"/>
      <c r="U107" s="65"/>
      <c r="AB107" s="5"/>
      <c r="AC107" s="5"/>
      <c r="AD107" s="5"/>
      <c r="AE107" s="5"/>
      <c r="AF107" s="5"/>
      <c r="AG107" s="5"/>
      <c r="AH107" s="5"/>
      <c r="AI107" s="5"/>
      <c r="AJ107" s="5"/>
      <c r="AK107" s="5"/>
    </row>
    <row r="108" spans="1:37" ht="15" x14ac:dyDescent="0.25">
      <c r="D108" s="132">
        <v>2</v>
      </c>
      <c r="K108" s="32"/>
      <c r="L108" s="32"/>
      <c r="M108" s="19"/>
      <c r="N108" s="6"/>
      <c r="O108" s="32"/>
      <c r="P108" s="6"/>
      <c r="Q108" s="6"/>
      <c r="R108" s="5"/>
      <c r="S108" s="5"/>
      <c r="T108" s="5"/>
      <c r="U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</row>
    <row r="109" spans="1:37" ht="15" x14ac:dyDescent="0.25">
      <c r="D109" s="132">
        <v>2</v>
      </c>
      <c r="K109" s="32"/>
      <c r="L109" s="32"/>
      <c r="M109" s="19"/>
      <c r="N109" s="6"/>
      <c r="O109" s="32"/>
      <c r="P109" s="6"/>
      <c r="Q109" s="6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G109" s="5"/>
      <c r="AH109" s="5"/>
      <c r="AI109" s="5"/>
      <c r="AJ109" s="5"/>
      <c r="AK109" s="5"/>
    </row>
    <row r="110" spans="1:37" ht="16.5" thickBot="1" x14ac:dyDescent="0.3">
      <c r="D110" s="132">
        <v>2</v>
      </c>
      <c r="G110" s="30"/>
      <c r="L110" s="6"/>
      <c r="M110" s="6"/>
      <c r="N110" s="6"/>
      <c r="O110" s="6"/>
      <c r="P110" s="6"/>
      <c r="Q110" s="6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G110" s="5"/>
      <c r="AH110" s="5"/>
      <c r="AI110" s="5"/>
      <c r="AJ110" s="5"/>
      <c r="AK110" s="5"/>
    </row>
    <row r="111" spans="1:37" ht="15.75" thickBot="1" x14ac:dyDescent="0.3">
      <c r="D111" s="132">
        <v>2</v>
      </c>
      <c r="G111" s="31"/>
      <c r="K111" s="34" t="str">
        <f>+"DCF With Capitalization of Terminal Value Model @ "&amp;TEXT(AB112,"0.00%")</f>
        <v>DCF With Capitalization of Terminal Value Model @ 6.87%</v>
      </c>
      <c r="L111" s="35"/>
      <c r="M111" s="35"/>
      <c r="N111" s="35"/>
      <c r="O111" s="36"/>
      <c r="P111" s="6"/>
      <c r="Q111" s="34" t="str">
        <f>+"DCF With Capitalization of Terminal Value Model @ "&amp;TEXT(AB128,"0.00%")</f>
        <v>DCF With Capitalization of Terminal Value Model @ 8.23%</v>
      </c>
      <c r="R111" s="35"/>
      <c r="S111" s="35"/>
      <c r="T111" s="35"/>
      <c r="U111" s="36"/>
      <c r="AB111" s="5"/>
      <c r="AC111" s="5"/>
      <c r="AD111" s="5"/>
      <c r="AE111" s="5"/>
      <c r="AF111" s="5"/>
      <c r="AG111" s="5"/>
      <c r="AH111" s="5"/>
      <c r="AI111" s="5"/>
      <c r="AJ111" s="5"/>
      <c r="AK111" s="5"/>
    </row>
    <row r="112" spans="1:37" ht="15" x14ac:dyDescent="0.25">
      <c r="C112" s="168" t="s">
        <v>69</v>
      </c>
      <c r="D112" s="132">
        <v>2</v>
      </c>
      <c r="G112" s="29"/>
      <c r="K112" s="37"/>
      <c r="L112" s="38"/>
      <c r="M112" s="39"/>
      <c r="N112" s="40" t="s">
        <v>59</v>
      </c>
      <c r="O112" s="41"/>
      <c r="Q112" s="37"/>
      <c r="R112" s="38"/>
      <c r="S112" s="39"/>
      <c r="T112" s="40" t="s">
        <v>59</v>
      </c>
      <c r="U112" s="41"/>
      <c r="AB112" s="171">
        <f>+AC62</f>
        <v>6.8699999999999997E-2</v>
      </c>
      <c r="AC112" s="5"/>
      <c r="AD112" s="171">
        <f>+AB112</f>
        <v>6.8699999999999997E-2</v>
      </c>
      <c r="AE112" s="5"/>
      <c r="AF112" s="5"/>
      <c r="AG112" s="5"/>
      <c r="AH112" s="5"/>
      <c r="AI112" s="5"/>
      <c r="AJ112" s="5"/>
      <c r="AK112" s="5"/>
    </row>
    <row r="113" spans="1:40" ht="15" x14ac:dyDescent="0.25">
      <c r="D113" s="132">
        <v>2</v>
      </c>
      <c r="K113" s="43"/>
      <c r="L113" s="32"/>
      <c r="M113" s="19"/>
      <c r="N113" s="44" t="s">
        <v>60</v>
      </c>
      <c r="O113" s="45"/>
      <c r="Q113" s="43"/>
      <c r="R113" s="32"/>
      <c r="S113" s="19"/>
      <c r="T113" s="44" t="s">
        <v>60</v>
      </c>
      <c r="U113" s="45"/>
      <c r="AB113" s="5"/>
      <c r="AC113" s="5"/>
      <c r="AD113" s="5"/>
      <c r="AE113" s="5"/>
      <c r="AF113" s="5"/>
      <c r="AG113" s="5"/>
      <c r="AH113" s="5"/>
      <c r="AI113" s="5"/>
      <c r="AJ113" s="5"/>
      <c r="AK113" s="5"/>
    </row>
    <row r="114" spans="1:40" ht="15" x14ac:dyDescent="0.25">
      <c r="D114" s="132">
        <v>2</v>
      </c>
      <c r="K114" s="43"/>
      <c r="L114" s="32"/>
      <c r="M114" s="19"/>
      <c r="N114" s="32"/>
      <c r="O114" s="45"/>
      <c r="Q114" s="43"/>
      <c r="R114" s="32"/>
      <c r="S114" s="19"/>
      <c r="T114" s="32"/>
      <c r="U114" s="45"/>
      <c r="AB114" s="5"/>
      <c r="AC114" s="5"/>
      <c r="AD114" s="5"/>
      <c r="AE114" s="5"/>
      <c r="AF114" s="5"/>
      <c r="AG114" s="5"/>
      <c r="AH114" s="5"/>
      <c r="AI114" s="5"/>
      <c r="AJ114" s="5"/>
      <c r="AK114" s="5"/>
    </row>
    <row r="115" spans="1:40" ht="15" x14ac:dyDescent="0.25">
      <c r="D115" s="132">
        <v>2</v>
      </c>
      <c r="K115" s="48" t="str">
        <f>+K82</f>
        <v>Projected Debt Free Net Cash Flow (10)</v>
      </c>
      <c r="L115" s="32"/>
      <c r="M115" s="32"/>
      <c r="N115" s="32">
        <f>+AB116</f>
        <v>495929.37290576665</v>
      </c>
      <c r="O115" s="45"/>
      <c r="Q115" s="48" t="str">
        <f t="shared" ref="Q115:Q121" si="57">+K98</f>
        <v>Projected Debt Free Net Cash Flow (10)</v>
      </c>
      <c r="R115" s="32"/>
      <c r="S115" s="32"/>
      <c r="T115" s="32">
        <f>+AB132</f>
        <v>495929.37290576665</v>
      </c>
      <c r="U115" s="45"/>
      <c r="AB115" s="5"/>
      <c r="AC115" s="5"/>
      <c r="AD115" s="5"/>
      <c r="AE115" s="5"/>
      <c r="AF115" s="5"/>
      <c r="AG115" s="5"/>
      <c r="AH115" s="5"/>
      <c r="AI115" s="5"/>
      <c r="AJ115" s="5"/>
      <c r="AK115" s="5"/>
    </row>
    <row r="116" spans="1:40" ht="16.899999999999999" customHeight="1" x14ac:dyDescent="0.25">
      <c r="A116" s="173" t="s">
        <v>62</v>
      </c>
      <c r="B116" s="25">
        <f>B$83</f>
        <v>10</v>
      </c>
      <c r="D116" s="132">
        <v>2</v>
      </c>
      <c r="K116" s="48" t="str">
        <f t="shared" ref="K116:K120" si="58">+K83</f>
        <v>Divided by Capitalization Factor (8)</v>
      </c>
      <c r="L116" s="32"/>
      <c r="M116" s="33"/>
      <c r="N116" s="51">
        <f>+AB112</f>
        <v>6.8699999999999997E-2</v>
      </c>
      <c r="O116" s="45"/>
      <c r="Q116" s="48" t="str">
        <f t="shared" si="57"/>
        <v>Divided by Capitalization Factor (9)</v>
      </c>
      <c r="R116" s="32"/>
      <c r="S116" s="33"/>
      <c r="T116" s="51">
        <f>+AB128</f>
        <v>8.2299999999999998E-2</v>
      </c>
      <c r="U116" s="45"/>
      <c r="AB116" s="5">
        <f>+AB$52</f>
        <v>495929.37290576665</v>
      </c>
      <c r="AC116" s="5"/>
      <c r="AD116" s="5">
        <f>+Z$42</f>
        <v>624310.29990576673</v>
      </c>
      <c r="AE116" s="5">
        <f>+AE$83</f>
        <v>14.6</v>
      </c>
      <c r="AF116" s="5"/>
      <c r="AG116" s="5"/>
      <c r="AH116" s="5"/>
      <c r="AI116" s="5"/>
      <c r="AJ116" s="5"/>
      <c r="AK116" s="5"/>
    </row>
    <row r="117" spans="1:40" ht="16.899999999999999" customHeight="1" x14ac:dyDescent="0.25">
      <c r="A117" s="173" t="s">
        <v>64</v>
      </c>
      <c r="B117" s="25">
        <f>+B$54</f>
        <v>8</v>
      </c>
      <c r="D117" s="132">
        <v>2</v>
      </c>
      <c r="K117" s="48" t="str">
        <f t="shared" si="58"/>
        <v>13th Year Terminal Value</v>
      </c>
      <c r="L117" s="32"/>
      <c r="M117" s="19"/>
      <c r="N117" s="33">
        <f>+N115/N116</f>
        <v>7218768.1645672005</v>
      </c>
      <c r="O117" s="45"/>
      <c r="Q117" s="48" t="str">
        <f t="shared" si="57"/>
        <v>13th Year Terminal Value</v>
      </c>
      <c r="R117" s="32"/>
      <c r="S117" s="19"/>
      <c r="T117" s="33">
        <f>+T115/T116</f>
        <v>6025873.3038367759</v>
      </c>
      <c r="U117" s="45"/>
      <c r="AB117" s="5"/>
      <c r="AC117" s="5"/>
      <c r="AD117" s="5">
        <f>+Z$41</f>
        <v>828521.44920576666</v>
      </c>
      <c r="AE117" s="5">
        <f>+AE$84</f>
        <v>10.1</v>
      </c>
      <c r="AF117" s="5"/>
      <c r="AG117" s="5"/>
      <c r="AH117" s="5"/>
      <c r="AI117" s="5"/>
      <c r="AJ117" s="5"/>
      <c r="AK117" s="5"/>
    </row>
    <row r="118" spans="1:40" ht="16.899999999999999" customHeight="1" x14ac:dyDescent="0.25">
      <c r="D118" s="132">
        <v>2</v>
      </c>
      <c r="K118" s="48" t="str">
        <f t="shared" si="58"/>
        <v>13th Year Present Value Factor (11)</v>
      </c>
      <c r="L118" s="32"/>
      <c r="M118" s="19"/>
      <c r="N118" s="55">
        <f>+N85</f>
        <v>0.42330000000000001</v>
      </c>
      <c r="O118" s="45"/>
      <c r="Q118" s="48" t="str">
        <f t="shared" si="57"/>
        <v>13th Year Present Value Factor (12)</v>
      </c>
      <c r="R118" s="32"/>
      <c r="S118" s="19"/>
      <c r="T118" s="55">
        <f>+N101</f>
        <v>0.36149999999999999</v>
      </c>
      <c r="U118" s="45"/>
      <c r="AC118" s="5"/>
      <c r="AD118" s="5"/>
      <c r="AE118" s="5"/>
      <c r="AF118" s="5"/>
      <c r="AG118" s="5"/>
      <c r="AH118" s="5"/>
      <c r="AI118" s="5"/>
      <c r="AJ118" s="5"/>
      <c r="AK118" s="5"/>
    </row>
    <row r="119" spans="1:40" ht="16.899999999999999" customHeight="1" x14ac:dyDescent="0.25">
      <c r="A119" s="173" t="s">
        <v>70</v>
      </c>
      <c r="B119" s="25">
        <f>B$86</f>
        <v>11</v>
      </c>
      <c r="D119" s="132">
        <v>2</v>
      </c>
      <c r="K119" s="48" t="str">
        <f t="shared" si="58"/>
        <v>Present Value of Terminal Value</v>
      </c>
      <c r="L119" s="57"/>
      <c r="M119" s="19"/>
      <c r="N119" s="58">
        <f>+N118*N117</f>
        <v>3055704.5640612962</v>
      </c>
      <c r="O119" s="45"/>
      <c r="Q119" s="48" t="str">
        <f t="shared" si="57"/>
        <v>Present Value of Terminal Value</v>
      </c>
      <c r="R119" s="57"/>
      <c r="S119" s="19"/>
      <c r="T119" s="58">
        <f>+T118*T117</f>
        <v>2178353.1993369944</v>
      </c>
      <c r="U119" s="45"/>
      <c r="AB119" s="176">
        <f>+Z62</f>
        <v>0.43580000000000002</v>
      </c>
      <c r="AC119" s="5"/>
      <c r="AD119" s="177">
        <f>+AB119</f>
        <v>0.43580000000000002</v>
      </c>
      <c r="AE119" s="5"/>
      <c r="AF119" s="5"/>
      <c r="AG119" s="5"/>
      <c r="AH119" s="5"/>
      <c r="AI119" s="5"/>
      <c r="AJ119" s="5"/>
      <c r="AK119" s="5"/>
    </row>
    <row r="120" spans="1:40" ht="16.899999999999999" customHeight="1" x14ac:dyDescent="0.25">
      <c r="D120" s="132">
        <v>2</v>
      </c>
      <c r="K120" s="48" t="str">
        <f t="shared" si="58"/>
        <v>Present Value Debt Free Net</v>
      </c>
      <c r="L120" s="57"/>
      <c r="M120" s="19"/>
      <c r="N120" s="32"/>
      <c r="O120" s="45"/>
      <c r="Q120" s="48" t="str">
        <f t="shared" si="57"/>
        <v>Present Value Debt Free Net</v>
      </c>
      <c r="R120" s="57"/>
      <c r="S120" s="19"/>
      <c r="T120" s="32"/>
      <c r="U120" s="45"/>
      <c r="AB120" s="5"/>
      <c r="AC120" s="5"/>
      <c r="AD120" s="5"/>
      <c r="AE120" s="5"/>
      <c r="AF120" s="5"/>
      <c r="AG120" s="5"/>
      <c r="AH120" s="5"/>
      <c r="AI120" s="5"/>
      <c r="AJ120" s="5"/>
      <c r="AK120" s="5"/>
    </row>
    <row r="121" spans="1:40" ht="16.899999999999999" customHeight="1" x14ac:dyDescent="0.25">
      <c r="D121" s="132">
        <v>2</v>
      </c>
      <c r="K121" s="48" t="str">
        <f>+K$88</f>
        <v>Cash Flow for 13 Years</v>
      </c>
      <c r="L121" s="57"/>
      <c r="M121" s="19"/>
      <c r="N121" s="60">
        <f>+AB122</f>
        <v>3567158.620100447</v>
      </c>
      <c r="O121" s="45"/>
      <c r="Q121" s="48" t="str">
        <f t="shared" si="57"/>
        <v>Cash Flow for 13 Years</v>
      </c>
      <c r="R121" s="57"/>
      <c r="S121" s="19"/>
      <c r="T121" s="60">
        <f>+AB138</f>
        <v>3290526.6695324006</v>
      </c>
      <c r="U121" s="45"/>
      <c r="V121" s="5"/>
      <c r="W121" s="5"/>
      <c r="X121" s="5"/>
      <c r="Y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</row>
    <row r="122" spans="1:40" ht="16.899999999999999" customHeight="1" x14ac:dyDescent="0.25">
      <c r="D122" s="132">
        <v>2</v>
      </c>
      <c r="K122" s="48"/>
      <c r="L122" s="57"/>
      <c r="M122" s="19"/>
      <c r="N122" s="32"/>
      <c r="O122" s="45"/>
      <c r="Q122" s="48"/>
      <c r="R122" s="57"/>
      <c r="S122" s="19"/>
      <c r="T122" s="32"/>
      <c r="U122" s="45"/>
      <c r="V122" s="5"/>
      <c r="W122" s="5"/>
      <c r="X122" s="5"/>
      <c r="Y122" s="5"/>
      <c r="AB122" s="5">
        <f>+AB56</f>
        <v>3567158.620100447</v>
      </c>
      <c r="AC122" s="5"/>
      <c r="AD122" s="5">
        <f>+AB122</f>
        <v>3567158.620100447</v>
      </c>
      <c r="AE122" s="5"/>
      <c r="AF122" s="5"/>
      <c r="AG122" s="5"/>
      <c r="AH122" s="5"/>
      <c r="AI122" s="5"/>
      <c r="AJ122" s="5"/>
      <c r="AK122" s="5"/>
    </row>
    <row r="123" spans="1:40" ht="16.899999999999999" customHeight="1" thickBot="1" x14ac:dyDescent="0.3">
      <c r="D123" s="132">
        <v>2</v>
      </c>
      <c r="K123" s="48" t="s">
        <v>68</v>
      </c>
      <c r="L123" s="57"/>
      <c r="M123" s="19"/>
      <c r="N123" s="20">
        <f>+N119+N121</f>
        <v>6622863.1841617431</v>
      </c>
      <c r="O123" s="45"/>
      <c r="Q123" s="48" t="s">
        <v>68</v>
      </c>
      <c r="R123" s="57"/>
      <c r="S123" s="19"/>
      <c r="T123" s="20">
        <f>+T119+T121</f>
        <v>5468879.868869395</v>
      </c>
      <c r="U123" s="45"/>
      <c r="V123" s="5"/>
      <c r="W123" s="5"/>
      <c r="X123" s="5"/>
      <c r="Y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</row>
    <row r="124" spans="1:40" ht="16.899999999999999" customHeight="1" thickTop="1" thickBot="1" x14ac:dyDescent="0.3">
      <c r="D124" s="132">
        <v>2</v>
      </c>
      <c r="K124" s="62"/>
      <c r="L124" s="63"/>
      <c r="M124" s="64"/>
      <c r="N124" s="63"/>
      <c r="O124" s="65"/>
      <c r="Q124" s="62"/>
      <c r="R124" s="63"/>
      <c r="S124" s="64"/>
      <c r="T124" s="63"/>
      <c r="U124" s="65"/>
      <c r="V124" s="5"/>
      <c r="W124" s="5"/>
      <c r="X124" s="5"/>
      <c r="Y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</row>
    <row r="125" spans="1:40" ht="15" x14ac:dyDescent="0.25">
      <c r="D125" s="132">
        <v>2</v>
      </c>
      <c r="K125" s="6"/>
      <c r="L125" s="5"/>
      <c r="M125" s="5"/>
      <c r="N125" s="5"/>
      <c r="O125" s="5"/>
      <c r="P125" s="6"/>
      <c r="Q125" s="179"/>
      <c r="R125" s="180"/>
      <c r="S125" s="180"/>
      <c r="T125" s="180"/>
      <c r="U125" s="180"/>
      <c r="V125" s="5"/>
      <c r="W125" s="5"/>
      <c r="X125" s="5"/>
      <c r="Y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</row>
    <row r="126" spans="1:40" ht="15" x14ac:dyDescent="0.25">
      <c r="D126" s="132"/>
      <c r="K126" s="6"/>
      <c r="L126" s="5"/>
      <c r="M126" s="5"/>
      <c r="N126" s="5"/>
      <c r="O126" s="5"/>
      <c r="P126" s="6"/>
      <c r="Q126" s="179"/>
      <c r="R126" s="180"/>
      <c r="S126" s="180"/>
      <c r="T126" s="180"/>
      <c r="U126" s="180"/>
      <c r="V126" s="5"/>
      <c r="W126" s="5"/>
      <c r="X126" s="5"/>
      <c r="Y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</row>
    <row r="127" spans="1:40" ht="15" x14ac:dyDescent="0.25">
      <c r="D127" s="132"/>
      <c r="P127" s="6"/>
      <c r="Q127" s="181" t="str">
        <f>+"DCF With EBIT &amp; EBITDA Terminal Value Model - Discount Rate of "&amp;TEXT(AD128,"0.00%")</f>
        <v>DCF With EBIT &amp; EBITDA Terminal Value Model - Discount Rate of 8.23%</v>
      </c>
      <c r="R127" s="181"/>
      <c r="S127" s="181"/>
      <c r="T127" s="181"/>
      <c r="U127" s="181"/>
      <c r="V127" s="5"/>
      <c r="W127" s="5"/>
      <c r="X127" s="5"/>
      <c r="Y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174"/>
      <c r="AM127" s="31"/>
      <c r="AN127" s="31"/>
    </row>
    <row r="128" spans="1:40" ht="15" x14ac:dyDescent="0.25">
      <c r="D128" s="132"/>
      <c r="P128" s="6"/>
      <c r="Q128" s="182"/>
      <c r="R128" s="182"/>
      <c r="S128" s="183"/>
      <c r="T128" s="182"/>
      <c r="U128" s="184" t="s">
        <v>59</v>
      </c>
      <c r="V128" s="5"/>
      <c r="W128" s="5"/>
      <c r="X128" s="5"/>
      <c r="Y128" s="5"/>
      <c r="AB128" s="171">
        <f>+AC66</f>
        <v>8.2299999999999998E-2</v>
      </c>
      <c r="AC128" s="5"/>
      <c r="AD128" s="171">
        <f>+AB128</f>
        <v>8.2299999999999998E-2</v>
      </c>
      <c r="AE128" s="5"/>
      <c r="AF128" s="5"/>
      <c r="AG128" s="5"/>
      <c r="AH128" s="5"/>
      <c r="AI128" s="5"/>
      <c r="AJ128" s="5"/>
      <c r="AK128" s="5"/>
    </row>
    <row r="129" spans="4:37" ht="15" x14ac:dyDescent="0.25">
      <c r="D129" s="132"/>
      <c r="P129" s="6"/>
      <c r="Q129" s="182"/>
      <c r="R129" s="182"/>
      <c r="S129" s="183"/>
      <c r="T129" s="185" t="s">
        <v>71</v>
      </c>
      <c r="U129" s="185" t="s">
        <v>60</v>
      </c>
      <c r="V129" s="5"/>
      <c r="W129" s="5"/>
      <c r="X129" s="5"/>
      <c r="Y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</row>
    <row r="130" spans="4:37" ht="15" x14ac:dyDescent="0.25">
      <c r="D130" s="132"/>
      <c r="P130" s="6"/>
      <c r="Q130" s="182"/>
      <c r="R130" s="182"/>
      <c r="S130" s="183"/>
      <c r="T130" s="182"/>
      <c r="U130" s="182"/>
      <c r="V130" s="5"/>
      <c r="W130" s="5"/>
      <c r="X130" s="5"/>
      <c r="Y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</row>
    <row r="131" spans="4:37" ht="15" x14ac:dyDescent="0.25">
      <c r="D131" s="132"/>
      <c r="P131" s="6"/>
      <c r="Q131" s="186" t="s">
        <v>61</v>
      </c>
      <c r="R131" s="182"/>
      <c r="S131" s="182">
        <f>+AD132</f>
        <v>624310.29990576673</v>
      </c>
      <c r="T131" s="187">
        <f>+AE132</f>
        <v>14.6</v>
      </c>
      <c r="U131" s="182">
        <f>+T131*S131</f>
        <v>9114930.3786241934</v>
      </c>
      <c r="V131" s="5"/>
      <c r="W131" s="5"/>
      <c r="X131" s="5"/>
      <c r="Y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</row>
    <row r="132" spans="4:37" ht="16.899999999999999" customHeight="1" x14ac:dyDescent="0.25">
      <c r="D132" s="132"/>
      <c r="P132" s="6"/>
      <c r="Q132" s="186" t="s">
        <v>63</v>
      </c>
      <c r="R132" s="182"/>
      <c r="S132" s="188">
        <f>+AD133</f>
        <v>828521.44920576666</v>
      </c>
      <c r="T132" s="187">
        <f>+AE133</f>
        <v>10.1</v>
      </c>
      <c r="U132" s="188">
        <f>+T132*S132</f>
        <v>8368066.6369782435</v>
      </c>
      <c r="V132" s="5"/>
      <c r="W132" s="5"/>
      <c r="X132" s="5"/>
      <c r="Y132" s="5"/>
      <c r="AB132" s="5">
        <f>+AB$52</f>
        <v>495929.37290576665</v>
      </c>
      <c r="AC132" s="5"/>
      <c r="AD132" s="5">
        <f>+AD116</f>
        <v>624310.29990576673</v>
      </c>
      <c r="AE132" s="5">
        <f>+AE$83</f>
        <v>14.6</v>
      </c>
      <c r="AF132" s="5"/>
      <c r="AG132" s="5"/>
      <c r="AH132" s="5"/>
      <c r="AI132" s="5"/>
      <c r="AJ132" s="5"/>
      <c r="AK132" s="5"/>
    </row>
    <row r="133" spans="4:37" ht="16.899999999999999" customHeight="1" x14ac:dyDescent="0.25">
      <c r="D133" s="132"/>
      <c r="P133" s="6"/>
      <c r="Q133" s="189" t="s">
        <v>65</v>
      </c>
      <c r="R133" s="182"/>
      <c r="S133" s="183"/>
      <c r="T133" s="182"/>
      <c r="U133" s="188">
        <f>ROUND((0.33*U131)+(0.67*U132),0)</f>
        <v>8614532</v>
      </c>
      <c r="V133" s="5"/>
      <c r="W133" s="5"/>
      <c r="X133" s="5"/>
      <c r="Y133" s="5"/>
      <c r="AB133" s="5"/>
      <c r="AC133" s="5"/>
      <c r="AD133" s="5">
        <f>+AD117</f>
        <v>828521.44920576666</v>
      </c>
      <c r="AE133" s="5">
        <f>+AE$84</f>
        <v>10.1</v>
      </c>
      <c r="AF133" s="5"/>
      <c r="AG133" s="5"/>
      <c r="AH133" s="5"/>
      <c r="AI133" s="5"/>
      <c r="AJ133" s="5"/>
      <c r="AK133" s="5"/>
    </row>
    <row r="134" spans="4:37" ht="16.899999999999999" customHeight="1" x14ac:dyDescent="0.25">
      <c r="D134" s="132"/>
      <c r="P134" s="6"/>
      <c r="Q134" s="186" t="str">
        <f>+Q118</f>
        <v>13th Year Present Value Factor (12)</v>
      </c>
      <c r="R134" s="182"/>
      <c r="S134" s="183"/>
      <c r="T134" s="182"/>
      <c r="U134" s="190">
        <f>+U101</f>
        <v>0.36149999999999999</v>
      </c>
      <c r="V134" s="5"/>
      <c r="W134" s="5"/>
      <c r="X134" s="5"/>
      <c r="Y134" s="5"/>
      <c r="AC134" s="5"/>
      <c r="AD134" s="5"/>
      <c r="AE134" s="5"/>
      <c r="AF134" s="5"/>
      <c r="AG134" s="5"/>
      <c r="AH134" s="5"/>
      <c r="AI134" s="5"/>
      <c r="AJ134" s="5"/>
      <c r="AK134" s="5"/>
    </row>
    <row r="135" spans="4:37" ht="16.899999999999999" customHeight="1" x14ac:dyDescent="0.25">
      <c r="D135" s="132"/>
      <c r="P135" s="6"/>
      <c r="Q135" s="186" t="s">
        <v>66</v>
      </c>
      <c r="R135" s="186"/>
      <c r="S135" s="183"/>
      <c r="T135" s="188"/>
      <c r="U135" s="188">
        <f>+U134*U133</f>
        <v>3114153.318</v>
      </c>
      <c r="V135" s="5"/>
      <c r="W135" s="5"/>
      <c r="X135" s="5"/>
      <c r="Y135" s="5"/>
      <c r="AB135" s="176">
        <f>+Z66</f>
        <v>0.37209999999999999</v>
      </c>
      <c r="AC135" s="5"/>
      <c r="AD135" s="177">
        <f>+AB135</f>
        <v>0.37209999999999999</v>
      </c>
      <c r="AE135" s="5"/>
      <c r="AF135" s="5"/>
      <c r="AG135" s="5"/>
      <c r="AH135" s="5"/>
      <c r="AI135" s="5"/>
      <c r="AJ135" s="5"/>
      <c r="AK135" s="5"/>
    </row>
    <row r="136" spans="4:37" ht="16.899999999999999" customHeight="1" x14ac:dyDescent="0.25">
      <c r="D136" s="132"/>
      <c r="P136" s="6"/>
      <c r="Q136" s="186" t="s">
        <v>67</v>
      </c>
      <c r="R136" s="186"/>
      <c r="S136" s="183"/>
      <c r="T136" s="186"/>
      <c r="U136" s="182"/>
      <c r="V136" s="5"/>
      <c r="W136" s="5"/>
      <c r="X136" s="5"/>
      <c r="Y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</row>
    <row r="137" spans="4:37" ht="16.899999999999999" customHeight="1" x14ac:dyDescent="0.25">
      <c r="D137" s="132"/>
      <c r="P137" s="6"/>
      <c r="Q137" s="186" t="str">
        <f>+Q$88</f>
        <v>Cash Flow for 13 Years</v>
      </c>
      <c r="R137" s="186"/>
      <c r="S137" s="183"/>
      <c r="T137" s="188"/>
      <c r="U137" s="188">
        <f>+AB138</f>
        <v>3290526.6695324006</v>
      </c>
      <c r="V137" s="5"/>
      <c r="W137" s="5"/>
      <c r="X137" s="5"/>
      <c r="Y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</row>
    <row r="138" spans="4:37" ht="16.899999999999999" customHeight="1" x14ac:dyDescent="0.25">
      <c r="D138" s="132"/>
      <c r="P138" s="6"/>
      <c r="Q138" s="186"/>
      <c r="R138" s="186"/>
      <c r="S138" s="183"/>
      <c r="T138" s="182"/>
      <c r="U138" s="182"/>
      <c r="V138" s="5"/>
      <c r="W138" s="5"/>
      <c r="X138" s="5"/>
      <c r="Y138" s="5"/>
      <c r="AB138" s="5">
        <f>+AB60</f>
        <v>3290526.6695324006</v>
      </c>
      <c r="AC138" s="5"/>
      <c r="AD138" s="5">
        <f>+AB138</f>
        <v>3290526.6695324006</v>
      </c>
      <c r="AE138" s="5"/>
      <c r="AF138" s="5"/>
      <c r="AG138" s="5"/>
      <c r="AH138" s="5"/>
      <c r="AI138" s="5"/>
      <c r="AJ138" s="5"/>
      <c r="AK138" s="5"/>
    </row>
    <row r="139" spans="4:37" ht="16.899999999999999" customHeight="1" x14ac:dyDescent="0.25">
      <c r="D139" s="132"/>
      <c r="P139" s="6"/>
      <c r="Q139" s="186" t="s">
        <v>68</v>
      </c>
      <c r="R139" s="186"/>
      <c r="S139" s="183"/>
      <c r="T139" s="188"/>
      <c r="U139" s="182">
        <f>+U135+U137</f>
        <v>6404679.9875324005</v>
      </c>
      <c r="V139" s="5"/>
      <c r="W139" s="5"/>
      <c r="X139" s="5"/>
      <c r="Y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</row>
    <row r="140" spans="4:37" ht="16.899999999999999" customHeight="1" x14ac:dyDescent="0.25">
      <c r="D140" s="132"/>
      <c r="P140" s="6"/>
      <c r="Q140" s="182"/>
      <c r="R140" s="182"/>
      <c r="S140" s="183"/>
      <c r="T140" s="182"/>
      <c r="U140" s="182"/>
      <c r="V140" s="5"/>
      <c r="W140" s="5"/>
      <c r="X140" s="5"/>
      <c r="Y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</row>
    <row r="141" spans="4:37" ht="15" x14ac:dyDescent="0.25">
      <c r="D141" s="132"/>
      <c r="K141" s="32"/>
      <c r="L141" s="32"/>
      <c r="M141" s="19"/>
      <c r="N141" s="6"/>
      <c r="O141" s="32"/>
      <c r="P141" s="6"/>
      <c r="Q141" s="6"/>
      <c r="R141" s="5"/>
      <c r="S141" s="5"/>
      <c r="T141" s="5"/>
      <c r="U141" s="5"/>
      <c r="V141" s="5"/>
      <c r="W141" s="5"/>
      <c r="X141" s="5"/>
      <c r="Y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</row>
    <row r="142" spans="4:37" ht="15.75" x14ac:dyDescent="0.25">
      <c r="D142" s="132">
        <v>2</v>
      </c>
      <c r="L142" s="27" t="s">
        <v>72</v>
      </c>
      <c r="M142" s="19"/>
      <c r="N142" s="6"/>
      <c r="O142" s="32"/>
      <c r="P142" s="6"/>
      <c r="Q142" s="6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G142" s="5"/>
      <c r="AH142" s="5"/>
      <c r="AI142" s="5"/>
      <c r="AJ142" s="5"/>
      <c r="AK142" s="5"/>
    </row>
    <row r="143" spans="4:37" ht="16.5" thickBot="1" x14ac:dyDescent="0.3">
      <c r="D143" s="132">
        <v>2</v>
      </c>
      <c r="G143" s="27"/>
      <c r="L143" s="6"/>
      <c r="M143" s="6"/>
      <c r="N143" s="6"/>
      <c r="O143" s="6"/>
      <c r="P143" s="6"/>
      <c r="Q143" s="6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G143" s="5"/>
      <c r="AH143" s="5"/>
      <c r="AI143" s="5"/>
      <c r="AJ143" s="5"/>
      <c r="AK143" s="5"/>
    </row>
    <row r="144" spans="4:37" ht="15.75" thickBot="1" x14ac:dyDescent="0.3">
      <c r="D144" s="132">
        <v>3</v>
      </c>
      <c r="K144" s="34" t="str">
        <f>+"DCF With Capitalization of Terminal Value Model @ "&amp;TEXT(AB145,"0.00%")</f>
        <v>DCF With Capitalization of Terminal Value Model @ 3.84%</v>
      </c>
      <c r="L144" s="35"/>
      <c r="M144" s="35"/>
      <c r="N144" s="35"/>
      <c r="O144" s="36"/>
      <c r="P144" s="6"/>
      <c r="Q144" s="34" t="str">
        <f>+"DCF With EBIT &amp; EBITDA Terminal Value Model - Discount Rate of "&amp;TEXT(AD145,"0.00%")</f>
        <v>DCF With EBIT &amp; EBITDA Terminal Value Model - Discount Rate of 3.84%</v>
      </c>
      <c r="R144" s="35"/>
      <c r="S144" s="35"/>
      <c r="T144" s="35"/>
      <c r="U144" s="36"/>
      <c r="V144" s="5"/>
      <c r="W144" s="5"/>
      <c r="X144" s="5"/>
      <c r="Y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</row>
    <row r="145" spans="3:37" ht="15" x14ac:dyDescent="0.25">
      <c r="C145" s="168" t="s">
        <v>73</v>
      </c>
      <c r="D145" s="132">
        <v>3</v>
      </c>
      <c r="G145" s="29"/>
      <c r="K145" s="37"/>
      <c r="L145" s="38"/>
      <c r="M145" s="39"/>
      <c r="N145" s="40" t="s">
        <v>59</v>
      </c>
      <c r="O145" s="41"/>
      <c r="Q145" s="37"/>
      <c r="R145" s="38"/>
      <c r="S145" s="39"/>
      <c r="T145" s="38"/>
      <c r="U145" s="42" t="s">
        <v>59</v>
      </c>
      <c r="V145" s="5"/>
      <c r="W145" s="5"/>
      <c r="X145" s="5"/>
      <c r="Y145" s="5"/>
      <c r="AB145" s="171">
        <f>+AC70</f>
        <v>3.8399999999999997E-2</v>
      </c>
      <c r="AC145" s="5"/>
      <c r="AD145" s="171">
        <f>+AB145</f>
        <v>3.8399999999999997E-2</v>
      </c>
      <c r="AE145" s="5"/>
      <c r="AF145" s="5"/>
      <c r="AG145" s="5"/>
      <c r="AH145" s="5"/>
      <c r="AI145" s="5"/>
      <c r="AJ145" s="5"/>
      <c r="AK145" s="5"/>
    </row>
    <row r="146" spans="3:37" ht="15" x14ac:dyDescent="0.25">
      <c r="D146" s="132">
        <v>3</v>
      </c>
      <c r="K146" s="43"/>
      <c r="L146" s="32"/>
      <c r="M146" s="19"/>
      <c r="N146" s="44" t="s">
        <v>60</v>
      </c>
      <c r="O146" s="45"/>
      <c r="Q146" s="43"/>
      <c r="R146" s="32"/>
      <c r="S146" s="19"/>
      <c r="T146" s="44" t="str">
        <f>+T96</f>
        <v>Multiples (13)</v>
      </c>
      <c r="U146" s="46" t="s">
        <v>60</v>
      </c>
      <c r="V146" s="5"/>
      <c r="W146" s="5"/>
      <c r="X146" s="5"/>
      <c r="Y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</row>
    <row r="147" spans="3:37" ht="15" x14ac:dyDescent="0.25">
      <c r="D147" s="132">
        <v>3</v>
      </c>
      <c r="K147" s="43"/>
      <c r="L147" s="32"/>
      <c r="M147" s="19"/>
      <c r="N147" s="32"/>
      <c r="O147" s="45"/>
      <c r="Q147" s="43"/>
      <c r="R147" s="32"/>
      <c r="S147" s="19"/>
      <c r="T147" s="32"/>
      <c r="U147" s="47"/>
      <c r="V147" s="5"/>
      <c r="W147" s="5"/>
      <c r="X147" s="5"/>
      <c r="Y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</row>
    <row r="148" spans="3:37" ht="15" x14ac:dyDescent="0.25">
      <c r="D148" s="132">
        <v>3</v>
      </c>
      <c r="K148" s="48" t="str">
        <f t="shared" ref="K148:K154" si="59">+K115</f>
        <v>Projected Debt Free Net Cash Flow (10)</v>
      </c>
      <c r="L148" s="32"/>
      <c r="M148" s="32"/>
      <c r="N148" s="32">
        <f>+AB149</f>
        <v>495929.37290576665</v>
      </c>
      <c r="O148" s="45"/>
      <c r="Q148" s="49" t="s">
        <v>61</v>
      </c>
      <c r="R148" s="32"/>
      <c r="S148" s="32">
        <f>+AD149</f>
        <v>624310.29990576673</v>
      </c>
      <c r="T148" s="50">
        <f>+AE149</f>
        <v>14.6</v>
      </c>
      <c r="U148" s="47">
        <f>+T148*S148</f>
        <v>9114930.3786241934</v>
      </c>
      <c r="V148" s="5"/>
      <c r="W148" s="5"/>
      <c r="X148" s="5"/>
      <c r="Y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</row>
    <row r="149" spans="3:37" ht="16.899999999999999" customHeight="1" x14ac:dyDescent="0.25">
      <c r="D149" s="132">
        <v>3</v>
      </c>
      <c r="K149" s="48" t="str">
        <f t="shared" si="59"/>
        <v>Divided by Capitalization Factor (8)</v>
      </c>
      <c r="L149" s="32"/>
      <c r="M149" s="33"/>
      <c r="N149" s="51">
        <f>+AB145</f>
        <v>3.8399999999999997E-2</v>
      </c>
      <c r="O149" s="45"/>
      <c r="Q149" s="49" t="s">
        <v>63</v>
      </c>
      <c r="R149" s="32"/>
      <c r="S149" s="33">
        <f>+AD150</f>
        <v>828521.44920576666</v>
      </c>
      <c r="T149" s="50">
        <f>+AE150</f>
        <v>10.1</v>
      </c>
      <c r="U149" s="52">
        <f>+T149*S149</f>
        <v>8368066.6369782435</v>
      </c>
      <c r="V149" s="5"/>
      <c r="W149" s="5"/>
      <c r="X149" s="5"/>
      <c r="Y149" s="5"/>
      <c r="AB149" s="5">
        <f>+AB$52</f>
        <v>495929.37290576665</v>
      </c>
      <c r="AC149" s="5"/>
      <c r="AD149" s="5">
        <f>+Z$42</f>
        <v>624310.29990576673</v>
      </c>
      <c r="AE149" s="5">
        <f>+AE$83</f>
        <v>14.6</v>
      </c>
      <c r="AF149" s="5"/>
      <c r="AG149" s="5"/>
      <c r="AH149" s="5"/>
      <c r="AI149" s="5"/>
      <c r="AJ149" s="5"/>
      <c r="AK149" s="5"/>
    </row>
    <row r="150" spans="3:37" ht="16.899999999999999" customHeight="1" x14ac:dyDescent="0.25">
      <c r="D150" s="132">
        <v>3</v>
      </c>
      <c r="K150" s="48" t="str">
        <f t="shared" si="59"/>
        <v>13th Year Terminal Value</v>
      </c>
      <c r="L150" s="32"/>
      <c r="M150" s="19"/>
      <c r="N150" s="33">
        <f>+N148/N149</f>
        <v>12914827.419421008</v>
      </c>
      <c r="O150" s="45"/>
      <c r="Q150" s="53" t="s">
        <v>65</v>
      </c>
      <c r="R150" s="32"/>
      <c r="S150" s="19"/>
      <c r="T150" s="32"/>
      <c r="U150" s="54">
        <f>ROUND((0.33*U148)+(0.67*U149),0)</f>
        <v>8614532</v>
      </c>
      <c r="V150" s="5"/>
      <c r="W150" s="5"/>
      <c r="X150" s="5"/>
      <c r="Y150" s="5"/>
      <c r="AB150" s="5"/>
      <c r="AC150" s="5"/>
      <c r="AD150" s="5">
        <f>+Z$41</f>
        <v>828521.44920576666</v>
      </c>
      <c r="AE150" s="5">
        <f>+AE$84</f>
        <v>10.1</v>
      </c>
      <c r="AF150" s="5"/>
      <c r="AG150" s="5"/>
      <c r="AH150" s="5"/>
      <c r="AI150" s="5"/>
      <c r="AJ150" s="5"/>
      <c r="AK150" s="5"/>
    </row>
    <row r="151" spans="3:37" ht="16.899999999999999" customHeight="1" x14ac:dyDescent="0.25">
      <c r="D151" s="132">
        <v>3</v>
      </c>
      <c r="K151" s="48" t="str">
        <f t="shared" si="59"/>
        <v>13th Year Present Value Factor (11)</v>
      </c>
      <c r="L151" s="32"/>
      <c r="M151" s="19"/>
      <c r="N151" s="55">
        <f>+AB152</f>
        <v>0.62439999999999996</v>
      </c>
      <c r="O151" s="45"/>
      <c r="Q151" s="49" t="str">
        <f>+K151</f>
        <v>13th Year Present Value Factor (11)</v>
      </c>
      <c r="R151" s="32"/>
      <c r="S151" s="19"/>
      <c r="T151" s="32"/>
      <c r="U151" s="56">
        <f>+AD152</f>
        <v>0.62439999999999996</v>
      </c>
      <c r="V151" s="5"/>
      <c r="W151" s="5"/>
      <c r="X151" s="5"/>
      <c r="Y151" s="5"/>
      <c r="AC151" s="5"/>
      <c r="AD151" s="5"/>
      <c r="AE151" s="5"/>
      <c r="AF151" s="5"/>
      <c r="AG151" s="5"/>
      <c r="AH151" s="5"/>
      <c r="AI151" s="5"/>
      <c r="AJ151" s="5"/>
      <c r="AK151" s="5"/>
    </row>
    <row r="152" spans="3:37" ht="16.899999999999999" customHeight="1" x14ac:dyDescent="0.25">
      <c r="D152" s="132">
        <v>3</v>
      </c>
      <c r="K152" s="48" t="str">
        <f t="shared" si="59"/>
        <v>Present Value of Terminal Value</v>
      </c>
      <c r="L152" s="57"/>
      <c r="M152" s="19"/>
      <c r="N152" s="58">
        <f>+N151*N150</f>
        <v>8064018.2406864772</v>
      </c>
      <c r="O152" s="45"/>
      <c r="Q152" s="49" t="s">
        <v>66</v>
      </c>
      <c r="R152" s="57"/>
      <c r="S152" s="19"/>
      <c r="T152" s="33"/>
      <c r="U152" s="59">
        <f>+U151*U150</f>
        <v>5378913.7807999998</v>
      </c>
      <c r="V152" s="5"/>
      <c r="W152" s="5"/>
      <c r="X152" s="5"/>
      <c r="Y152" s="5"/>
      <c r="AA152" s="2" t="s">
        <v>74</v>
      </c>
      <c r="AB152" s="176">
        <f>+Z70</f>
        <v>0.62439999999999996</v>
      </c>
      <c r="AC152" s="5"/>
      <c r="AD152" s="177">
        <f>+AB152</f>
        <v>0.62439999999999996</v>
      </c>
      <c r="AE152" s="5"/>
      <c r="AF152" s="5"/>
      <c r="AG152" s="5"/>
      <c r="AH152" s="5"/>
      <c r="AI152" s="5"/>
      <c r="AJ152" s="5"/>
      <c r="AK152" s="5"/>
    </row>
    <row r="153" spans="3:37" ht="16.899999999999999" customHeight="1" x14ac:dyDescent="0.25">
      <c r="D153" s="132">
        <v>3</v>
      </c>
      <c r="K153" s="48" t="str">
        <f t="shared" si="59"/>
        <v>Present Value Debt Free Net</v>
      </c>
      <c r="L153" s="57"/>
      <c r="M153" s="19"/>
      <c r="N153" s="32"/>
      <c r="O153" s="45"/>
      <c r="Q153" s="49" t="s">
        <v>67</v>
      </c>
      <c r="R153" s="57"/>
      <c r="S153" s="19"/>
      <c r="T153" s="57"/>
      <c r="U153" s="47"/>
      <c r="V153" s="5"/>
      <c r="W153" s="5"/>
      <c r="X153" s="5"/>
      <c r="Y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</row>
    <row r="154" spans="3:37" ht="16.899999999999999" customHeight="1" x14ac:dyDescent="0.25">
      <c r="D154" s="132">
        <v>3</v>
      </c>
      <c r="K154" s="48" t="str">
        <f t="shared" si="59"/>
        <v>Cash Flow for 13 Years</v>
      </c>
      <c r="L154" s="57"/>
      <c r="M154" s="19"/>
      <c r="N154" s="60">
        <f>+AB155</f>
        <v>4385282.9873877559</v>
      </c>
      <c r="O154" s="45"/>
      <c r="Q154" s="49" t="str">
        <f>+Q$88</f>
        <v>Cash Flow for 13 Years</v>
      </c>
      <c r="R154" s="57"/>
      <c r="S154" s="19"/>
      <c r="T154" s="33"/>
      <c r="U154" s="52">
        <f>+AD155</f>
        <v>4385282.9873877559</v>
      </c>
      <c r="V154" s="5"/>
      <c r="W154" s="5"/>
      <c r="X154" s="5"/>
      <c r="Y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</row>
    <row r="155" spans="3:37" ht="16.899999999999999" customHeight="1" x14ac:dyDescent="0.25">
      <c r="D155" s="132">
        <v>3</v>
      </c>
      <c r="K155" s="48"/>
      <c r="L155" s="57"/>
      <c r="M155" s="19"/>
      <c r="N155" s="32"/>
      <c r="O155" s="45"/>
      <c r="Q155" s="49"/>
      <c r="R155" s="57"/>
      <c r="S155" s="19"/>
      <c r="T155" s="32"/>
      <c r="U155" s="47"/>
      <c r="V155" s="5"/>
      <c r="W155" s="5"/>
      <c r="X155" s="5"/>
      <c r="Y155" s="5"/>
      <c r="AB155" s="5">
        <f>+AB72</f>
        <v>4385282.9873877559</v>
      </c>
      <c r="AC155" s="5"/>
      <c r="AD155" s="5">
        <f>+AB155</f>
        <v>4385282.9873877559</v>
      </c>
      <c r="AE155" s="5"/>
      <c r="AF155" s="5"/>
      <c r="AG155" s="5"/>
      <c r="AH155" s="5"/>
      <c r="AI155" s="5"/>
      <c r="AJ155" s="5"/>
      <c r="AK155" s="5"/>
    </row>
    <row r="156" spans="3:37" ht="16.899999999999999" customHeight="1" thickBot="1" x14ac:dyDescent="0.3">
      <c r="D156" s="132">
        <v>3</v>
      </c>
      <c r="K156" s="48" t="s">
        <v>68</v>
      </c>
      <c r="L156" s="57"/>
      <c r="M156" s="19"/>
      <c r="N156" s="20">
        <f>+N152+N154</f>
        <v>12449301.228074234</v>
      </c>
      <c r="O156" s="45"/>
      <c r="Q156" s="49" t="s">
        <v>68</v>
      </c>
      <c r="R156" s="57"/>
      <c r="S156" s="19"/>
      <c r="T156" s="33"/>
      <c r="U156" s="61">
        <f>+U152+U154</f>
        <v>9764196.7681877557</v>
      </c>
      <c r="V156" s="5"/>
      <c r="W156" s="5"/>
      <c r="X156" s="5"/>
      <c r="Y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</row>
    <row r="157" spans="3:37" ht="16.899999999999999" customHeight="1" thickTop="1" thickBot="1" x14ac:dyDescent="0.3">
      <c r="D157" s="132">
        <v>3</v>
      </c>
      <c r="K157" s="62"/>
      <c r="L157" s="63"/>
      <c r="M157" s="64"/>
      <c r="N157" s="63"/>
      <c r="O157" s="65"/>
      <c r="Q157" s="62"/>
      <c r="R157" s="63"/>
      <c r="S157" s="64"/>
      <c r="T157" s="63"/>
      <c r="U157" s="65"/>
      <c r="V157" s="5"/>
      <c r="W157" s="5"/>
      <c r="X157" s="5"/>
      <c r="Y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</row>
    <row r="158" spans="3:37" ht="15" x14ac:dyDescent="0.25">
      <c r="D158" s="132">
        <v>3</v>
      </c>
      <c r="K158" s="6"/>
      <c r="L158" s="5"/>
      <c r="M158" s="5"/>
      <c r="N158" s="5"/>
      <c r="O158" s="5"/>
      <c r="P158" s="6"/>
      <c r="Q158" s="6"/>
      <c r="R158" s="5"/>
      <c r="S158" s="5"/>
      <c r="T158" s="5"/>
      <c r="U158" s="5"/>
      <c r="V158" s="5"/>
      <c r="W158" s="5"/>
      <c r="X158" s="5"/>
      <c r="Y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</row>
    <row r="159" spans="3:37" ht="15.75" thickBot="1" x14ac:dyDescent="0.3">
      <c r="D159" s="132">
        <v>3</v>
      </c>
      <c r="K159" s="6"/>
      <c r="L159" s="5"/>
      <c r="M159" s="5"/>
      <c r="N159" s="5"/>
      <c r="O159" s="5"/>
      <c r="P159" s="6"/>
      <c r="Q159" s="6"/>
      <c r="R159" s="5"/>
      <c r="S159" s="5"/>
      <c r="T159" s="5"/>
      <c r="U159" s="5"/>
      <c r="V159" s="5"/>
      <c r="W159" s="5"/>
      <c r="X159" s="5"/>
      <c r="Y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</row>
    <row r="160" spans="3:37" ht="15.75" thickBot="1" x14ac:dyDescent="0.3">
      <c r="D160" s="132">
        <v>3</v>
      </c>
      <c r="K160" s="34" t="str">
        <f>+"DCF With Capitalization of Terminal Value Model @ "&amp;TEXT(AB161,"0.00%")</f>
        <v>DCF With Capitalization of Terminal Value Model @ 3.59%</v>
      </c>
      <c r="L160" s="35"/>
      <c r="M160" s="35"/>
      <c r="N160" s="35"/>
      <c r="O160" s="36"/>
      <c r="P160" s="6"/>
      <c r="Q160" s="34" t="str">
        <f>+"DCF With EBIT &amp; EBITDA Terminal Value Model - Discount Rate of "&amp;TEXT(AD161,"0.00%")</f>
        <v>DCF With EBIT &amp; EBITDA Terminal Value Model - Discount Rate of 3.59%</v>
      </c>
      <c r="R160" s="35"/>
      <c r="S160" s="35"/>
      <c r="T160" s="35"/>
      <c r="U160" s="36"/>
      <c r="V160" s="5"/>
      <c r="W160" s="5"/>
      <c r="X160" s="5"/>
      <c r="Y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</row>
    <row r="161" spans="3:37" ht="15" x14ac:dyDescent="0.25">
      <c r="C161" s="168" t="s">
        <v>75</v>
      </c>
      <c r="D161" s="132">
        <v>3</v>
      </c>
      <c r="K161" s="37"/>
      <c r="L161" s="38"/>
      <c r="M161" s="39"/>
      <c r="N161" s="40" t="s">
        <v>59</v>
      </c>
      <c r="O161" s="41"/>
      <c r="P161" s="6"/>
      <c r="Q161" s="37"/>
      <c r="R161" s="38"/>
      <c r="S161" s="39"/>
      <c r="T161" s="38"/>
      <c r="U161" s="42" t="s">
        <v>59</v>
      </c>
      <c r="V161" s="5"/>
      <c r="W161" s="5"/>
      <c r="X161" s="5"/>
      <c r="Y161" s="5"/>
      <c r="AB161" s="171">
        <f>+AC74</f>
        <v>3.5899999999999994E-2</v>
      </c>
      <c r="AC161" s="5"/>
      <c r="AD161" s="171">
        <f>+AB161</f>
        <v>3.5899999999999994E-2</v>
      </c>
      <c r="AE161" s="5"/>
      <c r="AF161" s="5"/>
      <c r="AG161" s="5"/>
      <c r="AH161" s="5"/>
      <c r="AI161" s="5"/>
      <c r="AJ161" s="5"/>
      <c r="AK161" s="5"/>
    </row>
    <row r="162" spans="3:37" ht="15" x14ac:dyDescent="0.25">
      <c r="D162" s="132">
        <v>3</v>
      </c>
      <c r="K162" s="43"/>
      <c r="L162" s="32"/>
      <c r="M162" s="19"/>
      <c r="N162" s="44" t="s">
        <v>60</v>
      </c>
      <c r="O162" s="45"/>
      <c r="P162" s="6"/>
      <c r="Q162" s="43"/>
      <c r="R162" s="32"/>
      <c r="S162" s="19"/>
      <c r="T162" s="44" t="str">
        <f>+T146</f>
        <v>Multiples (13)</v>
      </c>
      <c r="U162" s="46" t="s">
        <v>60</v>
      </c>
      <c r="V162" s="5"/>
      <c r="W162" s="5"/>
      <c r="X162" s="5"/>
      <c r="Y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</row>
    <row r="163" spans="3:37" ht="15" x14ac:dyDescent="0.25">
      <c r="D163" s="132">
        <v>3</v>
      </c>
      <c r="K163" s="43"/>
      <c r="L163" s="32"/>
      <c r="M163" s="19"/>
      <c r="N163" s="32"/>
      <c r="O163" s="45"/>
      <c r="P163" s="6"/>
      <c r="Q163" s="43"/>
      <c r="R163" s="32"/>
      <c r="S163" s="19"/>
      <c r="T163" s="32"/>
      <c r="U163" s="47"/>
      <c r="V163" s="5"/>
      <c r="W163" s="5"/>
      <c r="X163" s="5"/>
      <c r="Y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</row>
    <row r="164" spans="3:37" ht="15" x14ac:dyDescent="0.25">
      <c r="D164" s="132">
        <v>3</v>
      </c>
      <c r="K164" s="48" t="str">
        <f t="shared" ref="K164:K170" si="60">+Q115</f>
        <v>Projected Debt Free Net Cash Flow (10)</v>
      </c>
      <c r="L164" s="32"/>
      <c r="M164" s="32"/>
      <c r="N164" s="32">
        <f>+AB165</f>
        <v>495929.37290576665</v>
      </c>
      <c r="O164" s="45"/>
      <c r="P164" s="6"/>
      <c r="Q164" s="49" t="s">
        <v>61</v>
      </c>
      <c r="R164" s="32"/>
      <c r="S164" s="32">
        <f>+AD165</f>
        <v>624310.29990576673</v>
      </c>
      <c r="T164" s="50">
        <f>+AE165</f>
        <v>14.6</v>
      </c>
      <c r="U164" s="47">
        <f>+T164*S164</f>
        <v>9114930.3786241934</v>
      </c>
      <c r="V164" s="5"/>
      <c r="W164" s="5"/>
      <c r="X164" s="5"/>
      <c r="Y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</row>
    <row r="165" spans="3:37" ht="16.899999999999999" customHeight="1" x14ac:dyDescent="0.25">
      <c r="D165" s="132">
        <v>3</v>
      </c>
      <c r="K165" s="48" t="str">
        <f t="shared" si="60"/>
        <v>Divided by Capitalization Factor (9)</v>
      </c>
      <c r="L165" s="32"/>
      <c r="M165" s="33"/>
      <c r="N165" s="51">
        <f>+AB161</f>
        <v>3.5899999999999994E-2</v>
      </c>
      <c r="O165" s="45"/>
      <c r="P165" s="6"/>
      <c r="Q165" s="49" t="s">
        <v>63</v>
      </c>
      <c r="R165" s="32"/>
      <c r="S165" s="33">
        <f>+AD166</f>
        <v>828521.44920576666</v>
      </c>
      <c r="T165" s="50">
        <f>+AE166</f>
        <v>10.1</v>
      </c>
      <c r="U165" s="52">
        <f>+T165*S165</f>
        <v>8368066.6369782435</v>
      </c>
      <c r="V165" s="5"/>
      <c r="W165" s="5"/>
      <c r="X165" s="5"/>
      <c r="Y165" s="5"/>
      <c r="AB165" s="5">
        <f>+AB$52</f>
        <v>495929.37290576665</v>
      </c>
      <c r="AC165" s="5"/>
      <c r="AD165" s="5">
        <f>+AD149</f>
        <v>624310.29990576673</v>
      </c>
      <c r="AE165" s="5">
        <f>+AE$83</f>
        <v>14.6</v>
      </c>
      <c r="AF165" s="5"/>
      <c r="AG165" s="5"/>
      <c r="AH165" s="5"/>
      <c r="AI165" s="5"/>
      <c r="AJ165" s="5"/>
      <c r="AK165" s="5"/>
    </row>
    <row r="166" spans="3:37" ht="16.899999999999999" customHeight="1" x14ac:dyDescent="0.25">
      <c r="D166" s="132">
        <v>3</v>
      </c>
      <c r="K166" s="48" t="str">
        <f t="shared" si="60"/>
        <v>13th Year Terminal Value</v>
      </c>
      <c r="L166" s="32"/>
      <c r="M166" s="19"/>
      <c r="N166" s="33">
        <f>+N164/N165</f>
        <v>13814188.660327764</v>
      </c>
      <c r="O166" s="45"/>
      <c r="P166" s="6"/>
      <c r="Q166" s="53" t="s">
        <v>65</v>
      </c>
      <c r="R166" s="32"/>
      <c r="S166" s="19"/>
      <c r="T166" s="32"/>
      <c r="U166" s="54">
        <f>ROUND((0.33*U164)+(0.67*U165),0)</f>
        <v>8614532</v>
      </c>
      <c r="V166" s="5"/>
      <c r="W166" s="5"/>
      <c r="X166" s="5"/>
      <c r="Y166" s="5"/>
      <c r="AB166" s="5"/>
      <c r="AC166" s="5"/>
      <c r="AD166" s="5">
        <f>+AD150</f>
        <v>828521.44920576666</v>
      </c>
      <c r="AE166" s="5">
        <f>+AE$84</f>
        <v>10.1</v>
      </c>
      <c r="AF166" s="5"/>
      <c r="AG166" s="5"/>
      <c r="AH166" s="5"/>
      <c r="AI166" s="5"/>
      <c r="AJ166" s="5"/>
      <c r="AK166" s="5"/>
    </row>
    <row r="167" spans="3:37" ht="16.899999999999999" customHeight="1" x14ac:dyDescent="0.25">
      <c r="D167" s="132">
        <v>3</v>
      </c>
      <c r="K167" s="48" t="str">
        <f t="shared" si="60"/>
        <v>13th Year Present Value Factor (12)</v>
      </c>
      <c r="L167" s="32"/>
      <c r="M167" s="19"/>
      <c r="N167" s="55">
        <f>+N151</f>
        <v>0.62439999999999996</v>
      </c>
      <c r="O167" s="45"/>
      <c r="P167" s="6"/>
      <c r="Q167" s="49" t="str">
        <f>+K167</f>
        <v>13th Year Present Value Factor (12)</v>
      </c>
      <c r="R167" s="32"/>
      <c r="S167" s="19"/>
      <c r="T167" s="32"/>
      <c r="U167" s="56">
        <f>+AD168</f>
        <v>0.62439999999999996</v>
      </c>
      <c r="V167" s="5"/>
      <c r="W167" s="5"/>
      <c r="X167" s="5"/>
      <c r="Y167" s="5"/>
      <c r="AC167" s="5"/>
      <c r="AD167" s="5"/>
      <c r="AE167" s="5"/>
      <c r="AF167" s="5"/>
      <c r="AG167" s="5"/>
      <c r="AH167" s="5"/>
      <c r="AI167" s="5"/>
      <c r="AJ167" s="5"/>
      <c r="AK167" s="5"/>
    </row>
    <row r="168" spans="3:37" ht="16.899999999999999" customHeight="1" x14ac:dyDescent="0.25">
      <c r="D168" s="132">
        <v>3</v>
      </c>
      <c r="K168" s="48" t="str">
        <f t="shared" si="60"/>
        <v>Present Value of Terminal Value</v>
      </c>
      <c r="L168" s="57"/>
      <c r="M168" s="19"/>
      <c r="N168" s="58">
        <f>+N167*N166</f>
        <v>8625579.3995086551</v>
      </c>
      <c r="O168" s="45"/>
      <c r="P168" s="6"/>
      <c r="Q168" s="49" t="s">
        <v>66</v>
      </c>
      <c r="R168" s="57"/>
      <c r="S168" s="19"/>
      <c r="T168" s="33"/>
      <c r="U168" s="59">
        <f>+U167*U166</f>
        <v>5378913.7807999998</v>
      </c>
      <c r="V168" s="5"/>
      <c r="W168" s="5"/>
      <c r="X168" s="5"/>
      <c r="Y168" s="5"/>
      <c r="AB168" s="176">
        <f>+Z70</f>
        <v>0.62439999999999996</v>
      </c>
      <c r="AC168" s="5"/>
      <c r="AD168" s="177">
        <f>+AB168</f>
        <v>0.62439999999999996</v>
      </c>
      <c r="AE168" s="5"/>
      <c r="AF168" s="5"/>
      <c r="AG168" s="5"/>
      <c r="AH168" s="5"/>
    </row>
    <row r="169" spans="3:37" ht="16.899999999999999" customHeight="1" x14ac:dyDescent="0.25">
      <c r="D169" s="132">
        <v>3</v>
      </c>
      <c r="K169" s="48" t="str">
        <f t="shared" si="60"/>
        <v>Present Value Debt Free Net</v>
      </c>
      <c r="L169" s="57"/>
      <c r="M169" s="19"/>
      <c r="N169" s="32"/>
      <c r="O169" s="45"/>
      <c r="P169" s="6"/>
      <c r="Q169" s="49" t="s">
        <v>67</v>
      </c>
      <c r="R169" s="57"/>
      <c r="S169" s="19"/>
      <c r="T169" s="57"/>
      <c r="U169" s="47"/>
      <c r="V169" s="5"/>
      <c r="W169" s="5"/>
      <c r="X169" s="5"/>
      <c r="Y169" s="5"/>
      <c r="AB169" s="5"/>
      <c r="AC169" s="5"/>
      <c r="AD169" s="5"/>
      <c r="AE169" s="5"/>
      <c r="AF169" s="5"/>
      <c r="AG169" s="5"/>
      <c r="AH169" s="5"/>
    </row>
    <row r="170" spans="3:37" ht="16.899999999999999" customHeight="1" x14ac:dyDescent="0.25">
      <c r="D170" s="132">
        <v>3</v>
      </c>
      <c r="K170" s="48" t="str">
        <f t="shared" si="60"/>
        <v>Cash Flow for 13 Years</v>
      </c>
      <c r="L170" s="57"/>
      <c r="M170" s="19"/>
      <c r="N170" s="60">
        <f>+AB171</f>
        <v>4385282.9873877559</v>
      </c>
      <c r="O170" s="45"/>
      <c r="P170" s="6"/>
      <c r="Q170" s="49" t="str">
        <f>+Q$88</f>
        <v>Cash Flow for 13 Years</v>
      </c>
      <c r="R170" s="57"/>
      <c r="S170" s="19"/>
      <c r="T170" s="33"/>
      <c r="U170" s="52">
        <f>+AD171</f>
        <v>4385282.9873877559</v>
      </c>
      <c r="V170" s="5"/>
      <c r="W170" s="5"/>
      <c r="X170" s="5"/>
      <c r="Y170" s="5"/>
      <c r="AB170" s="5"/>
      <c r="AC170" s="5"/>
      <c r="AD170" s="5"/>
      <c r="AE170" s="5"/>
      <c r="AF170" s="5"/>
      <c r="AG170" s="5"/>
      <c r="AH170" s="5"/>
    </row>
    <row r="171" spans="3:37" ht="16.899999999999999" customHeight="1" x14ac:dyDescent="0.25">
      <c r="D171" s="132">
        <v>3</v>
      </c>
      <c r="K171" s="48"/>
      <c r="L171" s="57"/>
      <c r="M171" s="19"/>
      <c r="N171" s="32"/>
      <c r="O171" s="45"/>
      <c r="P171" s="6"/>
      <c r="Q171" s="49"/>
      <c r="R171" s="57"/>
      <c r="S171" s="19"/>
      <c r="T171" s="32"/>
      <c r="U171" s="47"/>
      <c r="V171" s="5"/>
      <c r="W171" s="5"/>
      <c r="X171" s="5"/>
      <c r="Y171" s="5"/>
      <c r="AB171" s="5">
        <f>+AB72</f>
        <v>4385282.9873877559</v>
      </c>
      <c r="AC171" s="5"/>
      <c r="AD171" s="5">
        <f>+AB171</f>
        <v>4385282.9873877559</v>
      </c>
      <c r="AE171" s="5"/>
      <c r="AF171" s="5"/>
      <c r="AG171" s="5"/>
      <c r="AH171" s="5"/>
    </row>
    <row r="172" spans="3:37" ht="16.899999999999999" customHeight="1" thickBot="1" x14ac:dyDescent="0.3">
      <c r="D172" s="132">
        <v>3</v>
      </c>
      <c r="K172" s="48" t="s">
        <v>68</v>
      </c>
      <c r="L172" s="57"/>
      <c r="M172" s="19"/>
      <c r="N172" s="20">
        <f>+N168+N170</f>
        <v>13010862.386896411</v>
      </c>
      <c r="O172" s="45"/>
      <c r="P172" s="6"/>
      <c r="Q172" s="49" t="s">
        <v>68</v>
      </c>
      <c r="R172" s="57"/>
      <c r="S172" s="19"/>
      <c r="T172" s="33"/>
      <c r="U172" s="61">
        <f>+U168+U170</f>
        <v>9764196.7681877557</v>
      </c>
      <c r="V172" s="5"/>
      <c r="W172" s="5"/>
      <c r="X172" s="5"/>
      <c r="Y172" s="5"/>
      <c r="AB172" s="5"/>
      <c r="AC172" s="5"/>
      <c r="AD172" s="5"/>
      <c r="AE172" s="5"/>
      <c r="AF172" s="5"/>
      <c r="AG172" s="5"/>
      <c r="AH172" s="5"/>
    </row>
    <row r="173" spans="3:37" ht="16.899999999999999" customHeight="1" thickTop="1" thickBot="1" x14ac:dyDescent="0.3">
      <c r="D173" s="132">
        <v>3</v>
      </c>
      <c r="K173" s="62"/>
      <c r="L173" s="63"/>
      <c r="M173" s="64"/>
      <c r="N173" s="63"/>
      <c r="O173" s="65"/>
      <c r="P173" s="6"/>
      <c r="Q173" s="62"/>
      <c r="R173" s="63"/>
      <c r="S173" s="64"/>
      <c r="T173" s="63"/>
      <c r="U173" s="65"/>
      <c r="V173" s="5"/>
      <c r="W173" s="5"/>
      <c r="X173" s="5"/>
      <c r="Y173" s="5"/>
      <c r="AB173" s="5"/>
      <c r="AC173" s="5"/>
      <c r="AD173" s="5"/>
      <c r="AE173" s="5"/>
      <c r="AF173" s="5"/>
      <c r="AG173" s="5"/>
      <c r="AH173" s="5"/>
    </row>
    <row r="174" spans="3:37" ht="15" x14ac:dyDescent="0.25">
      <c r="D174" s="132">
        <v>3</v>
      </c>
      <c r="S174" s="5"/>
      <c r="T174" s="5"/>
      <c r="U174" s="5"/>
      <c r="V174" s="5"/>
      <c r="W174" s="5"/>
      <c r="X174" s="5"/>
      <c r="Y174" s="5"/>
      <c r="AB174" s="5"/>
      <c r="AC174" s="5"/>
      <c r="AD174" s="5"/>
      <c r="AE174" s="5"/>
      <c r="AF174" s="5"/>
      <c r="AG174" s="5"/>
      <c r="AH174" s="5"/>
    </row>
    <row r="175" spans="3:37" ht="15" x14ac:dyDescent="0.25">
      <c r="D175" s="132">
        <v>3</v>
      </c>
      <c r="H175" s="32"/>
      <c r="I175" s="32"/>
      <c r="J175" s="19"/>
      <c r="K175" s="6"/>
      <c r="L175" s="32"/>
      <c r="M175" s="6"/>
      <c r="N175" s="6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</row>
    <row r="176" spans="3:37" ht="15.75" x14ac:dyDescent="0.25">
      <c r="D176" s="132">
        <v>3</v>
      </c>
      <c r="G176" s="26" t="s">
        <v>57</v>
      </c>
      <c r="H176" s="32"/>
      <c r="I176" s="32"/>
      <c r="J176" s="19"/>
      <c r="K176" s="6"/>
      <c r="L176" s="32"/>
      <c r="M176" s="6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</row>
    <row r="177" spans="1:29" ht="15" x14ac:dyDescent="0.25">
      <c r="D177" s="132">
        <v>4</v>
      </c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</row>
    <row r="178" spans="1:29" ht="31.5" customHeight="1" x14ac:dyDescent="0.25">
      <c r="D178" s="132">
        <v>4</v>
      </c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</row>
    <row r="179" spans="1:29" ht="15" x14ac:dyDescent="0.25">
      <c r="D179" s="132">
        <v>4</v>
      </c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</row>
    <row r="180" spans="1:29" ht="55.5" customHeight="1" x14ac:dyDescent="0.25">
      <c r="A180" s="66" t="s">
        <v>76</v>
      </c>
      <c r="D180" s="132">
        <v>4</v>
      </c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</row>
    <row r="181" spans="1:29" ht="15" x14ac:dyDescent="0.25">
      <c r="D181" s="132">
        <v>4</v>
      </c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</row>
    <row r="182" spans="1:29" ht="15" x14ac:dyDescent="0.25">
      <c r="A182" s="191" t="s">
        <v>52</v>
      </c>
      <c r="B182" s="25">
        <f>MAX(B$20:B58)+1</f>
        <v>10</v>
      </c>
      <c r="C182" s="138">
        <f>IF(D182=0,C52,IF(ISBLANK(G182),C52,1+MAX(C$20:C52)))</f>
        <v>27</v>
      </c>
      <c r="D182" s="132">
        <v>4</v>
      </c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</row>
    <row r="183" spans="1:29" ht="15" x14ac:dyDescent="0.25">
      <c r="A183" s="192"/>
      <c r="C183" s="138">
        <f>IF(D183=0,C182,IF(ISBLANK(G183),C182,1+MAX(C$20:C182)))</f>
        <v>27</v>
      </c>
      <c r="D183" s="132">
        <v>4</v>
      </c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</row>
    <row r="184" spans="1:29" ht="15" x14ac:dyDescent="0.25">
      <c r="A184" s="191" t="s">
        <v>77</v>
      </c>
      <c r="B184" s="25">
        <f>+B$54</f>
        <v>8</v>
      </c>
      <c r="C184" s="138">
        <f>IF(D184=0,C183,IF(ISBLANK(G184),C183,1+MAX(C$182:C183)))</f>
        <v>27</v>
      </c>
      <c r="D184" s="132">
        <v>4</v>
      </c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</row>
    <row r="185" spans="1:29" ht="15" x14ac:dyDescent="0.25">
      <c r="A185" s="191"/>
      <c r="C185" s="138">
        <f>IF(D185=0,C184,IF(ISBLANK(G185),C184,1+MAX(C$182:C184)))</f>
        <v>27</v>
      </c>
      <c r="D185" s="132">
        <v>4</v>
      </c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</row>
    <row r="186" spans="1:29" ht="15" x14ac:dyDescent="0.25">
      <c r="C186" s="138">
        <f>IF(D186=0,C185,IF(ISBLANK(G186),C185,1+MAX(C$182:C185)))</f>
        <v>27</v>
      </c>
      <c r="D186" s="132">
        <v>4</v>
      </c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</row>
    <row r="187" spans="1:29" ht="15" x14ac:dyDescent="0.25">
      <c r="C187" s="138">
        <f>IF(D187=0,C186,IF(ISBLANK(G187),C186,1+MAX(C$182:C186)))</f>
        <v>27</v>
      </c>
      <c r="D187" s="132">
        <v>4</v>
      </c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</row>
    <row r="188" spans="1:29" ht="15" x14ac:dyDescent="0.25">
      <c r="C188" s="138">
        <f>IF(D188=0,C187,IF(ISBLANK(G188),C187,1+MAX(C$182:C187)))</f>
        <v>27</v>
      </c>
      <c r="D188" s="132">
        <v>4</v>
      </c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</row>
    <row r="189" spans="1:29" ht="57" customHeight="1" x14ac:dyDescent="0.25">
      <c r="C189" s="138">
        <f>IF(D189=0,C188,IF(ISBLANK(G189),C188,1+MAX(C$182:C188)))</f>
        <v>27</v>
      </c>
      <c r="D189" s="132">
        <v>4</v>
      </c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</row>
    <row r="190" spans="1:29" ht="15" x14ac:dyDescent="0.25">
      <c r="C190" s="138">
        <f>IF(D190=0,C189,IF(ISBLANK(G190),C189,1+MAX(C$182:C189)))</f>
        <v>27</v>
      </c>
      <c r="D190" s="132">
        <v>4</v>
      </c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</row>
    <row r="191" spans="1:29" ht="15" x14ac:dyDescent="0.25">
      <c r="B191" s="25">
        <f>+B$182</f>
        <v>10</v>
      </c>
      <c r="C191" s="138">
        <f>IF(D191=0,C190,IF(ISBLANK(G191),C190,1+MAX(C$182:C190)))</f>
        <v>27</v>
      </c>
      <c r="D191" s="132">
        <v>4</v>
      </c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</row>
    <row r="192" spans="1:29" ht="15" x14ac:dyDescent="0.25">
      <c r="C192" s="138">
        <f>IF(D192=0,C191,IF(ISBLANK(G192),C191,1+MAX(C$182:C191)))</f>
        <v>27</v>
      </c>
      <c r="D192" s="132">
        <v>4</v>
      </c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</row>
    <row r="193" spans="1:29" ht="15" x14ac:dyDescent="0.25">
      <c r="A193" s="191" t="s">
        <v>77</v>
      </c>
      <c r="B193" s="25">
        <f>+B$58</f>
        <v>9</v>
      </c>
      <c r="C193" s="138">
        <f>IF(D193=0,C192,IF(ISBLANK(G193),C192,1+MAX(C$182:C192)))</f>
        <v>27</v>
      </c>
      <c r="D193" s="132">
        <v>4</v>
      </c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</row>
    <row r="194" spans="1:29" ht="15" x14ac:dyDescent="0.25">
      <c r="C194" s="138">
        <f>IF(D194=0,C193,IF(ISBLANK(G194),C193,1+MAX(C$182:C193)))</f>
        <v>27</v>
      </c>
      <c r="D194" s="132">
        <v>4</v>
      </c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</row>
    <row r="195" spans="1:29" ht="15" x14ac:dyDescent="0.25">
      <c r="C195" s="138">
        <f>IF(D195=0,C194,IF(ISBLANK(G195),C194,1+MAX(C$182:C194)))</f>
        <v>27</v>
      </c>
      <c r="D195" s="132">
        <v>4</v>
      </c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</row>
    <row r="196" spans="1:29" ht="15" x14ac:dyDescent="0.25">
      <c r="D196" s="132">
        <v>0</v>
      </c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</row>
    <row r="197" spans="1:29" ht="15" x14ac:dyDescent="0.25">
      <c r="D197" s="132">
        <v>0</v>
      </c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</row>
    <row r="198" spans="1:29" ht="15" x14ac:dyDescent="0.25">
      <c r="D198" s="132">
        <v>0</v>
      </c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</row>
    <row r="199" spans="1:29" ht="15" x14ac:dyDescent="0.25">
      <c r="D199" s="132">
        <v>0</v>
      </c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</row>
    <row r="200" spans="1:29" ht="15.75" x14ac:dyDescent="0.25">
      <c r="D200" s="132">
        <v>0</v>
      </c>
      <c r="G200" s="193" t="s">
        <v>78</v>
      </c>
      <c r="H200" s="194" t="s">
        <v>74</v>
      </c>
      <c r="I200" s="194" t="s">
        <v>74</v>
      </c>
      <c r="J200" s="194" t="s">
        <v>74</v>
      </c>
      <c r="K200" s="194" t="s">
        <v>74</v>
      </c>
      <c r="L200" s="194" t="s">
        <v>74</v>
      </c>
      <c r="M200" s="194" t="s">
        <v>74</v>
      </c>
      <c r="N200" s="194" t="s">
        <v>74</v>
      </c>
      <c r="O200" s="194" t="s">
        <v>74</v>
      </c>
      <c r="P200" s="194" t="s">
        <v>74</v>
      </c>
      <c r="Q200" s="194" t="s">
        <v>74</v>
      </c>
      <c r="R200" s="194" t="s">
        <v>74</v>
      </c>
      <c r="S200" s="194" t="s">
        <v>74</v>
      </c>
      <c r="T200" s="194" t="s">
        <v>74</v>
      </c>
      <c r="U200" s="194" t="s">
        <v>74</v>
      </c>
      <c r="V200" s="194" t="s">
        <v>74</v>
      </c>
      <c r="W200" s="194" t="s">
        <v>74</v>
      </c>
      <c r="X200" s="194" t="s">
        <v>74</v>
      </c>
      <c r="Y200" s="194" t="s">
        <v>74</v>
      </c>
      <c r="Z200" s="194" t="s">
        <v>74</v>
      </c>
      <c r="AA200" s="5"/>
      <c r="AB200" s="5"/>
      <c r="AC200" s="5"/>
    </row>
    <row r="201" spans="1:29" ht="15.75" x14ac:dyDescent="0.25">
      <c r="D201" s="132">
        <v>1</v>
      </c>
      <c r="G201" s="27"/>
      <c r="H201" s="32"/>
      <c r="I201" s="32"/>
      <c r="J201" s="19"/>
      <c r="K201" s="6"/>
      <c r="L201" s="32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5"/>
      <c r="AB201" s="5"/>
      <c r="AC201" s="5"/>
    </row>
    <row r="202" spans="1:29" ht="15.75" x14ac:dyDescent="0.25">
      <c r="D202" s="132">
        <v>1</v>
      </c>
      <c r="G202" s="27"/>
      <c r="H202" s="32"/>
      <c r="I202" s="32"/>
      <c r="J202" s="19"/>
      <c r="K202" s="6"/>
      <c r="L202" s="32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5"/>
      <c r="AB202" s="5"/>
      <c r="AC202" s="5"/>
    </row>
    <row r="203" spans="1:29" ht="24" customHeight="1" x14ac:dyDescent="0.25">
      <c r="D203" s="132">
        <v>1</v>
      </c>
      <c r="G203" s="195" t="s">
        <v>79</v>
      </c>
      <c r="H203" s="196" t="s">
        <v>80</v>
      </c>
      <c r="J203" s="19"/>
      <c r="K203" s="6"/>
      <c r="L203" s="32"/>
      <c r="M203" s="6"/>
      <c r="N203" s="6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69"/>
      <c r="AB203" s="5"/>
      <c r="AC203" s="5"/>
    </row>
    <row r="204" spans="1:29" ht="30.75" customHeight="1" x14ac:dyDescent="0.25">
      <c r="D204" s="132">
        <f>IF($C$10="SUBJECT",1,0)</f>
        <v>0</v>
      </c>
      <c r="H204" s="113" t="s">
        <v>81</v>
      </c>
      <c r="I204" s="113"/>
      <c r="J204" s="113"/>
      <c r="K204" s="113"/>
      <c r="L204" s="113"/>
      <c r="M204" s="113"/>
      <c r="N204" s="110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69"/>
      <c r="AB204" s="5"/>
      <c r="AC204" s="5"/>
    </row>
    <row r="205" spans="1:29" ht="15" x14ac:dyDescent="0.25">
      <c r="D205" s="132">
        <v>0</v>
      </c>
      <c r="H205" s="197"/>
      <c r="J205" s="68"/>
      <c r="K205" s="6"/>
      <c r="L205" s="32"/>
      <c r="M205" s="6"/>
      <c r="N205" s="6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69"/>
      <c r="AB205" s="5"/>
      <c r="AC205" s="5"/>
    </row>
    <row r="206" spans="1:29" ht="15" x14ac:dyDescent="0.25">
      <c r="D206" s="132"/>
      <c r="G206" s="66" t="s">
        <v>2</v>
      </c>
      <c r="H206" s="67" t="s">
        <v>82</v>
      </c>
      <c r="J206" s="68"/>
      <c r="K206" s="6"/>
      <c r="L206" s="32"/>
      <c r="M206" s="6"/>
      <c r="N206" s="6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69"/>
      <c r="AB206" s="5"/>
      <c r="AC206" s="5"/>
    </row>
    <row r="207" spans="1:29" ht="15" x14ac:dyDescent="0.25">
      <c r="D207" s="132">
        <v>0</v>
      </c>
      <c r="G207" s="150"/>
      <c r="H207" s="197"/>
      <c r="J207" s="68"/>
      <c r="K207" s="6"/>
      <c r="L207" s="32"/>
      <c r="M207" s="6"/>
      <c r="N207" s="6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69"/>
      <c r="AB207" s="5"/>
      <c r="AC207" s="5"/>
    </row>
    <row r="208" spans="1:29" ht="24" customHeight="1" x14ac:dyDescent="0.25">
      <c r="D208" s="132">
        <v>0</v>
      </c>
      <c r="G208" s="195"/>
      <c r="H208" s="196"/>
      <c r="J208" s="19"/>
      <c r="K208" s="6"/>
      <c r="L208" s="32"/>
      <c r="M208" s="6"/>
      <c r="N208" s="6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69"/>
      <c r="AB208" s="5"/>
      <c r="AC208" s="5"/>
    </row>
    <row r="209" spans="4:29" ht="42.75" customHeight="1" x14ac:dyDescent="0.25">
      <c r="D209" s="132">
        <f>IF($C$10="IOU",1,0)</f>
        <v>1</v>
      </c>
      <c r="H209" s="113" t="s">
        <v>83</v>
      </c>
      <c r="I209" s="113"/>
      <c r="J209" s="113"/>
      <c r="K209" s="113"/>
      <c r="L209" s="113"/>
      <c r="M209" s="113"/>
      <c r="N209" s="110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69"/>
      <c r="AB209" s="5"/>
      <c r="AC209" s="5"/>
    </row>
    <row r="210" spans="4:29" ht="15" x14ac:dyDescent="0.25">
      <c r="D210" s="132">
        <v>0</v>
      </c>
      <c r="H210" s="197"/>
      <c r="J210" s="68"/>
      <c r="K210" s="6"/>
      <c r="L210" s="32"/>
      <c r="M210" s="6"/>
      <c r="N210" s="6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69"/>
      <c r="AB210" s="5"/>
      <c r="AC210" s="5"/>
    </row>
    <row r="211" spans="4:29" ht="15" x14ac:dyDescent="0.25">
      <c r="D211" s="132"/>
      <c r="G211" s="66" t="s">
        <v>2</v>
      </c>
      <c r="H211" s="67" t="s">
        <v>84</v>
      </c>
      <c r="J211" s="68"/>
      <c r="K211" s="6"/>
      <c r="L211" s="32"/>
      <c r="M211" s="6"/>
      <c r="N211" s="6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69"/>
      <c r="AB211" s="5"/>
      <c r="AC211" s="5"/>
    </row>
    <row r="212" spans="4:29" ht="15" x14ac:dyDescent="0.25">
      <c r="D212" s="132">
        <v>0</v>
      </c>
      <c r="G212" s="150"/>
      <c r="H212" s="197"/>
      <c r="J212" s="68"/>
      <c r="K212" s="6"/>
      <c r="L212" s="32"/>
      <c r="M212" s="6"/>
      <c r="N212" s="6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69"/>
      <c r="AB212" s="5"/>
      <c r="AC212" s="5"/>
    </row>
    <row r="213" spans="4:29" ht="60" customHeight="1" x14ac:dyDescent="0.25">
      <c r="D213" s="132">
        <f>IF($C$10="IOU",1,0)</f>
        <v>1</v>
      </c>
      <c r="G213" s="150"/>
      <c r="H213" s="113" t="s">
        <v>85</v>
      </c>
      <c r="I213" s="113"/>
      <c r="J213" s="113"/>
      <c r="K213" s="113"/>
      <c r="L213" s="113"/>
      <c r="M213" s="113"/>
      <c r="N213" s="110"/>
      <c r="O213" s="110"/>
      <c r="P213" s="110"/>
      <c r="Q213" s="110"/>
      <c r="R213" s="110"/>
      <c r="S213" s="110"/>
      <c r="T213" s="5"/>
      <c r="U213" s="5"/>
      <c r="V213" s="5"/>
      <c r="W213" s="5"/>
      <c r="X213" s="5"/>
      <c r="Y213" s="5"/>
      <c r="Z213" s="5"/>
      <c r="AA213" s="69"/>
      <c r="AB213" s="5"/>
      <c r="AC213" s="5"/>
    </row>
    <row r="214" spans="4:29" ht="15" x14ac:dyDescent="0.25">
      <c r="D214" s="132">
        <v>0</v>
      </c>
      <c r="G214" s="198"/>
      <c r="J214" s="19"/>
      <c r="K214" s="6"/>
      <c r="L214" s="32"/>
      <c r="M214" s="6"/>
      <c r="N214" s="6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69"/>
      <c r="AB214" s="5"/>
      <c r="AC214" s="5"/>
    </row>
    <row r="215" spans="4:29" ht="15" x14ac:dyDescent="0.25">
      <c r="D215" s="132">
        <v>0</v>
      </c>
      <c r="G215" s="198"/>
      <c r="J215" s="19"/>
      <c r="K215" s="6"/>
      <c r="L215" s="32"/>
      <c r="M215" s="6"/>
      <c r="N215" s="6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69"/>
      <c r="AB215" s="5"/>
      <c r="AC215" s="5"/>
    </row>
    <row r="216" spans="4:29" ht="45.75" customHeight="1" x14ac:dyDescent="0.25">
      <c r="D216" s="132">
        <f>IF($C$10="MUNI",1,0)</f>
        <v>0</v>
      </c>
      <c r="H216" s="113" t="s">
        <v>83</v>
      </c>
      <c r="I216" s="113"/>
      <c r="J216" s="113"/>
      <c r="K216" s="113"/>
      <c r="L216" s="113"/>
      <c r="M216" s="113"/>
      <c r="N216" s="110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69"/>
      <c r="AB216" s="5"/>
      <c r="AC216" s="5"/>
    </row>
    <row r="217" spans="4:29" ht="15" x14ac:dyDescent="0.25">
      <c r="D217" s="132">
        <v>0</v>
      </c>
      <c r="H217" s="197"/>
      <c r="J217" s="68"/>
      <c r="K217" s="6"/>
      <c r="L217" s="32"/>
      <c r="M217" s="6"/>
      <c r="N217" s="6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69"/>
      <c r="AB217" s="5"/>
      <c r="AC217" s="5"/>
    </row>
    <row r="218" spans="4:29" ht="30.75" customHeight="1" x14ac:dyDescent="0.25">
      <c r="D218" s="132"/>
      <c r="G218" s="66" t="s">
        <v>2</v>
      </c>
      <c r="H218" s="113" t="s">
        <v>86</v>
      </c>
      <c r="I218" s="113"/>
      <c r="J218" s="113"/>
      <c r="K218" s="113"/>
      <c r="L218" s="113"/>
      <c r="M218" s="113"/>
      <c r="N218" s="6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69"/>
      <c r="AB218" s="5"/>
      <c r="AC218" s="5"/>
    </row>
    <row r="219" spans="4:29" ht="15" x14ac:dyDescent="0.25">
      <c r="D219" s="132">
        <v>0</v>
      </c>
      <c r="G219" s="150"/>
      <c r="H219" s="197"/>
      <c r="J219" s="68"/>
      <c r="K219" s="6"/>
      <c r="L219" s="32"/>
      <c r="M219" s="6"/>
      <c r="N219" s="6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69"/>
      <c r="AB219" s="5"/>
      <c r="AC219" s="5"/>
    </row>
    <row r="220" spans="4:29" ht="66.75" customHeight="1" x14ac:dyDescent="0.25">
      <c r="D220" s="132">
        <f>IF($C$10="MUNI",1,0)</f>
        <v>0</v>
      </c>
      <c r="G220" s="150"/>
      <c r="H220" s="113" t="s">
        <v>87</v>
      </c>
      <c r="I220" s="113"/>
      <c r="J220" s="113"/>
      <c r="K220" s="113"/>
      <c r="L220" s="113"/>
      <c r="M220" s="113"/>
      <c r="N220" s="110"/>
      <c r="O220" s="110"/>
      <c r="P220" s="110"/>
      <c r="Q220" s="110"/>
      <c r="R220" s="110"/>
      <c r="S220" s="110"/>
      <c r="T220" s="5"/>
      <c r="U220" s="5"/>
      <c r="V220" s="5"/>
      <c r="W220" s="5"/>
      <c r="X220" s="5"/>
      <c r="Y220" s="5"/>
      <c r="Z220" s="5"/>
      <c r="AA220" s="69"/>
      <c r="AB220" s="5"/>
      <c r="AC220" s="5"/>
    </row>
    <row r="221" spans="4:29" ht="15" x14ac:dyDescent="0.25">
      <c r="D221" s="132">
        <v>0</v>
      </c>
      <c r="G221" s="150"/>
      <c r="H221" s="197"/>
      <c r="J221" s="68"/>
      <c r="K221" s="6"/>
      <c r="L221" s="32"/>
      <c r="M221" s="6"/>
      <c r="N221" s="6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69"/>
      <c r="AB221" s="5"/>
      <c r="AC221" s="5"/>
    </row>
    <row r="222" spans="4:29" ht="30" customHeight="1" x14ac:dyDescent="0.25">
      <c r="D222" s="132">
        <v>1</v>
      </c>
      <c r="G222" s="150"/>
      <c r="H222" s="114" t="s">
        <v>88</v>
      </c>
      <c r="I222" s="114"/>
      <c r="J222" s="114"/>
      <c r="K222" s="114"/>
      <c r="L222" s="114"/>
      <c r="M222" s="114"/>
      <c r="N222" s="111"/>
      <c r="O222" s="111"/>
      <c r="P222" s="111"/>
      <c r="Q222" s="111"/>
      <c r="R222" s="25"/>
      <c r="S222" s="25"/>
      <c r="T222" s="5"/>
      <c r="U222" s="5"/>
      <c r="V222" s="5"/>
      <c r="W222" s="5"/>
      <c r="X222" s="5"/>
      <c r="Y222" s="5"/>
      <c r="Z222" s="5"/>
      <c r="AA222" s="69"/>
      <c r="AB222" s="5"/>
      <c r="AC222" s="5"/>
    </row>
    <row r="223" spans="4:29" ht="15" customHeight="1" x14ac:dyDescent="0.25">
      <c r="D223" s="132"/>
      <c r="G223" s="150"/>
      <c r="H223" s="197"/>
      <c r="I223" s="111"/>
      <c r="J223" s="111"/>
      <c r="K223" s="111"/>
      <c r="L223" s="111"/>
      <c r="M223" s="111"/>
      <c r="N223" s="111"/>
      <c r="O223" s="111"/>
      <c r="P223" s="111"/>
      <c r="Q223" s="111"/>
      <c r="R223" s="111"/>
      <c r="S223" s="25"/>
      <c r="T223" s="5"/>
      <c r="U223" s="5"/>
      <c r="V223" s="5"/>
      <c r="W223" s="5"/>
      <c r="X223" s="5"/>
      <c r="Y223" s="5"/>
      <c r="Z223" s="5"/>
      <c r="AA223" s="69"/>
      <c r="AB223" s="5"/>
      <c r="AC223" s="5"/>
    </row>
    <row r="224" spans="4:29" ht="27" customHeight="1" x14ac:dyDescent="0.25">
      <c r="D224" s="199">
        <f>IF($C$10="SUBJECT",0,1)</f>
        <v>1</v>
      </c>
      <c r="G224" s="150"/>
      <c r="H224" s="114" t="s">
        <v>89</v>
      </c>
      <c r="I224" s="114"/>
      <c r="J224" s="114"/>
      <c r="K224" s="114"/>
      <c r="L224" s="114"/>
      <c r="M224" s="114"/>
      <c r="N224" s="111"/>
      <c r="O224" s="111"/>
      <c r="P224" s="111"/>
      <c r="Q224" s="111"/>
      <c r="R224" s="111"/>
      <c r="S224" s="25"/>
      <c r="T224" s="5"/>
      <c r="U224" s="5"/>
      <c r="V224" s="5"/>
      <c r="W224" s="5"/>
      <c r="X224" s="5"/>
      <c r="Y224" s="5"/>
      <c r="Z224" s="5"/>
      <c r="AA224" s="69"/>
      <c r="AB224" s="5"/>
      <c r="AC224" s="5"/>
    </row>
    <row r="225" spans="4:29" ht="29.25" customHeight="1" x14ac:dyDescent="0.25">
      <c r="D225" s="199">
        <f>IF($C$10="SUBJECT",0,1)</f>
        <v>1</v>
      </c>
      <c r="G225" s="150"/>
      <c r="H225" s="114" t="s">
        <v>90</v>
      </c>
      <c r="I225" s="114"/>
      <c r="J225" s="114"/>
      <c r="K225" s="114"/>
      <c r="L225" s="114"/>
      <c r="M225" s="114"/>
      <c r="N225" s="111"/>
      <c r="O225" s="111"/>
      <c r="P225" s="111"/>
      <c r="Q225" s="111"/>
      <c r="R225" s="111"/>
      <c r="S225" s="25"/>
      <c r="T225" s="5"/>
      <c r="U225" s="5"/>
      <c r="V225" s="5"/>
      <c r="W225" s="5"/>
      <c r="X225" s="5"/>
      <c r="Y225" s="5"/>
      <c r="Z225" s="5"/>
      <c r="AA225" s="69"/>
      <c r="AB225" s="5"/>
      <c r="AC225" s="5"/>
    </row>
    <row r="226" spans="4:29" ht="15" customHeight="1" x14ac:dyDescent="0.25">
      <c r="D226" s="199">
        <v>1</v>
      </c>
      <c r="G226" s="150"/>
      <c r="H226" s="197" t="s">
        <v>91</v>
      </c>
      <c r="I226" s="111"/>
      <c r="J226" s="111"/>
      <c r="K226" s="111"/>
      <c r="L226" s="111"/>
      <c r="M226" s="111"/>
      <c r="N226" s="111"/>
      <c r="O226" s="111"/>
      <c r="P226" s="111"/>
      <c r="Q226" s="111"/>
      <c r="R226" s="111"/>
      <c r="S226" s="25"/>
      <c r="T226" s="5"/>
      <c r="U226" s="5"/>
      <c r="V226" s="5"/>
      <c r="W226" s="5"/>
      <c r="X226" s="5"/>
      <c r="Y226" s="5"/>
      <c r="Z226" s="5"/>
      <c r="AA226" s="69"/>
      <c r="AB226" s="5"/>
      <c r="AC226" s="5"/>
    </row>
    <row r="227" spans="4:29" ht="15" customHeight="1" x14ac:dyDescent="0.25">
      <c r="D227" s="199"/>
      <c r="G227" s="150"/>
      <c r="H227" s="197"/>
      <c r="I227" s="111"/>
      <c r="J227" s="111"/>
      <c r="K227" s="111"/>
      <c r="L227" s="111"/>
      <c r="M227" s="111"/>
      <c r="N227" s="111"/>
      <c r="O227" s="111"/>
      <c r="P227" s="111"/>
      <c r="Q227" s="111"/>
      <c r="R227" s="111"/>
      <c r="S227" s="25"/>
      <c r="T227" s="5"/>
      <c r="U227" s="5"/>
      <c r="V227" s="5"/>
      <c r="W227" s="5"/>
      <c r="X227" s="5"/>
      <c r="Y227" s="5"/>
      <c r="Z227" s="5"/>
      <c r="AA227" s="69"/>
      <c r="AB227" s="5"/>
      <c r="AC227" s="5"/>
    </row>
    <row r="228" spans="4:29" ht="15" customHeight="1" x14ac:dyDescent="0.25">
      <c r="D228" s="199"/>
      <c r="G228" s="150"/>
      <c r="H228" s="197"/>
      <c r="I228" s="111"/>
      <c r="J228" s="111"/>
      <c r="K228" s="111"/>
      <c r="L228" s="111"/>
      <c r="M228" s="111"/>
      <c r="N228" s="111"/>
      <c r="O228" s="111"/>
      <c r="P228" s="111"/>
      <c r="Q228" s="111"/>
      <c r="R228" s="111"/>
      <c r="S228" s="25"/>
      <c r="T228" s="5"/>
      <c r="U228" s="5"/>
      <c r="V228" s="5"/>
      <c r="W228" s="5"/>
      <c r="X228" s="5"/>
      <c r="Y228" s="5"/>
      <c r="Z228" s="5"/>
      <c r="AA228" s="69"/>
      <c r="AB228" s="5"/>
      <c r="AC228" s="5"/>
    </row>
    <row r="229" spans="4:29" ht="15" customHeight="1" x14ac:dyDescent="0.25">
      <c r="D229" s="132"/>
      <c r="G229" s="150"/>
      <c r="H229" s="197"/>
      <c r="I229" s="111"/>
      <c r="J229" s="111"/>
      <c r="K229" s="111"/>
      <c r="L229" s="111"/>
      <c r="M229" s="111"/>
      <c r="N229" s="111"/>
      <c r="O229" s="111"/>
      <c r="P229" s="111"/>
      <c r="Q229" s="111"/>
      <c r="R229" s="25"/>
      <c r="S229" s="25"/>
      <c r="T229" s="5"/>
      <c r="U229" s="5"/>
      <c r="V229" s="5"/>
      <c r="W229" s="5"/>
      <c r="X229" s="5"/>
      <c r="Y229" s="5"/>
      <c r="Z229" s="5"/>
      <c r="AA229" s="69"/>
      <c r="AB229" s="5"/>
      <c r="AC229" s="5"/>
    </row>
    <row r="230" spans="4:29" ht="15" customHeight="1" x14ac:dyDescent="0.25">
      <c r="D230" s="132"/>
      <c r="G230" s="150"/>
      <c r="H230" s="197"/>
      <c r="I230" s="111"/>
      <c r="J230" s="111"/>
      <c r="K230" s="111"/>
      <c r="L230" s="111"/>
      <c r="M230" s="111"/>
      <c r="N230" s="111"/>
      <c r="O230" s="111"/>
      <c r="P230" s="111"/>
      <c r="Q230" s="111"/>
      <c r="R230" s="25"/>
      <c r="S230" s="25"/>
      <c r="T230" s="5"/>
      <c r="U230" s="5"/>
      <c r="V230" s="5"/>
      <c r="W230" s="5"/>
      <c r="X230" s="5"/>
      <c r="Y230" s="5"/>
      <c r="Z230" s="5"/>
      <c r="AA230" s="69"/>
      <c r="AB230" s="5"/>
      <c r="AC230" s="5"/>
    </row>
    <row r="231" spans="4:29" ht="15" customHeight="1" x14ac:dyDescent="0.25">
      <c r="D231" s="132"/>
      <c r="G231" s="150"/>
      <c r="H231" s="197"/>
      <c r="I231" s="111"/>
      <c r="J231" s="111"/>
      <c r="K231" s="111"/>
      <c r="L231" s="111"/>
      <c r="M231" s="111"/>
      <c r="N231" s="111"/>
      <c r="O231" s="111"/>
      <c r="P231" s="111"/>
      <c r="Q231" s="111"/>
      <c r="R231" s="25"/>
      <c r="S231" s="25"/>
      <c r="T231" s="5"/>
      <c r="U231" s="5"/>
      <c r="V231" s="5"/>
      <c r="W231" s="5"/>
      <c r="X231" s="5"/>
      <c r="Y231" s="5"/>
      <c r="Z231" s="5"/>
      <c r="AA231" s="69"/>
      <c r="AB231" s="5"/>
      <c r="AC231" s="5"/>
    </row>
    <row r="232" spans="4:29" ht="15" customHeight="1" x14ac:dyDescent="0.25">
      <c r="D232" s="132">
        <v>0</v>
      </c>
      <c r="G232" s="150"/>
      <c r="H232" s="197"/>
      <c r="I232" s="111"/>
      <c r="J232" s="111"/>
      <c r="K232" s="111"/>
      <c r="L232" s="111"/>
      <c r="M232" s="111"/>
      <c r="N232" s="111"/>
      <c r="O232" s="111"/>
      <c r="P232" s="111"/>
      <c r="Q232" s="111"/>
      <c r="R232" s="25"/>
      <c r="S232" s="25"/>
      <c r="T232" s="5"/>
      <c r="U232" s="5"/>
      <c r="V232" s="5"/>
      <c r="W232" s="5"/>
      <c r="X232" s="5"/>
      <c r="Y232" s="5"/>
      <c r="Z232" s="5"/>
      <c r="AA232" s="69"/>
      <c r="AB232" s="5"/>
      <c r="AC232" s="5"/>
    </row>
    <row r="233" spans="4:29" ht="15" customHeight="1" x14ac:dyDescent="0.25">
      <c r="D233" s="132">
        <f>IF($C$10="IOU",1,0)</f>
        <v>1</v>
      </c>
      <c r="G233" s="150"/>
      <c r="H233" s="197" t="s">
        <v>92</v>
      </c>
      <c r="I233" s="111"/>
      <c r="J233" s="111"/>
      <c r="K233" s="111"/>
      <c r="L233" s="111"/>
      <c r="M233" s="111"/>
      <c r="N233" s="111"/>
      <c r="O233" s="111"/>
      <c r="P233" s="111"/>
      <c r="Q233" s="111"/>
      <c r="R233" s="25"/>
      <c r="S233" s="25"/>
      <c r="T233" s="5"/>
      <c r="U233" s="5"/>
      <c r="V233" s="5"/>
      <c r="W233" s="5"/>
      <c r="X233" s="5"/>
      <c r="Y233" s="5"/>
      <c r="Z233" s="5"/>
      <c r="AA233" s="69"/>
      <c r="AB233" s="5"/>
      <c r="AC233" s="5"/>
    </row>
    <row r="234" spans="4:29" ht="15" x14ac:dyDescent="0.25">
      <c r="D234" s="132">
        <v>0</v>
      </c>
      <c r="G234" s="150"/>
      <c r="H234" s="197"/>
      <c r="J234" s="68"/>
      <c r="K234" s="6"/>
      <c r="L234" s="32"/>
      <c r="M234" s="6"/>
      <c r="N234" s="6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69"/>
      <c r="AB234" s="5"/>
      <c r="AC234" s="5"/>
    </row>
    <row r="235" spans="4:29" ht="15" x14ac:dyDescent="0.25">
      <c r="D235" s="132">
        <v>0</v>
      </c>
      <c r="G235" s="150"/>
      <c r="H235" s="197"/>
      <c r="J235" s="68"/>
      <c r="K235" s="6"/>
      <c r="L235" s="32"/>
      <c r="M235" s="6"/>
      <c r="N235" s="6"/>
      <c r="O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69"/>
      <c r="AB235" s="5"/>
      <c r="AC235" s="5"/>
    </row>
    <row r="236" spans="4:29" ht="15" x14ac:dyDescent="0.25">
      <c r="D236" s="132">
        <v>0</v>
      </c>
      <c r="G236" s="150"/>
      <c r="H236" s="197"/>
      <c r="J236" s="68"/>
      <c r="K236" s="6"/>
      <c r="L236" s="32"/>
      <c r="M236" s="6"/>
      <c r="N236" s="6"/>
      <c r="O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69"/>
      <c r="AB236" s="5"/>
      <c r="AC236" s="5"/>
    </row>
    <row r="237" spans="4:29" ht="15" x14ac:dyDescent="0.25">
      <c r="D237" s="132">
        <v>0</v>
      </c>
      <c r="G237" s="150"/>
      <c r="H237" s="197"/>
      <c r="J237" s="68"/>
      <c r="K237" s="6"/>
      <c r="L237" s="32"/>
      <c r="M237" s="6"/>
      <c r="N237" s="6"/>
      <c r="O237" s="5"/>
      <c r="Q237" s="5"/>
      <c r="R237" s="5"/>
      <c r="T237" s="5"/>
      <c r="U237" s="5"/>
      <c r="V237" s="5"/>
      <c r="W237" s="5"/>
      <c r="X237" s="5"/>
      <c r="Y237" s="5"/>
      <c r="Z237" s="5"/>
      <c r="AA237" s="69"/>
      <c r="AB237" s="5"/>
      <c r="AC237" s="5"/>
    </row>
    <row r="238" spans="4:29" ht="15" x14ac:dyDescent="0.25">
      <c r="D238" s="132">
        <v>0</v>
      </c>
      <c r="G238" s="150"/>
      <c r="H238" s="197"/>
      <c r="J238" s="68"/>
      <c r="K238" s="6"/>
      <c r="L238" s="32"/>
      <c r="M238" s="6"/>
      <c r="N238" s="6"/>
      <c r="O238" s="5"/>
      <c r="Q238" s="5"/>
      <c r="T238" s="5"/>
      <c r="U238" s="5"/>
      <c r="V238" s="5"/>
      <c r="W238" s="5"/>
      <c r="X238" s="5"/>
      <c r="Y238" s="5"/>
      <c r="Z238" s="5"/>
      <c r="AA238" s="69"/>
      <c r="AB238" s="5"/>
      <c r="AC238" s="5"/>
    </row>
    <row r="239" spans="4:29" ht="15" x14ac:dyDescent="0.25">
      <c r="D239" s="132">
        <v>0</v>
      </c>
      <c r="G239" s="150"/>
      <c r="H239" s="197"/>
      <c r="J239" s="68"/>
      <c r="K239" s="6"/>
      <c r="L239" s="32"/>
      <c r="M239" s="6"/>
      <c r="N239" s="6"/>
      <c r="O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69"/>
      <c r="AB239" s="5"/>
      <c r="AC239" s="5"/>
    </row>
    <row r="240" spans="4:29" ht="27" customHeight="1" x14ac:dyDescent="0.25">
      <c r="D240" s="132">
        <v>0</v>
      </c>
      <c r="G240" s="150"/>
      <c r="H240" s="114" t="s">
        <v>93</v>
      </c>
      <c r="I240" s="114"/>
      <c r="J240" s="114"/>
      <c r="K240" s="114"/>
      <c r="L240" s="114"/>
      <c r="M240" s="6"/>
      <c r="N240" s="6"/>
      <c r="O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69"/>
      <c r="AB240" s="5"/>
      <c r="AC240" s="5"/>
    </row>
    <row r="241" spans="1:29" ht="15" x14ac:dyDescent="0.25">
      <c r="D241" s="132">
        <v>0</v>
      </c>
      <c r="G241" s="150"/>
      <c r="J241" s="68"/>
      <c r="K241" s="6"/>
      <c r="L241" s="32"/>
      <c r="M241" s="6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69"/>
      <c r="AB241" s="5"/>
      <c r="AC241" s="5"/>
    </row>
    <row r="242" spans="1:29" ht="15" x14ac:dyDescent="0.25">
      <c r="D242" s="132">
        <v>0</v>
      </c>
      <c r="G242" s="150"/>
      <c r="J242" s="68"/>
      <c r="K242" s="6"/>
      <c r="L242" s="32"/>
      <c r="M242" s="6"/>
      <c r="O242" s="5"/>
      <c r="P242" s="5"/>
      <c r="Q242" s="5"/>
      <c r="R242" s="5"/>
      <c r="S242" s="70"/>
      <c r="T242" s="5"/>
      <c r="U242" s="5"/>
      <c r="V242" s="5"/>
      <c r="W242" s="5"/>
      <c r="X242" s="5"/>
      <c r="Y242" s="5"/>
      <c r="Z242" s="5"/>
      <c r="AA242" s="69"/>
      <c r="AB242" s="5"/>
      <c r="AC242" s="5"/>
    </row>
    <row r="243" spans="1:29" ht="15" x14ac:dyDescent="0.25">
      <c r="D243" s="132">
        <v>0</v>
      </c>
      <c r="G243" s="150"/>
      <c r="J243" s="68"/>
      <c r="K243" s="6"/>
      <c r="L243" s="32"/>
      <c r="M243" s="6"/>
      <c r="N243" s="6"/>
      <c r="O243" s="5"/>
      <c r="P243" s="5"/>
      <c r="Q243" s="5"/>
      <c r="R243" s="5"/>
      <c r="S243" s="70"/>
      <c r="T243" s="5"/>
      <c r="U243" s="5"/>
      <c r="V243" s="5"/>
      <c r="W243" s="5"/>
      <c r="X243" s="5"/>
      <c r="Y243" s="5"/>
      <c r="Z243" s="5"/>
      <c r="AA243" s="69"/>
      <c r="AB243" s="5"/>
      <c r="AC243" s="5"/>
    </row>
    <row r="244" spans="1:29" ht="15" x14ac:dyDescent="0.25">
      <c r="D244" s="132">
        <v>0</v>
      </c>
      <c r="G244" s="150"/>
      <c r="J244" s="68"/>
      <c r="K244" s="6"/>
      <c r="L244" s="32"/>
      <c r="M244" s="6"/>
      <c r="N244" s="6"/>
      <c r="O244" s="5"/>
      <c r="P244" s="5"/>
      <c r="Q244" s="5"/>
      <c r="R244" s="5"/>
      <c r="T244" s="5"/>
      <c r="U244" s="5"/>
      <c r="V244" s="5"/>
      <c r="W244" s="5"/>
      <c r="X244" s="5"/>
      <c r="Y244" s="5"/>
      <c r="Z244" s="5"/>
      <c r="AA244" s="69"/>
      <c r="AB244" s="5"/>
      <c r="AC244" s="5"/>
    </row>
    <row r="245" spans="1:29" ht="15" x14ac:dyDescent="0.25">
      <c r="D245" s="132">
        <v>0</v>
      </c>
      <c r="J245" s="68"/>
      <c r="K245" s="6"/>
      <c r="L245" s="32"/>
      <c r="M245" s="6"/>
      <c r="N245" s="6"/>
      <c r="O245" s="5"/>
      <c r="P245" s="5"/>
      <c r="Q245" s="5"/>
      <c r="R245" s="5"/>
      <c r="T245" s="5"/>
      <c r="U245" s="5"/>
      <c r="V245" s="5"/>
      <c r="W245" s="5"/>
      <c r="X245" s="5"/>
      <c r="Y245" s="5"/>
      <c r="Z245" s="5"/>
      <c r="AA245" s="69"/>
      <c r="AB245" s="5"/>
      <c r="AC245" s="5"/>
    </row>
    <row r="246" spans="1:29" ht="15" x14ac:dyDescent="0.25">
      <c r="A246" s="200">
        <v>2</v>
      </c>
      <c r="D246" s="132">
        <v>1</v>
      </c>
      <c r="G246" s="201" t="str">
        <f t="shared" ref="G246:G252" si="61">"("&amp;TEXT(A246,0)&amp;")"</f>
        <v>(2)</v>
      </c>
      <c r="H246" s="115" t="s">
        <v>94</v>
      </c>
      <c r="I246" s="115"/>
      <c r="J246" s="115"/>
      <c r="K246" s="115"/>
      <c r="L246" s="115"/>
      <c r="M246" s="115"/>
      <c r="N246" s="6"/>
      <c r="O246" s="5"/>
      <c r="P246" s="5"/>
      <c r="Q246" s="5"/>
      <c r="R246" s="5"/>
      <c r="S246" s="70"/>
      <c r="T246" s="5"/>
      <c r="U246" s="5"/>
      <c r="V246" s="5"/>
      <c r="W246" s="5"/>
      <c r="X246" s="5"/>
      <c r="Y246" s="5"/>
      <c r="Z246" s="5"/>
      <c r="AB246" s="5"/>
      <c r="AC246" s="5"/>
    </row>
    <row r="247" spans="1:29" ht="15" x14ac:dyDescent="0.25">
      <c r="A247" s="200">
        <v>3</v>
      </c>
      <c r="B247" s="202">
        <f>+F24</f>
        <v>5</v>
      </c>
      <c r="D247" s="132">
        <v>1</v>
      </c>
      <c r="G247" s="203" t="str">
        <f t="shared" si="61"/>
        <v>(3)</v>
      </c>
      <c r="H247" s="2" t="str">
        <f>+"Line "&amp;B247&amp;"."</f>
        <v>Line 5.</v>
      </c>
      <c r="J247" s="68"/>
      <c r="K247" s="6"/>
      <c r="L247" s="32"/>
      <c r="M247" s="6"/>
      <c r="N247" s="6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B247" s="5"/>
      <c r="AC247" s="5"/>
    </row>
    <row r="248" spans="1:29" ht="15" x14ac:dyDescent="0.25">
      <c r="A248" s="200">
        <v>4</v>
      </c>
      <c r="B248" s="202">
        <f>+F38</f>
        <v>17</v>
      </c>
      <c r="D248" s="132">
        <v>1</v>
      </c>
      <c r="G248" s="203" t="str">
        <f t="shared" si="61"/>
        <v>(4)</v>
      </c>
      <c r="H248" s="2" t="str">
        <f>+"Line "&amp;B248&amp;" + line "&amp;B248-2&amp;"."</f>
        <v>Line 17 + line 15.</v>
      </c>
      <c r="J248" s="68"/>
      <c r="K248" s="6"/>
      <c r="L248" s="32"/>
      <c r="M248" s="6"/>
      <c r="N248" s="6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B248" s="5"/>
      <c r="AC248" s="5"/>
    </row>
    <row r="249" spans="1:29" ht="15" x14ac:dyDescent="0.25">
      <c r="A249" s="200">
        <v>5</v>
      </c>
      <c r="B249" s="202">
        <f>+B248</f>
        <v>17</v>
      </c>
      <c r="D249" s="132">
        <v>1</v>
      </c>
      <c r="G249" s="203" t="str">
        <f t="shared" si="61"/>
        <v>(5)</v>
      </c>
      <c r="H249" s="2" t="str">
        <f>+"Line "&amp;B249&amp;"."</f>
        <v>Line 17.</v>
      </c>
      <c r="J249" s="68"/>
      <c r="K249" s="6"/>
      <c r="L249" s="32"/>
      <c r="M249" s="6"/>
      <c r="N249" s="6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B249" s="5"/>
      <c r="AC249" s="5"/>
    </row>
    <row r="250" spans="1:29" ht="30" customHeight="1" x14ac:dyDescent="0.25">
      <c r="A250" s="200">
        <v>6</v>
      </c>
      <c r="D250" s="132">
        <f>IF($C$10="IOU",0,1)</f>
        <v>0</v>
      </c>
      <c r="G250" s="201" t="str">
        <f t="shared" si="61"/>
        <v>(6)</v>
      </c>
      <c r="H250" s="112" t="str">
        <f>+"Capital Expenditures - Are estimates at "&amp;TEXT(Q303,"0.00%")&amp;" of prior year-end GROSS Property, plant and equipment."</f>
        <v>Capital Expenditures - Are estimates at 1.59% of prior year-end GROSS Property, plant and equipment.</v>
      </c>
      <c r="I250" s="112"/>
      <c r="J250" s="112"/>
      <c r="K250" s="112"/>
      <c r="L250" s="112"/>
      <c r="M250" s="112"/>
      <c r="N250" s="109"/>
      <c r="O250" s="109"/>
      <c r="P250" s="109"/>
      <c r="Q250" s="109"/>
      <c r="R250" s="5"/>
      <c r="S250" s="5"/>
      <c r="T250" s="5" t="s">
        <v>95</v>
      </c>
      <c r="U250" s="5" t="s">
        <v>95</v>
      </c>
      <c r="V250" s="5" t="s">
        <v>95</v>
      </c>
      <c r="W250" s="5" t="s">
        <v>95</v>
      </c>
      <c r="X250" s="5" t="s">
        <v>95</v>
      </c>
      <c r="Y250" s="5" t="s">
        <v>95</v>
      </c>
      <c r="Z250" s="5" t="s">
        <v>95</v>
      </c>
      <c r="AA250" s="5" t="s">
        <v>95</v>
      </c>
      <c r="AB250" s="5"/>
      <c r="AC250" s="5"/>
    </row>
    <row r="251" spans="1:29" ht="30.75" customHeight="1" x14ac:dyDescent="0.25">
      <c r="A251" s="200">
        <v>6</v>
      </c>
      <c r="D251" s="132">
        <f>IF($C$10="IOU",1,0)</f>
        <v>1</v>
      </c>
      <c r="F251" s="150"/>
      <c r="G251" s="201" t="str">
        <f t="shared" si="61"/>
        <v>(6)</v>
      </c>
      <c r="H251" s="116" t="str">
        <f>+"Capital Expenditures - Are estimates at "&amp;TEXT(Q303,"0.00%")&amp;" of prior year-end GROSS Property, plant and equipment."</f>
        <v>Capital Expenditures - Are estimates at 1.59% of prior year-end GROSS Property, plant and equipment.</v>
      </c>
      <c r="I251" s="116"/>
      <c r="J251" s="116"/>
      <c r="K251" s="116"/>
      <c r="L251" s="116"/>
      <c r="M251" s="116"/>
      <c r="N251" s="109"/>
      <c r="O251" s="109"/>
      <c r="P251" s="109"/>
      <c r="Q251" s="109"/>
      <c r="R251" s="5"/>
      <c r="T251" s="204" t="str">
        <f>+"reduction in cost due to the fact governmental agencies must pay prevailing wages while private companies do not. Post-2020 years are estimates at "&amp;TEXT(Q303,"0.00%")&amp;" of prior year-end GROSS Property, plant and equipment."</f>
        <v>reduction in cost due to the fact governmental agencies must pay prevailing wages while private companies do not. Post-2020 years are estimates at 1.59% of prior year-end GROSS Property, plant and equipment.</v>
      </c>
      <c r="U251" s="5"/>
      <c r="V251" s="5"/>
      <c r="W251" s="5"/>
      <c r="X251" s="5"/>
      <c r="Y251" s="5"/>
      <c r="Z251" s="5"/>
      <c r="AB251" s="5"/>
      <c r="AC251" s="5"/>
    </row>
    <row r="252" spans="1:29" ht="17.25" customHeight="1" x14ac:dyDescent="0.25">
      <c r="A252" s="200">
        <v>7</v>
      </c>
      <c r="D252" s="132">
        <v>1</v>
      </c>
      <c r="G252" s="201" t="str">
        <f t="shared" si="61"/>
        <v>(7)</v>
      </c>
      <c r="H252" s="205" t="s">
        <v>96</v>
      </c>
      <c r="I252" s="205"/>
      <c r="J252" s="205"/>
      <c r="K252" s="205"/>
      <c r="L252" s="205"/>
      <c r="M252" s="205"/>
      <c r="N252" s="205"/>
      <c r="O252" s="205"/>
      <c r="P252" s="205"/>
      <c r="Q252" s="205"/>
      <c r="R252" s="206"/>
      <c r="S252" s="206"/>
      <c r="T252" s="5" t="str">
        <f>+"Capital Expenditures - Year 2016 are from Engineers Assessment inventory post-2015 additions. Years 2017 - 2020 are from Engineers Assessment CIP @ 30%. "&amp;T251</f>
        <v>Capital Expenditures - Year 2016 are from Engineers Assessment inventory post-2015 additions. Years 2017 - 2020 are from Engineers Assessment CIP @ 30%. reduction in cost due to the fact governmental agencies must pay prevailing wages while private companies do not. Post-2020 years are estimates at 1.59% of prior year-end GROSS Property, plant and equipment.</v>
      </c>
      <c r="U252" s="5"/>
      <c r="V252" s="5"/>
      <c r="W252" s="5"/>
      <c r="X252" s="5"/>
      <c r="Y252" s="5"/>
      <c r="Z252" s="5"/>
      <c r="AB252" s="5"/>
      <c r="AC252" s="5"/>
    </row>
    <row r="253" spans="1:29" ht="15" x14ac:dyDescent="0.25">
      <c r="D253" s="132">
        <v>0</v>
      </c>
    </row>
    <row r="254" spans="1:29" ht="30.75" customHeight="1" x14ac:dyDescent="0.25">
      <c r="A254" s="5">
        <v>0</v>
      </c>
      <c r="D254" s="132">
        <v>0</v>
      </c>
      <c r="G254" s="201"/>
      <c r="H254" s="207" t="s">
        <v>97</v>
      </c>
      <c r="I254" s="207"/>
      <c r="J254" s="207"/>
      <c r="K254" s="207"/>
      <c r="L254" s="207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B254" s="5"/>
      <c r="AC254" s="5"/>
    </row>
    <row r="255" spans="1:29" ht="15" x14ac:dyDescent="0.25">
      <c r="A255" s="5">
        <v>0</v>
      </c>
      <c r="D255" s="132">
        <v>0</v>
      </c>
      <c r="G255" s="203"/>
      <c r="H255" s="2" t="s">
        <v>98</v>
      </c>
      <c r="I255" s="6"/>
      <c r="J255" s="208"/>
      <c r="K255" s="6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B255" s="5"/>
      <c r="AC255" s="5"/>
    </row>
    <row r="256" spans="1:29" ht="30" customHeight="1" x14ac:dyDescent="0.25">
      <c r="A256" s="5">
        <v>8</v>
      </c>
      <c r="D256" s="132">
        <f>IF($C$10="IOU",1,0)</f>
        <v>1</v>
      </c>
      <c r="G256" s="201" t="str">
        <f t="shared" ref="G256:G264" si="62">"("&amp;TEXT(A256,0)&amp;")"</f>
        <v>(8)</v>
      </c>
      <c r="H256" s="207" t="s">
        <v>99</v>
      </c>
      <c r="I256" s="207"/>
      <c r="J256" s="207"/>
      <c r="K256" s="207"/>
      <c r="L256" s="207"/>
      <c r="M256" s="207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B256" s="5"/>
      <c r="AC256" s="5"/>
    </row>
    <row r="257" spans="1:29" ht="30" customHeight="1" x14ac:dyDescent="0.25">
      <c r="A257" s="5">
        <v>9</v>
      </c>
      <c r="D257" s="132">
        <f>IF($C$10="IOU",1,0)</f>
        <v>1</v>
      </c>
      <c r="G257" s="201" t="str">
        <f t="shared" si="62"/>
        <v>(9)</v>
      </c>
      <c r="H257" s="207" t="s">
        <v>100</v>
      </c>
      <c r="I257" s="207"/>
      <c r="J257" s="207"/>
      <c r="K257" s="207"/>
      <c r="L257" s="207"/>
      <c r="M257" s="207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B257" s="5"/>
      <c r="AC257" s="5"/>
    </row>
    <row r="258" spans="1:29" ht="30" customHeight="1" x14ac:dyDescent="0.25">
      <c r="A258" s="5">
        <v>8</v>
      </c>
      <c r="D258" s="132">
        <f>IF($C$10="IOU",0,1)</f>
        <v>0</v>
      </c>
      <c r="G258" s="201" t="str">
        <f t="shared" si="62"/>
        <v>(8)</v>
      </c>
      <c r="H258" s="207" t="s">
        <v>101</v>
      </c>
      <c r="I258" s="207"/>
      <c r="J258" s="207"/>
      <c r="K258" s="207"/>
      <c r="L258" s="207"/>
      <c r="M258" s="207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B258" s="5"/>
      <c r="AC258" s="5"/>
    </row>
    <row r="259" spans="1:29" ht="30" customHeight="1" x14ac:dyDescent="0.25">
      <c r="A259" s="5">
        <v>9</v>
      </c>
      <c r="D259" s="132">
        <f>IF($C$10="MUNI",1,0)</f>
        <v>0</v>
      </c>
      <c r="G259" s="201" t="str">
        <f t="shared" si="62"/>
        <v>(9)</v>
      </c>
      <c r="H259" s="207" t="s">
        <v>102</v>
      </c>
      <c r="I259" s="207"/>
      <c r="J259" s="207"/>
      <c r="K259" s="207"/>
      <c r="L259" s="207"/>
      <c r="M259" s="207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B259" s="5"/>
      <c r="AC259" s="5"/>
    </row>
    <row r="260" spans="1:29" ht="15" x14ac:dyDescent="0.25">
      <c r="A260" s="5">
        <v>10</v>
      </c>
      <c r="B260" s="202">
        <f>+F52</f>
        <v>27</v>
      </c>
      <c r="D260" s="132">
        <v>1</v>
      </c>
      <c r="G260" s="203" t="str">
        <f t="shared" si="62"/>
        <v>(10)</v>
      </c>
      <c r="H260" s="2" t="str">
        <f>+"Final year shown, line "&amp;B260&amp;"."</f>
        <v>Final year shown, line 27.</v>
      </c>
      <c r="I260" s="6"/>
      <c r="J260" s="208"/>
      <c r="K260" s="6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B260" s="5"/>
      <c r="AC260" s="5"/>
    </row>
    <row r="261" spans="1:29" ht="15" x14ac:dyDescent="0.25">
      <c r="A261" s="5">
        <v>11</v>
      </c>
      <c r="B261" s="202">
        <f>IF($C$10="IOU",+F54,+F70)</f>
        <v>29</v>
      </c>
      <c r="D261" s="132">
        <f>IF($C$10="SUBJECT",0,1)</f>
        <v>1</v>
      </c>
      <c r="G261" s="203" t="str">
        <f t="shared" si="62"/>
        <v>(11)</v>
      </c>
      <c r="H261" s="2" t="str">
        <f>+"Final year shown, line "&amp;B261&amp;"."</f>
        <v>Final year shown, line 29.</v>
      </c>
      <c r="I261" s="6"/>
      <c r="J261" s="208"/>
      <c r="K261" s="6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B261" s="5"/>
      <c r="AC261" s="5"/>
    </row>
    <row r="262" spans="1:29" ht="15" x14ac:dyDescent="0.25">
      <c r="A262" s="5">
        <v>12</v>
      </c>
      <c r="B262" s="202">
        <f>IF($C$10="IOU",+F58,+F70)</f>
        <v>31</v>
      </c>
      <c r="D262" s="132">
        <f>IF($C$10="SUBJECT",0,1)</f>
        <v>1</v>
      </c>
      <c r="G262" s="203" t="str">
        <f t="shared" si="62"/>
        <v>(12)</v>
      </c>
      <c r="H262" s="2" t="str">
        <f>+"Final year shown, line "&amp;B262&amp;"."</f>
        <v>Final year shown, line 31.</v>
      </c>
      <c r="I262" s="6"/>
      <c r="J262" s="208"/>
      <c r="K262" s="6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B262" s="5"/>
      <c r="AC262" s="5"/>
    </row>
    <row r="263" spans="1:29" ht="15" x14ac:dyDescent="0.25">
      <c r="A263" s="5">
        <v>13</v>
      </c>
      <c r="B263" s="2"/>
      <c r="D263" s="132">
        <f>IF($C$10="SUBJECT",0,1)</f>
        <v>1</v>
      </c>
      <c r="G263" s="203" t="str">
        <f t="shared" si="62"/>
        <v>(13)</v>
      </c>
      <c r="H263" s="2" t="s">
        <v>103</v>
      </c>
      <c r="I263" s="6"/>
      <c r="J263" s="208"/>
      <c r="K263" s="6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B263" s="5"/>
      <c r="AC263" s="5"/>
    </row>
    <row r="264" spans="1:29" ht="15" x14ac:dyDescent="0.25">
      <c r="A264" s="5">
        <v>11</v>
      </c>
      <c r="D264" s="132"/>
      <c r="G264" s="203" t="str">
        <f t="shared" si="62"/>
        <v>(11)</v>
      </c>
      <c r="H264" s="2" t="s">
        <v>104</v>
      </c>
      <c r="I264" s="6"/>
      <c r="J264" s="208"/>
      <c r="K264" s="6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</row>
    <row r="265" spans="1:29" ht="15" x14ac:dyDescent="0.25">
      <c r="D265" s="132">
        <v>0</v>
      </c>
      <c r="G265" s="203"/>
      <c r="I265" s="6"/>
      <c r="J265" s="208"/>
      <c r="K265" s="6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</row>
    <row r="266" spans="1:29" ht="15" x14ac:dyDescent="0.25">
      <c r="B266" s="2"/>
      <c r="D266" s="132">
        <v>0</v>
      </c>
      <c r="G266" s="209"/>
      <c r="I266" s="6"/>
      <c r="J266" s="208"/>
      <c r="K266" s="6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</row>
    <row r="267" spans="1:29" ht="15" x14ac:dyDescent="0.25">
      <c r="D267" s="132">
        <v>1</v>
      </c>
      <c r="G267" s="209"/>
      <c r="H267" s="208"/>
      <c r="I267" s="6"/>
      <c r="J267" s="208"/>
      <c r="K267" s="6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</row>
    <row r="268" spans="1:29" ht="15" x14ac:dyDescent="0.25">
      <c r="D268" s="132">
        <v>1</v>
      </c>
      <c r="G268" s="210" t="s">
        <v>105</v>
      </c>
      <c r="I268" s="6"/>
      <c r="J268" s="208"/>
      <c r="K268" s="6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</row>
    <row r="269" spans="1:29" ht="15" x14ac:dyDescent="0.25">
      <c r="D269" s="132">
        <v>1</v>
      </c>
      <c r="G269" s="210"/>
      <c r="H269" s="2" t="s">
        <v>106</v>
      </c>
      <c r="I269" s="6"/>
      <c r="J269" s="208"/>
      <c r="K269" s="6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</row>
    <row r="270" spans="1:29" ht="15" x14ac:dyDescent="0.25">
      <c r="D270" s="132">
        <v>1</v>
      </c>
      <c r="G270" s="210"/>
      <c r="H270" s="2" t="s">
        <v>107</v>
      </c>
      <c r="I270" s="6"/>
      <c r="J270" s="208"/>
      <c r="K270" s="6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</row>
    <row r="271" spans="1:29" ht="15" x14ac:dyDescent="0.25">
      <c r="D271" s="132">
        <v>1</v>
      </c>
      <c r="G271" s="210"/>
      <c r="H271" s="2" t="s">
        <v>108</v>
      </c>
      <c r="I271" s="6"/>
      <c r="J271" s="208"/>
      <c r="K271" s="6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</row>
    <row r="272" spans="1:29" ht="15" x14ac:dyDescent="0.25">
      <c r="D272" s="132">
        <v>1</v>
      </c>
      <c r="G272" s="209"/>
      <c r="H272" s="2" t="s">
        <v>109</v>
      </c>
      <c r="I272" s="6"/>
      <c r="J272" s="208"/>
      <c r="K272" s="6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</row>
    <row r="273" spans="4:29" ht="15" x14ac:dyDescent="0.25">
      <c r="D273" s="132">
        <v>1</v>
      </c>
      <c r="G273" s="211"/>
      <c r="H273" s="2" t="s">
        <v>110</v>
      </c>
      <c r="I273" s="6"/>
      <c r="J273" s="6"/>
      <c r="K273" s="6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</row>
    <row r="274" spans="4:29" ht="15" x14ac:dyDescent="0.25">
      <c r="D274" s="132">
        <v>1</v>
      </c>
      <c r="G274" s="211"/>
      <c r="H274" s="2" t="s">
        <v>111</v>
      </c>
      <c r="I274" s="6"/>
      <c r="J274" s="6"/>
      <c r="K274" s="6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</row>
    <row r="275" spans="4:29" ht="15" x14ac:dyDescent="0.25">
      <c r="D275" s="132">
        <v>1</v>
      </c>
      <c r="G275" s="211"/>
      <c r="H275" s="2" t="s">
        <v>112</v>
      </c>
      <c r="I275" s="6"/>
      <c r="J275" s="6"/>
      <c r="K275" s="6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</row>
    <row r="276" spans="4:29" ht="15" x14ac:dyDescent="0.25">
      <c r="D276" s="132">
        <v>0</v>
      </c>
      <c r="G276" s="211"/>
      <c r="H276" s="2" t="s">
        <v>113</v>
      </c>
      <c r="I276" s="6"/>
      <c r="J276" s="6"/>
      <c r="K276" s="6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</row>
    <row r="277" spans="4:29" ht="15" x14ac:dyDescent="0.25">
      <c r="D277" s="132">
        <v>0</v>
      </c>
      <c r="G277" s="211"/>
      <c r="I277" s="6"/>
      <c r="J277" s="6"/>
      <c r="K277" s="6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</row>
    <row r="278" spans="4:29" ht="15" x14ac:dyDescent="0.25">
      <c r="D278" s="132">
        <v>0</v>
      </c>
      <c r="G278" s="211">
        <v>13</v>
      </c>
      <c r="H278" s="208"/>
      <c r="I278" s="6"/>
      <c r="J278" s="6"/>
      <c r="K278" s="6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</row>
    <row r="279" spans="4:29" ht="15" x14ac:dyDescent="0.25">
      <c r="D279" s="132">
        <v>0</v>
      </c>
      <c r="G279" s="211">
        <v>14</v>
      </c>
      <c r="H279" s="6"/>
      <c r="I279" s="6"/>
      <c r="J279" s="6"/>
      <c r="K279" s="6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</row>
    <row r="280" spans="4:29" ht="15" x14ac:dyDescent="0.25">
      <c r="D280" s="132">
        <v>0</v>
      </c>
      <c r="G280" s="211">
        <v>15</v>
      </c>
      <c r="H280" s="6"/>
      <c r="I280" s="6"/>
      <c r="J280" s="6"/>
      <c r="K280" s="6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</row>
    <row r="281" spans="4:29" ht="15" x14ac:dyDescent="0.25">
      <c r="D281" s="132">
        <v>0</v>
      </c>
      <c r="G281" s="211">
        <v>16</v>
      </c>
      <c r="H281" s="6"/>
      <c r="I281" s="6"/>
      <c r="J281" s="6"/>
      <c r="K281" s="6"/>
      <c r="L281" s="5"/>
      <c r="N281" s="5"/>
      <c r="R281" s="5"/>
      <c r="AA281" s="5"/>
      <c r="AB281" s="5"/>
      <c r="AC281" s="5"/>
    </row>
    <row r="282" spans="4:29" ht="15" x14ac:dyDescent="0.25">
      <c r="D282" s="132">
        <v>0</v>
      </c>
      <c r="G282" s="211">
        <v>17</v>
      </c>
      <c r="H282" s="6"/>
      <c r="I282" s="15"/>
      <c r="J282" s="15"/>
      <c r="K282" s="15"/>
      <c r="L282" s="15"/>
      <c r="M282" s="15"/>
      <c r="N282" s="15"/>
      <c r="O282" s="15"/>
      <c r="P282" s="15"/>
      <c r="R282" s="5"/>
      <c r="AA282" s="5"/>
      <c r="AB282" s="5"/>
      <c r="AC282" s="5"/>
    </row>
    <row r="283" spans="4:29" ht="15.75" thickBot="1" x14ac:dyDescent="0.3">
      <c r="D283" s="132">
        <v>0</v>
      </c>
      <c r="H283" s="6"/>
      <c r="I283" s="6"/>
      <c r="J283" s="6"/>
      <c r="K283" s="6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</row>
    <row r="284" spans="4:29" ht="13.5" thickBot="1" x14ac:dyDescent="0.25">
      <c r="G284" s="212" t="s">
        <v>114</v>
      </c>
      <c r="H284" s="213"/>
      <c r="I284" s="213"/>
      <c r="J284" s="213"/>
      <c r="K284" s="213"/>
      <c r="L284" s="213"/>
      <c r="M284" s="213"/>
      <c r="N284" s="214"/>
      <c r="O284" s="215" t="s">
        <v>114</v>
      </c>
      <c r="P284" s="35"/>
      <c r="Q284" s="35"/>
      <c r="R284" s="35"/>
      <c r="S284" s="35"/>
      <c r="T284" s="35"/>
      <c r="U284" s="35"/>
      <c r="V284" s="36"/>
      <c r="W284" s="5"/>
      <c r="X284" s="5"/>
      <c r="Y284" s="5"/>
      <c r="Z284" s="5"/>
      <c r="AA284" s="5"/>
      <c r="AB284" s="5"/>
      <c r="AC284" s="5"/>
    </row>
    <row r="285" spans="4:29" x14ac:dyDescent="0.2">
      <c r="H285" s="76">
        <f t="shared" ref="H285:Z285" si="63">+H19</f>
        <v>2013</v>
      </c>
      <c r="I285" s="76">
        <f t="shared" si="63"/>
        <v>2014</v>
      </c>
      <c r="J285" s="76">
        <f t="shared" si="63"/>
        <v>2015</v>
      </c>
      <c r="K285" s="76">
        <f t="shared" si="63"/>
        <v>2016</v>
      </c>
      <c r="L285" s="76">
        <f t="shared" si="63"/>
        <v>2017</v>
      </c>
      <c r="M285" s="76">
        <f t="shared" si="63"/>
        <v>2018</v>
      </c>
      <c r="N285" s="216">
        <f t="shared" si="63"/>
        <v>2019</v>
      </c>
      <c r="O285" s="216">
        <f t="shared" si="63"/>
        <v>2020</v>
      </c>
      <c r="P285" s="76">
        <f t="shared" si="63"/>
        <v>2021</v>
      </c>
      <c r="Q285" s="76">
        <f t="shared" si="63"/>
        <v>2022</v>
      </c>
      <c r="R285" s="76">
        <f t="shared" si="63"/>
        <v>2023</v>
      </c>
      <c r="S285" s="76">
        <f t="shared" si="63"/>
        <v>2024</v>
      </c>
      <c r="T285" s="76">
        <f t="shared" si="63"/>
        <v>2025</v>
      </c>
      <c r="U285" s="76">
        <f t="shared" si="63"/>
        <v>2026</v>
      </c>
      <c r="V285" s="76">
        <f t="shared" si="63"/>
        <v>2027</v>
      </c>
      <c r="W285" s="76">
        <f t="shared" si="63"/>
        <v>2028</v>
      </c>
      <c r="X285" s="76">
        <f t="shared" si="63"/>
        <v>2029</v>
      </c>
      <c r="Y285" s="76">
        <f t="shared" si="63"/>
        <v>2030</v>
      </c>
      <c r="Z285" s="76">
        <f t="shared" si="63"/>
        <v>2031</v>
      </c>
      <c r="AA285" s="76">
        <f t="shared" ref="AA285" si="64">+Z285+1</f>
        <v>2032</v>
      </c>
    </row>
    <row r="286" spans="4:29" x14ac:dyDescent="0.2">
      <c r="H286" s="76"/>
      <c r="I286" s="76"/>
      <c r="J286" s="76"/>
      <c r="K286" s="76"/>
      <c r="L286" s="76"/>
      <c r="M286" s="76"/>
      <c r="N286" s="76"/>
      <c r="O286" s="76"/>
      <c r="P286" s="76"/>
      <c r="Q286" s="76"/>
      <c r="R286" s="76"/>
      <c r="S286" s="76"/>
      <c r="T286" s="76"/>
      <c r="U286" s="76"/>
      <c r="V286" s="76"/>
      <c r="W286" s="76"/>
      <c r="X286" s="76"/>
      <c r="Y286" s="76"/>
      <c r="Z286" s="76"/>
      <c r="AA286" s="76"/>
    </row>
    <row r="287" spans="4:29" x14ac:dyDescent="0.2">
      <c r="G287" s="2" t="s">
        <v>115</v>
      </c>
      <c r="H287" s="217">
        <f>+H449</f>
        <v>0</v>
      </c>
      <c r="I287" s="217">
        <f t="shared" ref="I287:J287" si="65">+I449</f>
        <v>0</v>
      </c>
      <c r="J287" s="217">
        <f t="shared" si="65"/>
        <v>0</v>
      </c>
      <c r="K287" s="217"/>
      <c r="L287" s="217">
        <v>10225921</v>
      </c>
      <c r="M287" s="217">
        <f>+L287+M304-M309</f>
        <v>10225921</v>
      </c>
      <c r="N287" s="217">
        <f>+M287+N304-N309</f>
        <v>10365471</v>
      </c>
      <c r="O287" s="217">
        <f>+N287+O304-O309</f>
        <v>10505805</v>
      </c>
      <c r="P287" s="217">
        <f>+O287+P304-P309</f>
        <v>10648048</v>
      </c>
      <c r="Q287" s="217">
        <f>+P287+Q304-Q309</f>
        <v>10792217</v>
      </c>
      <c r="R287" s="217">
        <f>+Q287+R304-R309</f>
        <v>10938338</v>
      </c>
      <c r="S287" s="217">
        <f>+R287+S304-S309</f>
        <v>11086438</v>
      </c>
      <c r="T287" s="217">
        <f>+S287+T304-T309</f>
        <v>11236543</v>
      </c>
      <c r="U287" s="217">
        <f>+T287+U304-U309</f>
        <v>11388405</v>
      </c>
      <c r="V287" s="217">
        <f>+U287+V304-V309</f>
        <v>11542320</v>
      </c>
      <c r="W287" s="217">
        <f>+V287+W304-W309</f>
        <v>11698315</v>
      </c>
      <c r="X287" s="217">
        <f>+W287+X304-X309</f>
        <v>11856418</v>
      </c>
      <c r="Y287" s="217">
        <f>+X287+Y304-Y309</f>
        <v>12016657</v>
      </c>
      <c r="Z287" s="217">
        <f>+Y287+Z304-Z309</f>
        <v>12179062</v>
      </c>
      <c r="AA287" s="76"/>
    </row>
    <row r="288" spans="4:29" x14ac:dyDescent="0.2">
      <c r="G288" s="2" t="s">
        <v>116</v>
      </c>
      <c r="H288" s="217">
        <f t="shared" ref="H288:J288" si="66">+H450</f>
        <v>0</v>
      </c>
      <c r="I288" s="217">
        <f t="shared" si="66"/>
        <v>0</v>
      </c>
      <c r="J288" s="217">
        <f t="shared" si="66"/>
        <v>0</v>
      </c>
      <c r="K288" s="217"/>
      <c r="L288" s="217">
        <v>3483924</v>
      </c>
      <c r="M288" s="217">
        <f>+L288+M312-M309</f>
        <v>3656742.0649000001</v>
      </c>
      <c r="N288" s="217">
        <f>+M288+N312-N309</f>
        <v>3805903.9335000003</v>
      </c>
      <c r="O288" s="217">
        <f>+N288+O312-O309</f>
        <v>3957291.8649000004</v>
      </c>
      <c r="P288" s="217">
        <f>+O288+P312-P309</f>
        <v>4110727.7456000005</v>
      </c>
      <c r="Q288" s="217">
        <f>+P288+Q312-Q309</f>
        <v>4266240.7870000005</v>
      </c>
      <c r="R288" s="217">
        <f>+Q288+R312-R309</f>
        <v>4423860.4709000001</v>
      </c>
      <c r="S288" s="217">
        <f>+R288+S312-S309</f>
        <v>4583613.7016000003</v>
      </c>
      <c r="T288" s="217">
        <f>+S288+T312-T309</f>
        <v>4745529.8397000004</v>
      </c>
      <c r="U288" s="217">
        <f>+T288+U312-U309</f>
        <v>4909685.5133000007</v>
      </c>
      <c r="V288" s="217">
        <f>+U288+V312-V309</f>
        <v>5076059.5369000006</v>
      </c>
      <c r="W288" s="217">
        <f>+V288+W312-W309</f>
        <v>5244682.5217000004</v>
      </c>
      <c r="X288" s="217">
        <f>+W288+X312-X309</f>
        <v>5415584.5352000007</v>
      </c>
      <c r="Y288" s="217">
        <f>+X288+Y312-Y309</f>
        <v>5588795.1012000004</v>
      </c>
      <c r="Z288" s="217">
        <f>+Y288+Z312-Z309</f>
        <v>5764346.2505000001</v>
      </c>
      <c r="AA288" s="76"/>
    </row>
    <row r="289" spans="4:27" ht="13.5" thickBot="1" x14ac:dyDescent="0.25">
      <c r="G289" s="218" t="s">
        <v>117</v>
      </c>
      <c r="H289" s="219">
        <f>+H287-H288</f>
        <v>0</v>
      </c>
      <c r="I289" s="219">
        <f t="shared" ref="I289:Z289" si="67">+I287-I288</f>
        <v>0</v>
      </c>
      <c r="J289" s="219">
        <f t="shared" si="67"/>
        <v>0</v>
      </c>
      <c r="K289" s="219"/>
      <c r="L289" s="219">
        <v>6741997</v>
      </c>
      <c r="M289" s="219">
        <f t="shared" si="67"/>
        <v>6569178.9351000004</v>
      </c>
      <c r="N289" s="219">
        <f t="shared" si="67"/>
        <v>6559567.0664999997</v>
      </c>
      <c r="O289" s="219">
        <f t="shared" si="67"/>
        <v>6548513.1350999996</v>
      </c>
      <c r="P289" s="219">
        <f t="shared" si="67"/>
        <v>6537320.2544</v>
      </c>
      <c r="Q289" s="219">
        <f t="shared" si="67"/>
        <v>6525976.2129999995</v>
      </c>
      <c r="R289" s="219">
        <f t="shared" si="67"/>
        <v>6514477.5290999999</v>
      </c>
      <c r="S289" s="219">
        <f t="shared" si="67"/>
        <v>6502824.2983999997</v>
      </c>
      <c r="T289" s="219">
        <f t="shared" si="67"/>
        <v>6491013.1602999996</v>
      </c>
      <c r="U289" s="219">
        <f t="shared" si="67"/>
        <v>6478719.4866999993</v>
      </c>
      <c r="V289" s="219">
        <f t="shared" si="67"/>
        <v>6466260.4630999994</v>
      </c>
      <c r="W289" s="219">
        <f t="shared" si="67"/>
        <v>6453632.4782999996</v>
      </c>
      <c r="X289" s="219">
        <f t="shared" si="67"/>
        <v>6440833.4647999993</v>
      </c>
      <c r="Y289" s="219">
        <f t="shared" si="67"/>
        <v>6427861.8987999996</v>
      </c>
      <c r="Z289" s="219">
        <f t="shared" si="67"/>
        <v>6414715.7494999999</v>
      </c>
      <c r="AA289" s="76"/>
    </row>
    <row r="290" spans="4:27" ht="13.5" thickTop="1" x14ac:dyDescent="0.2">
      <c r="H290" s="76"/>
      <c r="I290" s="76"/>
      <c r="J290" s="76"/>
      <c r="K290" s="76"/>
      <c r="L290" s="220"/>
      <c r="M290" s="76"/>
      <c r="N290" s="76"/>
      <c r="O290" s="76"/>
      <c r="P290" s="76"/>
      <c r="Q290" s="76"/>
      <c r="R290" s="76"/>
      <c r="S290" s="76"/>
      <c r="T290" s="76"/>
      <c r="U290" s="76"/>
      <c r="V290" s="76"/>
      <c r="W290" s="76"/>
      <c r="X290" s="76"/>
      <c r="Y290" s="76"/>
      <c r="Z290" s="220"/>
      <c r="AA290" s="76"/>
    </row>
    <row r="291" spans="4:27" ht="15" x14ac:dyDescent="0.25">
      <c r="G291" s="69" t="s">
        <v>118</v>
      </c>
      <c r="H291" s="217">
        <f>+H453</f>
        <v>0</v>
      </c>
      <c r="I291" s="217">
        <f t="shared" ref="I291:K292" si="68">+I453</f>
        <v>0</v>
      </c>
      <c r="J291" s="217">
        <f t="shared" si="68"/>
        <v>0</v>
      </c>
      <c r="K291" s="217">
        <f t="shared" si="68"/>
        <v>0</v>
      </c>
      <c r="L291" s="221">
        <f>+K291</f>
        <v>0</v>
      </c>
      <c r="M291" s="222">
        <f>+L291</f>
        <v>0</v>
      </c>
      <c r="N291" s="222">
        <f>+M291</f>
        <v>0</v>
      </c>
      <c r="O291" s="223"/>
      <c r="P291" s="223"/>
      <c r="Q291" s="223"/>
      <c r="R291" s="223"/>
      <c r="S291" s="223"/>
      <c r="T291" s="223"/>
      <c r="U291" s="223"/>
      <c r="V291" s="223"/>
      <c r="W291" s="223"/>
      <c r="X291" s="223"/>
      <c r="Y291" s="223"/>
      <c r="Z291" s="223"/>
      <c r="AA291" s="76"/>
    </row>
    <row r="292" spans="4:27" ht="15" x14ac:dyDescent="0.25">
      <c r="D292" s="224"/>
      <c r="G292" s="69" t="s">
        <v>119</v>
      </c>
      <c r="H292" s="217">
        <f>+H454</f>
        <v>0</v>
      </c>
      <c r="I292" s="217">
        <f t="shared" si="68"/>
        <v>0</v>
      </c>
      <c r="J292" s="217">
        <f t="shared" si="68"/>
        <v>0</v>
      </c>
      <c r="K292" s="217">
        <f t="shared" si="68"/>
        <v>5675460</v>
      </c>
      <c r="L292" s="221">
        <f>+K292</f>
        <v>5675460</v>
      </c>
      <c r="M292" s="221">
        <f t="shared" ref="M292:N292" si="69">+L292</f>
        <v>5675460</v>
      </c>
      <c r="N292" s="221">
        <f t="shared" si="69"/>
        <v>5675460</v>
      </c>
      <c r="O292" s="223"/>
      <c r="P292" s="223"/>
      <c r="Q292" s="223"/>
      <c r="R292" s="223"/>
      <c r="S292" s="223"/>
      <c r="T292" s="223"/>
      <c r="U292" s="223"/>
      <c r="V292" s="223"/>
      <c r="W292" s="223"/>
      <c r="X292" s="223"/>
      <c r="Y292" s="223"/>
      <c r="Z292" s="223"/>
      <c r="AA292" s="76"/>
    </row>
    <row r="293" spans="4:27" ht="13.5" thickBot="1" x14ac:dyDescent="0.25">
      <c r="G293" s="218" t="s">
        <v>120</v>
      </c>
      <c r="H293" s="219">
        <f>SUM(H291:H292)</f>
        <v>0</v>
      </c>
      <c r="I293" s="219">
        <f t="shared" ref="I293:L293" si="70">SUM(I291:I292)</f>
        <v>0</v>
      </c>
      <c r="J293" s="219">
        <f t="shared" si="70"/>
        <v>0</v>
      </c>
      <c r="K293" s="219">
        <f t="shared" si="70"/>
        <v>5675460</v>
      </c>
      <c r="L293" s="219">
        <f t="shared" si="70"/>
        <v>5675460</v>
      </c>
      <c r="M293" s="225">
        <f>SUM(M291:M292)</f>
        <v>5675460</v>
      </c>
      <c r="N293" s="225">
        <f>SUM(N291:N292)</f>
        <v>5675460</v>
      </c>
      <c r="O293" s="219"/>
      <c r="P293" s="219"/>
      <c r="Q293" s="219"/>
      <c r="R293" s="219"/>
      <c r="S293" s="219"/>
      <c r="T293" s="219"/>
      <c r="U293" s="219"/>
      <c r="V293" s="219"/>
      <c r="W293" s="219"/>
      <c r="X293" s="219"/>
      <c r="Y293" s="219"/>
      <c r="Z293" s="219"/>
      <c r="AA293" s="76"/>
    </row>
    <row r="294" spans="4:27" ht="13.5" thickTop="1" x14ac:dyDescent="0.2">
      <c r="H294" s="76"/>
      <c r="I294" s="76"/>
      <c r="J294" s="76"/>
      <c r="K294" s="76"/>
      <c r="L294" s="76"/>
      <c r="M294" s="76"/>
      <c r="N294" s="76"/>
      <c r="O294" s="76"/>
      <c r="P294" s="76"/>
      <c r="Q294" s="76"/>
      <c r="R294" s="76"/>
      <c r="S294" s="76"/>
      <c r="T294" s="76"/>
      <c r="U294" s="76"/>
      <c r="V294" s="76"/>
      <c r="W294" s="76"/>
      <c r="X294" s="76"/>
      <c r="Y294" s="76"/>
      <c r="Z294" s="76"/>
      <c r="AA294" s="76"/>
    </row>
    <row r="295" spans="4:27" x14ac:dyDescent="0.2">
      <c r="H295" s="76"/>
      <c r="I295" s="76"/>
      <c r="J295" s="76"/>
      <c r="K295" s="76"/>
      <c r="L295" s="76"/>
      <c r="M295" s="76"/>
      <c r="O295" s="216"/>
      <c r="P295" s="76"/>
      <c r="Q295" s="76"/>
      <c r="R295" s="76"/>
      <c r="S295" s="76"/>
      <c r="T295" s="76"/>
      <c r="U295" s="76"/>
      <c r="V295" s="76"/>
      <c r="W295" s="76"/>
      <c r="X295" s="76"/>
      <c r="Y295" s="76"/>
      <c r="Z295" s="76"/>
      <c r="AA295" s="76"/>
    </row>
    <row r="296" spans="4:27" x14ac:dyDescent="0.2">
      <c r="G296" s="2" t="s">
        <v>121</v>
      </c>
      <c r="H296" s="71" t="e">
        <f>+H48/H287</f>
        <v>#DIV/0!</v>
      </c>
      <c r="I296" s="71" t="e">
        <f>+I48/I287</f>
        <v>#DIV/0!</v>
      </c>
      <c r="J296" s="71" t="e">
        <f>+J48/J287</f>
        <v>#DIV/0!</v>
      </c>
      <c r="K296" s="71">
        <f>+L296</f>
        <v>1.6899999999999998E-2</v>
      </c>
      <c r="L296" s="71">
        <v>1.6899999999999998E-2</v>
      </c>
      <c r="M296" s="71">
        <v>1.6899999999999998E-2</v>
      </c>
      <c r="O296" s="216"/>
      <c r="P296" s="76"/>
      <c r="Q296" s="76"/>
      <c r="R296" s="76"/>
      <c r="S296" s="76"/>
      <c r="T296" s="76"/>
      <c r="U296" s="76"/>
      <c r="V296" s="76"/>
      <c r="W296" s="76"/>
      <c r="X296" s="76"/>
      <c r="Y296" s="76"/>
      <c r="Z296" s="76"/>
      <c r="AA296" s="76"/>
    </row>
    <row r="297" spans="4:27" x14ac:dyDescent="0.2">
      <c r="H297" s="76"/>
      <c r="I297" s="76"/>
      <c r="J297" s="76"/>
      <c r="K297" s="76"/>
      <c r="L297" s="76"/>
      <c r="M297" s="76"/>
      <c r="N297" s="76"/>
      <c r="O297" s="76"/>
      <c r="P297" s="76"/>
      <c r="Q297" s="76"/>
      <c r="R297" s="76"/>
      <c r="S297" s="76"/>
      <c r="T297" s="76"/>
      <c r="U297" s="76"/>
      <c r="V297" s="76"/>
      <c r="W297" s="76"/>
      <c r="X297" s="76"/>
      <c r="Y297" s="76"/>
      <c r="Z297" s="76"/>
      <c r="AA297" s="76"/>
    </row>
    <row r="298" spans="4:27" x14ac:dyDescent="0.2">
      <c r="H298" s="76"/>
      <c r="I298" s="76"/>
      <c r="J298" s="76"/>
      <c r="K298" s="76"/>
      <c r="L298" s="76"/>
      <c r="M298" s="76"/>
      <c r="N298" s="76"/>
      <c r="O298" s="76"/>
      <c r="P298" s="76"/>
      <c r="Q298" s="76"/>
      <c r="R298" s="76"/>
      <c r="S298" s="76"/>
      <c r="T298" s="76"/>
      <c r="U298" s="76"/>
      <c r="V298" s="76"/>
      <c r="W298" s="76"/>
      <c r="X298" s="76"/>
      <c r="Y298" s="76"/>
      <c r="Z298" s="76"/>
      <c r="AA298" s="76"/>
    </row>
    <row r="299" spans="4:27" x14ac:dyDescent="0.2">
      <c r="H299" s="76"/>
      <c r="I299" s="76"/>
      <c r="J299" s="76"/>
      <c r="K299" s="76"/>
      <c r="L299" s="76"/>
      <c r="M299" s="76"/>
      <c r="N299" s="76"/>
      <c r="O299" s="76"/>
      <c r="P299" s="76"/>
      <c r="Q299" s="76"/>
      <c r="R299" s="76"/>
      <c r="S299" s="76"/>
      <c r="T299" s="76"/>
      <c r="U299" s="76"/>
      <c r="V299" s="76"/>
      <c r="W299" s="76"/>
      <c r="X299" s="76"/>
      <c r="Y299" s="76"/>
      <c r="Z299" s="76"/>
      <c r="AA299" s="76"/>
    </row>
    <row r="300" spans="4:27" ht="13.5" thickBot="1" x14ac:dyDescent="0.25">
      <c r="H300" s="76"/>
      <c r="I300" s="76"/>
      <c r="J300" s="76"/>
      <c r="K300" s="123" t="s">
        <v>122</v>
      </c>
      <c r="L300" s="204">
        <f>+L323</f>
        <v>0</v>
      </c>
      <c r="M300" s="204">
        <f t="shared" ref="M300:T300" si="71">+M323</f>
        <v>0</v>
      </c>
      <c r="N300" s="204">
        <f t="shared" si="71"/>
        <v>164177.161655</v>
      </c>
      <c r="O300" s="204">
        <f t="shared" si="71"/>
        <v>165099.42516999997</v>
      </c>
      <c r="P300" s="204">
        <f t="shared" si="71"/>
        <v>167345.28482999999</v>
      </c>
      <c r="Q300" s="204">
        <f t="shared" si="71"/>
        <v>169610.98666499997</v>
      </c>
      <c r="R300" s="204">
        <f t="shared" si="71"/>
        <v>171907.28932999997</v>
      </c>
      <c r="S300" s="204">
        <f t="shared" si="71"/>
        <v>174235.39970499999</v>
      </c>
      <c r="T300" s="204">
        <f t="shared" si="71"/>
        <v>176593.81916499996</v>
      </c>
      <c r="U300" s="76"/>
      <c r="V300" s="76"/>
      <c r="W300" s="76"/>
      <c r="X300" s="76"/>
      <c r="Y300" s="76"/>
      <c r="Z300" s="76"/>
      <c r="AA300" s="76"/>
    </row>
    <row r="301" spans="4:27" ht="13.5" thickBot="1" x14ac:dyDescent="0.25">
      <c r="H301" s="76"/>
      <c r="I301" s="76"/>
      <c r="J301" s="2" t="s">
        <v>123</v>
      </c>
      <c r="K301" s="226">
        <v>0</v>
      </c>
      <c r="L301" s="76"/>
      <c r="M301" s="76"/>
      <c r="N301" s="117">
        <f t="shared" ref="N301:T301" si="72">IF($C$10="IOU",1-$K301,1)</f>
        <v>1</v>
      </c>
      <c r="O301" s="117">
        <f t="shared" si="72"/>
        <v>1</v>
      </c>
      <c r="P301" s="117">
        <f t="shared" si="72"/>
        <v>1</v>
      </c>
      <c r="Q301" s="117">
        <f t="shared" si="72"/>
        <v>1</v>
      </c>
      <c r="R301" s="117">
        <f t="shared" si="72"/>
        <v>1</v>
      </c>
      <c r="S301" s="117">
        <f t="shared" si="72"/>
        <v>1</v>
      </c>
      <c r="T301" s="117">
        <f t="shared" si="72"/>
        <v>1</v>
      </c>
      <c r="U301" s="76"/>
      <c r="V301" s="76"/>
      <c r="W301" s="76"/>
      <c r="X301" s="76"/>
      <c r="Y301" s="76"/>
      <c r="Z301" s="76"/>
      <c r="AA301" s="76"/>
    </row>
    <row r="302" spans="4:27" x14ac:dyDescent="0.2">
      <c r="H302" s="76"/>
      <c r="I302" s="76"/>
      <c r="J302" s="76"/>
      <c r="K302" s="76"/>
      <c r="L302" s="76"/>
      <c r="M302" s="76"/>
      <c r="N302" s="76"/>
      <c r="O302" s="76"/>
      <c r="P302" s="76"/>
      <c r="Q302" s="76"/>
      <c r="R302" s="76"/>
      <c r="S302" s="76"/>
      <c r="T302" s="76"/>
      <c r="U302" s="76"/>
      <c r="V302" s="76"/>
      <c r="W302" s="76"/>
      <c r="X302" s="76"/>
      <c r="Y302" s="76"/>
      <c r="Z302" s="76"/>
      <c r="AA302" s="76"/>
    </row>
    <row r="303" spans="4:27" ht="18.75" x14ac:dyDescent="0.3">
      <c r="H303" s="76"/>
      <c r="I303" s="76"/>
      <c r="J303" s="76"/>
      <c r="K303" s="123" t="s">
        <v>124</v>
      </c>
      <c r="M303" s="71"/>
      <c r="N303" s="71"/>
      <c r="O303" s="71"/>
      <c r="P303" s="71"/>
      <c r="Q303" s="227">
        <v>1.5900000000000001E-2</v>
      </c>
      <c r="R303" s="71">
        <f t="shared" ref="R303:Z303" si="73">+Q303</f>
        <v>1.5900000000000001E-2</v>
      </c>
      <c r="S303" s="71">
        <f t="shared" si="73"/>
        <v>1.5900000000000001E-2</v>
      </c>
      <c r="T303" s="71">
        <f t="shared" si="73"/>
        <v>1.5900000000000001E-2</v>
      </c>
      <c r="U303" s="71">
        <f t="shared" si="73"/>
        <v>1.5900000000000001E-2</v>
      </c>
      <c r="V303" s="71">
        <f t="shared" si="73"/>
        <v>1.5900000000000001E-2</v>
      </c>
      <c r="W303" s="71">
        <f t="shared" si="73"/>
        <v>1.5900000000000001E-2</v>
      </c>
      <c r="X303" s="71">
        <f t="shared" si="73"/>
        <v>1.5900000000000001E-2</v>
      </c>
      <c r="Y303" s="71">
        <f t="shared" si="73"/>
        <v>1.5900000000000001E-2</v>
      </c>
      <c r="Z303" s="71">
        <f t="shared" si="73"/>
        <v>1.5900000000000001E-2</v>
      </c>
      <c r="AA303" s="76"/>
    </row>
    <row r="304" spans="4:27" x14ac:dyDescent="0.2">
      <c r="H304" s="76"/>
      <c r="I304" s="76"/>
      <c r="J304" s="76"/>
      <c r="K304" s="123" t="s">
        <v>125</v>
      </c>
      <c r="L304" s="204">
        <f>+L323</f>
        <v>0</v>
      </c>
      <c r="M304" s="204">
        <f t="shared" ref="M304" si="74">+M323</f>
        <v>0</v>
      </c>
      <c r="N304" s="204">
        <f>+ROUND(+N301*N300,0)</f>
        <v>164177</v>
      </c>
      <c r="O304" s="204">
        <f t="shared" ref="O304:T304" si="75">+ROUND(+O301*O300,0)</f>
        <v>165099</v>
      </c>
      <c r="P304" s="204">
        <f t="shared" si="75"/>
        <v>167345</v>
      </c>
      <c r="Q304" s="204">
        <f t="shared" si="75"/>
        <v>169611</v>
      </c>
      <c r="R304" s="204">
        <f t="shared" si="75"/>
        <v>171907</v>
      </c>
      <c r="S304" s="204">
        <f t="shared" si="75"/>
        <v>174235</v>
      </c>
      <c r="T304" s="204">
        <f t="shared" si="75"/>
        <v>176594</v>
      </c>
      <c r="U304" s="72">
        <f>ROUND(+U303*T287,0)</f>
        <v>178661</v>
      </c>
      <c r="V304" s="72">
        <f>ROUND(+V303*U287,0)</f>
        <v>181076</v>
      </c>
      <c r="W304" s="72">
        <f>ROUND(+W303*V287,0)</f>
        <v>183523</v>
      </c>
      <c r="X304" s="72">
        <f>ROUND(+X303*W287,0)</f>
        <v>186003</v>
      </c>
      <c r="Y304" s="72">
        <f>ROUND(+Y303*X287,0)</f>
        <v>188517</v>
      </c>
      <c r="Z304" s="72">
        <f>ROUND(+Z303*Y287,0)</f>
        <v>191065</v>
      </c>
      <c r="AA304" s="76"/>
    </row>
    <row r="305" spans="7:27" x14ac:dyDescent="0.2">
      <c r="H305" s="76"/>
      <c r="I305" s="76"/>
      <c r="J305" s="76"/>
      <c r="K305" s="123" t="s">
        <v>126</v>
      </c>
      <c r="L305" s="228">
        <f>+K296</f>
        <v>1.6899999999999998E-2</v>
      </c>
      <c r="M305" s="228">
        <f>+M296</f>
        <v>1.6899999999999998E-2</v>
      </c>
      <c r="N305" s="228">
        <f>+M296</f>
        <v>1.6899999999999998E-2</v>
      </c>
      <c r="O305" s="228">
        <f t="shared" ref="O305:Z305" si="76">+N305</f>
        <v>1.6899999999999998E-2</v>
      </c>
      <c r="P305" s="228">
        <f t="shared" si="76"/>
        <v>1.6899999999999998E-2</v>
      </c>
      <c r="Q305" s="228">
        <f t="shared" si="76"/>
        <v>1.6899999999999998E-2</v>
      </c>
      <c r="R305" s="228">
        <f t="shared" si="76"/>
        <v>1.6899999999999998E-2</v>
      </c>
      <c r="S305" s="228">
        <f t="shared" si="76"/>
        <v>1.6899999999999998E-2</v>
      </c>
      <c r="T305" s="228">
        <f t="shared" si="76"/>
        <v>1.6899999999999998E-2</v>
      </c>
      <c r="U305" s="228">
        <f t="shared" si="76"/>
        <v>1.6899999999999998E-2</v>
      </c>
      <c r="V305" s="228">
        <f t="shared" si="76"/>
        <v>1.6899999999999998E-2</v>
      </c>
      <c r="W305" s="228">
        <f t="shared" si="76"/>
        <v>1.6899999999999998E-2</v>
      </c>
      <c r="X305" s="228">
        <f t="shared" si="76"/>
        <v>1.6899999999999998E-2</v>
      </c>
      <c r="Y305" s="228">
        <f t="shared" si="76"/>
        <v>1.6899999999999998E-2</v>
      </c>
      <c r="Z305" s="228">
        <f t="shared" si="76"/>
        <v>1.6899999999999998E-2</v>
      </c>
      <c r="AA305" s="76"/>
    </row>
    <row r="306" spans="7:27" x14ac:dyDescent="0.2">
      <c r="H306" s="76"/>
      <c r="I306" s="76"/>
      <c r="J306" s="76"/>
      <c r="K306" s="123" t="s">
        <v>127</v>
      </c>
      <c r="L306" s="71">
        <f>+L305*0.5</f>
        <v>8.4499999999999992E-3</v>
      </c>
      <c r="M306" s="71">
        <f>+M305*0.5</f>
        <v>8.4499999999999992E-3</v>
      </c>
      <c r="N306" s="71">
        <f>+N305*0.5</f>
        <v>8.4499999999999992E-3</v>
      </c>
      <c r="O306" s="71">
        <f t="shared" ref="O306:Z306" si="77">+O305*0.5</f>
        <v>8.4499999999999992E-3</v>
      </c>
      <c r="P306" s="71">
        <f t="shared" si="77"/>
        <v>8.4499999999999992E-3</v>
      </c>
      <c r="Q306" s="71">
        <f t="shared" si="77"/>
        <v>8.4499999999999992E-3</v>
      </c>
      <c r="R306" s="71">
        <f t="shared" si="77"/>
        <v>8.4499999999999992E-3</v>
      </c>
      <c r="S306" s="71">
        <f t="shared" si="77"/>
        <v>8.4499999999999992E-3</v>
      </c>
      <c r="T306" s="71">
        <f t="shared" si="77"/>
        <v>8.4499999999999992E-3</v>
      </c>
      <c r="U306" s="71">
        <f t="shared" si="77"/>
        <v>8.4499999999999992E-3</v>
      </c>
      <c r="V306" s="71">
        <f t="shared" si="77"/>
        <v>8.4499999999999992E-3</v>
      </c>
      <c r="W306" s="71">
        <f t="shared" si="77"/>
        <v>8.4499999999999992E-3</v>
      </c>
      <c r="X306" s="71">
        <f t="shared" si="77"/>
        <v>8.4499999999999992E-3</v>
      </c>
      <c r="Y306" s="71">
        <f t="shared" si="77"/>
        <v>8.4499999999999992E-3</v>
      </c>
      <c r="Z306" s="71">
        <f t="shared" si="77"/>
        <v>8.4499999999999992E-3</v>
      </c>
      <c r="AA306" s="76"/>
    </row>
    <row r="307" spans="7:27" x14ac:dyDescent="0.2">
      <c r="H307" s="76"/>
      <c r="K307" s="123" t="s">
        <v>128</v>
      </c>
      <c r="L307" s="72">
        <f>ROUND(+L306*L304,0)</f>
        <v>0</v>
      </c>
      <c r="M307" s="72">
        <f>ROUND(+M306*M304,0)</f>
        <v>0</v>
      </c>
      <c r="N307" s="72">
        <f>ROUND(+N306*N304,0)</f>
        <v>1387</v>
      </c>
      <c r="O307" s="72">
        <f t="shared" ref="O307:Z307" si="78">ROUND(+O306*O304,0)</f>
        <v>1395</v>
      </c>
      <c r="P307" s="72">
        <f t="shared" si="78"/>
        <v>1414</v>
      </c>
      <c r="Q307" s="72">
        <f t="shared" si="78"/>
        <v>1433</v>
      </c>
      <c r="R307" s="72">
        <f t="shared" si="78"/>
        <v>1453</v>
      </c>
      <c r="S307" s="72">
        <f t="shared" si="78"/>
        <v>1472</v>
      </c>
      <c r="T307" s="72">
        <f t="shared" si="78"/>
        <v>1492</v>
      </c>
      <c r="U307" s="72">
        <f t="shared" si="78"/>
        <v>1510</v>
      </c>
      <c r="V307" s="72">
        <f t="shared" si="78"/>
        <v>1530</v>
      </c>
      <c r="W307" s="72">
        <f t="shared" si="78"/>
        <v>1551</v>
      </c>
      <c r="X307" s="72">
        <f t="shared" si="78"/>
        <v>1572</v>
      </c>
      <c r="Y307" s="72">
        <f t="shared" si="78"/>
        <v>1593</v>
      </c>
      <c r="Z307" s="72">
        <f t="shared" si="78"/>
        <v>1614</v>
      </c>
      <c r="AA307" s="76"/>
    </row>
    <row r="308" spans="7:27" x14ac:dyDescent="0.2">
      <c r="H308" s="76"/>
      <c r="K308" s="123" t="s">
        <v>129</v>
      </c>
      <c r="L308" s="73">
        <v>0.15</v>
      </c>
      <c r="M308" s="73">
        <v>0.15</v>
      </c>
      <c r="N308" s="73">
        <f>+M308</f>
        <v>0.15</v>
      </c>
      <c r="O308" s="73">
        <f t="shared" ref="O308:Z308" si="79">+N308</f>
        <v>0.15</v>
      </c>
      <c r="P308" s="73">
        <f t="shared" si="79"/>
        <v>0.15</v>
      </c>
      <c r="Q308" s="73">
        <f t="shared" si="79"/>
        <v>0.15</v>
      </c>
      <c r="R308" s="73">
        <f t="shared" si="79"/>
        <v>0.15</v>
      </c>
      <c r="S308" s="73">
        <f t="shared" si="79"/>
        <v>0.15</v>
      </c>
      <c r="T308" s="73">
        <f t="shared" si="79"/>
        <v>0.15</v>
      </c>
      <c r="U308" s="73">
        <f t="shared" si="79"/>
        <v>0.15</v>
      </c>
      <c r="V308" s="73">
        <f t="shared" si="79"/>
        <v>0.15</v>
      </c>
      <c r="W308" s="73">
        <f t="shared" si="79"/>
        <v>0.15</v>
      </c>
      <c r="X308" s="73">
        <f t="shared" si="79"/>
        <v>0.15</v>
      </c>
      <c r="Y308" s="73">
        <f t="shared" si="79"/>
        <v>0.15</v>
      </c>
      <c r="Z308" s="73">
        <f t="shared" si="79"/>
        <v>0.15</v>
      </c>
      <c r="AA308" s="76"/>
    </row>
    <row r="309" spans="7:27" x14ac:dyDescent="0.2">
      <c r="H309" s="76"/>
      <c r="K309" s="123" t="s">
        <v>130</v>
      </c>
      <c r="L309" s="72">
        <f>ROUND(+L308*L304,0)</f>
        <v>0</v>
      </c>
      <c r="M309" s="72">
        <f>ROUND(+M308*M304,0)</f>
        <v>0</v>
      </c>
      <c r="N309" s="72">
        <f t="shared" ref="N309:Z309" si="80">ROUND(+N308*N304,0)</f>
        <v>24627</v>
      </c>
      <c r="O309" s="72">
        <f t="shared" si="80"/>
        <v>24765</v>
      </c>
      <c r="P309" s="72">
        <f t="shared" si="80"/>
        <v>25102</v>
      </c>
      <c r="Q309" s="72">
        <f t="shared" si="80"/>
        <v>25442</v>
      </c>
      <c r="R309" s="72">
        <f t="shared" si="80"/>
        <v>25786</v>
      </c>
      <c r="S309" s="72">
        <f t="shared" si="80"/>
        <v>26135</v>
      </c>
      <c r="T309" s="72">
        <f t="shared" si="80"/>
        <v>26489</v>
      </c>
      <c r="U309" s="72">
        <f t="shared" si="80"/>
        <v>26799</v>
      </c>
      <c r="V309" s="72">
        <f t="shared" si="80"/>
        <v>27161</v>
      </c>
      <c r="W309" s="72">
        <f t="shared" si="80"/>
        <v>27528</v>
      </c>
      <c r="X309" s="72">
        <f t="shared" si="80"/>
        <v>27900</v>
      </c>
      <c r="Y309" s="72">
        <f t="shared" si="80"/>
        <v>28278</v>
      </c>
      <c r="Z309" s="72">
        <f t="shared" si="80"/>
        <v>28660</v>
      </c>
      <c r="AA309" s="76"/>
    </row>
    <row r="310" spans="7:27" x14ac:dyDescent="0.2">
      <c r="H310" s="76"/>
      <c r="K310" s="123" t="s">
        <v>131</v>
      </c>
      <c r="L310" s="72">
        <f>+L309*L305</f>
        <v>0</v>
      </c>
      <c r="M310" s="72">
        <f t="shared" ref="M310:Z310" si="81">+M309*M305</f>
        <v>0</v>
      </c>
      <c r="N310" s="72">
        <f t="shared" si="81"/>
        <v>416.19629999999995</v>
      </c>
      <c r="O310" s="72">
        <f t="shared" si="81"/>
        <v>418.52849999999995</v>
      </c>
      <c r="P310" s="72">
        <f t="shared" si="81"/>
        <v>424.22379999999998</v>
      </c>
      <c r="Q310" s="72">
        <f t="shared" si="81"/>
        <v>429.96979999999996</v>
      </c>
      <c r="R310" s="72">
        <f t="shared" si="81"/>
        <v>435.78339999999997</v>
      </c>
      <c r="S310" s="72">
        <f t="shared" si="81"/>
        <v>441.68149999999997</v>
      </c>
      <c r="T310" s="72">
        <f t="shared" si="81"/>
        <v>447.66409999999996</v>
      </c>
      <c r="U310" s="72">
        <f t="shared" si="81"/>
        <v>452.90309999999994</v>
      </c>
      <c r="V310" s="72">
        <f t="shared" si="81"/>
        <v>459.02089999999998</v>
      </c>
      <c r="W310" s="72">
        <f t="shared" si="81"/>
        <v>465.22319999999996</v>
      </c>
      <c r="X310" s="72">
        <f t="shared" si="81"/>
        <v>471.50999999999993</v>
      </c>
      <c r="Y310" s="72">
        <f t="shared" si="81"/>
        <v>477.89819999999997</v>
      </c>
      <c r="Z310" s="72">
        <f t="shared" si="81"/>
        <v>484.35399999999993</v>
      </c>
      <c r="AA310" s="76"/>
    </row>
    <row r="311" spans="7:27" x14ac:dyDescent="0.2">
      <c r="H311" s="76"/>
      <c r="K311" s="123" t="s">
        <v>132</v>
      </c>
      <c r="L311" s="72">
        <f>+K314</f>
        <v>131221</v>
      </c>
      <c r="M311" s="72">
        <f>+M305*L287</f>
        <v>172818.0649</v>
      </c>
      <c r="N311" s="72">
        <f>+N305*M287</f>
        <v>172818.0649</v>
      </c>
      <c r="O311" s="72">
        <f>+O305*N287</f>
        <v>175176.45989999999</v>
      </c>
      <c r="P311" s="72">
        <f>+P305*O287</f>
        <v>177548.10449999999</v>
      </c>
      <c r="Q311" s="72">
        <f>+Q305*P287</f>
        <v>179952.01119999998</v>
      </c>
      <c r="R311" s="72">
        <f>+R305*Q287</f>
        <v>182388.46729999999</v>
      </c>
      <c r="S311" s="72">
        <f>+S305*R287</f>
        <v>184857.91219999999</v>
      </c>
      <c r="T311" s="72">
        <f>+T305*S287</f>
        <v>187360.80219999998</v>
      </c>
      <c r="U311" s="72">
        <f>+U305*T287</f>
        <v>189897.57669999998</v>
      </c>
      <c r="V311" s="72">
        <f>+V305*U287</f>
        <v>192464.04449999999</v>
      </c>
      <c r="W311" s="72">
        <f>+W305*V287</f>
        <v>195065.20799999998</v>
      </c>
      <c r="X311" s="72">
        <f>+X305*W287</f>
        <v>197701.52349999998</v>
      </c>
      <c r="Y311" s="72">
        <f>+Y305*X287</f>
        <v>200373.46419999999</v>
      </c>
      <c r="Z311" s="72">
        <f>+Z305*Y287</f>
        <v>203081.50329999998</v>
      </c>
      <c r="AA311" s="76"/>
    </row>
    <row r="312" spans="7:27" ht="13.5" thickBot="1" x14ac:dyDescent="0.25">
      <c r="H312" s="76"/>
      <c r="I312" s="76"/>
      <c r="J312" s="76"/>
      <c r="K312" s="123" t="s">
        <v>133</v>
      </c>
      <c r="L312" s="219">
        <f>+L311+L307-L310</f>
        <v>131221</v>
      </c>
      <c r="M312" s="219">
        <f t="shared" ref="M312:Z312" si="82">+M311+M307-M310</f>
        <v>172818.0649</v>
      </c>
      <c r="N312" s="219">
        <f t="shared" si="82"/>
        <v>173788.86859999999</v>
      </c>
      <c r="O312" s="219">
        <f t="shared" si="82"/>
        <v>176152.9314</v>
      </c>
      <c r="P312" s="219">
        <f t="shared" si="82"/>
        <v>178537.88069999998</v>
      </c>
      <c r="Q312" s="219">
        <f t="shared" si="82"/>
        <v>180955.04139999999</v>
      </c>
      <c r="R312" s="219">
        <f t="shared" si="82"/>
        <v>183405.6839</v>
      </c>
      <c r="S312" s="219">
        <f t="shared" si="82"/>
        <v>185888.23069999999</v>
      </c>
      <c r="T312" s="219">
        <f t="shared" si="82"/>
        <v>188405.13809999998</v>
      </c>
      <c r="U312" s="219">
        <f t="shared" si="82"/>
        <v>190954.67359999998</v>
      </c>
      <c r="V312" s="219">
        <f t="shared" si="82"/>
        <v>193535.02359999999</v>
      </c>
      <c r="W312" s="219">
        <f t="shared" si="82"/>
        <v>196150.98479999998</v>
      </c>
      <c r="X312" s="219">
        <f t="shared" si="82"/>
        <v>198802.01349999997</v>
      </c>
      <c r="Y312" s="219">
        <f t="shared" si="82"/>
        <v>201488.56599999999</v>
      </c>
      <c r="Z312" s="219">
        <f t="shared" si="82"/>
        <v>204211.14929999999</v>
      </c>
      <c r="AA312" s="76"/>
    </row>
    <row r="313" spans="7:27" ht="13.5" thickTop="1" x14ac:dyDescent="0.2">
      <c r="H313" s="76"/>
      <c r="I313" s="76"/>
      <c r="J313" s="76"/>
      <c r="K313" s="123"/>
      <c r="M313" s="123"/>
      <c r="N313" s="123"/>
      <c r="O313" s="123"/>
      <c r="P313" s="123"/>
      <c r="Q313" s="123"/>
      <c r="R313" s="123"/>
      <c r="S313" s="123"/>
      <c r="T313" s="123"/>
      <c r="U313" s="123"/>
      <c r="V313" s="123"/>
      <c r="W313" s="123"/>
      <c r="X313" s="123"/>
      <c r="Y313" s="123"/>
      <c r="Z313" s="123"/>
      <c r="AA313" s="76"/>
    </row>
    <row r="314" spans="7:27" x14ac:dyDescent="0.2">
      <c r="G314" s="74" t="s">
        <v>134</v>
      </c>
      <c r="H314" s="74">
        <v>0</v>
      </c>
      <c r="I314" s="74">
        <v>0</v>
      </c>
      <c r="J314" s="74">
        <v>0</v>
      </c>
      <c r="K314" s="74">
        <f>+K459</f>
        <v>131221</v>
      </c>
      <c r="L314" s="74">
        <f>+L312</f>
        <v>131221</v>
      </c>
      <c r="R314" s="76"/>
      <c r="S314" s="76"/>
      <c r="T314" s="76"/>
      <c r="U314" s="76"/>
      <c r="V314" s="76"/>
      <c r="W314" s="76"/>
      <c r="X314" s="76"/>
      <c r="Y314" s="76"/>
      <c r="Z314" s="76"/>
      <c r="AA314" s="76"/>
    </row>
    <row r="315" spans="7:27" x14ac:dyDescent="0.2">
      <c r="H315" s="76"/>
      <c r="I315" s="76"/>
      <c r="J315" s="76"/>
      <c r="K315" s="76"/>
      <c r="L315" s="123"/>
      <c r="M315" s="76"/>
      <c r="N315" s="76"/>
      <c r="O315" s="76"/>
      <c r="P315" s="76"/>
      <c r="Q315" s="76"/>
      <c r="R315" s="76"/>
      <c r="S315" s="76"/>
      <c r="T315" s="76"/>
      <c r="U315" s="76"/>
      <c r="V315" s="76"/>
      <c r="W315" s="76"/>
      <c r="X315" s="76"/>
      <c r="Y315" s="76"/>
      <c r="Z315" s="76"/>
      <c r="AA315" s="76"/>
    </row>
    <row r="316" spans="7:27" x14ac:dyDescent="0.2">
      <c r="H316" s="76"/>
      <c r="I316" s="76"/>
      <c r="J316" s="76"/>
      <c r="K316" s="76"/>
      <c r="L316" s="123"/>
      <c r="M316" s="76"/>
      <c r="N316" s="76"/>
      <c r="O316" s="76"/>
      <c r="P316" s="76"/>
      <c r="Q316" s="76"/>
      <c r="R316" s="76"/>
      <c r="S316" s="76"/>
      <c r="T316" s="76"/>
      <c r="U316" s="76"/>
      <c r="V316" s="76"/>
      <c r="W316" s="76"/>
      <c r="X316" s="76"/>
      <c r="Y316" s="76"/>
      <c r="Z316" s="76"/>
      <c r="AA316" s="76"/>
    </row>
    <row r="317" spans="7:27" x14ac:dyDescent="0.2">
      <c r="H317" s="76"/>
      <c r="I317" s="76"/>
      <c r="J317" s="76"/>
      <c r="K317" s="2" t="s">
        <v>117</v>
      </c>
      <c r="M317" s="123" t="s">
        <v>135</v>
      </c>
      <c r="N317" s="25">
        <v>1.5277653962955469E-3</v>
      </c>
      <c r="O317" s="76"/>
      <c r="P317" s="76"/>
      <c r="Q317" s="76"/>
      <c r="R317" s="76"/>
      <c r="S317" s="76"/>
      <c r="T317" s="76"/>
      <c r="U317" s="76"/>
      <c r="V317" s="76"/>
      <c r="W317" s="76"/>
      <c r="X317" s="76"/>
      <c r="Y317" s="76"/>
      <c r="Z317" s="76"/>
      <c r="AA317" s="76"/>
    </row>
    <row r="318" spans="7:27" x14ac:dyDescent="0.2">
      <c r="H318" s="76"/>
      <c r="I318" s="76"/>
      <c r="J318" s="76"/>
      <c r="K318" s="2" t="s">
        <v>136</v>
      </c>
      <c r="M318" s="123" t="s">
        <v>137</v>
      </c>
      <c r="N318" s="25">
        <v>5.6525344234822491E-3</v>
      </c>
      <c r="O318" s="76"/>
      <c r="P318" s="76"/>
      <c r="Q318" s="76"/>
      <c r="R318" s="76"/>
      <c r="S318" s="76"/>
      <c r="T318" s="76"/>
      <c r="U318" s="76"/>
      <c r="V318" s="76"/>
      <c r="W318" s="76"/>
      <c r="X318" s="76"/>
      <c r="Y318" s="76"/>
      <c r="Z318" s="76"/>
      <c r="AA318" s="76"/>
    </row>
    <row r="319" spans="7:27" x14ac:dyDescent="0.2">
      <c r="H319" s="76"/>
      <c r="I319" s="76"/>
      <c r="J319" s="76"/>
      <c r="K319" s="76"/>
      <c r="L319" s="123"/>
      <c r="M319" s="76"/>
      <c r="N319" s="76"/>
      <c r="O319" s="76"/>
      <c r="P319" s="76"/>
      <c r="Q319" s="76"/>
      <c r="R319" s="76"/>
      <c r="S319" s="76"/>
      <c r="T319" s="76"/>
      <c r="U319" s="76"/>
      <c r="V319" s="76"/>
      <c r="W319" s="76"/>
      <c r="X319" s="76"/>
      <c r="Y319" s="76"/>
      <c r="Z319" s="76"/>
      <c r="AA319" s="76"/>
    </row>
    <row r="320" spans="7:27" x14ac:dyDescent="0.2">
      <c r="H320" s="76"/>
      <c r="I320" s="76"/>
      <c r="J320" s="76"/>
      <c r="K320" s="76"/>
      <c r="L320" s="123"/>
      <c r="M320" s="76"/>
      <c r="N320" s="76"/>
      <c r="O320" s="76"/>
      <c r="P320" s="76"/>
      <c r="Q320" s="76"/>
      <c r="R320" s="76"/>
      <c r="S320" s="76"/>
      <c r="T320" s="76"/>
      <c r="U320" s="76"/>
      <c r="V320" s="76"/>
      <c r="W320" s="76"/>
      <c r="X320" s="76"/>
      <c r="Y320" s="76"/>
      <c r="Z320" s="76"/>
      <c r="AA320" s="76"/>
    </row>
    <row r="321" spans="7:27" x14ac:dyDescent="0.2">
      <c r="H321" s="76"/>
      <c r="I321" s="76"/>
      <c r="J321" s="76"/>
      <c r="K321" s="76"/>
      <c r="L321" s="123"/>
      <c r="M321" s="76"/>
      <c r="N321" s="76"/>
      <c r="O321" s="76"/>
      <c r="P321" s="76"/>
      <c r="Q321" s="76"/>
      <c r="R321" s="76"/>
      <c r="S321" s="76"/>
      <c r="T321" s="76"/>
      <c r="U321" s="76"/>
      <c r="V321" s="76"/>
      <c r="W321" s="76"/>
      <c r="X321" s="76"/>
      <c r="Y321" s="76"/>
      <c r="Z321" s="76"/>
      <c r="AA321" s="76"/>
    </row>
    <row r="322" spans="7:27" x14ac:dyDescent="0.2">
      <c r="H322" s="76"/>
      <c r="I322" s="76"/>
      <c r="J322" s="76"/>
      <c r="K322" s="76"/>
      <c r="L322" s="229"/>
      <c r="M322" s="229"/>
      <c r="N322" s="230"/>
      <c r="O322" s="230"/>
      <c r="P322" s="230"/>
      <c r="Q322" s="230"/>
      <c r="R322" s="230"/>
      <c r="S322" s="230"/>
      <c r="T322" s="230"/>
      <c r="U322" s="76"/>
      <c r="V322" s="76"/>
      <c r="W322" s="76"/>
      <c r="X322" s="76"/>
      <c r="Y322" s="76"/>
      <c r="Z322" s="76"/>
      <c r="AA322" s="76"/>
    </row>
    <row r="323" spans="7:27" x14ac:dyDescent="0.2">
      <c r="H323" s="76"/>
      <c r="I323" s="76"/>
      <c r="J323" s="76"/>
      <c r="K323" s="66" t="s">
        <v>138</v>
      </c>
      <c r="L323" s="5">
        <v>0</v>
      </c>
      <c r="M323" s="2">
        <f>+L323</f>
        <v>0</v>
      </c>
      <c r="N323" s="72">
        <f>+M312*0.95</f>
        <v>164177.161655</v>
      </c>
      <c r="O323" s="72">
        <f>+N312*0.95</f>
        <v>165099.42516999997</v>
      </c>
      <c r="P323" s="72">
        <f>+O312*0.95</f>
        <v>167345.28482999999</v>
      </c>
      <c r="Q323" s="72">
        <f>+P312*0.95</f>
        <v>169610.98666499997</v>
      </c>
      <c r="R323" s="72">
        <f t="shared" ref="R323:T323" si="83">+Q312*0.95</f>
        <v>171907.28932999997</v>
      </c>
      <c r="S323" s="72">
        <f t="shared" si="83"/>
        <v>174235.39970499999</v>
      </c>
      <c r="T323" s="72">
        <f t="shared" si="83"/>
        <v>176593.81916499996</v>
      </c>
      <c r="U323" s="76"/>
      <c r="V323" s="76"/>
      <c r="W323" s="76"/>
      <c r="X323" s="76"/>
      <c r="Y323" s="76"/>
      <c r="Z323" s="76"/>
      <c r="AA323" s="76"/>
    </row>
    <row r="324" spans="7:27" x14ac:dyDescent="0.2">
      <c r="H324" s="76"/>
      <c r="I324" s="76"/>
      <c r="J324" s="76"/>
      <c r="K324" s="76"/>
      <c r="L324" s="123"/>
      <c r="M324" s="76"/>
      <c r="N324" s="76"/>
      <c r="O324" s="76"/>
      <c r="P324" s="76"/>
      <c r="Q324" s="76"/>
      <c r="R324" s="76"/>
      <c r="S324" s="76"/>
      <c r="T324" s="76"/>
      <c r="U324" s="76"/>
      <c r="V324" s="76"/>
      <c r="W324" s="76"/>
      <c r="X324" s="76"/>
      <c r="Y324" s="76"/>
      <c r="Z324" s="76"/>
      <c r="AA324" s="76"/>
    </row>
    <row r="325" spans="7:27" x14ac:dyDescent="0.2">
      <c r="H325" s="76"/>
      <c r="I325" s="76"/>
      <c r="J325" s="76"/>
      <c r="K325" s="76"/>
      <c r="L325" s="5" t="s">
        <v>139</v>
      </c>
      <c r="M325" s="76"/>
      <c r="N325" s="76"/>
      <c r="O325" s="76"/>
      <c r="P325" s="76"/>
      <c r="Q325" s="76"/>
      <c r="R325" s="76"/>
      <c r="S325" s="76"/>
      <c r="T325" s="76"/>
      <c r="U325" s="76"/>
      <c r="V325" s="76"/>
      <c r="W325" s="76"/>
      <c r="X325" s="76"/>
      <c r="Y325" s="76"/>
      <c r="Z325" s="76"/>
      <c r="AA325" s="76"/>
    </row>
    <row r="326" spans="7:27" x14ac:dyDescent="0.2">
      <c r="H326" s="76"/>
      <c r="I326" s="76"/>
      <c r="J326" s="76"/>
      <c r="K326" s="76"/>
      <c r="L326" s="2" t="s">
        <v>140</v>
      </c>
      <c r="M326" s="76"/>
      <c r="N326" s="76"/>
      <c r="O326" s="76"/>
      <c r="P326" s="76"/>
      <c r="Q326" s="76"/>
      <c r="R326" s="76"/>
      <c r="S326" s="76"/>
      <c r="T326" s="76"/>
      <c r="U326" s="76"/>
      <c r="V326" s="76"/>
      <c r="W326" s="76"/>
      <c r="X326" s="76"/>
      <c r="Y326" s="76"/>
      <c r="Z326" s="76"/>
      <c r="AA326" s="76"/>
    </row>
    <row r="327" spans="7:27" x14ac:dyDescent="0.2">
      <c r="H327" s="76"/>
      <c r="I327" s="76"/>
      <c r="J327" s="76"/>
      <c r="K327" s="76"/>
      <c r="L327" s="123"/>
      <c r="M327" s="76"/>
      <c r="N327" s="76"/>
      <c r="O327" s="76"/>
      <c r="P327" s="76"/>
      <c r="Q327" s="76"/>
      <c r="R327" s="76"/>
      <c r="S327" s="76"/>
      <c r="T327" s="76"/>
      <c r="U327" s="76"/>
      <c r="V327" s="76"/>
      <c r="W327" s="76"/>
      <c r="X327" s="76"/>
      <c r="Y327" s="76"/>
      <c r="Z327" s="76"/>
      <c r="AA327" s="76"/>
    </row>
    <row r="328" spans="7:27" x14ac:dyDescent="0.2">
      <c r="H328" s="76"/>
      <c r="I328" s="76"/>
      <c r="J328" s="76"/>
      <c r="K328" s="76"/>
      <c r="L328" s="123"/>
      <c r="M328" s="76"/>
      <c r="N328" s="76"/>
      <c r="O328" s="76"/>
      <c r="P328" s="76"/>
      <c r="Q328" s="76"/>
      <c r="R328" s="76"/>
      <c r="S328" s="76"/>
      <c r="T328" s="76"/>
      <c r="U328" s="76"/>
      <c r="V328" s="76"/>
      <c r="W328" s="76"/>
      <c r="X328" s="76"/>
      <c r="Y328" s="76"/>
      <c r="Z328" s="76"/>
      <c r="AA328" s="76"/>
    </row>
    <row r="329" spans="7:27" ht="13.5" thickBot="1" x14ac:dyDescent="0.25">
      <c r="H329" s="76"/>
      <c r="I329" s="76"/>
      <c r="J329" s="76"/>
      <c r="K329" s="76"/>
      <c r="L329" s="216">
        <f>+L285</f>
        <v>2017</v>
      </c>
      <c r="M329" s="216">
        <f>+M285</f>
        <v>2018</v>
      </c>
      <c r="N329" s="76"/>
      <c r="O329" s="76"/>
      <c r="P329" s="76"/>
      <c r="Q329" s="76"/>
      <c r="R329" s="76"/>
      <c r="S329" s="76"/>
      <c r="T329" s="76"/>
      <c r="U329" s="76"/>
      <c r="V329" s="76"/>
      <c r="W329" s="76"/>
      <c r="X329" s="76"/>
      <c r="Y329" s="76"/>
      <c r="Z329" s="76"/>
      <c r="AA329" s="76"/>
    </row>
    <row r="330" spans="7:27" ht="13.5" thickBot="1" x14ac:dyDescent="0.25">
      <c r="H330" s="76"/>
      <c r="I330" s="76"/>
      <c r="J330" s="76"/>
      <c r="K330" s="76"/>
      <c r="L330" s="123"/>
      <c r="M330" s="231">
        <f>4750*M334</f>
        <v>61750</v>
      </c>
      <c r="N330" s="231">
        <f t="shared" ref="N330:Q330" si="84">4750*N334</f>
        <v>61750</v>
      </c>
      <c r="O330" s="231">
        <f t="shared" si="84"/>
        <v>61750</v>
      </c>
      <c r="P330" s="231">
        <f t="shared" si="84"/>
        <v>61750</v>
      </c>
      <c r="Q330" s="231">
        <f t="shared" si="84"/>
        <v>61750</v>
      </c>
      <c r="R330" s="232">
        <f>4750*R334</f>
        <v>66500</v>
      </c>
      <c r="S330" s="232">
        <f t="shared" ref="S330:Z330" si="85">4750*S334</f>
        <v>66500</v>
      </c>
      <c r="T330" s="232">
        <f t="shared" si="85"/>
        <v>66500</v>
      </c>
      <c r="U330" s="232">
        <f t="shared" si="85"/>
        <v>66500</v>
      </c>
      <c r="V330" s="232">
        <f t="shared" si="85"/>
        <v>66500</v>
      </c>
      <c r="W330" s="232">
        <f t="shared" si="85"/>
        <v>66500</v>
      </c>
      <c r="X330" s="232">
        <f t="shared" si="85"/>
        <v>66500</v>
      </c>
      <c r="Y330" s="232">
        <f t="shared" si="85"/>
        <v>66500</v>
      </c>
      <c r="Z330" s="232">
        <f t="shared" si="85"/>
        <v>66500</v>
      </c>
      <c r="AA330" s="76"/>
    </row>
    <row r="331" spans="7:27" x14ac:dyDescent="0.2">
      <c r="R331" s="76"/>
      <c r="S331" s="76"/>
      <c r="T331" s="76"/>
      <c r="U331" s="76"/>
      <c r="V331" s="76"/>
      <c r="W331" s="76"/>
      <c r="X331" s="76"/>
      <c r="Y331" s="76"/>
      <c r="Z331" s="76"/>
      <c r="AA331" s="76"/>
    </row>
    <row r="332" spans="7:27" x14ac:dyDescent="0.2">
      <c r="G332" s="145" t="s">
        <v>141</v>
      </c>
      <c r="H332" s="6">
        <f>+H21</f>
        <v>0</v>
      </c>
      <c r="I332" s="6">
        <f>+I21</f>
        <v>0</v>
      </c>
      <c r="J332" s="6">
        <f>+J21</f>
        <v>0</v>
      </c>
      <c r="K332" s="6">
        <f>+K21</f>
        <v>1829023</v>
      </c>
      <c r="L332" s="6">
        <f>+L21</f>
        <v>1888466.2475000001</v>
      </c>
      <c r="M332" s="6">
        <f>+M21</f>
        <v>2066795.9899999998</v>
      </c>
      <c r="N332" s="6">
        <f>ROUND(+N335*N337,0)</f>
        <v>1221990</v>
      </c>
      <c r="O332" s="6">
        <f>ROUND(+O335*O337,0)</f>
        <v>1227970</v>
      </c>
      <c r="P332" s="6">
        <f>ROUND(+P335*P337,0)</f>
        <v>1233950</v>
      </c>
      <c r="Q332" s="5">
        <f>ROUND(+Q335*Q337,0)</f>
        <v>1239930</v>
      </c>
      <c r="R332" s="76"/>
      <c r="S332" s="76"/>
      <c r="T332" s="76"/>
      <c r="U332" s="76"/>
      <c r="V332" s="76"/>
      <c r="W332" s="76"/>
      <c r="X332" s="76"/>
      <c r="Y332" s="76"/>
      <c r="Z332" s="76"/>
      <c r="AA332" s="76"/>
    </row>
    <row r="333" spans="7:27" ht="13.5" thickBot="1" x14ac:dyDescent="0.25">
      <c r="G333" s="2" t="s">
        <v>142</v>
      </c>
      <c r="H333" s="2">
        <v>0</v>
      </c>
      <c r="I333" s="2">
        <v>0</v>
      </c>
      <c r="J333" s="2">
        <v>0</v>
      </c>
      <c r="K333" s="2">
        <f>+L333</f>
        <v>2637</v>
      </c>
      <c r="L333" s="2">
        <f>1186+1451</f>
        <v>2637</v>
      </c>
      <c r="M333" s="2">
        <f t="shared" ref="M333:Z333" si="86">+L333+M334</f>
        <v>2650</v>
      </c>
      <c r="N333" s="2">
        <f t="shared" si="86"/>
        <v>2663</v>
      </c>
      <c r="O333" s="2">
        <f t="shared" si="86"/>
        <v>2676</v>
      </c>
      <c r="P333" s="2">
        <f t="shared" si="86"/>
        <v>2689</v>
      </c>
      <c r="Q333" s="2">
        <f t="shared" si="86"/>
        <v>2702</v>
      </c>
      <c r="R333" s="2">
        <f t="shared" si="86"/>
        <v>2716</v>
      </c>
      <c r="S333" s="2">
        <f t="shared" si="86"/>
        <v>2730</v>
      </c>
      <c r="T333" s="2">
        <f t="shared" si="86"/>
        <v>2744</v>
      </c>
      <c r="U333" s="2">
        <f t="shared" si="86"/>
        <v>2758</v>
      </c>
      <c r="V333" s="2">
        <f t="shared" si="86"/>
        <v>2772</v>
      </c>
      <c r="W333" s="2">
        <f t="shared" si="86"/>
        <v>2786</v>
      </c>
      <c r="X333" s="2">
        <f t="shared" si="86"/>
        <v>2800</v>
      </c>
      <c r="Y333" s="2">
        <f t="shared" si="86"/>
        <v>2814</v>
      </c>
      <c r="Z333" s="2">
        <f t="shared" si="86"/>
        <v>2828</v>
      </c>
      <c r="AA333" s="76"/>
    </row>
    <row r="334" spans="7:27" ht="13.5" thickBot="1" x14ac:dyDescent="0.25">
      <c r="L334" s="233">
        <v>0</v>
      </c>
      <c r="M334" s="234">
        <f>ROUND(0.005*L333,0)</f>
        <v>13</v>
      </c>
      <c r="N334" s="234">
        <f t="shared" ref="N334:Q334" si="87">ROUND(0.005*M333,0)</f>
        <v>13</v>
      </c>
      <c r="O334" s="234">
        <f t="shared" si="87"/>
        <v>13</v>
      </c>
      <c r="P334" s="234">
        <f t="shared" si="87"/>
        <v>13</v>
      </c>
      <c r="Q334" s="234">
        <f t="shared" si="87"/>
        <v>13</v>
      </c>
      <c r="R334" s="123">
        <f>ROUND(+Q333*(R344),0)</f>
        <v>14</v>
      </c>
      <c r="S334" s="123">
        <f t="shared" ref="S334:Z334" si="88">ROUND(+R333*(S344),0)</f>
        <v>14</v>
      </c>
      <c r="T334" s="123">
        <f t="shared" si="88"/>
        <v>14</v>
      </c>
      <c r="U334" s="123">
        <f t="shared" si="88"/>
        <v>14</v>
      </c>
      <c r="V334" s="123">
        <f t="shared" si="88"/>
        <v>14</v>
      </c>
      <c r="W334" s="123">
        <f t="shared" si="88"/>
        <v>14</v>
      </c>
      <c r="X334" s="123">
        <f t="shared" si="88"/>
        <v>14</v>
      </c>
      <c r="Y334" s="123">
        <f t="shared" si="88"/>
        <v>14</v>
      </c>
      <c r="Z334" s="123">
        <f t="shared" si="88"/>
        <v>14</v>
      </c>
      <c r="AA334" s="76"/>
    </row>
    <row r="335" spans="7:27" x14ac:dyDescent="0.2">
      <c r="I335" s="2">
        <f t="shared" ref="I335:Q335" si="89">AVERAGE(H333:I333)</f>
        <v>0</v>
      </c>
      <c r="J335" s="2">
        <f t="shared" si="89"/>
        <v>0</v>
      </c>
      <c r="K335" s="2">
        <f t="shared" si="89"/>
        <v>1318.5</v>
      </c>
      <c r="L335" s="2">
        <f t="shared" si="89"/>
        <v>2637</v>
      </c>
      <c r="M335" s="2">
        <f t="shared" si="89"/>
        <v>2643.5</v>
      </c>
      <c r="N335" s="2">
        <f t="shared" si="89"/>
        <v>2656.5</v>
      </c>
      <c r="O335" s="2">
        <f t="shared" si="89"/>
        <v>2669.5</v>
      </c>
      <c r="P335" s="2">
        <f t="shared" si="89"/>
        <v>2682.5</v>
      </c>
      <c r="Q335" s="2">
        <f t="shared" si="89"/>
        <v>2695.5</v>
      </c>
      <c r="R335" s="76"/>
      <c r="S335" s="76"/>
      <c r="T335" s="76"/>
      <c r="U335" s="76"/>
      <c r="V335" s="76"/>
      <c r="W335" s="76"/>
      <c r="X335" s="76"/>
      <c r="Y335" s="76"/>
      <c r="Z335" s="76"/>
      <c r="AA335" s="76"/>
    </row>
    <row r="336" spans="7:27" x14ac:dyDescent="0.2">
      <c r="H336" s="2" t="e">
        <f>+H332/H333</f>
        <v>#DIV/0!</v>
      </c>
      <c r="I336" s="2" t="e">
        <f>+I332/I333</f>
        <v>#DIV/0!</v>
      </c>
      <c r="J336" s="2" t="e">
        <f>+J332/J333</f>
        <v>#DIV/0!</v>
      </c>
      <c r="K336" s="2">
        <f>+K332/K333</f>
        <v>693.5999241562381</v>
      </c>
      <c r="L336" s="2">
        <f>+L332/L333</f>
        <v>716.14192169131593</v>
      </c>
      <c r="R336" s="76"/>
      <c r="S336" s="76"/>
      <c r="T336" s="76"/>
      <c r="U336" s="76"/>
      <c r="V336" s="76"/>
      <c r="W336" s="76"/>
      <c r="X336" s="76"/>
      <c r="Y336" s="76"/>
      <c r="Z336" s="76"/>
      <c r="AA336" s="76"/>
    </row>
    <row r="337" spans="8:29" x14ac:dyDescent="0.2">
      <c r="M337" s="235">
        <v>460</v>
      </c>
      <c r="N337" s="235">
        <v>460</v>
      </c>
      <c r="O337" s="235">
        <v>460</v>
      </c>
      <c r="P337" s="235">
        <v>460</v>
      </c>
      <c r="Q337" s="235">
        <v>460</v>
      </c>
      <c r="R337" s="76"/>
      <c r="S337" s="76"/>
      <c r="T337" s="76"/>
      <c r="U337" s="76"/>
      <c r="V337" s="76"/>
      <c r="W337" s="76"/>
      <c r="X337" s="76"/>
      <c r="Y337" s="76"/>
      <c r="Z337" s="76"/>
      <c r="AA337" s="76"/>
    </row>
    <row r="338" spans="8:29" x14ac:dyDescent="0.2">
      <c r="I338" s="2" t="e">
        <f t="shared" ref="I338:M338" si="90">+I332/I335</f>
        <v>#DIV/0!</v>
      </c>
      <c r="J338" s="2" t="e">
        <f t="shared" si="90"/>
        <v>#DIV/0!</v>
      </c>
      <c r="K338" s="2">
        <f t="shared" si="90"/>
        <v>1387.1998483124762</v>
      </c>
      <c r="L338" s="2">
        <f t="shared" si="90"/>
        <v>716.14192169131593</v>
      </c>
      <c r="M338" s="2">
        <f t="shared" si="90"/>
        <v>781.84073765840731</v>
      </c>
      <c r="R338" s="76"/>
      <c r="S338" s="76"/>
      <c r="T338" s="76"/>
      <c r="U338" s="76"/>
      <c r="V338" s="76"/>
      <c r="W338" s="76"/>
      <c r="X338" s="76"/>
      <c r="Y338" s="76"/>
      <c r="Z338" s="76"/>
      <c r="AA338" s="76"/>
    </row>
    <row r="339" spans="8:29" x14ac:dyDescent="0.2">
      <c r="H339" s="76"/>
      <c r="I339" s="76"/>
      <c r="J339" s="76"/>
      <c r="K339" s="76"/>
      <c r="L339" s="123"/>
      <c r="M339" s="76"/>
      <c r="N339" s="76"/>
      <c r="O339" s="76"/>
      <c r="P339" s="76"/>
      <c r="Q339" s="76"/>
      <c r="R339" s="76"/>
      <c r="S339" s="76"/>
      <c r="T339" s="76"/>
      <c r="U339" s="76"/>
      <c r="V339" s="76"/>
      <c r="W339" s="76"/>
      <c r="X339" s="76"/>
      <c r="Y339" s="76"/>
      <c r="Z339" s="76"/>
      <c r="AA339" s="76"/>
    </row>
    <row r="340" spans="8:29" x14ac:dyDescent="0.2">
      <c r="H340" s="76"/>
      <c r="I340" s="76"/>
      <c r="J340" s="76"/>
      <c r="K340" s="76"/>
      <c r="L340" s="25" t="s">
        <v>143</v>
      </c>
      <c r="M340" s="75">
        <v>2343</v>
      </c>
      <c r="N340" s="76"/>
      <c r="O340" s="76"/>
      <c r="P340" s="76"/>
      <c r="Q340" s="76"/>
      <c r="R340" s="76"/>
      <c r="S340" s="76"/>
      <c r="T340" s="76"/>
      <c r="U340" s="76"/>
      <c r="V340" s="76"/>
      <c r="W340" s="76"/>
      <c r="X340" s="76"/>
      <c r="Y340" s="76"/>
      <c r="Z340" s="76"/>
      <c r="AA340" s="76"/>
    </row>
    <row r="341" spans="8:29" x14ac:dyDescent="0.2">
      <c r="H341" s="76"/>
      <c r="I341" s="76"/>
      <c r="J341" s="76"/>
      <c r="K341" s="76"/>
      <c r="L341" s="25" t="s">
        <v>144</v>
      </c>
      <c r="M341" s="75">
        <v>2343</v>
      </c>
      <c r="N341" s="76"/>
      <c r="O341" s="76"/>
      <c r="P341" s="76"/>
      <c r="Q341" s="76"/>
      <c r="R341" s="76"/>
      <c r="S341" s="76"/>
      <c r="T341" s="76"/>
      <c r="U341" s="76"/>
      <c r="V341" s="76"/>
      <c r="W341" s="76"/>
      <c r="X341" s="76"/>
      <c r="Y341" s="76"/>
      <c r="Z341" s="76"/>
      <c r="AA341" s="76"/>
    </row>
    <row r="342" spans="8:29" x14ac:dyDescent="0.2">
      <c r="H342" s="76"/>
      <c r="I342" s="76"/>
      <c r="J342" s="76"/>
      <c r="K342" s="76"/>
      <c r="L342" s="76"/>
      <c r="M342" s="77">
        <f>+M340/M341</f>
        <v>1</v>
      </c>
      <c r="N342" s="76"/>
      <c r="O342" s="76"/>
      <c r="P342" s="76"/>
      <c r="Q342" s="76"/>
      <c r="R342" s="76"/>
      <c r="S342" s="76"/>
      <c r="T342" s="76"/>
      <c r="U342" s="76"/>
      <c r="V342" s="76"/>
      <c r="W342" s="76"/>
      <c r="X342" s="76"/>
      <c r="Y342" s="76"/>
      <c r="Z342" s="76"/>
      <c r="AA342" s="76"/>
    </row>
    <row r="343" spans="8:29" ht="13.5" thickBot="1" x14ac:dyDescent="0.25">
      <c r="H343" s="76"/>
      <c r="I343" s="76"/>
      <c r="J343" s="76"/>
      <c r="K343" s="25">
        <f>1.742*1000000</f>
        <v>1742000</v>
      </c>
      <c r="L343" s="76"/>
      <c r="M343" s="76"/>
      <c r="N343" s="76"/>
      <c r="O343" s="76"/>
      <c r="P343" s="76"/>
      <c r="Q343" s="76"/>
      <c r="R343" s="76"/>
      <c r="S343" s="76"/>
      <c r="T343" s="76"/>
      <c r="U343" s="76"/>
      <c r="V343" s="76"/>
      <c r="W343" s="76"/>
      <c r="X343" s="76"/>
      <c r="Y343" s="76"/>
      <c r="Z343" s="220"/>
      <c r="AA343" s="76"/>
    </row>
    <row r="344" spans="8:29" ht="13.5" thickBot="1" x14ac:dyDescent="0.25">
      <c r="H344" s="76"/>
      <c r="I344" s="25" t="s">
        <v>145</v>
      </c>
      <c r="J344" s="76"/>
      <c r="L344" s="123"/>
      <c r="M344" s="78">
        <f t="shared" ref="M344:Q344" si="91">+M334</f>
        <v>13</v>
      </c>
      <c r="N344" s="78">
        <f t="shared" si="91"/>
        <v>13</v>
      </c>
      <c r="O344" s="78">
        <f t="shared" si="91"/>
        <v>13</v>
      </c>
      <c r="P344" s="78">
        <f t="shared" si="91"/>
        <v>13</v>
      </c>
      <c r="Q344" s="78">
        <f t="shared" si="91"/>
        <v>13</v>
      </c>
      <c r="R344" s="71">
        <v>5.0000000000000001E-3</v>
      </c>
      <c r="S344" s="71">
        <f t="shared" ref="S344:Z344" si="92">+R344</f>
        <v>5.0000000000000001E-3</v>
      </c>
      <c r="T344" s="71">
        <f t="shared" si="92"/>
        <v>5.0000000000000001E-3</v>
      </c>
      <c r="U344" s="71">
        <f t="shared" si="92"/>
        <v>5.0000000000000001E-3</v>
      </c>
      <c r="V344" s="71">
        <f t="shared" si="92"/>
        <v>5.0000000000000001E-3</v>
      </c>
      <c r="W344" s="71">
        <f t="shared" si="92"/>
        <v>5.0000000000000001E-3</v>
      </c>
      <c r="X344" s="71">
        <f t="shared" si="92"/>
        <v>5.0000000000000001E-3</v>
      </c>
      <c r="Y344" s="71">
        <f t="shared" si="92"/>
        <v>5.0000000000000001E-3</v>
      </c>
      <c r="Z344" s="71">
        <f t="shared" si="92"/>
        <v>5.0000000000000001E-3</v>
      </c>
      <c r="AA344" s="76"/>
    </row>
    <row r="345" spans="8:29" ht="13.5" thickBot="1" x14ac:dyDescent="0.25">
      <c r="H345" s="76"/>
      <c r="I345" s="123" t="s">
        <v>146</v>
      </c>
      <c r="J345" s="82">
        <v>0</v>
      </c>
      <c r="K345" s="81">
        <f>(100000*2343)/K346</f>
        <v>88850.967007963598</v>
      </c>
      <c r="L345" s="79">
        <f>+L346*K350</f>
        <v>88850.967007963598</v>
      </c>
      <c r="M345" s="79">
        <f>+M346*L350</f>
        <v>89288.988460790119</v>
      </c>
      <c r="N345" s="79">
        <f t="shared" ref="N345:Z345" si="93">+N346*M350</f>
        <v>89727.009913616639</v>
      </c>
      <c r="O345" s="79">
        <f t="shared" si="93"/>
        <v>90165.03136644316</v>
      </c>
      <c r="P345" s="79">
        <f t="shared" si="93"/>
        <v>90603.052819269666</v>
      </c>
      <c r="Q345" s="79">
        <f t="shared" si="93"/>
        <v>91041.074272096186</v>
      </c>
      <c r="R345" s="79">
        <f t="shared" si="93"/>
        <v>91496.279643456655</v>
      </c>
      <c r="S345" s="79">
        <f t="shared" si="93"/>
        <v>91953.761041673934</v>
      </c>
      <c r="T345" s="79">
        <f t="shared" si="93"/>
        <v>92413.529846882302</v>
      </c>
      <c r="U345" s="79">
        <f t="shared" si="93"/>
        <v>92875.597496116708</v>
      </c>
      <c r="V345" s="79">
        <f t="shared" si="93"/>
        <v>93339.975483597271</v>
      </c>
      <c r="W345" s="79">
        <f t="shared" si="93"/>
        <v>93806.675361015237</v>
      </c>
      <c r="X345" s="79">
        <f t="shared" si="93"/>
        <v>94275.708737820314</v>
      </c>
      <c r="Y345" s="79">
        <f t="shared" si="93"/>
        <v>94747.087281509404</v>
      </c>
      <c r="Z345" s="79">
        <f t="shared" si="93"/>
        <v>95220.822717916948</v>
      </c>
      <c r="AA345" s="76"/>
    </row>
    <row r="346" spans="8:29" ht="13.5" thickBot="1" x14ac:dyDescent="0.25">
      <c r="H346" s="76"/>
      <c r="I346" s="25" t="s">
        <v>147</v>
      </c>
      <c r="J346" s="79">
        <v>2637</v>
      </c>
      <c r="K346" s="79">
        <v>2637</v>
      </c>
      <c r="L346" s="79">
        <v>2637</v>
      </c>
      <c r="M346" s="80">
        <f>+L346+($M342*M344)</f>
        <v>2650</v>
      </c>
      <c r="N346" s="80">
        <f t="shared" ref="N346:P346" si="94">+M346+($M342*N344)</f>
        <v>2663</v>
      </c>
      <c r="O346" s="80">
        <f t="shared" si="94"/>
        <v>2676</v>
      </c>
      <c r="P346" s="80">
        <f t="shared" si="94"/>
        <v>2689</v>
      </c>
      <c r="Q346" s="80">
        <f>+P346+($M342*Q344)</f>
        <v>2702</v>
      </c>
      <c r="R346" s="79">
        <f t="shared" ref="R346:Z346" si="95">+Q346*(1+R344)</f>
        <v>2715.5099999999998</v>
      </c>
      <c r="S346" s="79">
        <f t="shared" si="95"/>
        <v>2729.0875499999993</v>
      </c>
      <c r="T346" s="79">
        <f t="shared" si="95"/>
        <v>2742.7329877499992</v>
      </c>
      <c r="U346" s="79">
        <f t="shared" si="95"/>
        <v>2756.4466526887491</v>
      </c>
      <c r="V346" s="79">
        <f t="shared" si="95"/>
        <v>2770.2288859521923</v>
      </c>
      <c r="W346" s="79">
        <f t="shared" si="95"/>
        <v>2784.0800303819528</v>
      </c>
      <c r="X346" s="79">
        <f t="shared" si="95"/>
        <v>2798.0004305338625</v>
      </c>
      <c r="Y346" s="79">
        <f t="shared" si="95"/>
        <v>2811.9904326865317</v>
      </c>
      <c r="Z346" s="79">
        <f t="shared" si="95"/>
        <v>2826.0503848499638</v>
      </c>
      <c r="AA346" s="76"/>
    </row>
    <row r="347" spans="8:29" x14ac:dyDescent="0.2">
      <c r="H347" s="76"/>
      <c r="I347" s="198" t="s">
        <v>148</v>
      </c>
      <c r="J347" s="6">
        <f>+J24-0</f>
        <v>0</v>
      </c>
      <c r="K347" s="6">
        <f>+K24-0</f>
        <v>1887240</v>
      </c>
      <c r="L347" s="6">
        <f>+L24-0</f>
        <v>1946683.2475000001</v>
      </c>
      <c r="M347" s="6">
        <f>+M24-0</f>
        <v>2125012.9899999998</v>
      </c>
      <c r="N347" s="6">
        <f>+N24-0</f>
        <v>2188442</v>
      </c>
      <c r="O347" s="6">
        <f>+O24-0</f>
        <v>2252001</v>
      </c>
      <c r="P347" s="6">
        <f>+P24-0</f>
        <v>2841357</v>
      </c>
      <c r="Q347" s="6">
        <f>+Q24-0</f>
        <v>2854844</v>
      </c>
      <c r="R347" s="6">
        <f>+R24-0</f>
        <v>2868597</v>
      </c>
      <c r="S347" s="6">
        <f>+S24-0</f>
        <v>2970206</v>
      </c>
      <c r="T347" s="6">
        <f>+T24-0</f>
        <v>2984766</v>
      </c>
      <c r="U347" s="6">
        <f>+U24-0</f>
        <v>2999399</v>
      </c>
      <c r="V347" s="6">
        <f>+V24-0</f>
        <v>3105737</v>
      </c>
      <c r="W347" s="6">
        <f>+W24-0</f>
        <v>3120975</v>
      </c>
      <c r="X347" s="6">
        <f>+X24-0</f>
        <v>3136288</v>
      </c>
      <c r="Y347" s="6">
        <f>+Y24-0</f>
        <v>3247576</v>
      </c>
      <c r="Z347" s="6">
        <f>+Z24-0</f>
        <v>3263523</v>
      </c>
      <c r="AA347" s="76"/>
    </row>
    <row r="348" spans="8:29" x14ac:dyDescent="0.2">
      <c r="H348" s="76"/>
      <c r="I348" s="76"/>
      <c r="J348" s="76"/>
      <c r="K348" s="25"/>
      <c r="L348" s="123"/>
      <c r="M348" s="76"/>
      <c r="N348" s="76"/>
      <c r="O348" s="76"/>
      <c r="P348" s="76"/>
      <c r="Q348" s="236">
        <f>+Q349/P349</f>
        <v>0.99991258724742538</v>
      </c>
      <c r="R348" s="76"/>
      <c r="S348" s="76"/>
      <c r="T348" s="236">
        <f>+T349/S349</f>
        <v>0.99990250437526829</v>
      </c>
      <c r="U348" s="76"/>
      <c r="V348" s="76"/>
      <c r="W348" s="76"/>
      <c r="X348" s="76"/>
      <c r="Y348" s="76"/>
      <c r="Z348" s="76"/>
      <c r="AA348" s="76"/>
    </row>
    <row r="349" spans="8:29" x14ac:dyDescent="0.2">
      <c r="H349" s="76"/>
      <c r="I349" s="25" t="s">
        <v>149</v>
      </c>
      <c r="J349" s="81">
        <f>+J347/J346</f>
        <v>0</v>
      </c>
      <c r="K349" s="81">
        <f>+K347/K346</f>
        <v>715.67690557451647</v>
      </c>
      <c r="L349" s="81">
        <f>+L347/L346</f>
        <v>738.21890310959429</v>
      </c>
      <c r="M349" s="81">
        <f>+M347/M346</f>
        <v>801.89169433962252</v>
      </c>
      <c r="N349" s="81">
        <f t="shared" ref="N349:Z349" si="96">+N347/N346</f>
        <v>821.7957191137815</v>
      </c>
      <c r="O349" s="81">
        <f t="shared" si="96"/>
        <v>841.55493273542606</v>
      </c>
      <c r="P349" s="81">
        <f t="shared" si="96"/>
        <v>1056.6593529193008</v>
      </c>
      <c r="Q349" s="81">
        <f t="shared" si="96"/>
        <v>1056.5669874167284</v>
      </c>
      <c r="R349" s="81">
        <f t="shared" si="96"/>
        <v>1056.3750455715501</v>
      </c>
      <c r="S349" s="81">
        <f t="shared" si="96"/>
        <v>1088.3513062818379</v>
      </c>
      <c r="T349" s="81">
        <f t="shared" si="96"/>
        <v>1088.2451967913044</v>
      </c>
      <c r="U349" s="81">
        <f t="shared" si="96"/>
        <v>1088.1396877658653</v>
      </c>
      <c r="V349" s="81">
        <f t="shared" si="96"/>
        <v>1121.1120553067533</v>
      </c>
      <c r="W349" s="81">
        <f t="shared" si="96"/>
        <v>1121.0076455926549</v>
      </c>
      <c r="X349" s="81">
        <f t="shared" si="96"/>
        <v>1120.9033300261472</v>
      </c>
      <c r="Y349" s="81">
        <f t="shared" si="96"/>
        <v>1154.9029336125147</v>
      </c>
      <c r="Z349" s="81">
        <f t="shared" si="96"/>
        <v>1154.8000055113177</v>
      </c>
      <c r="AA349" s="76"/>
    </row>
    <row r="350" spans="8:29" x14ac:dyDescent="0.2">
      <c r="H350" s="76"/>
      <c r="I350" s="25" t="s">
        <v>150</v>
      </c>
      <c r="J350" s="82">
        <f>+J345/J346</f>
        <v>0</v>
      </c>
      <c r="K350" s="82">
        <f>+K345/K346</f>
        <v>33.69395790973212</v>
      </c>
      <c r="L350" s="82">
        <f>+L345/L346</f>
        <v>33.69395790973212</v>
      </c>
      <c r="M350" s="82">
        <f>+M345/M346</f>
        <v>33.69395790973212</v>
      </c>
      <c r="N350" s="82">
        <f t="shared" ref="N350:Z350" si="97">+N345/N346</f>
        <v>33.69395790973212</v>
      </c>
      <c r="O350" s="82">
        <f t="shared" si="97"/>
        <v>33.69395790973212</v>
      </c>
      <c r="P350" s="82">
        <f t="shared" si="97"/>
        <v>33.69395790973212</v>
      </c>
      <c r="Q350" s="82">
        <f t="shared" si="97"/>
        <v>33.69395790973212</v>
      </c>
      <c r="R350" s="82">
        <f t="shared" si="97"/>
        <v>33.69395790973212</v>
      </c>
      <c r="S350" s="82">
        <f t="shared" si="97"/>
        <v>33.69395790973212</v>
      </c>
      <c r="T350" s="82">
        <f t="shared" si="97"/>
        <v>33.69395790973212</v>
      </c>
      <c r="U350" s="82">
        <f t="shared" si="97"/>
        <v>33.69395790973212</v>
      </c>
      <c r="V350" s="82">
        <f t="shared" si="97"/>
        <v>33.69395790973212</v>
      </c>
      <c r="W350" s="82">
        <f t="shared" si="97"/>
        <v>33.69395790973212</v>
      </c>
      <c r="X350" s="82">
        <f t="shared" si="97"/>
        <v>33.69395790973212</v>
      </c>
      <c r="Y350" s="82">
        <f t="shared" si="97"/>
        <v>33.69395790973212</v>
      </c>
      <c r="Z350" s="82">
        <f t="shared" si="97"/>
        <v>33.69395790973212</v>
      </c>
      <c r="AA350" s="76"/>
      <c r="AC350" s="237"/>
    </row>
    <row r="351" spans="8:29" x14ac:dyDescent="0.2">
      <c r="H351" s="76"/>
      <c r="I351" s="25"/>
      <c r="J351" s="76"/>
      <c r="L351" s="123"/>
      <c r="M351" s="76"/>
      <c r="N351" s="76"/>
      <c r="O351" s="76"/>
      <c r="P351" s="76"/>
      <c r="Q351" s="76"/>
      <c r="R351" s="76"/>
      <c r="S351" s="76"/>
      <c r="T351" s="76"/>
      <c r="U351" s="76"/>
      <c r="V351" s="76"/>
      <c r="W351" s="76"/>
      <c r="X351" s="76"/>
      <c r="Y351" s="76"/>
      <c r="Z351" s="76"/>
      <c r="AA351" s="76"/>
    </row>
    <row r="352" spans="8:29" x14ac:dyDescent="0.2">
      <c r="H352" s="76"/>
      <c r="I352" s="25" t="s">
        <v>151</v>
      </c>
      <c r="J352" s="81" t="e">
        <f>+J347/J333</f>
        <v>#DIV/0!</v>
      </c>
      <c r="K352" s="81">
        <f t="shared" ref="K352:Z352" si="98">+K347/K333</f>
        <v>715.67690557451647</v>
      </c>
      <c r="L352" s="81">
        <f t="shared" si="98"/>
        <v>738.21890310959429</v>
      </c>
      <c r="M352" s="81">
        <f t="shared" si="98"/>
        <v>801.89169433962252</v>
      </c>
      <c r="N352" s="81">
        <f t="shared" si="98"/>
        <v>821.7957191137815</v>
      </c>
      <c r="O352" s="81">
        <f t="shared" si="98"/>
        <v>841.55493273542606</v>
      </c>
      <c r="P352" s="81">
        <f t="shared" si="98"/>
        <v>1056.6593529193008</v>
      </c>
      <c r="Q352" s="81">
        <f t="shared" si="98"/>
        <v>1056.5669874167284</v>
      </c>
      <c r="R352" s="81">
        <f t="shared" si="98"/>
        <v>1056.1844624447717</v>
      </c>
      <c r="S352" s="81">
        <f t="shared" si="98"/>
        <v>1087.9875457875457</v>
      </c>
      <c r="T352" s="81">
        <f t="shared" si="98"/>
        <v>1087.7427113702624</v>
      </c>
      <c r="U352" s="81">
        <f t="shared" si="98"/>
        <v>1087.5268310369834</v>
      </c>
      <c r="V352" s="81">
        <f t="shared" si="98"/>
        <v>1120.3957431457432</v>
      </c>
      <c r="W352" s="81">
        <f t="shared" si="98"/>
        <v>1120.2351040918879</v>
      </c>
      <c r="X352" s="81">
        <f t="shared" si="98"/>
        <v>1120.1028571428571</v>
      </c>
      <c r="Y352" s="81">
        <f t="shared" si="98"/>
        <v>1154.0781805259417</v>
      </c>
      <c r="Z352" s="81">
        <f t="shared" si="98"/>
        <v>1154.0038896746817</v>
      </c>
      <c r="AA352" s="76"/>
    </row>
    <row r="353" spans="7:29" x14ac:dyDescent="0.2">
      <c r="H353" s="76"/>
      <c r="I353" s="25" t="s">
        <v>152</v>
      </c>
      <c r="J353" s="82" t="e">
        <f>+J345/J333</f>
        <v>#DIV/0!</v>
      </c>
      <c r="K353" s="82">
        <f t="shared" ref="K353:Z353" si="99">+K345/K333</f>
        <v>33.69395790973212</v>
      </c>
      <c r="L353" s="82">
        <f t="shared" si="99"/>
        <v>33.69395790973212</v>
      </c>
      <c r="M353" s="82">
        <f t="shared" si="99"/>
        <v>33.69395790973212</v>
      </c>
      <c r="N353" s="82">
        <f t="shared" si="99"/>
        <v>33.69395790973212</v>
      </c>
      <c r="O353" s="82">
        <f t="shared" si="99"/>
        <v>33.69395790973212</v>
      </c>
      <c r="P353" s="82">
        <f t="shared" si="99"/>
        <v>33.69395790973212</v>
      </c>
      <c r="Q353" s="82">
        <f t="shared" si="99"/>
        <v>33.69395790973212</v>
      </c>
      <c r="R353" s="82">
        <f t="shared" si="99"/>
        <v>33.68787910289273</v>
      </c>
      <c r="S353" s="82">
        <f t="shared" si="99"/>
        <v>33.682696352261516</v>
      </c>
      <c r="T353" s="82">
        <f t="shared" si="99"/>
        <v>33.678400089971682</v>
      </c>
      <c r="U353" s="82">
        <f t="shared" si="99"/>
        <v>33.674980963058992</v>
      </c>
      <c r="V353" s="82">
        <f t="shared" si="99"/>
        <v>33.672429828137545</v>
      </c>
      <c r="W353" s="82">
        <f t="shared" si="99"/>
        <v>33.670737746236625</v>
      </c>
      <c r="X353" s="82">
        <f t="shared" si="99"/>
        <v>33.669895977792969</v>
      </c>
      <c r="Y353" s="82">
        <f t="shared" si="99"/>
        <v>33.669895977792969</v>
      </c>
      <c r="Z353" s="82">
        <f t="shared" si="99"/>
        <v>33.670729391059744</v>
      </c>
      <c r="AA353" s="76"/>
    </row>
    <row r="354" spans="7:29" x14ac:dyDescent="0.2">
      <c r="H354" s="76"/>
      <c r="I354" s="25"/>
      <c r="J354" s="76"/>
      <c r="L354" s="123"/>
      <c r="M354" s="76"/>
      <c r="N354" s="76"/>
      <c r="O354" s="76"/>
      <c r="P354" s="76"/>
      <c r="Q354" s="76"/>
      <c r="R354" s="76"/>
      <c r="S354" s="76"/>
      <c r="T354" s="76"/>
      <c r="U354" s="76"/>
      <c r="V354" s="76"/>
      <c r="W354" s="76"/>
      <c r="X354" s="76"/>
      <c r="Y354" s="76"/>
      <c r="Z354" s="76"/>
      <c r="AA354" s="76"/>
    </row>
    <row r="355" spans="7:29" x14ac:dyDescent="0.2">
      <c r="H355" s="76"/>
      <c r="I355" s="25" t="s">
        <v>153</v>
      </c>
      <c r="J355" s="76"/>
      <c r="L355" s="123"/>
      <c r="M355" s="72">
        <f>+M346*L349</f>
        <v>1956280.093240425</v>
      </c>
      <c r="N355" s="72">
        <f>AVERAGE(M346:N346)*M349</f>
        <v>2130225.2860132074</v>
      </c>
      <c r="O355" s="72">
        <f t="shared" ref="O355:Z355" si="100">AVERAGE(N346:O346)*N349</f>
        <v>2193783.6721742395</v>
      </c>
      <c r="P355" s="72">
        <f t="shared" si="100"/>
        <v>2257471.1070627803</v>
      </c>
      <c r="Q355" s="72">
        <f t="shared" si="100"/>
        <v>2848225.2857939755</v>
      </c>
      <c r="R355" s="72">
        <f t="shared" si="100"/>
        <v>2861981.1100000003</v>
      </c>
      <c r="S355" s="72">
        <f t="shared" si="100"/>
        <v>2875768.4924999992</v>
      </c>
      <c r="T355" s="72">
        <f t="shared" si="100"/>
        <v>2977631.5149999997</v>
      </c>
      <c r="U355" s="72">
        <f t="shared" si="100"/>
        <v>2992227.9149999996</v>
      </c>
      <c r="V355" s="72">
        <f t="shared" si="100"/>
        <v>3006897.4974999996</v>
      </c>
      <c r="W355" s="72">
        <f t="shared" si="100"/>
        <v>3113501.3424999993</v>
      </c>
      <c r="X355" s="72">
        <f t="shared" si="100"/>
        <v>3128777.4374999995</v>
      </c>
      <c r="Y355" s="72">
        <f t="shared" si="100"/>
        <v>3144128.7199999997</v>
      </c>
      <c r="Z355" s="72">
        <f t="shared" si="100"/>
        <v>3255694.94</v>
      </c>
      <c r="AA355" s="76"/>
    </row>
    <row r="356" spans="7:29" x14ac:dyDescent="0.2">
      <c r="H356" s="76"/>
      <c r="I356" s="25"/>
      <c r="J356" s="76"/>
      <c r="L356" s="238"/>
      <c r="M356" s="72"/>
      <c r="N356" s="72"/>
      <c r="O356" s="72"/>
      <c r="P356" s="72"/>
      <c r="Q356" s="72"/>
      <c r="R356" s="72"/>
      <c r="S356" s="72"/>
      <c r="T356" s="72"/>
      <c r="U356" s="72"/>
      <c r="V356" s="72"/>
      <c r="W356" s="72"/>
      <c r="X356" s="72"/>
      <c r="Y356" s="72"/>
      <c r="Z356" s="72"/>
      <c r="AA356" s="76"/>
    </row>
    <row r="357" spans="7:29" x14ac:dyDescent="0.2">
      <c r="H357" s="76"/>
      <c r="I357" s="25"/>
      <c r="J357" s="76"/>
      <c r="L357" s="123"/>
      <c r="M357" s="72"/>
      <c r="N357" s="72"/>
      <c r="O357" s="72"/>
      <c r="P357" s="72"/>
      <c r="Q357" s="74" t="s">
        <v>155</v>
      </c>
      <c r="R357" s="72"/>
      <c r="S357" s="72"/>
      <c r="T357" s="72"/>
      <c r="U357" s="72"/>
      <c r="V357" s="72"/>
      <c r="W357" s="72"/>
      <c r="X357" s="72"/>
      <c r="Y357" s="72"/>
      <c r="Z357" s="72"/>
      <c r="AA357" s="76"/>
    </row>
    <row r="358" spans="7:29" x14ac:dyDescent="0.2">
      <c r="H358" s="76"/>
      <c r="I358" s="76"/>
      <c r="J358" s="76"/>
      <c r="K358" s="25"/>
      <c r="L358" s="123"/>
      <c r="M358" s="239">
        <f>+M285</f>
        <v>2018</v>
      </c>
      <c r="N358" s="239">
        <f>+N285</f>
        <v>2019</v>
      </c>
      <c r="O358" s="239">
        <f>+O285</f>
        <v>2020</v>
      </c>
      <c r="P358" s="239">
        <f>+P285</f>
        <v>2021</v>
      </c>
      <c r="Q358" s="239">
        <f>+Q285</f>
        <v>2022</v>
      </c>
      <c r="R358" s="239">
        <f>+R285</f>
        <v>2023</v>
      </c>
      <c r="S358" s="239">
        <f>+S285</f>
        <v>2024</v>
      </c>
      <c r="T358" s="239">
        <f>+T285</f>
        <v>2025</v>
      </c>
      <c r="U358" s="239">
        <f>+U285</f>
        <v>2026</v>
      </c>
      <c r="V358" s="239">
        <f>+V285</f>
        <v>2027</v>
      </c>
      <c r="W358" s="239">
        <f>+W285</f>
        <v>2028</v>
      </c>
      <c r="X358" s="239">
        <f>+X285</f>
        <v>2029</v>
      </c>
      <c r="Y358" s="239">
        <f>+Y285</f>
        <v>2030</v>
      </c>
      <c r="Z358" s="239">
        <f>+Z285</f>
        <v>2031</v>
      </c>
      <c r="AA358" s="76"/>
    </row>
    <row r="359" spans="7:29" ht="13.5" thickBot="1" x14ac:dyDescent="0.25">
      <c r="H359" s="76"/>
      <c r="I359" s="76"/>
      <c r="J359" s="76"/>
      <c r="K359" s="25"/>
      <c r="M359" s="2" t="s">
        <v>154</v>
      </c>
      <c r="N359" s="240"/>
      <c r="O359" s="240"/>
      <c r="P359" s="171">
        <v>0.26250000000000001</v>
      </c>
      <c r="Q359" s="171"/>
      <c r="R359" s="171"/>
      <c r="S359" s="171">
        <v>3.1E-2</v>
      </c>
      <c r="T359" s="171"/>
      <c r="U359" s="171"/>
      <c r="V359" s="171">
        <v>3.1E-2</v>
      </c>
      <c r="W359" s="171"/>
      <c r="X359" s="171"/>
      <c r="Y359" s="171">
        <v>3.1E-2</v>
      </c>
      <c r="Z359" s="240"/>
    </row>
    <row r="360" spans="7:29" ht="13.5" thickBot="1" x14ac:dyDescent="0.25">
      <c r="H360" s="76"/>
      <c r="I360" s="76"/>
      <c r="J360" s="76"/>
      <c r="K360" s="76"/>
      <c r="L360" s="241">
        <f>+L349</f>
        <v>738.21890310959429</v>
      </c>
      <c r="M360" s="241">
        <f>+M349</f>
        <v>801.89169433962252</v>
      </c>
      <c r="N360" s="241">
        <f>+N349</f>
        <v>821.7957191137815</v>
      </c>
      <c r="O360" s="242">
        <f>N360*(1+O359)</f>
        <v>821.7957191137815</v>
      </c>
      <c r="P360" s="243">
        <f t="shared" ref="P360:Z360" si="101">O360*(1+P359)</f>
        <v>1037.5170953811491</v>
      </c>
      <c r="Q360" s="243">
        <f t="shared" si="101"/>
        <v>1037.5170953811491</v>
      </c>
      <c r="R360" s="243">
        <f t="shared" si="101"/>
        <v>1037.5170953811491</v>
      </c>
      <c r="S360" s="243">
        <f t="shared" si="101"/>
        <v>1069.6801253379647</v>
      </c>
      <c r="T360" s="243">
        <f t="shared" si="101"/>
        <v>1069.6801253379647</v>
      </c>
      <c r="U360" s="243">
        <f t="shared" si="101"/>
        <v>1069.6801253379647</v>
      </c>
      <c r="V360" s="243">
        <f t="shared" si="101"/>
        <v>1102.8402092234414</v>
      </c>
      <c r="W360" s="243">
        <f t="shared" si="101"/>
        <v>1102.8402092234414</v>
      </c>
      <c r="X360" s="244">
        <f t="shared" si="101"/>
        <v>1102.8402092234414</v>
      </c>
      <c r="Y360" s="245">
        <f t="shared" si="101"/>
        <v>1137.0282557093681</v>
      </c>
      <c r="Z360" s="245">
        <f t="shared" si="101"/>
        <v>1137.0282557093681</v>
      </c>
      <c r="AA360" s="83">
        <f>1.04^10</f>
        <v>1.4802442849183446</v>
      </c>
      <c r="AB360" s="241">
        <f>+AA360*M360</f>
        <v>1186.9955976697142</v>
      </c>
      <c r="AC360" s="246">
        <f>+AB360-X360</f>
        <v>84.155388446272809</v>
      </c>
    </row>
    <row r="361" spans="7:29" x14ac:dyDescent="0.2">
      <c r="H361" s="76"/>
      <c r="I361" s="76"/>
      <c r="J361" s="76"/>
      <c r="K361" s="76"/>
      <c r="L361" s="123"/>
      <c r="M361" s="76"/>
      <c r="N361" s="76"/>
      <c r="O361" s="247">
        <f>+O360-N360</f>
        <v>0</v>
      </c>
      <c r="P361" s="247">
        <f>+P360-O360</f>
        <v>215.72137626736765</v>
      </c>
      <c r="Q361" s="247">
        <f>+Q360-P360</f>
        <v>0</v>
      </c>
      <c r="R361" s="247">
        <f t="shared" ref="R361:Z361" si="102">+R360-Q360</f>
        <v>0</v>
      </c>
      <c r="S361" s="247">
        <f t="shared" si="102"/>
        <v>32.163029956815535</v>
      </c>
      <c r="T361" s="247">
        <f t="shared" si="102"/>
        <v>0</v>
      </c>
      <c r="U361" s="247">
        <f t="shared" si="102"/>
        <v>0</v>
      </c>
      <c r="V361" s="247">
        <f t="shared" si="102"/>
        <v>33.160083885476752</v>
      </c>
      <c r="W361" s="247">
        <f t="shared" si="102"/>
        <v>0</v>
      </c>
      <c r="X361" s="247">
        <f t="shared" si="102"/>
        <v>0</v>
      </c>
      <c r="Y361" s="247">
        <f t="shared" si="102"/>
        <v>34.188046485926634</v>
      </c>
      <c r="Z361" s="247">
        <f t="shared" si="102"/>
        <v>0</v>
      </c>
      <c r="AA361" s="76"/>
    </row>
    <row r="362" spans="7:29" x14ac:dyDescent="0.2">
      <c r="H362" s="76"/>
      <c r="I362" s="76"/>
      <c r="J362" s="76"/>
      <c r="K362" s="76"/>
      <c r="L362" s="123"/>
      <c r="M362" s="76"/>
      <c r="N362" s="76"/>
      <c r="O362" s="76"/>
      <c r="P362" s="76"/>
      <c r="Q362" s="76"/>
      <c r="R362" s="76"/>
      <c r="S362" s="76"/>
      <c r="T362" s="76"/>
      <c r="U362" s="76"/>
      <c r="V362" s="76"/>
      <c r="W362" s="76"/>
      <c r="X362" s="76"/>
      <c r="Y362" s="76"/>
      <c r="Z362" s="76"/>
      <c r="AA362" s="76"/>
    </row>
    <row r="363" spans="7:29" ht="15" x14ac:dyDescent="0.25">
      <c r="G363" s="84"/>
      <c r="H363" s="85"/>
      <c r="J363" s="85"/>
      <c r="K363" s="85"/>
      <c r="L363" s="248"/>
      <c r="M363" s="248">
        <f>(((+M346-L346)/2)*L349)</f>
        <v>4798.4228702123628</v>
      </c>
      <c r="N363" s="248">
        <f>(((+N346-M346)/2)*M349)</f>
        <v>5212.2960132075459</v>
      </c>
      <c r="O363" s="248">
        <f>(((+O346-N346)/2)*N349)</f>
        <v>5341.6721742395794</v>
      </c>
      <c r="P363" s="248">
        <f>(((+P346-O346)/2)*P360)+(O346*P360)</f>
        <v>2783139.6083599329</v>
      </c>
      <c r="Q363" s="248">
        <f>(((+Q346-P346)/2)*P349)</f>
        <v>6868.2857939754549</v>
      </c>
      <c r="R363" s="248">
        <f>(((+R346-Q346)/2)*Q349)</f>
        <v>7137.1099999998751</v>
      </c>
      <c r="S363" s="248">
        <f>(((+S346-R346)/2)*R349)</f>
        <v>7171.4924999997465</v>
      </c>
      <c r="T363" s="248">
        <f>(((+T346-S346)/2)*S349)</f>
        <v>7425.5149999999621</v>
      </c>
      <c r="U363" s="248">
        <f>(((+U346-T346)/2)*T349)</f>
        <v>7461.9149999999172</v>
      </c>
      <c r="V363" s="248">
        <f>(((+V346-U346)/2)*U349)</f>
        <v>7498.4974999997203</v>
      </c>
      <c r="W363" s="248">
        <f>(((+W346-V346)/2)*V349)</f>
        <v>7764.3424999997696</v>
      </c>
      <c r="X363" s="248">
        <f>(((+X346-W346)/2)*W349)</f>
        <v>7802.4374999999582</v>
      </c>
      <c r="Y363" s="248">
        <f>(((+Y346-X346)/2)*X349)</f>
        <v>7840.7199999999084</v>
      </c>
      <c r="Z363" s="248">
        <f>(((+Z346-Y346)/2)*Y349)</f>
        <v>8118.9399999997195</v>
      </c>
      <c r="AA363" s="76"/>
    </row>
    <row r="364" spans="7:29" ht="15" x14ac:dyDescent="0.25">
      <c r="G364" s="84"/>
      <c r="H364" s="85"/>
      <c r="J364" s="85"/>
      <c r="K364" s="85"/>
      <c r="L364" s="248"/>
      <c r="M364" s="248"/>
      <c r="N364" s="248"/>
      <c r="O364" s="248"/>
      <c r="P364" s="248"/>
      <c r="Q364" s="248"/>
      <c r="R364" s="248"/>
      <c r="S364" s="248"/>
      <c r="T364" s="248"/>
      <c r="U364" s="248"/>
      <c r="V364" s="248"/>
      <c r="W364" s="248"/>
      <c r="X364" s="248"/>
      <c r="Y364" s="248"/>
      <c r="Z364" s="248"/>
      <c r="AA364" s="76"/>
    </row>
    <row r="365" spans="7:29" ht="15" x14ac:dyDescent="0.25">
      <c r="G365" s="84"/>
      <c r="H365" s="85"/>
      <c r="J365" s="85"/>
      <c r="K365" s="85"/>
      <c r="L365" s="248"/>
      <c r="M365" s="248">
        <f>+ROUND((L360*(L346+((M346-L346)/2))),0)</f>
        <v>1951482</v>
      </c>
      <c r="N365" s="248">
        <f>+ROUND((M360*(M346+((N346-M346)/2))),0)</f>
        <v>2130225</v>
      </c>
      <c r="O365" s="248">
        <f>+ROUND((N360*(N346+((O346-N346)/2))),0)</f>
        <v>2193784</v>
      </c>
      <c r="P365" s="248">
        <f>+ROUND((O360*(O346+((P346-O346)/2))),0)</f>
        <v>2204467</v>
      </c>
      <c r="Q365" s="248">
        <f>+ROUND((P360*(P346+((Q346-P346)/2))),0)</f>
        <v>2796627</v>
      </c>
      <c r="R365" s="248">
        <f>+ROUND((Q360*(Q346+((R346-Q346)/2))),0)</f>
        <v>2810380</v>
      </c>
      <c r="S365" s="248">
        <f>+ROUND((R360*(R346+((S346-R346)/2))),0)</f>
        <v>2824432</v>
      </c>
      <c r="T365" s="248">
        <f>+ROUND((S360*(S346+((T346-S346)/2))),0)</f>
        <v>2926549</v>
      </c>
      <c r="U365" s="248">
        <f>+ROUND((T360*(T346+((U346-T346)/2))),0)</f>
        <v>2941182</v>
      </c>
      <c r="V365" s="248">
        <f>+ROUND((U360*(U346+((V346-U346)/2))),0)</f>
        <v>2955887</v>
      </c>
      <c r="W365" s="248">
        <f>+ROUND((V360*(V346+((W346-V346)/2))),0)</f>
        <v>3062758</v>
      </c>
      <c r="X365" s="248">
        <f>+ROUND((W360*(W346+((X346-W346)/2))),0)</f>
        <v>3078071</v>
      </c>
      <c r="Y365" s="248">
        <f>+ROUND((X360*(X346+((Y346-X346)/2))),0)</f>
        <v>3093462</v>
      </c>
      <c r="Z365" s="248">
        <f>+ROUND((Y360*(Y346+((Z346-Y346)/2))),0)</f>
        <v>3205306</v>
      </c>
      <c r="AA365" s="76"/>
    </row>
    <row r="366" spans="7:29" ht="15" x14ac:dyDescent="0.25">
      <c r="G366" s="84"/>
      <c r="H366" s="85"/>
      <c r="J366" s="85"/>
      <c r="K366" s="85"/>
      <c r="L366" s="248"/>
      <c r="M366" s="248">
        <f>+ROUND((+M361*(L346+((M346-L346)/2))),0)</f>
        <v>0</v>
      </c>
      <c r="N366" s="248">
        <f>+ROUND((+N361*(M346+((N346-M346)/2))),0)</f>
        <v>0</v>
      </c>
      <c r="O366" s="248">
        <f>+ROUND((+O361*(N346+((O346-N346)/2))),0)</f>
        <v>0</v>
      </c>
      <c r="P366" s="248">
        <f>+ROUND((+P361*(O346+((P346-O346)/2))),0)</f>
        <v>578673</v>
      </c>
      <c r="Q366" s="248">
        <f>+ROUND((+Q361*(P346+((Q346-P346)/2))),0)</f>
        <v>0</v>
      </c>
      <c r="R366" s="248">
        <f>+ROUND((+R361*(Q346+((R346-Q346)/2))),0)</f>
        <v>0</v>
      </c>
      <c r="S366" s="248">
        <f>+ROUND((+S361*(R346+((S346-R346)/2))),0)</f>
        <v>87557</v>
      </c>
      <c r="T366" s="248">
        <f>+ROUND((+T361*(S346+((T346-S346)/2))),0)</f>
        <v>0</v>
      </c>
      <c r="U366" s="248">
        <f>+ROUND((+U361*(T346+((U346-T346)/2))),0)</f>
        <v>0</v>
      </c>
      <c r="V366" s="248">
        <f>+ROUND((+V361*(U346+((V346-U346)/2))),0)</f>
        <v>91633</v>
      </c>
      <c r="W366" s="248">
        <f>+ROUND((+W361*(V346+((W346-V346)/2))),0)</f>
        <v>0</v>
      </c>
      <c r="X366" s="248">
        <f>+ROUND((+X361*(W346+((X346-W346)/2))),0)</f>
        <v>0</v>
      </c>
      <c r="Y366" s="248">
        <f>+ROUND((+Y361*(X346+((Y346-X346)/2))),0)</f>
        <v>95897</v>
      </c>
      <c r="Z366" s="248">
        <f>+ROUND((+Z361*(Y346+((Z346-Y346)/2))),0)</f>
        <v>0</v>
      </c>
      <c r="AA366" s="76"/>
    </row>
    <row r="367" spans="7:29" ht="15" x14ac:dyDescent="0.25">
      <c r="G367" s="84"/>
      <c r="H367" s="85"/>
      <c r="J367" s="85"/>
      <c r="K367" s="85"/>
      <c r="L367" s="85"/>
      <c r="M367" s="85"/>
      <c r="R367" s="76"/>
      <c r="S367" s="76"/>
      <c r="T367" s="76"/>
      <c r="U367" s="76"/>
      <c r="V367" s="76"/>
      <c r="W367" s="76"/>
      <c r="X367" s="76"/>
      <c r="Y367" s="76"/>
      <c r="Z367" s="76"/>
      <c r="AA367" s="76"/>
    </row>
    <row r="368" spans="7:29" ht="15.75" thickBot="1" x14ac:dyDescent="0.3">
      <c r="G368" s="85"/>
      <c r="H368" s="85"/>
      <c r="I368" s="85"/>
      <c r="J368" s="85"/>
      <c r="K368" s="85"/>
      <c r="L368" s="248"/>
      <c r="M368" s="248"/>
      <c r="R368" s="76"/>
      <c r="S368" s="76"/>
      <c r="T368" s="76"/>
      <c r="U368" s="76"/>
      <c r="V368" s="76"/>
      <c r="W368" s="76"/>
      <c r="X368" s="76"/>
      <c r="Y368" s="76"/>
      <c r="Z368" s="76"/>
      <c r="AA368" s="76"/>
    </row>
    <row r="369" spans="8:27" ht="15" x14ac:dyDescent="0.25">
      <c r="H369" s="249"/>
      <c r="I369" s="250"/>
      <c r="J369" s="251"/>
      <c r="K369" s="251"/>
      <c r="L369" s="251"/>
      <c r="M369" s="250"/>
      <c r="N369" s="250"/>
      <c r="O369" s="250"/>
      <c r="P369" s="250"/>
      <c r="Q369" s="250"/>
      <c r="R369" s="252"/>
      <c r="S369" s="252"/>
      <c r="T369" s="252"/>
      <c r="U369" s="252"/>
      <c r="V369" s="252"/>
      <c r="W369" s="252"/>
      <c r="X369" s="252"/>
      <c r="Y369" s="252"/>
      <c r="Z369" s="253"/>
      <c r="AA369" s="76"/>
    </row>
    <row r="370" spans="8:27" ht="15" x14ac:dyDescent="0.25">
      <c r="H370" s="86" t="s">
        <v>156</v>
      </c>
      <c r="I370" s="4"/>
      <c r="J370" s="4"/>
      <c r="K370" s="254"/>
      <c r="L370" s="254"/>
      <c r="M370" s="4"/>
      <c r="N370" s="4"/>
      <c r="O370" s="4"/>
      <c r="P370" s="4"/>
      <c r="Q370" s="4"/>
      <c r="R370" s="255"/>
      <c r="S370" s="255"/>
      <c r="T370" s="255"/>
      <c r="U370" s="255"/>
      <c r="V370" s="255"/>
      <c r="W370" s="255"/>
      <c r="X370" s="255"/>
      <c r="Y370" s="255"/>
      <c r="Z370" s="256"/>
      <c r="AA370" s="76"/>
    </row>
    <row r="371" spans="8:27" ht="15" x14ac:dyDescent="0.25">
      <c r="H371" s="86" t="s">
        <v>157</v>
      </c>
      <c r="I371" s="87" t="s">
        <v>135</v>
      </c>
      <c r="J371" s="257">
        <v>1.4319999999999999E-3</v>
      </c>
      <c r="K371" s="255"/>
      <c r="L371" s="258"/>
      <c r="M371" s="259">
        <f>ROUND(+$J371*L289,0)</f>
        <v>9655</v>
      </c>
      <c r="N371" s="259">
        <f>ROUND(+$J371*M289,0)</f>
        <v>9407</v>
      </c>
      <c r="O371" s="259">
        <f>ROUND(+$J371*N289,0)</f>
        <v>9393</v>
      </c>
      <c r="P371" s="259">
        <f>ROUND(+$J371*O289,0)</f>
        <v>9377</v>
      </c>
      <c r="Q371" s="259">
        <f>ROUND(+$J371*P289,0)</f>
        <v>9361</v>
      </c>
      <c r="R371" s="259">
        <f>ROUND(+$J371*Q289,0)</f>
        <v>9345</v>
      </c>
      <c r="S371" s="259">
        <f>ROUND(+$J371*R289,0)</f>
        <v>9329</v>
      </c>
      <c r="T371" s="259">
        <f>ROUND(+$J371*S289,0)</f>
        <v>9312</v>
      </c>
      <c r="U371" s="259">
        <f>ROUND(+$J371*T289,0)</f>
        <v>9295</v>
      </c>
      <c r="V371" s="259">
        <f>ROUND(+$J371*U289,0)</f>
        <v>9278</v>
      </c>
      <c r="W371" s="259">
        <f>ROUND(+$J371*V289,0)</f>
        <v>9260</v>
      </c>
      <c r="X371" s="259">
        <f>ROUND(+$J371*W289,0)</f>
        <v>9242</v>
      </c>
      <c r="Y371" s="259">
        <f>ROUND(+$J371*X289,0)</f>
        <v>9223</v>
      </c>
      <c r="Z371" s="260">
        <f>ROUND(+$J371*Y289,0)</f>
        <v>9205</v>
      </c>
      <c r="AA371" s="76"/>
    </row>
    <row r="372" spans="8:27" ht="15" x14ac:dyDescent="0.25">
      <c r="H372" s="86" t="s">
        <v>158</v>
      </c>
      <c r="I372" s="87" t="s">
        <v>159</v>
      </c>
      <c r="J372" s="257">
        <v>5.6899999999999997E-3</v>
      </c>
      <c r="K372" s="255"/>
      <c r="L372" s="258"/>
      <c r="M372" s="259">
        <f>ROUND(+$J372*L24,0)</f>
        <v>11077</v>
      </c>
      <c r="N372" s="259">
        <f>ROUND(+$J372*M24,0)</f>
        <v>12091</v>
      </c>
      <c r="O372" s="259">
        <f>ROUND(+$J372*N24,0)</f>
        <v>12452</v>
      </c>
      <c r="P372" s="259">
        <f>ROUND(+$J372*O24,0)</f>
        <v>12814</v>
      </c>
      <c r="Q372" s="259">
        <f>ROUND(+$J372*P24,0)</f>
        <v>16167</v>
      </c>
      <c r="R372" s="259">
        <f>ROUND(+$J372*Q24,0)</f>
        <v>16244</v>
      </c>
      <c r="S372" s="259">
        <f>ROUND(+$J372*R24,0)</f>
        <v>16322</v>
      </c>
      <c r="T372" s="259">
        <f>ROUND(+$J372*S24,0)</f>
        <v>16900</v>
      </c>
      <c r="U372" s="259">
        <f>ROUND(+$J372*T24,0)</f>
        <v>16983</v>
      </c>
      <c r="V372" s="259">
        <f>ROUND(+$J372*U24,0)</f>
        <v>17067</v>
      </c>
      <c r="W372" s="259">
        <f>ROUND(+$J372*V24,0)</f>
        <v>17672</v>
      </c>
      <c r="X372" s="259">
        <f>ROUND(+$J372*W24,0)</f>
        <v>17758</v>
      </c>
      <c r="Y372" s="259">
        <f>ROUND(+$J372*X24,0)</f>
        <v>17845</v>
      </c>
      <c r="Z372" s="260">
        <f>ROUND(+$J372*Y24,0)</f>
        <v>18479</v>
      </c>
      <c r="AA372" s="76"/>
    </row>
    <row r="373" spans="8:27" ht="15.75" thickBot="1" x14ac:dyDescent="0.3">
      <c r="H373" s="261"/>
      <c r="I373" s="255"/>
      <c r="J373" s="255"/>
      <c r="K373" s="255"/>
      <c r="L373" s="258"/>
      <c r="M373" s="262">
        <f>SUM(M371:M372)</f>
        <v>20732</v>
      </c>
      <c r="N373" s="262">
        <f t="shared" ref="N373:Z373" si="103">SUM(N371:N372)</f>
        <v>21498</v>
      </c>
      <c r="O373" s="262">
        <f t="shared" si="103"/>
        <v>21845</v>
      </c>
      <c r="P373" s="262">
        <f t="shared" si="103"/>
        <v>22191</v>
      </c>
      <c r="Q373" s="262">
        <f t="shared" si="103"/>
        <v>25528</v>
      </c>
      <c r="R373" s="262">
        <f t="shared" si="103"/>
        <v>25589</v>
      </c>
      <c r="S373" s="262">
        <f t="shared" si="103"/>
        <v>25651</v>
      </c>
      <c r="T373" s="262">
        <f t="shared" si="103"/>
        <v>26212</v>
      </c>
      <c r="U373" s="262">
        <f t="shared" si="103"/>
        <v>26278</v>
      </c>
      <c r="V373" s="262">
        <f t="shared" si="103"/>
        <v>26345</v>
      </c>
      <c r="W373" s="262">
        <f t="shared" si="103"/>
        <v>26932</v>
      </c>
      <c r="X373" s="262">
        <f t="shared" si="103"/>
        <v>27000</v>
      </c>
      <c r="Y373" s="262">
        <f t="shared" si="103"/>
        <v>27068</v>
      </c>
      <c r="Z373" s="263">
        <f t="shared" si="103"/>
        <v>27684</v>
      </c>
      <c r="AA373" s="76"/>
    </row>
    <row r="374" spans="8:27" ht="13.5" thickTop="1" x14ac:dyDescent="0.2">
      <c r="H374" s="261"/>
      <c r="I374" s="255"/>
      <c r="J374" s="255"/>
      <c r="K374" s="255"/>
      <c r="L374" s="258"/>
      <c r="M374" s="255"/>
      <c r="N374" s="255"/>
      <c r="O374" s="255"/>
      <c r="P374" s="255"/>
      <c r="Q374" s="255"/>
      <c r="R374" s="255"/>
      <c r="S374" s="255"/>
      <c r="T374" s="255"/>
      <c r="U374" s="255"/>
      <c r="V374" s="255"/>
      <c r="W374" s="255"/>
      <c r="X374" s="255"/>
      <c r="Y374" s="255"/>
      <c r="Z374" s="256"/>
      <c r="AA374" s="76"/>
    </row>
    <row r="375" spans="8:27" ht="13.5" thickBot="1" x14ac:dyDescent="0.25">
      <c r="H375" s="264"/>
      <c r="I375" s="265"/>
      <c r="J375" s="265"/>
      <c r="K375" s="265"/>
      <c r="L375" s="266"/>
      <c r="M375" s="265"/>
      <c r="N375" s="265"/>
      <c r="O375" s="265"/>
      <c r="P375" s="265"/>
      <c r="Q375" s="265"/>
      <c r="R375" s="265"/>
      <c r="S375" s="265"/>
      <c r="T375" s="265"/>
      <c r="U375" s="265"/>
      <c r="V375" s="265"/>
      <c r="W375" s="265"/>
      <c r="X375" s="265"/>
      <c r="Y375" s="265"/>
      <c r="Z375" s="267"/>
      <c r="AA375" s="76"/>
    </row>
    <row r="376" spans="8:27" ht="15" x14ac:dyDescent="0.25">
      <c r="H376" s="76"/>
      <c r="I376" s="76"/>
      <c r="J376" s="85"/>
      <c r="K376" s="76"/>
      <c r="L376" s="123"/>
      <c r="M376" s="76"/>
      <c r="N376" s="76"/>
      <c r="O376" s="76"/>
      <c r="P376" s="76"/>
      <c r="Q376" s="76"/>
      <c r="R376" s="76"/>
      <c r="S376" s="76"/>
      <c r="T376" s="76"/>
      <c r="U376" s="76"/>
      <c r="V376" s="76"/>
      <c r="W376" s="76"/>
      <c r="X376" s="76"/>
      <c r="Y376" s="76"/>
      <c r="Z376" s="76"/>
      <c r="AA376" s="76"/>
    </row>
    <row r="377" spans="8:27" ht="15" x14ac:dyDescent="0.25">
      <c r="H377" s="76"/>
      <c r="I377" s="76"/>
      <c r="J377" s="85"/>
      <c r="K377" s="76"/>
      <c r="L377" s="123"/>
      <c r="M377" s="76"/>
      <c r="N377" s="76"/>
      <c r="O377" s="76"/>
      <c r="P377" s="76"/>
      <c r="Q377" s="76"/>
      <c r="R377" s="76"/>
      <c r="S377" s="76"/>
      <c r="T377" s="76"/>
      <c r="U377" s="76"/>
      <c r="V377" s="76"/>
      <c r="W377" s="76"/>
      <c r="X377" s="76"/>
      <c r="Y377" s="76"/>
      <c r="Z377" s="76"/>
      <c r="AA377" s="76"/>
    </row>
    <row r="378" spans="8:27" ht="15" x14ac:dyDescent="0.25">
      <c r="H378" s="76"/>
      <c r="I378" s="76"/>
      <c r="J378" s="85"/>
      <c r="K378" s="76"/>
      <c r="L378" s="123"/>
      <c r="M378" s="76"/>
      <c r="N378" s="76"/>
      <c r="O378" s="76"/>
      <c r="P378" s="76"/>
      <c r="Q378" s="76"/>
      <c r="R378" s="76"/>
      <c r="S378" s="76"/>
      <c r="T378" s="76"/>
      <c r="U378" s="76"/>
      <c r="V378" s="76"/>
      <c r="W378" s="76"/>
      <c r="X378" s="76"/>
      <c r="Y378" s="76"/>
      <c r="Z378" s="76"/>
      <c r="AA378" s="76"/>
    </row>
    <row r="379" spans="8:27" ht="15" x14ac:dyDescent="0.25">
      <c r="H379" s="76"/>
      <c r="I379" s="76"/>
      <c r="J379" s="85"/>
      <c r="K379" s="76"/>
      <c r="L379" s="123"/>
      <c r="M379" s="76"/>
      <c r="N379" s="76"/>
      <c r="O379" s="76"/>
      <c r="P379" s="76"/>
      <c r="Q379" s="76"/>
      <c r="R379" s="76"/>
      <c r="S379" s="76"/>
      <c r="T379" s="76"/>
      <c r="U379" s="76"/>
      <c r="V379" s="76"/>
      <c r="W379" s="76"/>
      <c r="X379" s="76"/>
      <c r="Y379" s="76"/>
      <c r="Z379" s="76"/>
      <c r="AA379" s="76"/>
    </row>
    <row r="380" spans="8:27" x14ac:dyDescent="0.2">
      <c r="H380" s="76"/>
      <c r="I380" s="76"/>
      <c r="J380" s="87"/>
      <c r="K380" s="76"/>
      <c r="L380" s="123"/>
      <c r="M380" s="76"/>
      <c r="N380" s="76"/>
      <c r="O380" s="76"/>
      <c r="P380" s="76"/>
      <c r="Q380" s="76"/>
      <c r="R380" s="76"/>
      <c r="S380" s="76"/>
      <c r="T380" s="76"/>
      <c r="U380" s="76"/>
      <c r="V380" s="76"/>
      <c r="W380" s="76"/>
      <c r="X380" s="76"/>
      <c r="Y380" s="76"/>
      <c r="Z380" s="76"/>
      <c r="AA380" s="76"/>
    </row>
    <row r="381" spans="8:27" x14ac:dyDescent="0.2">
      <c r="H381" s="76"/>
      <c r="I381" s="76"/>
      <c r="J381" s="76"/>
      <c r="K381" s="76"/>
      <c r="L381" s="123"/>
      <c r="M381" s="76"/>
      <c r="N381" s="76"/>
      <c r="O381" s="76"/>
      <c r="P381" s="76"/>
      <c r="Q381" s="76"/>
      <c r="R381" s="76"/>
      <c r="S381" s="76"/>
      <c r="T381" s="76"/>
      <c r="U381" s="76"/>
      <c r="V381" s="76"/>
      <c r="W381" s="76"/>
      <c r="X381" s="76"/>
      <c r="Y381" s="76"/>
      <c r="Z381" s="76"/>
      <c r="AA381" s="76"/>
    </row>
    <row r="382" spans="8:27" x14ac:dyDescent="0.2">
      <c r="H382" s="76"/>
      <c r="I382" s="76"/>
      <c r="J382" s="76"/>
      <c r="K382" s="76"/>
      <c r="L382" s="123"/>
      <c r="M382" s="76"/>
      <c r="N382" s="76"/>
      <c r="O382" s="76"/>
      <c r="P382" s="76"/>
      <c r="Q382" s="76"/>
      <c r="R382" s="76"/>
      <c r="S382" s="76"/>
      <c r="T382" s="76"/>
      <c r="U382" s="76"/>
      <c r="V382" s="76"/>
      <c r="W382" s="76"/>
      <c r="X382" s="76"/>
      <c r="Y382" s="76"/>
      <c r="Z382" s="76"/>
      <c r="AA382" s="76"/>
    </row>
    <row r="383" spans="8:27" x14ac:dyDescent="0.2">
      <c r="H383" s="76"/>
      <c r="I383" s="76"/>
      <c r="J383" s="76"/>
      <c r="K383" s="2" t="s">
        <v>182</v>
      </c>
      <c r="O383" s="76"/>
      <c r="P383" s="76"/>
      <c r="Q383" s="76"/>
      <c r="R383" s="76"/>
      <c r="S383" s="76"/>
      <c r="T383" s="76"/>
      <c r="U383" s="76"/>
      <c r="V383" s="76"/>
      <c r="W383" s="76"/>
      <c r="X383" s="76"/>
      <c r="Y383" s="76"/>
      <c r="Z383" s="76"/>
      <c r="AA383" s="76"/>
    </row>
    <row r="384" spans="8:27" ht="15" x14ac:dyDescent="0.25">
      <c r="H384" s="76"/>
      <c r="I384" s="76"/>
      <c r="J384" s="76"/>
      <c r="K384" s="69" t="s">
        <v>160</v>
      </c>
      <c r="L384" s="224">
        <f>+L293</f>
        <v>5675460</v>
      </c>
      <c r="M384" s="76"/>
      <c r="O384" s="76"/>
      <c r="P384" s="76"/>
      <c r="Q384" s="76"/>
      <c r="R384" s="76"/>
      <c r="S384" s="76"/>
      <c r="T384" s="76"/>
      <c r="U384" s="76"/>
      <c r="V384" s="76"/>
      <c r="W384" s="76"/>
      <c r="X384" s="76"/>
      <c r="Y384" s="76"/>
      <c r="Z384" s="76"/>
      <c r="AA384" s="76"/>
    </row>
    <row r="385" spans="8:27" ht="15" x14ac:dyDescent="0.25">
      <c r="H385" s="76"/>
      <c r="I385" s="76"/>
      <c r="J385" s="76"/>
      <c r="K385" s="69" t="s">
        <v>161</v>
      </c>
      <c r="L385" s="5">
        <f>+L287</f>
        <v>10225921</v>
      </c>
      <c r="M385" s="76"/>
      <c r="N385" s="5"/>
      <c r="O385" s="76"/>
      <c r="P385" s="76"/>
      <c r="Q385" s="76"/>
      <c r="R385" s="76"/>
      <c r="S385" s="76"/>
      <c r="T385" s="76"/>
      <c r="U385" s="76"/>
      <c r="V385" s="76"/>
      <c r="W385" s="76"/>
      <c r="X385" s="76"/>
      <c r="Y385" s="76"/>
      <c r="Z385" s="76"/>
      <c r="AA385" s="76"/>
    </row>
    <row r="386" spans="8:27" ht="15" x14ac:dyDescent="0.25">
      <c r="H386" s="76"/>
      <c r="I386" s="76"/>
      <c r="J386" s="76"/>
      <c r="K386" s="69" t="s">
        <v>162</v>
      </c>
      <c r="L386" s="5">
        <f>+L289</f>
        <v>6741997</v>
      </c>
      <c r="M386" s="76"/>
      <c r="N386" s="5"/>
      <c r="O386" s="76"/>
      <c r="P386" s="76"/>
      <c r="Q386" s="76"/>
      <c r="R386" s="76"/>
      <c r="S386" s="76"/>
      <c r="T386" s="76"/>
      <c r="U386" s="76"/>
      <c r="V386" s="76"/>
      <c r="W386" s="76"/>
      <c r="X386" s="76"/>
      <c r="Y386" s="76"/>
      <c r="Z386" s="76"/>
      <c r="AA386" s="76"/>
    </row>
    <row r="387" spans="8:27" ht="15" x14ac:dyDescent="0.25">
      <c r="H387" s="76"/>
      <c r="I387" s="76"/>
      <c r="J387" s="76"/>
      <c r="K387" s="69" t="s">
        <v>46</v>
      </c>
      <c r="L387" s="5">
        <f>+L40</f>
        <v>1946683.2475000001</v>
      </c>
      <c r="M387" s="76"/>
      <c r="O387" s="76"/>
      <c r="P387" s="76"/>
      <c r="Q387" s="76"/>
      <c r="R387" s="76"/>
      <c r="S387" s="76"/>
      <c r="T387" s="76"/>
      <c r="U387" s="76"/>
      <c r="V387" s="76"/>
      <c r="W387" s="76"/>
      <c r="X387" s="76"/>
      <c r="Y387" s="76"/>
      <c r="Z387" s="76"/>
      <c r="AA387" s="76"/>
    </row>
    <row r="388" spans="8:27" ht="15" x14ac:dyDescent="0.25">
      <c r="H388" s="76"/>
      <c r="I388" s="76"/>
      <c r="J388" s="76"/>
      <c r="K388" s="69" t="s">
        <v>7</v>
      </c>
      <c r="L388" s="5">
        <f>+L41</f>
        <v>-21875.95250000013</v>
      </c>
      <c r="M388" s="76"/>
      <c r="O388" s="76"/>
      <c r="P388" s="76"/>
      <c r="Q388" s="76"/>
      <c r="R388" s="76"/>
      <c r="S388" s="76"/>
      <c r="T388" s="76"/>
      <c r="U388" s="76"/>
      <c r="V388" s="76"/>
      <c r="W388" s="76"/>
      <c r="X388" s="76"/>
      <c r="Y388" s="76"/>
      <c r="Z388" s="76"/>
      <c r="AA388" s="76"/>
    </row>
    <row r="389" spans="8:27" ht="15" x14ac:dyDescent="0.25">
      <c r="H389" s="76"/>
      <c r="I389" s="76"/>
      <c r="J389" s="76"/>
      <c r="K389" s="69" t="s">
        <v>4</v>
      </c>
      <c r="L389" s="5">
        <f>+L42</f>
        <v>-153096.95250000013</v>
      </c>
      <c r="M389" s="76"/>
      <c r="O389" s="76"/>
      <c r="P389" s="76"/>
      <c r="Q389" s="76"/>
      <c r="R389" s="76"/>
      <c r="S389" s="76"/>
      <c r="T389" s="76"/>
      <c r="U389" s="76"/>
      <c r="V389" s="76"/>
      <c r="W389" s="76"/>
      <c r="X389" s="76"/>
      <c r="Y389" s="76"/>
      <c r="Z389" s="76"/>
      <c r="AA389" s="76"/>
    </row>
    <row r="390" spans="8:27" ht="15" x14ac:dyDescent="0.25">
      <c r="H390" s="76"/>
      <c r="I390" s="76"/>
      <c r="J390" s="76"/>
      <c r="K390" s="69" t="s">
        <v>147</v>
      </c>
      <c r="L390" s="224">
        <f>+L346</f>
        <v>2637</v>
      </c>
      <c r="M390" s="76"/>
      <c r="O390" s="76"/>
      <c r="P390" s="76"/>
      <c r="Q390" s="76"/>
      <c r="R390" s="76"/>
      <c r="S390" s="76"/>
      <c r="T390" s="76"/>
      <c r="U390" s="76"/>
      <c r="V390" s="76"/>
      <c r="W390" s="76"/>
      <c r="X390" s="76"/>
      <c r="Y390" s="76"/>
      <c r="Z390" s="76"/>
      <c r="AA390" s="76"/>
    </row>
    <row r="391" spans="8:27" ht="15" x14ac:dyDescent="0.25">
      <c r="H391" s="76"/>
      <c r="I391" s="76"/>
      <c r="J391" s="76"/>
      <c r="K391" s="69" t="s">
        <v>163</v>
      </c>
      <c r="L391" s="224">
        <f>4218*2</f>
        <v>8436</v>
      </c>
      <c r="M391" s="76"/>
      <c r="O391" s="76"/>
      <c r="P391" s="76"/>
      <c r="Q391" s="76"/>
      <c r="R391" s="76"/>
      <c r="S391" s="76"/>
      <c r="T391" s="76"/>
      <c r="U391" s="76"/>
      <c r="V391" s="76"/>
      <c r="W391" s="76"/>
      <c r="X391" s="76"/>
      <c r="Y391" s="76"/>
      <c r="Z391" s="76"/>
      <c r="AA391" s="76"/>
    </row>
    <row r="392" spans="8:27" x14ac:dyDescent="0.2">
      <c r="H392" s="76"/>
      <c r="I392" s="76"/>
      <c r="J392" s="76"/>
      <c r="K392" s="76"/>
      <c r="L392" s="123"/>
      <c r="M392" s="76"/>
      <c r="N392" s="76"/>
      <c r="O392" s="76"/>
      <c r="P392" s="76"/>
      <c r="Q392" s="76"/>
      <c r="R392" s="76"/>
      <c r="S392" s="76"/>
      <c r="T392" s="76"/>
      <c r="U392" s="76"/>
      <c r="V392" s="76"/>
      <c r="W392" s="76"/>
      <c r="X392" s="76"/>
      <c r="Y392" s="76"/>
      <c r="Z392" s="76"/>
      <c r="AA392" s="76"/>
    </row>
    <row r="393" spans="8:27" x14ac:dyDescent="0.2">
      <c r="H393" s="76"/>
      <c r="I393" s="76"/>
      <c r="J393" s="76"/>
      <c r="K393" s="76"/>
      <c r="L393" s="123"/>
      <c r="M393" s="76"/>
      <c r="N393" s="76"/>
      <c r="O393" s="76"/>
      <c r="P393" s="76"/>
      <c r="Q393" s="76"/>
      <c r="R393" s="76"/>
      <c r="S393" s="76"/>
      <c r="T393" s="76"/>
      <c r="U393" s="76"/>
      <c r="V393" s="76"/>
      <c r="W393" s="76"/>
      <c r="X393" s="76"/>
      <c r="Y393" s="76"/>
      <c r="Z393" s="76"/>
      <c r="AA393" s="76"/>
    </row>
    <row r="394" spans="8:27" x14ac:dyDescent="0.2">
      <c r="H394" s="76"/>
      <c r="I394" s="76"/>
      <c r="J394" s="76"/>
      <c r="K394" s="76"/>
      <c r="L394" s="123"/>
      <c r="M394" s="76"/>
      <c r="N394" s="76"/>
      <c r="O394" s="76"/>
      <c r="P394" s="76"/>
      <c r="Q394" s="76"/>
      <c r="R394" s="76"/>
      <c r="S394" s="76"/>
      <c r="T394" s="76"/>
      <c r="U394" s="76"/>
      <c r="V394" s="76"/>
      <c r="W394" s="76"/>
      <c r="X394" s="76"/>
      <c r="Y394" s="76"/>
      <c r="Z394" s="76"/>
      <c r="AA394" s="76"/>
    </row>
    <row r="395" spans="8:27" x14ac:dyDescent="0.2">
      <c r="H395" s="76"/>
      <c r="I395" s="76"/>
      <c r="J395" s="76"/>
      <c r="K395" s="76"/>
      <c r="L395" s="123"/>
      <c r="M395" s="76"/>
      <c r="N395" s="76"/>
      <c r="O395" s="76"/>
      <c r="P395" s="76"/>
      <c r="Q395" s="76"/>
      <c r="R395" s="76"/>
      <c r="S395" s="76"/>
      <c r="T395" s="76"/>
      <c r="U395" s="76"/>
      <c r="V395" s="76"/>
      <c r="W395" s="76"/>
      <c r="X395" s="76"/>
      <c r="Y395" s="76"/>
      <c r="Z395" s="76"/>
      <c r="AA395" s="76"/>
    </row>
    <row r="396" spans="8:27" x14ac:dyDescent="0.2">
      <c r="H396" s="76"/>
      <c r="I396" s="76"/>
      <c r="J396" s="76"/>
      <c r="K396" s="76"/>
      <c r="L396" s="123"/>
      <c r="M396" s="76"/>
      <c r="N396" s="76"/>
      <c r="O396" s="76"/>
      <c r="P396" s="76"/>
      <c r="Q396" s="76"/>
      <c r="R396" s="76"/>
      <c r="S396" s="76"/>
      <c r="T396" s="76"/>
      <c r="U396" s="76"/>
      <c r="V396" s="76"/>
      <c r="W396" s="76"/>
      <c r="X396" s="76"/>
      <c r="Y396" s="76"/>
      <c r="Z396" s="76"/>
      <c r="AA396" s="76"/>
    </row>
    <row r="397" spans="8:27" x14ac:dyDescent="0.2">
      <c r="H397" s="76"/>
      <c r="I397" s="2" t="s">
        <v>164</v>
      </c>
      <c r="J397" s="224">
        <f>+J287</f>
        <v>0</v>
      </c>
      <c r="K397" s="224">
        <f>+K287</f>
        <v>0</v>
      </c>
      <c r="L397" s="224">
        <f>+L287</f>
        <v>10225921</v>
      </c>
      <c r="M397" s="224">
        <f>+M287</f>
        <v>10225921</v>
      </c>
      <c r="N397" s="76"/>
      <c r="O397" s="76"/>
      <c r="P397" s="76"/>
      <c r="Q397" s="76"/>
      <c r="R397" s="76"/>
      <c r="S397" s="76"/>
      <c r="T397" s="76"/>
      <c r="U397" s="76"/>
      <c r="V397" s="76"/>
      <c r="W397" s="76"/>
      <c r="X397" s="76"/>
      <c r="Y397" s="76"/>
      <c r="Z397" s="76"/>
      <c r="AA397" s="76"/>
    </row>
    <row r="398" spans="8:27" x14ac:dyDescent="0.2">
      <c r="H398" s="76"/>
      <c r="I398" s="2" t="s">
        <v>165</v>
      </c>
      <c r="J398" s="224">
        <f>+J289</f>
        <v>0</v>
      </c>
      <c r="K398" s="224">
        <f>+K289</f>
        <v>0</v>
      </c>
      <c r="L398" s="224">
        <f>+L289</f>
        <v>6741997</v>
      </c>
      <c r="M398" s="224">
        <f>+M289</f>
        <v>6569178.9351000004</v>
      </c>
      <c r="N398" s="76"/>
      <c r="O398" s="76"/>
      <c r="P398" s="76"/>
      <c r="Q398" s="76"/>
      <c r="R398" s="76"/>
      <c r="S398" s="76"/>
      <c r="T398" s="76"/>
      <c r="U398" s="76"/>
      <c r="V398" s="76"/>
      <c r="W398" s="76"/>
      <c r="X398" s="76"/>
      <c r="Y398" s="76"/>
      <c r="Z398" s="76"/>
      <c r="AA398" s="76"/>
    </row>
    <row r="399" spans="8:27" x14ac:dyDescent="0.2">
      <c r="H399" s="76"/>
      <c r="I399" s="76"/>
      <c r="N399" s="76"/>
      <c r="O399" s="76"/>
      <c r="P399" s="76"/>
      <c r="Q399" s="76"/>
      <c r="R399" s="76"/>
      <c r="S399" s="76"/>
      <c r="T399" s="76"/>
      <c r="U399" s="76"/>
      <c r="V399" s="76"/>
      <c r="W399" s="76"/>
      <c r="X399" s="76"/>
      <c r="Y399" s="76"/>
      <c r="Z399" s="76"/>
      <c r="AA399" s="76"/>
    </row>
    <row r="400" spans="8:27" x14ac:dyDescent="0.2">
      <c r="I400" s="2" t="s">
        <v>166</v>
      </c>
      <c r="J400" s="224">
        <f>+J346</f>
        <v>2637</v>
      </c>
      <c r="K400" s="224">
        <f>+K346</f>
        <v>2637</v>
      </c>
      <c r="L400" s="224">
        <f>+L346</f>
        <v>2637</v>
      </c>
      <c r="M400" s="224">
        <f>+M346</f>
        <v>2650</v>
      </c>
      <c r="R400" s="76"/>
      <c r="S400" s="76"/>
      <c r="T400" s="76"/>
      <c r="U400" s="76"/>
      <c r="V400" s="76"/>
      <c r="W400" s="76"/>
      <c r="X400" s="76"/>
      <c r="Y400" s="76"/>
      <c r="Z400" s="76"/>
      <c r="AA400" s="76"/>
    </row>
    <row r="401" spans="5:27" x14ac:dyDescent="0.2">
      <c r="W401" s="76"/>
      <c r="X401" s="76"/>
      <c r="Y401" s="76"/>
      <c r="Z401" s="76"/>
      <c r="AA401" s="76"/>
    </row>
    <row r="402" spans="5:27" x14ac:dyDescent="0.2">
      <c r="W402" s="76"/>
      <c r="X402" s="76"/>
      <c r="Y402" s="76"/>
      <c r="Z402" s="76"/>
      <c r="AA402" s="76"/>
    </row>
    <row r="403" spans="5:27" ht="15" x14ac:dyDescent="0.25">
      <c r="E403" s="13"/>
      <c r="F403" s="13"/>
      <c r="G403" s="13"/>
      <c r="H403" s="88">
        <f>+H19</f>
        <v>2013</v>
      </c>
      <c r="I403" s="88">
        <f>+I19</f>
        <v>2014</v>
      </c>
      <c r="J403" s="88">
        <f>+J19</f>
        <v>2015</v>
      </c>
      <c r="K403" s="88">
        <f>+K19</f>
        <v>2016</v>
      </c>
      <c r="L403" s="88">
        <f>+L19</f>
        <v>2017</v>
      </c>
      <c r="M403" s="88">
        <f>+M19</f>
        <v>2018</v>
      </c>
      <c r="N403" s="13"/>
      <c r="O403" s="13"/>
      <c r="P403" s="13"/>
      <c r="Q403" s="13"/>
      <c r="R403" s="13"/>
      <c r="S403" s="13"/>
      <c r="T403" s="13"/>
      <c r="U403" s="13"/>
      <c r="V403" s="13"/>
      <c r="W403" s="76"/>
      <c r="X403" s="76"/>
      <c r="Y403" s="76"/>
      <c r="Z403" s="76"/>
      <c r="AA403" s="76"/>
    </row>
    <row r="404" spans="5:27" ht="15" x14ac:dyDescent="0.25">
      <c r="E404" s="13"/>
      <c r="F404" s="13"/>
      <c r="G404" s="13"/>
      <c r="J404" s="13"/>
      <c r="K404" s="13"/>
      <c r="L404" s="13"/>
      <c r="M404" s="13"/>
      <c r="N404" s="13"/>
      <c r="O404" s="89"/>
      <c r="P404" s="13"/>
      <c r="Q404" s="13"/>
      <c r="R404" s="13"/>
      <c r="S404" s="13"/>
      <c r="T404" s="13"/>
      <c r="U404" s="13"/>
      <c r="V404" s="13"/>
      <c r="W404" s="76"/>
      <c r="X404" s="76"/>
      <c r="Y404" s="76"/>
      <c r="Z404" s="76"/>
      <c r="AA404" s="76"/>
    </row>
    <row r="405" spans="5:27" ht="15" x14ac:dyDescent="0.25">
      <c r="E405" s="13"/>
      <c r="F405" s="13"/>
      <c r="G405" s="13"/>
      <c r="J405" s="13"/>
      <c r="K405" s="13"/>
      <c r="L405" s="13"/>
      <c r="M405" s="13"/>
      <c r="N405" s="13"/>
      <c r="O405" s="89"/>
      <c r="P405" s="13"/>
      <c r="Q405" s="13"/>
      <c r="R405" s="13"/>
      <c r="S405" s="13"/>
      <c r="T405" s="13"/>
      <c r="U405" s="13"/>
      <c r="V405" s="13"/>
      <c r="W405" s="76"/>
      <c r="X405" s="76"/>
      <c r="Y405" s="76"/>
      <c r="Z405" s="76"/>
      <c r="AA405" s="76"/>
    </row>
    <row r="406" spans="5:27" ht="15" x14ac:dyDescent="0.25">
      <c r="E406" s="13"/>
      <c r="F406" s="13"/>
      <c r="G406" s="13" t="s">
        <v>32</v>
      </c>
      <c r="H406" s="2">
        <v>0</v>
      </c>
      <c r="I406" s="2">
        <v>0</v>
      </c>
      <c r="J406" s="2">
        <v>0</v>
      </c>
      <c r="K406" s="268">
        <v>181930</v>
      </c>
      <c r="L406" s="268">
        <f>+K406*(1+$AC$28)</f>
        <v>185568.6</v>
      </c>
      <c r="M406" s="268">
        <f t="shared" ref="M406:M408" si="104">+L406*(1+$AC$28)</f>
        <v>189279.97200000001</v>
      </c>
      <c r="N406" s="13"/>
      <c r="O406" s="90"/>
      <c r="P406" s="13">
        <v>0.15</v>
      </c>
      <c r="Q406" s="13"/>
      <c r="R406" s="13" t="s">
        <v>32</v>
      </c>
      <c r="S406" s="151" t="s">
        <v>33</v>
      </c>
      <c r="T406" s="152"/>
      <c r="U406" s="153" t="s">
        <v>34</v>
      </c>
      <c r="V406" s="154">
        <v>0.15</v>
      </c>
      <c r="W406" s="13">
        <v>0.15</v>
      </c>
      <c r="X406" s="76"/>
      <c r="Y406" s="76"/>
      <c r="Z406" s="76"/>
      <c r="AA406" s="76"/>
    </row>
    <row r="407" spans="5:27" ht="15" x14ac:dyDescent="0.25">
      <c r="E407" s="13"/>
      <c r="F407" s="13"/>
      <c r="G407" s="13" t="s">
        <v>35</v>
      </c>
      <c r="H407" s="2">
        <v>0</v>
      </c>
      <c r="I407" s="2">
        <v>0</v>
      </c>
      <c r="J407" s="2">
        <v>0</v>
      </c>
      <c r="K407" s="268">
        <v>220710</v>
      </c>
      <c r="L407" s="268">
        <f t="shared" ref="L407:L408" si="105">+K407*(1+$AC$28)</f>
        <v>225124.2</v>
      </c>
      <c r="M407" s="268">
        <f t="shared" si="104"/>
        <v>229626.68400000001</v>
      </c>
      <c r="N407" s="13"/>
      <c r="O407" s="90"/>
      <c r="P407" s="13">
        <v>0.5</v>
      </c>
      <c r="Q407" s="91"/>
      <c r="R407" s="13" t="s">
        <v>35</v>
      </c>
      <c r="S407" s="151" t="s">
        <v>36</v>
      </c>
      <c r="T407" s="152"/>
      <c r="U407" s="153" t="s">
        <v>37</v>
      </c>
      <c r="V407" s="154">
        <v>0.5</v>
      </c>
      <c r="W407" s="13">
        <v>0.5</v>
      </c>
      <c r="X407" s="76"/>
      <c r="Y407" s="76"/>
      <c r="Z407" s="76"/>
      <c r="AA407" s="76"/>
    </row>
    <row r="408" spans="5:27" ht="15" x14ac:dyDescent="0.25">
      <c r="G408" s="13" t="s">
        <v>38</v>
      </c>
      <c r="H408" s="2">
        <v>0</v>
      </c>
      <c r="I408" s="2">
        <v>0</v>
      </c>
      <c r="J408" s="2">
        <v>0</v>
      </c>
      <c r="K408" s="268">
        <v>36431</v>
      </c>
      <c r="L408" s="268">
        <f t="shared" si="105"/>
        <v>37159.620000000003</v>
      </c>
      <c r="M408" s="268">
        <f t="shared" si="104"/>
        <v>37902.812400000003</v>
      </c>
      <c r="Q408" s="13"/>
      <c r="R408" s="13" t="s">
        <v>38</v>
      </c>
      <c r="S408" s="151" t="s">
        <v>39</v>
      </c>
      <c r="T408" s="152"/>
      <c r="U408" s="153" t="s">
        <v>40</v>
      </c>
      <c r="V408" s="154">
        <v>0.1</v>
      </c>
      <c r="W408" s="13">
        <v>0.1</v>
      </c>
      <c r="X408" s="76"/>
      <c r="Y408" s="76"/>
      <c r="Z408" s="76"/>
      <c r="AA408" s="76"/>
    </row>
    <row r="409" spans="5:27" ht="15" x14ac:dyDescent="0.25">
      <c r="G409" s="13"/>
      <c r="H409" s="13"/>
      <c r="I409" s="13"/>
      <c r="J409" s="13"/>
      <c r="K409" s="13"/>
      <c r="M409" s="13"/>
      <c r="P409" s="15"/>
      <c r="Q409" s="13"/>
      <c r="R409" s="13"/>
      <c r="S409" s="13"/>
      <c r="T409" s="13"/>
      <c r="U409" s="13"/>
      <c r="V409" s="13"/>
      <c r="W409" s="76"/>
      <c r="X409" s="76"/>
      <c r="Y409" s="76"/>
      <c r="Z409" s="76"/>
      <c r="AA409" s="76"/>
    </row>
    <row r="410" spans="5:27" ht="15" x14ac:dyDescent="0.25">
      <c r="G410" s="13"/>
      <c r="H410" s="13"/>
      <c r="I410" s="13"/>
      <c r="J410" s="13"/>
      <c r="K410" s="13"/>
      <c r="M410" s="13"/>
      <c r="P410" s="15"/>
      <c r="Q410" s="13"/>
      <c r="R410" s="13"/>
      <c r="S410" s="13"/>
      <c r="T410" s="13"/>
      <c r="U410" s="13"/>
      <c r="V410" s="13"/>
      <c r="W410" s="76"/>
      <c r="X410" s="76"/>
      <c r="Y410" s="76"/>
      <c r="Z410" s="76"/>
      <c r="AA410" s="76"/>
    </row>
    <row r="411" spans="5:27" ht="15" x14ac:dyDescent="0.25">
      <c r="G411" s="13"/>
      <c r="H411" s="13"/>
      <c r="I411" s="13"/>
      <c r="J411" s="13"/>
      <c r="K411" s="13"/>
      <c r="L411" s="13"/>
      <c r="M411" s="13"/>
      <c r="P411" s="15"/>
      <c r="Q411" s="13"/>
      <c r="R411" s="13"/>
      <c r="S411" s="13"/>
      <c r="T411" s="13"/>
      <c r="U411" s="13"/>
      <c r="V411" s="13"/>
      <c r="W411" s="76"/>
      <c r="X411" s="76"/>
      <c r="Y411" s="76"/>
      <c r="Z411" s="76"/>
      <c r="AA411" s="76"/>
    </row>
    <row r="412" spans="5:27" ht="15" x14ac:dyDescent="0.25">
      <c r="G412" s="92" t="s">
        <v>167</v>
      </c>
      <c r="H412" s="93"/>
      <c r="I412" s="93"/>
      <c r="J412" s="93"/>
      <c r="K412" s="93"/>
      <c r="L412" s="269"/>
      <c r="M412" s="93"/>
      <c r="N412" s="270"/>
      <c r="P412" s="15"/>
      <c r="Q412" s="13"/>
      <c r="R412" s="13"/>
      <c r="S412" s="13"/>
      <c r="T412" s="13"/>
      <c r="U412" s="13"/>
      <c r="V412" s="13"/>
      <c r="W412" s="76"/>
      <c r="X412" s="76"/>
      <c r="Y412" s="76"/>
      <c r="Z412" s="76"/>
      <c r="AA412" s="76"/>
    </row>
    <row r="413" spans="5:27" ht="15" x14ac:dyDescent="0.25">
      <c r="G413" s="94"/>
      <c r="H413" s="13"/>
      <c r="I413" s="13"/>
      <c r="J413" s="13"/>
      <c r="K413" s="13"/>
      <c r="L413" s="13"/>
      <c r="M413" s="13"/>
      <c r="N413" s="271"/>
      <c r="P413" s="15"/>
      <c r="Q413" s="13"/>
      <c r="R413" s="13"/>
      <c r="S413" s="13"/>
      <c r="T413" s="13"/>
      <c r="U413" s="13"/>
      <c r="V413" s="13"/>
      <c r="W413" s="76"/>
      <c r="X413" s="76"/>
      <c r="Y413" s="76"/>
      <c r="Z413" s="76"/>
      <c r="AA413" s="76"/>
    </row>
    <row r="414" spans="5:27" ht="15" x14ac:dyDescent="0.25">
      <c r="G414" s="272"/>
      <c r="H414" s="4"/>
      <c r="I414" s="4"/>
      <c r="J414" s="4"/>
      <c r="K414" s="4"/>
      <c r="L414" s="4"/>
      <c r="M414" s="4"/>
      <c r="N414" s="271"/>
      <c r="P414" s="15"/>
      <c r="Q414" s="13"/>
      <c r="R414" s="13"/>
      <c r="S414" s="13"/>
      <c r="T414" s="13"/>
      <c r="U414" s="13"/>
      <c r="V414" s="13"/>
      <c r="W414" s="76"/>
      <c r="X414" s="76"/>
      <c r="Y414" s="76"/>
      <c r="Z414" s="76"/>
      <c r="AA414" s="76"/>
    </row>
    <row r="415" spans="5:27" ht="15" x14ac:dyDescent="0.25">
      <c r="G415" s="95" t="s">
        <v>168</v>
      </c>
      <c r="H415" s="96" t="s">
        <v>169</v>
      </c>
      <c r="I415" s="4"/>
      <c r="J415" s="96"/>
      <c r="K415" s="97">
        <v>181930</v>
      </c>
      <c r="L415" s="4"/>
      <c r="M415" s="4"/>
      <c r="N415" s="271"/>
      <c r="P415" s="15"/>
      <c r="Q415" s="13"/>
      <c r="R415" s="13"/>
      <c r="S415" s="13"/>
      <c r="T415" s="13"/>
      <c r="U415" s="13"/>
      <c r="V415" s="13"/>
      <c r="W415" s="76"/>
      <c r="X415" s="76"/>
      <c r="Y415" s="76"/>
      <c r="Z415" s="76"/>
      <c r="AA415" s="76"/>
    </row>
    <row r="416" spans="5:27" ht="15" x14ac:dyDescent="0.25">
      <c r="G416" s="95"/>
      <c r="H416" s="96"/>
      <c r="I416" s="4"/>
      <c r="J416" s="96"/>
      <c r="K416" s="97"/>
      <c r="L416" s="4"/>
      <c r="M416" s="4"/>
      <c r="N416" s="271"/>
      <c r="P416" s="15"/>
      <c r="Q416" s="13"/>
      <c r="R416" s="13"/>
      <c r="S416" s="13"/>
      <c r="T416" s="13"/>
      <c r="U416" s="13"/>
      <c r="V416" s="13"/>
      <c r="W416" s="76"/>
      <c r="X416" s="76"/>
      <c r="Y416" s="76"/>
      <c r="Z416" s="76"/>
      <c r="AA416" s="76"/>
    </row>
    <row r="417" spans="7:27" ht="15" x14ac:dyDescent="0.25">
      <c r="G417" s="95" t="s">
        <v>170</v>
      </c>
      <c r="H417" s="96" t="s">
        <v>171</v>
      </c>
      <c r="I417" s="4"/>
      <c r="J417" s="96"/>
      <c r="K417" s="97">
        <v>11483</v>
      </c>
      <c r="L417" s="4"/>
      <c r="M417" s="4"/>
      <c r="N417" s="271"/>
      <c r="P417" s="15"/>
      <c r="Q417" s="13"/>
      <c r="R417" s="13"/>
      <c r="S417" s="13"/>
      <c r="T417" s="13"/>
      <c r="U417" s="13"/>
      <c r="V417" s="13"/>
      <c r="W417" s="76"/>
      <c r="X417" s="76"/>
      <c r="Y417" s="76"/>
      <c r="Z417" s="76"/>
      <c r="AA417" s="76"/>
    </row>
    <row r="418" spans="7:27" ht="15" x14ac:dyDescent="0.25">
      <c r="G418" s="95" t="s">
        <v>170</v>
      </c>
      <c r="H418" s="96" t="s">
        <v>39</v>
      </c>
      <c r="I418" s="4"/>
      <c r="J418" s="96"/>
      <c r="K418" s="97">
        <v>24948</v>
      </c>
      <c r="L418" s="4"/>
      <c r="M418" s="4"/>
      <c r="N418" s="271"/>
      <c r="P418" s="15"/>
      <c r="Q418" s="13"/>
      <c r="R418" s="13"/>
      <c r="S418" s="13"/>
      <c r="T418" s="13"/>
      <c r="U418" s="13"/>
      <c r="V418" s="13"/>
      <c r="W418" s="76"/>
      <c r="X418" s="76"/>
      <c r="Y418" s="76"/>
      <c r="Z418" s="76"/>
      <c r="AA418" s="76"/>
    </row>
    <row r="419" spans="7:27" ht="15.75" thickBot="1" x14ac:dyDescent="0.3">
      <c r="G419" s="95"/>
      <c r="H419" s="96"/>
      <c r="I419" s="4"/>
      <c r="J419" s="96"/>
      <c r="K419" s="98">
        <f>SUM(K417:K418)</f>
        <v>36431</v>
      </c>
      <c r="L419" s="4"/>
      <c r="M419" s="4"/>
      <c r="N419" s="271"/>
      <c r="P419" s="15"/>
      <c r="Q419" s="13"/>
      <c r="R419" s="13"/>
      <c r="S419" s="13"/>
      <c r="T419" s="13"/>
      <c r="U419" s="13"/>
      <c r="V419" s="13"/>
      <c r="W419" s="76"/>
      <c r="X419" s="76"/>
      <c r="Y419" s="76"/>
      <c r="Z419" s="76"/>
      <c r="AA419" s="76"/>
    </row>
    <row r="420" spans="7:27" ht="15.75" thickTop="1" x14ac:dyDescent="0.25">
      <c r="G420" s="95"/>
      <c r="H420" s="96"/>
      <c r="I420" s="4"/>
      <c r="J420" s="96"/>
      <c r="K420" s="97"/>
      <c r="L420" s="4"/>
      <c r="M420" s="4"/>
      <c r="N420" s="271"/>
      <c r="P420" s="15"/>
      <c r="Q420" s="13"/>
      <c r="R420" s="13"/>
      <c r="S420" s="13"/>
      <c r="T420" s="13"/>
      <c r="U420" s="13"/>
      <c r="V420" s="13"/>
      <c r="W420" s="76"/>
      <c r="X420" s="76"/>
      <c r="Y420" s="76"/>
      <c r="Z420" s="76"/>
      <c r="AA420" s="76"/>
    </row>
    <row r="421" spans="7:27" ht="15" x14ac:dyDescent="0.25">
      <c r="G421" s="95" t="s">
        <v>172</v>
      </c>
      <c r="H421" s="96" t="s">
        <v>173</v>
      </c>
      <c r="I421" s="4"/>
      <c r="J421" s="96"/>
      <c r="K421" s="97">
        <v>183782</v>
      </c>
      <c r="L421" s="4"/>
      <c r="M421" s="4"/>
      <c r="N421" s="271"/>
      <c r="P421" s="15"/>
      <c r="Q421" s="13"/>
      <c r="R421" s="13"/>
      <c r="S421" s="13"/>
      <c r="T421" s="13"/>
      <c r="U421" s="13"/>
      <c r="V421" s="13"/>
      <c r="W421" s="76"/>
      <c r="X421" s="76"/>
      <c r="Y421" s="76"/>
      <c r="Z421" s="76"/>
      <c r="AA421" s="76"/>
    </row>
    <row r="422" spans="7:27" ht="15" x14ac:dyDescent="0.25">
      <c r="G422" s="95" t="s">
        <v>172</v>
      </c>
      <c r="H422" s="96" t="s">
        <v>174</v>
      </c>
      <c r="I422" s="4"/>
      <c r="J422" s="96"/>
      <c r="K422" s="97">
        <v>18426</v>
      </c>
      <c r="L422" s="4"/>
      <c r="M422" s="4"/>
      <c r="N422" s="271"/>
      <c r="P422" s="15"/>
      <c r="Q422" s="13"/>
      <c r="R422" s="13"/>
      <c r="S422" s="13"/>
      <c r="T422" s="13"/>
      <c r="U422" s="13"/>
      <c r="V422" s="13"/>
      <c r="W422" s="76"/>
      <c r="X422" s="76"/>
      <c r="Y422" s="76"/>
      <c r="Z422" s="76"/>
      <c r="AA422" s="76"/>
    </row>
    <row r="423" spans="7:27" ht="15" x14ac:dyDescent="0.25">
      <c r="G423" s="95" t="s">
        <v>172</v>
      </c>
      <c r="H423" s="96" t="s">
        <v>175</v>
      </c>
      <c r="I423" s="4"/>
      <c r="J423" s="96"/>
      <c r="K423" s="97">
        <v>18502</v>
      </c>
      <c r="L423" s="4"/>
      <c r="M423" s="4"/>
      <c r="N423" s="271"/>
      <c r="P423" s="15"/>
      <c r="Q423" s="13"/>
      <c r="R423" s="13"/>
      <c r="S423" s="13"/>
      <c r="T423" s="13"/>
      <c r="U423" s="13"/>
      <c r="V423" s="13"/>
      <c r="W423" s="76"/>
      <c r="X423" s="76"/>
      <c r="Y423" s="76"/>
      <c r="Z423" s="76"/>
      <c r="AA423" s="76"/>
    </row>
    <row r="424" spans="7:27" ht="15.75" thickBot="1" x14ac:dyDescent="0.3">
      <c r="G424" s="95"/>
      <c r="H424" s="96"/>
      <c r="I424" s="4"/>
      <c r="J424" s="4"/>
      <c r="K424" s="273">
        <f>SUM(K421:K423)</f>
        <v>220710</v>
      </c>
      <c r="L424" s="4"/>
      <c r="M424" s="4"/>
      <c r="N424" s="271"/>
      <c r="P424" s="15"/>
      <c r="Q424" s="13"/>
      <c r="R424" s="13"/>
      <c r="S424" s="13"/>
      <c r="T424" s="13"/>
      <c r="U424" s="13"/>
      <c r="V424" s="13"/>
      <c r="W424" s="76"/>
      <c r="X424" s="76"/>
      <c r="Y424" s="76"/>
      <c r="Z424" s="76"/>
      <c r="AA424" s="76"/>
    </row>
    <row r="425" spans="7:27" ht="15.75" thickTop="1" x14ac:dyDescent="0.25">
      <c r="G425" s="274"/>
      <c r="H425" s="275"/>
      <c r="I425" s="275"/>
      <c r="J425" s="275"/>
      <c r="K425" s="275"/>
      <c r="L425" s="275"/>
      <c r="M425" s="275"/>
      <c r="N425" s="276"/>
      <c r="P425" s="15"/>
      <c r="Q425" s="13"/>
      <c r="R425" s="13"/>
      <c r="S425" s="13"/>
      <c r="T425" s="13"/>
      <c r="U425" s="13"/>
      <c r="V425" s="13"/>
      <c r="W425" s="76"/>
      <c r="X425" s="76"/>
      <c r="Y425" s="76"/>
      <c r="Z425" s="76"/>
      <c r="AA425" s="76"/>
    </row>
    <row r="426" spans="7:27" ht="15" x14ac:dyDescent="0.25">
      <c r="P426" s="15"/>
      <c r="Q426" s="13"/>
      <c r="R426" s="13"/>
      <c r="S426" s="13"/>
      <c r="T426" s="13"/>
      <c r="U426" s="13"/>
      <c r="V426" s="13"/>
      <c r="W426" s="76"/>
      <c r="X426" s="76"/>
      <c r="Y426" s="76"/>
      <c r="Z426" s="76"/>
      <c r="AA426" s="76"/>
    </row>
    <row r="427" spans="7:27" ht="15" x14ac:dyDescent="0.25">
      <c r="P427" s="15"/>
      <c r="Q427" s="13"/>
      <c r="R427" s="13"/>
      <c r="S427" s="13"/>
      <c r="T427" s="13"/>
      <c r="U427" s="13"/>
      <c r="V427" s="13"/>
      <c r="W427" s="76"/>
      <c r="X427" s="76"/>
      <c r="Y427" s="76"/>
      <c r="Z427" s="76"/>
      <c r="AA427" s="76"/>
    </row>
    <row r="428" spans="7:27" ht="15" x14ac:dyDescent="0.25">
      <c r="P428" s="15"/>
      <c r="Q428" s="13"/>
      <c r="R428" s="13"/>
      <c r="S428" s="13"/>
      <c r="T428" s="13"/>
      <c r="U428" s="13"/>
      <c r="V428" s="13"/>
      <c r="W428" s="76"/>
      <c r="X428" s="76"/>
      <c r="Y428" s="76"/>
      <c r="Z428" s="76"/>
      <c r="AA428" s="76"/>
    </row>
    <row r="429" spans="7:27" ht="15" x14ac:dyDescent="0.25">
      <c r="P429" s="15"/>
      <c r="Q429" s="13"/>
      <c r="R429" s="13"/>
      <c r="S429" s="13"/>
      <c r="T429" s="13"/>
      <c r="U429" s="13"/>
      <c r="V429" s="13"/>
      <c r="W429" s="76"/>
      <c r="X429" s="76"/>
      <c r="Y429" s="76"/>
      <c r="Z429" s="76"/>
      <c r="AA429" s="76"/>
    </row>
    <row r="430" spans="7:27" ht="15" x14ac:dyDescent="0.25">
      <c r="P430" s="15"/>
      <c r="Q430" s="13"/>
      <c r="R430" s="13"/>
      <c r="S430" s="13"/>
      <c r="T430" s="13"/>
      <c r="U430" s="13"/>
      <c r="V430" s="13"/>
      <c r="W430" s="76"/>
      <c r="X430" s="76"/>
      <c r="Y430" s="76"/>
      <c r="Z430" s="76"/>
      <c r="AA430" s="76"/>
    </row>
    <row r="431" spans="7:27" ht="15" x14ac:dyDescent="0.25">
      <c r="P431" s="15"/>
      <c r="Q431" s="13"/>
      <c r="R431" s="13"/>
      <c r="S431" s="13"/>
      <c r="T431" s="13"/>
      <c r="U431" s="13"/>
      <c r="V431" s="13"/>
      <c r="W431" s="76"/>
      <c r="X431" s="76"/>
      <c r="Y431" s="76"/>
      <c r="Z431" s="76"/>
      <c r="AA431" s="76"/>
    </row>
    <row r="432" spans="7:27" ht="15" x14ac:dyDescent="0.25">
      <c r="P432" s="15"/>
      <c r="Q432" s="13"/>
      <c r="R432" s="13"/>
      <c r="S432" s="13"/>
      <c r="T432" s="13"/>
      <c r="U432" s="13"/>
      <c r="V432" s="13"/>
      <c r="W432" s="76"/>
      <c r="X432" s="76"/>
      <c r="Y432" s="76"/>
      <c r="Z432" s="76"/>
      <c r="AA432" s="76"/>
    </row>
    <row r="433" spans="5:27" ht="15" x14ac:dyDescent="0.25">
      <c r="P433" s="15"/>
      <c r="Q433" s="13"/>
      <c r="R433" s="13"/>
      <c r="S433" s="13"/>
      <c r="T433" s="13"/>
      <c r="U433" s="13"/>
      <c r="V433" s="13"/>
      <c r="W433" s="76"/>
      <c r="X433" s="76"/>
      <c r="Y433" s="76"/>
      <c r="Z433" s="76"/>
      <c r="AA433" s="76"/>
    </row>
    <row r="434" spans="5:27" ht="15" x14ac:dyDescent="0.25">
      <c r="P434" s="15"/>
      <c r="Q434" s="13"/>
      <c r="R434" s="13"/>
      <c r="S434" s="13"/>
      <c r="T434" s="13"/>
      <c r="U434" s="13"/>
      <c r="V434" s="13"/>
      <c r="W434" s="76"/>
      <c r="X434" s="76"/>
      <c r="Y434" s="76"/>
      <c r="Z434" s="76"/>
      <c r="AA434" s="76"/>
    </row>
    <row r="435" spans="5:27" ht="15" x14ac:dyDescent="0.25">
      <c r="P435" s="15"/>
      <c r="Q435" s="13"/>
      <c r="R435" s="13"/>
      <c r="S435" s="13"/>
      <c r="T435" s="13"/>
      <c r="U435" s="13"/>
      <c r="V435" s="13"/>
      <c r="W435" s="76"/>
      <c r="X435" s="76"/>
      <c r="Y435" s="76"/>
      <c r="Z435" s="76"/>
      <c r="AA435" s="76"/>
    </row>
    <row r="436" spans="5:27" ht="15" x14ac:dyDescent="0.25">
      <c r="P436" s="15"/>
      <c r="Q436" s="13"/>
      <c r="R436" s="13"/>
      <c r="S436" s="13"/>
      <c r="T436" s="13"/>
      <c r="U436" s="13"/>
      <c r="V436" s="13"/>
      <c r="W436" s="76"/>
      <c r="X436" s="76"/>
      <c r="Y436" s="76"/>
      <c r="Z436" s="76"/>
      <c r="AA436" s="76"/>
    </row>
    <row r="437" spans="5:27" ht="15" x14ac:dyDescent="0.25">
      <c r="P437" s="15"/>
      <c r="Q437" s="13"/>
      <c r="R437" s="13"/>
      <c r="S437" s="13"/>
      <c r="T437" s="13"/>
      <c r="U437" s="13"/>
      <c r="V437" s="13"/>
      <c r="W437" s="76"/>
      <c r="X437" s="76"/>
      <c r="Y437" s="76"/>
      <c r="Z437" s="76"/>
      <c r="AA437" s="76"/>
    </row>
    <row r="438" spans="5:27" ht="15" x14ac:dyDescent="0.25">
      <c r="J438" s="96"/>
      <c r="P438" s="15"/>
      <c r="Q438" s="13"/>
      <c r="R438" s="13"/>
      <c r="S438" s="13"/>
      <c r="T438" s="13"/>
      <c r="U438" s="13"/>
      <c r="V438" s="13"/>
      <c r="W438" s="76"/>
      <c r="X438" s="76"/>
      <c r="Y438" s="76"/>
      <c r="Z438" s="76"/>
      <c r="AA438" s="76"/>
    </row>
    <row r="439" spans="5:27" ht="15" x14ac:dyDescent="0.25">
      <c r="J439" s="96"/>
      <c r="P439" s="15"/>
      <c r="Q439" s="13"/>
      <c r="R439" s="13"/>
      <c r="S439" s="13"/>
      <c r="T439" s="13"/>
      <c r="U439" s="13"/>
      <c r="V439" s="13"/>
      <c r="W439" s="76"/>
      <c r="X439" s="76"/>
      <c r="Y439" s="76"/>
      <c r="Z439" s="76"/>
      <c r="AA439" s="76"/>
    </row>
    <row r="440" spans="5:27" ht="15" x14ac:dyDescent="0.25">
      <c r="F440" s="13"/>
      <c r="M440" s="13"/>
      <c r="N440" s="13"/>
      <c r="O440" s="13"/>
      <c r="P440" s="13"/>
      <c r="Q440" s="13"/>
      <c r="R440" s="13"/>
      <c r="S440" s="13"/>
      <c r="T440" s="13"/>
      <c r="U440" s="13"/>
      <c r="V440" s="13"/>
      <c r="W440" s="76"/>
      <c r="X440" s="76"/>
      <c r="Y440" s="76"/>
      <c r="Z440" s="76"/>
      <c r="AA440" s="76"/>
    </row>
    <row r="441" spans="5:27" ht="15" x14ac:dyDescent="0.25">
      <c r="F441" s="13"/>
      <c r="M441" s="13"/>
      <c r="N441" s="13"/>
      <c r="O441" s="13"/>
      <c r="P441" s="13"/>
      <c r="Q441" s="13"/>
      <c r="R441" s="13"/>
      <c r="S441" s="13"/>
      <c r="T441" s="13"/>
      <c r="U441" s="13"/>
      <c r="V441" s="13"/>
      <c r="W441" s="76"/>
      <c r="X441" s="76"/>
      <c r="Y441" s="76"/>
      <c r="Z441" s="76"/>
      <c r="AA441" s="76"/>
    </row>
    <row r="442" spans="5:27" ht="15" x14ac:dyDescent="0.25">
      <c r="F442" s="13"/>
      <c r="M442" s="13"/>
      <c r="N442" s="13"/>
      <c r="O442" s="13"/>
      <c r="P442" s="13"/>
      <c r="Q442" s="13"/>
      <c r="R442" s="13"/>
      <c r="S442" s="13"/>
      <c r="T442" s="13"/>
      <c r="U442" s="13"/>
      <c r="V442" s="13"/>
      <c r="W442" s="76"/>
      <c r="X442" s="76"/>
      <c r="Y442" s="76"/>
      <c r="Z442" s="76"/>
      <c r="AA442" s="76"/>
    </row>
    <row r="443" spans="5:27" ht="15" x14ac:dyDescent="0.25">
      <c r="E443" s="13"/>
      <c r="F443" s="13"/>
      <c r="G443" s="13"/>
      <c r="J443" s="13"/>
      <c r="K443" s="99"/>
      <c r="L443" s="13"/>
      <c r="M443" s="13"/>
      <c r="N443" s="13"/>
      <c r="O443" s="13"/>
      <c r="P443" s="13"/>
      <c r="Q443" s="13"/>
      <c r="R443" s="13"/>
      <c r="S443" s="13"/>
      <c r="T443" s="13"/>
      <c r="U443" s="13"/>
      <c r="V443" s="13"/>
      <c r="W443" s="76"/>
      <c r="X443" s="76"/>
      <c r="Y443" s="76"/>
      <c r="Z443" s="76"/>
      <c r="AA443" s="76"/>
    </row>
    <row r="444" spans="5:27" x14ac:dyDescent="0.2">
      <c r="G444" s="2" t="s">
        <v>176</v>
      </c>
      <c r="H444" s="2">
        <v>0</v>
      </c>
      <c r="I444" s="2">
        <v>0</v>
      </c>
      <c r="J444" s="2">
        <v>0</v>
      </c>
      <c r="K444" s="2">
        <v>135908</v>
      </c>
      <c r="L444" s="123"/>
      <c r="M444" s="76"/>
      <c r="N444" s="76"/>
      <c r="O444" s="76"/>
      <c r="P444" s="76"/>
      <c r="Q444" s="76"/>
      <c r="W444" s="76"/>
      <c r="X444" s="76"/>
      <c r="Y444" s="76"/>
      <c r="Z444" s="76"/>
      <c r="AA444" s="76"/>
    </row>
    <row r="445" spans="5:27" ht="15" x14ac:dyDescent="0.2">
      <c r="E445" s="100" t="s">
        <v>177</v>
      </c>
      <c r="F445" s="100"/>
      <c r="G445" s="100"/>
      <c r="H445" s="100"/>
      <c r="I445" s="100"/>
      <c r="J445" s="100"/>
      <c r="K445" s="100"/>
      <c r="L445" s="101">
        <v>6842383</v>
      </c>
      <c r="M445" s="101">
        <v>4742081</v>
      </c>
      <c r="N445" s="101">
        <v>11782781</v>
      </c>
      <c r="O445" s="101">
        <v>6795581</v>
      </c>
      <c r="P445" s="101">
        <v>4482781</v>
      </c>
      <c r="Q445" s="101">
        <v>4482781</v>
      </c>
      <c r="R445" s="101">
        <v>4482781</v>
      </c>
      <c r="S445" s="101">
        <v>4482781</v>
      </c>
      <c r="T445" s="101">
        <v>4482783</v>
      </c>
      <c r="U445" s="102"/>
      <c r="W445" s="76"/>
      <c r="X445" s="76"/>
      <c r="Y445" s="76"/>
      <c r="Z445" s="76"/>
      <c r="AA445" s="76"/>
    </row>
    <row r="446" spans="5:27" ht="15.75" thickBot="1" x14ac:dyDescent="0.25">
      <c r="E446" s="96"/>
      <c r="F446" s="96"/>
      <c r="G446" s="96"/>
      <c r="H446" s="96"/>
      <c r="I446" s="96"/>
      <c r="J446" s="96"/>
      <c r="K446" s="96"/>
      <c r="L446" s="96"/>
      <c r="M446" s="96"/>
      <c r="N446" s="96"/>
      <c r="O446" s="96"/>
      <c r="P446" s="76"/>
      <c r="Q446" s="76"/>
      <c r="W446" s="76"/>
      <c r="X446" s="76"/>
      <c r="Y446" s="76"/>
      <c r="Z446" s="76"/>
      <c r="AA446" s="76"/>
    </row>
    <row r="447" spans="5:27" ht="15" x14ac:dyDescent="0.25">
      <c r="E447" s="96"/>
      <c r="F447" s="96"/>
      <c r="H447" s="103">
        <v>2013</v>
      </c>
      <c r="I447" s="103">
        <v>2014</v>
      </c>
      <c r="J447" s="103">
        <v>2015</v>
      </c>
      <c r="K447" s="277">
        <v>2016</v>
      </c>
      <c r="L447" s="277">
        <v>2017</v>
      </c>
      <c r="M447" s="96"/>
      <c r="N447" s="96"/>
      <c r="O447" s="104" t="s">
        <v>178</v>
      </c>
      <c r="P447" s="76" t="s">
        <v>179</v>
      </c>
      <c r="Q447" s="76" t="s">
        <v>180</v>
      </c>
      <c r="W447" s="76"/>
      <c r="X447" s="76"/>
      <c r="Y447" s="76"/>
      <c r="Z447" s="76"/>
      <c r="AA447" s="76"/>
    </row>
    <row r="448" spans="5:27" ht="15" x14ac:dyDescent="0.2">
      <c r="E448" s="96"/>
      <c r="F448" s="96"/>
      <c r="H448" s="76"/>
      <c r="I448" s="76"/>
      <c r="J448" s="76"/>
      <c r="K448" s="76"/>
      <c r="L448" s="96"/>
      <c r="M448" s="96"/>
      <c r="N448" s="96"/>
      <c r="O448" s="105"/>
      <c r="P448" s="76"/>
      <c r="Q448" s="76"/>
      <c r="W448" s="76"/>
      <c r="X448" s="76"/>
      <c r="Y448" s="76"/>
      <c r="Z448" s="76"/>
      <c r="AA448" s="76"/>
    </row>
    <row r="449" spans="5:27" ht="15" x14ac:dyDescent="0.2">
      <c r="E449" s="96"/>
      <c r="F449" s="96"/>
      <c r="G449" s="2" t="s">
        <v>115</v>
      </c>
      <c r="H449" s="217">
        <v>0</v>
      </c>
      <c r="I449" s="217">
        <v>0</v>
      </c>
      <c r="J449" s="217">
        <v>0</v>
      </c>
      <c r="K449" s="108">
        <v>5536556</v>
      </c>
      <c r="L449" s="108">
        <f>+O449</f>
        <v>10225921</v>
      </c>
      <c r="M449" s="96"/>
      <c r="N449" s="96"/>
      <c r="O449" s="278">
        <v>10225921</v>
      </c>
      <c r="P449" s="108">
        <v>0</v>
      </c>
      <c r="Q449" s="76"/>
      <c r="W449" s="76"/>
      <c r="X449" s="76"/>
      <c r="Y449" s="76"/>
      <c r="Z449" s="76"/>
      <c r="AA449" s="76"/>
    </row>
    <row r="450" spans="5:27" ht="15" x14ac:dyDescent="0.2">
      <c r="E450" s="96"/>
      <c r="F450" s="96"/>
      <c r="G450" s="2" t="s">
        <v>116</v>
      </c>
      <c r="H450" s="217">
        <v>0</v>
      </c>
      <c r="I450" s="217">
        <v>0</v>
      </c>
      <c r="J450" s="217">
        <v>0</v>
      </c>
      <c r="K450" s="108">
        <v>2585534</v>
      </c>
      <c r="L450" s="108">
        <f>+O450</f>
        <v>3483924</v>
      </c>
      <c r="M450" s="96"/>
      <c r="N450" s="96"/>
      <c r="O450" s="278">
        <v>3483924</v>
      </c>
      <c r="P450" s="108">
        <v>0</v>
      </c>
      <c r="Q450" s="76"/>
      <c r="W450" s="76"/>
      <c r="X450" s="76"/>
      <c r="Y450" s="76"/>
      <c r="Z450" s="76"/>
      <c r="AA450" s="76"/>
    </row>
    <row r="451" spans="5:27" ht="15.75" thickBot="1" x14ac:dyDescent="0.4">
      <c r="E451" s="96"/>
      <c r="F451" s="96"/>
      <c r="G451" s="218" t="s">
        <v>117</v>
      </c>
      <c r="H451" s="219">
        <v>0</v>
      </c>
      <c r="I451" s="219">
        <v>0</v>
      </c>
      <c r="J451" s="219">
        <v>0</v>
      </c>
      <c r="K451" s="219">
        <f>+K449-K450</f>
        <v>2951022</v>
      </c>
      <c r="L451" s="219">
        <f>+L449-L450</f>
        <v>6741997</v>
      </c>
      <c r="M451" s="96"/>
      <c r="N451" s="96"/>
      <c r="O451" s="279">
        <f>+O449-O450</f>
        <v>6741997</v>
      </c>
      <c r="P451" s="219">
        <f>+P449-P450</f>
        <v>0</v>
      </c>
      <c r="Q451" s="280">
        <f>+O451-P451</f>
        <v>6741997</v>
      </c>
      <c r="W451" s="76"/>
      <c r="X451" s="76"/>
      <c r="Y451" s="76"/>
      <c r="Z451" s="76"/>
      <c r="AA451" s="76"/>
    </row>
    <row r="452" spans="5:27" ht="15.75" thickTop="1" x14ac:dyDescent="0.2">
      <c r="E452" s="96"/>
      <c r="F452" s="96"/>
      <c r="H452" s="76"/>
      <c r="I452" s="76"/>
      <c r="J452" s="76"/>
      <c r="K452" s="76"/>
      <c r="L452" s="76"/>
      <c r="M452" s="96"/>
      <c r="N452" s="96"/>
      <c r="O452" s="281"/>
      <c r="P452" s="76"/>
      <c r="Q452" s="76"/>
      <c r="W452" s="76"/>
      <c r="X452" s="76"/>
      <c r="Y452" s="76"/>
      <c r="Z452" s="76"/>
      <c r="AA452" s="76"/>
    </row>
    <row r="453" spans="5:27" ht="15" x14ac:dyDescent="0.25">
      <c r="E453" s="96"/>
      <c r="F453" s="96"/>
      <c r="G453" s="69" t="s">
        <v>118</v>
      </c>
      <c r="H453" s="217">
        <v>0</v>
      </c>
      <c r="I453" s="217">
        <v>0</v>
      </c>
      <c r="J453" s="217">
        <v>0</v>
      </c>
      <c r="K453" s="217">
        <v>0</v>
      </c>
      <c r="L453" s="217">
        <f>+K453</f>
        <v>0</v>
      </c>
      <c r="M453" s="96"/>
      <c r="N453" s="96"/>
      <c r="O453" s="278">
        <v>172803</v>
      </c>
      <c r="P453" s="76"/>
      <c r="Q453" s="76"/>
      <c r="W453" s="76"/>
      <c r="X453" s="76"/>
      <c r="Y453" s="76"/>
      <c r="Z453" s="76"/>
      <c r="AA453" s="76"/>
    </row>
    <row r="454" spans="5:27" ht="15.75" thickBot="1" x14ac:dyDescent="0.3">
      <c r="E454" s="96"/>
      <c r="F454" s="96"/>
      <c r="G454" s="69" t="s">
        <v>119</v>
      </c>
      <c r="H454" s="217">
        <v>0</v>
      </c>
      <c r="I454" s="217">
        <v>0</v>
      </c>
      <c r="J454" s="217">
        <v>0</v>
      </c>
      <c r="K454" s="217">
        <v>5675460</v>
      </c>
      <c r="L454" s="217">
        <v>0</v>
      </c>
      <c r="M454" s="96"/>
      <c r="N454" s="96"/>
      <c r="O454" s="106"/>
      <c r="P454" s="76"/>
      <c r="Q454" s="76"/>
      <c r="W454" s="76"/>
      <c r="X454" s="76"/>
      <c r="Y454" s="76"/>
      <c r="Z454" s="76"/>
      <c r="AA454" s="76"/>
    </row>
    <row r="455" spans="5:27" ht="15.75" thickBot="1" x14ac:dyDescent="0.25">
      <c r="E455" s="96"/>
      <c r="F455" s="96"/>
      <c r="G455" s="218" t="s">
        <v>120</v>
      </c>
      <c r="H455" s="219">
        <v>0</v>
      </c>
      <c r="I455" s="219">
        <v>0</v>
      </c>
      <c r="J455" s="219">
        <v>0</v>
      </c>
      <c r="K455" s="219">
        <f>SUM(K453:K454)</f>
        <v>5675460</v>
      </c>
      <c r="L455" s="219">
        <f>SUM(L453:L454)</f>
        <v>0</v>
      </c>
      <c r="M455" s="96"/>
      <c r="N455" s="96"/>
      <c r="O455" s="96"/>
      <c r="P455" s="76"/>
      <c r="Q455" s="76"/>
      <c r="W455" s="76"/>
      <c r="X455" s="76"/>
      <c r="Y455" s="76"/>
      <c r="Z455" s="76"/>
      <c r="AA455" s="76"/>
    </row>
    <row r="456" spans="5:27" ht="15.75" thickTop="1" x14ac:dyDescent="0.2">
      <c r="E456" s="96"/>
      <c r="F456" s="96"/>
      <c r="G456" s="96"/>
      <c r="H456" s="96"/>
      <c r="I456" s="96"/>
      <c r="J456" s="96"/>
      <c r="K456" s="96"/>
      <c r="L456" s="96"/>
      <c r="M456" s="96"/>
      <c r="N456" s="96"/>
      <c r="O456" s="96"/>
      <c r="P456" s="76"/>
      <c r="Q456" s="76"/>
      <c r="W456" s="76"/>
      <c r="X456" s="76"/>
      <c r="Y456" s="76"/>
      <c r="Z456" s="76"/>
      <c r="AA456" s="76"/>
    </row>
    <row r="457" spans="5:27" ht="15" x14ac:dyDescent="0.2">
      <c r="E457" s="87" t="s">
        <v>181</v>
      </c>
      <c r="F457" s="96"/>
      <c r="G457" s="96"/>
      <c r="H457" s="107">
        <v>0</v>
      </c>
      <c r="I457" s="107">
        <v>0</v>
      </c>
      <c r="J457" s="107">
        <v>0</v>
      </c>
      <c r="K457" s="107">
        <f>+K459/K449</f>
        <v>2.3700834959494675E-2</v>
      </c>
      <c r="L457" s="107">
        <f>+O453/O449</f>
        <v>1.6898526792843403E-2</v>
      </c>
      <c r="M457" s="96"/>
      <c r="N457" s="96"/>
      <c r="O457" s="96"/>
      <c r="P457" s="76"/>
      <c r="Q457" s="76"/>
      <c r="W457" s="76"/>
      <c r="X457" s="76"/>
      <c r="Y457" s="76"/>
      <c r="Z457" s="76"/>
      <c r="AA457" s="76"/>
    </row>
    <row r="458" spans="5:27" ht="15" x14ac:dyDescent="0.2">
      <c r="E458" s="96"/>
      <c r="F458" s="96"/>
      <c r="G458" s="96"/>
      <c r="H458" s="96"/>
      <c r="I458" s="96"/>
      <c r="J458" s="96"/>
      <c r="K458" s="96"/>
      <c r="L458" s="96"/>
      <c r="M458" s="96"/>
      <c r="N458" s="96"/>
      <c r="O458" s="96"/>
      <c r="P458" s="76"/>
      <c r="Q458" s="76"/>
      <c r="W458" s="76"/>
      <c r="X458" s="76"/>
      <c r="Y458" s="76"/>
      <c r="Z458" s="76"/>
      <c r="AA458" s="76"/>
    </row>
    <row r="459" spans="5:27" ht="15" x14ac:dyDescent="0.2">
      <c r="E459" s="96" t="s">
        <v>134</v>
      </c>
      <c r="F459" s="96"/>
      <c r="G459" s="96"/>
      <c r="H459" s="102">
        <v>0</v>
      </c>
      <c r="I459" s="102">
        <v>0</v>
      </c>
      <c r="J459" s="102">
        <v>0</v>
      </c>
      <c r="K459" s="102">
        <v>131221</v>
      </c>
      <c r="L459" s="282">
        <f>+O453</f>
        <v>172803</v>
      </c>
      <c r="M459" s="96"/>
      <c r="N459" s="96"/>
      <c r="O459" s="96"/>
      <c r="P459" s="76"/>
      <c r="Q459" s="76"/>
      <c r="W459" s="76"/>
      <c r="X459" s="76"/>
      <c r="Y459" s="76"/>
      <c r="Z459" s="76"/>
      <c r="AA459" s="76"/>
    </row>
    <row r="460" spans="5:27" ht="15" x14ac:dyDescent="0.2">
      <c r="E460" s="96"/>
      <c r="F460" s="96"/>
      <c r="G460" s="96"/>
      <c r="H460" s="96"/>
      <c r="I460" s="96"/>
      <c r="J460" s="96"/>
      <c r="K460" s="96"/>
      <c r="L460" s="96"/>
      <c r="M460" s="96"/>
      <c r="N460" s="96"/>
      <c r="O460" s="96"/>
      <c r="P460" s="76"/>
      <c r="Q460" s="76"/>
      <c r="W460" s="76"/>
      <c r="X460" s="76"/>
      <c r="Y460" s="76"/>
      <c r="Z460" s="76"/>
      <c r="AA460" s="76"/>
    </row>
    <row r="461" spans="5:27" ht="15" x14ac:dyDescent="0.2">
      <c r="E461" s="96"/>
      <c r="F461" s="96"/>
      <c r="G461" s="96"/>
      <c r="H461" s="96"/>
      <c r="I461" s="96"/>
      <c r="J461" s="96"/>
      <c r="K461" s="96"/>
      <c r="L461" s="96"/>
      <c r="M461" s="108"/>
      <c r="N461" s="96"/>
      <c r="O461" s="96"/>
      <c r="P461" s="76"/>
      <c r="Q461" s="76"/>
      <c r="W461" s="76"/>
      <c r="X461" s="76"/>
      <c r="Y461" s="76"/>
      <c r="Z461" s="76"/>
      <c r="AA461" s="76"/>
    </row>
  </sheetData>
  <mergeCells count="19">
    <mergeCell ref="H259:M259"/>
    <mergeCell ref="H251:M251"/>
    <mergeCell ref="H252:Q252"/>
    <mergeCell ref="H254:L254"/>
    <mergeCell ref="H256:M256"/>
    <mergeCell ref="H257:M257"/>
    <mergeCell ref="H258:M258"/>
    <mergeCell ref="H250:M250"/>
    <mergeCell ref="H204:M204"/>
    <mergeCell ref="H209:M209"/>
    <mergeCell ref="H213:M213"/>
    <mergeCell ref="H216:M216"/>
    <mergeCell ref="H218:M218"/>
    <mergeCell ref="H220:M220"/>
    <mergeCell ref="H222:M222"/>
    <mergeCell ref="H224:M224"/>
    <mergeCell ref="H225:M225"/>
    <mergeCell ref="H240:L240"/>
    <mergeCell ref="H246:M246"/>
  </mergeCells>
  <printOptions horizontalCentered="1"/>
  <pageMargins left="0.45" right="0.45" top="0.75" bottom="1" header="0.3" footer="0.3"/>
  <pageSetup scale="68" pageOrder="overThenDown" orientation="landscape" horizontalDpi="1200" verticalDpi="1200" r:id="rId1"/>
  <colBreaks count="1" manualBreakCount="1">
    <brk id="17" min="285" max="460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461"/>
  <sheetViews>
    <sheetView view="pageBreakPreview" topLeftCell="A286" zoomScale="60" zoomScaleNormal="100" workbookViewId="0">
      <selection activeCell="A286" sqref="A1:XFD1048576"/>
    </sheetView>
  </sheetViews>
  <sheetFormatPr defaultColWidth="8.85546875" defaultRowHeight="12.75" x14ac:dyDescent="0.2"/>
  <cols>
    <col min="1" max="1" width="21.42578125" style="2" customWidth="1"/>
    <col min="2" max="2" width="8.85546875" style="25"/>
    <col min="3" max="3" width="22.7109375" style="2" customWidth="1"/>
    <col min="4" max="5" width="8.85546875" style="2"/>
    <col min="6" max="6" width="4.140625" style="2" customWidth="1"/>
    <col min="7" max="7" width="34.28515625" style="2" customWidth="1"/>
    <col min="8" max="14" width="13.7109375" style="2" customWidth="1"/>
    <col min="15" max="15" width="13.140625" style="2" customWidth="1"/>
    <col min="16" max="16" width="12.7109375" style="2" customWidth="1"/>
    <col min="17" max="17" width="14.140625" style="2" customWidth="1"/>
    <col min="18" max="18" width="16.28515625" style="2" customWidth="1"/>
    <col min="19" max="26" width="12.7109375" style="2" customWidth="1"/>
    <col min="27" max="27" width="10.140625" style="2" customWidth="1"/>
    <col min="28" max="28" width="11.7109375" style="2" customWidth="1"/>
    <col min="29" max="29" width="10.7109375" style="2" customWidth="1"/>
    <col min="30" max="30" width="12.28515625" style="2" customWidth="1"/>
    <col min="31" max="31" width="9.140625" style="2" customWidth="1"/>
    <col min="32" max="32" width="8.85546875" style="2"/>
    <col min="33" max="33" width="10.7109375" style="2" customWidth="1"/>
    <col min="34" max="34" width="8.85546875" style="2"/>
    <col min="35" max="35" width="12.7109375" style="2" customWidth="1"/>
    <col min="36" max="36" width="10.140625" style="2" bestFit="1" customWidth="1"/>
    <col min="37" max="37" width="10.140625" style="2" customWidth="1"/>
    <col min="38" max="38" width="10.28515625" style="2" customWidth="1"/>
    <col min="39" max="40" width="12.7109375" style="2" customWidth="1"/>
    <col min="41" max="41" width="9" style="2" customWidth="1"/>
    <col min="42" max="16384" width="8.85546875" style="2"/>
  </cols>
  <sheetData>
    <row r="1" spans="2:26" ht="15.75" x14ac:dyDescent="0.25">
      <c r="B1" s="2"/>
      <c r="G1" s="2" t="s">
        <v>0</v>
      </c>
      <c r="H1" s="118">
        <v>3.8399999999999997E-2</v>
      </c>
      <c r="I1" s="119">
        <v>43220</v>
      </c>
    </row>
    <row r="2" spans="2:26" ht="15.75" x14ac:dyDescent="0.25">
      <c r="B2" s="2"/>
      <c r="G2" s="120" t="s">
        <v>1</v>
      </c>
      <c r="H2" s="118">
        <v>7.1199999999999999E-2</v>
      </c>
      <c r="I2" s="119">
        <v>43220</v>
      </c>
    </row>
    <row r="3" spans="2:26" ht="15.75" x14ac:dyDescent="0.25">
      <c r="B3" s="2"/>
      <c r="G3" s="120" t="s">
        <v>3</v>
      </c>
      <c r="H3" s="118">
        <v>8.48E-2</v>
      </c>
      <c r="I3" s="119">
        <v>43220</v>
      </c>
    </row>
    <row r="4" spans="2:26" ht="15.75" x14ac:dyDescent="0.25">
      <c r="B4" s="2"/>
      <c r="G4" s="121" t="s">
        <v>4</v>
      </c>
      <c r="H4" s="2">
        <v>20.78</v>
      </c>
      <c r="I4" s="122" t="s">
        <v>5</v>
      </c>
      <c r="L4" s="123" t="str">
        <f>+C5&amp;" GROWTH:"</f>
        <v xml:space="preserve"> GROWTH:</v>
      </c>
      <c r="M4" s="124">
        <v>1E-3</v>
      </c>
      <c r="N4" s="125"/>
    </row>
    <row r="5" spans="2:26" ht="15.75" x14ac:dyDescent="0.25">
      <c r="B5" s="2"/>
      <c r="G5" s="121" t="s">
        <v>7</v>
      </c>
      <c r="H5" s="2">
        <v>14.48</v>
      </c>
      <c r="I5" s="122" t="s">
        <v>5</v>
      </c>
      <c r="L5" s="123" t="str">
        <f>+C6&amp;" GROWTH:"</f>
        <v xml:space="preserve"> GROWTH:</v>
      </c>
      <c r="M5" s="124">
        <v>5.0000000000000001E-3</v>
      </c>
      <c r="N5" s="126"/>
    </row>
    <row r="6" spans="2:26" x14ac:dyDescent="0.2">
      <c r="B6" s="2"/>
      <c r="G6" s="2" t="s">
        <v>9</v>
      </c>
      <c r="H6" s="2">
        <v>0.7</v>
      </c>
      <c r="I6" s="122" t="s">
        <v>5</v>
      </c>
      <c r="L6" s="123" t="str">
        <f>+C7&amp;" GROWTH:"</f>
        <v xml:space="preserve"> GROWTH:</v>
      </c>
      <c r="M6" s="124">
        <v>0</v>
      </c>
      <c r="N6" s="126"/>
    </row>
    <row r="7" spans="2:26" ht="15.75" x14ac:dyDescent="0.25">
      <c r="B7" s="2"/>
      <c r="G7" s="121" t="s">
        <v>10</v>
      </c>
      <c r="H7" s="127">
        <v>14.6</v>
      </c>
      <c r="N7" s="1"/>
    </row>
    <row r="8" spans="2:26" ht="15.75" x14ac:dyDescent="0.25">
      <c r="B8" s="2"/>
      <c r="G8" s="121" t="s">
        <v>11</v>
      </c>
      <c r="H8" s="127">
        <v>10.1</v>
      </c>
      <c r="N8" s="128"/>
    </row>
    <row r="9" spans="2:26" ht="13.5" x14ac:dyDescent="0.25">
      <c r="C9" s="129" t="s">
        <v>12</v>
      </c>
      <c r="G9" s="2" t="s">
        <v>13</v>
      </c>
      <c r="H9" s="130">
        <f>IF(C10="IOU",M4,IF(C10="MUNI",M5,M6))</f>
        <v>5.0000000000000001E-3</v>
      </c>
    </row>
    <row r="10" spans="2:26" x14ac:dyDescent="0.2">
      <c r="C10" s="131" t="s">
        <v>8</v>
      </c>
      <c r="D10" s="66" t="s">
        <v>14</v>
      </c>
      <c r="G10" s="3"/>
      <c r="H10" s="3"/>
      <c r="I10" s="3"/>
      <c r="J10" s="3"/>
      <c r="K10" s="3"/>
      <c r="L10" s="3"/>
      <c r="M10" s="76" t="s">
        <v>15</v>
      </c>
      <c r="N10" s="3"/>
      <c r="O10" s="3"/>
      <c r="P10" s="3"/>
      <c r="Q10" s="3"/>
      <c r="R10" s="3"/>
      <c r="U10" s="76" t="str">
        <f>+M10</f>
        <v>Income Approach</v>
      </c>
    </row>
    <row r="11" spans="2:26" ht="15" x14ac:dyDescent="0.25">
      <c r="D11" s="132">
        <v>1</v>
      </c>
      <c r="G11" s="3"/>
      <c r="H11" s="3"/>
      <c r="I11" s="3"/>
      <c r="J11" s="3"/>
      <c r="K11" s="3"/>
      <c r="L11" s="3"/>
      <c r="M11" s="25" t="s">
        <v>183</v>
      </c>
      <c r="N11" s="3"/>
      <c r="O11" s="3"/>
      <c r="P11" s="3"/>
      <c r="Q11" s="3"/>
      <c r="R11" s="3"/>
      <c r="U11" s="25" t="str">
        <f t="shared" ref="U11:U14" si="0">+M11</f>
        <v>Township of Mahoning Water System Assets</v>
      </c>
    </row>
    <row r="12" spans="2:26" ht="15" x14ac:dyDescent="0.25">
      <c r="D12" s="132">
        <v>1</v>
      </c>
      <c r="G12" s="3"/>
      <c r="H12" s="3"/>
      <c r="I12" s="3"/>
      <c r="J12" s="3"/>
      <c r="K12" s="3"/>
      <c r="L12" s="3"/>
      <c r="M12" s="25" t="str">
        <f>IF($C$10="SUBJECT","Pro Forma Operations",IF($C$10="MUNI","Pro Forma and Estimted Operations With MUNI Ownership","Pro Forma and Estimted Operations With IOU Ownership"))</f>
        <v>Pro Forma and Estimted Operations With MUNI Ownership</v>
      </c>
      <c r="N12" s="3"/>
      <c r="O12" s="3"/>
      <c r="P12" s="3"/>
      <c r="Q12" s="3"/>
      <c r="R12" s="3"/>
      <c r="U12" s="25" t="str">
        <f t="shared" si="0"/>
        <v>Pro Forma and Estimted Operations With MUNI Ownership</v>
      </c>
    </row>
    <row r="13" spans="2:26" ht="15" x14ac:dyDescent="0.25">
      <c r="D13" s="132">
        <f>IF($C$10="SUBJECT",0,1)</f>
        <v>1</v>
      </c>
      <c r="G13" s="3"/>
      <c r="H13" s="3"/>
      <c r="I13" s="3"/>
      <c r="J13" s="3"/>
      <c r="K13" s="3"/>
      <c r="L13" s="3"/>
      <c r="M13" s="25" t="s">
        <v>16</v>
      </c>
      <c r="N13" s="3"/>
      <c r="O13" s="3"/>
      <c r="P13" s="3"/>
      <c r="Q13" s="3"/>
      <c r="R13" s="3"/>
      <c r="U13" s="25" t="str">
        <f t="shared" si="0"/>
        <v>DCF With Capitalization of Terminal Value Model and</v>
      </c>
    </row>
    <row r="14" spans="2:26" ht="15" x14ac:dyDescent="0.25">
      <c r="D14" s="132">
        <v>1</v>
      </c>
      <c r="G14" s="3"/>
      <c r="H14" s="3"/>
      <c r="I14" s="3"/>
      <c r="J14" s="3"/>
      <c r="K14" s="3"/>
      <c r="L14" s="3"/>
      <c r="M14" s="44" t="str">
        <f>IF($C$10="SUBJECT","Earnings Capitalization Model","DCF With EBIT &amp; EBITDA Terminal Value Model")</f>
        <v>DCF With EBIT &amp; EBITDA Terminal Value Model</v>
      </c>
      <c r="N14" s="3"/>
      <c r="O14" s="3"/>
      <c r="P14" s="3"/>
      <c r="Q14" s="3"/>
      <c r="R14" s="3"/>
      <c r="U14" s="44" t="str">
        <f t="shared" si="0"/>
        <v>DCF With EBIT &amp; EBITDA Terminal Value Model</v>
      </c>
    </row>
    <row r="15" spans="2:26" ht="15" x14ac:dyDescent="0.25">
      <c r="D15" s="132">
        <v>1</v>
      </c>
      <c r="F15" s="133"/>
      <c r="G15" s="3"/>
      <c r="H15" s="3"/>
      <c r="I15" s="3"/>
      <c r="J15" s="3"/>
      <c r="K15" s="3"/>
      <c r="L15" s="3"/>
      <c r="M15" s="134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</row>
    <row r="16" spans="2:26" ht="15.75" thickBot="1" x14ac:dyDescent="0.3">
      <c r="D16" s="132">
        <v>1</v>
      </c>
      <c r="E16" s="135" t="s">
        <v>17</v>
      </c>
      <c r="N16" s="4"/>
      <c r="O16" s="136"/>
      <c r="P16" s="136"/>
      <c r="Q16" s="136"/>
      <c r="R16" s="136"/>
    </row>
    <row r="17" spans="1:35" ht="15.75" thickBot="1" x14ac:dyDescent="0.3">
      <c r="B17" s="66" t="s">
        <v>18</v>
      </c>
      <c r="D17" s="132">
        <v>1</v>
      </c>
      <c r="M17" s="137" t="s">
        <v>19</v>
      </c>
      <c r="N17" s="137" t="s">
        <v>19</v>
      </c>
      <c r="O17" s="137" t="s">
        <v>19</v>
      </c>
      <c r="P17" s="137" t="s">
        <v>19</v>
      </c>
      <c r="Q17" s="137" t="s">
        <v>19</v>
      </c>
      <c r="R17" s="137" t="s">
        <v>19</v>
      </c>
      <c r="S17" s="137" t="s">
        <v>19</v>
      </c>
      <c r="T17" s="137" t="s">
        <v>19</v>
      </c>
      <c r="U17" s="137" t="s">
        <v>19</v>
      </c>
      <c r="V17" s="137" t="s">
        <v>19</v>
      </c>
      <c r="W17" s="137" t="s">
        <v>19</v>
      </c>
      <c r="X17" s="137" t="s">
        <v>19</v>
      </c>
      <c r="Y17" s="137" t="s">
        <v>19</v>
      </c>
      <c r="Z17" s="137" t="s">
        <v>19</v>
      </c>
      <c r="AA17" s="69"/>
      <c r="AB17" s="69"/>
    </row>
    <row r="18" spans="1:35" ht="15.75" thickBot="1" x14ac:dyDescent="0.3">
      <c r="C18" s="138">
        <f>IF(D18=0,F17,IF(ISBLANK(G18),F17,1+F17))</f>
        <v>0</v>
      </c>
      <c r="D18" s="132">
        <v>1</v>
      </c>
      <c r="E18" s="138"/>
      <c r="F18" s="139" t="str">
        <f>IF(ISBLANK(G18),"",C18)</f>
        <v/>
      </c>
      <c r="H18" s="140"/>
      <c r="I18" s="140" t="s">
        <v>20</v>
      </c>
      <c r="J18" s="141"/>
      <c r="K18" s="140" t="s">
        <v>20</v>
      </c>
      <c r="L18" s="142"/>
      <c r="M18" s="143" t="str">
        <f t="shared" ref="M18:Z18" si="1">"Year "&amp;M53+0.5</f>
        <v>Year 0</v>
      </c>
      <c r="N18" s="143" t="str">
        <f t="shared" si="1"/>
        <v>Year 1</v>
      </c>
      <c r="O18" s="143" t="str">
        <f t="shared" si="1"/>
        <v>Year 2</v>
      </c>
      <c r="P18" s="143" t="str">
        <f t="shared" si="1"/>
        <v>Year 3</v>
      </c>
      <c r="Q18" s="143" t="str">
        <f t="shared" si="1"/>
        <v>Year 4</v>
      </c>
      <c r="R18" s="143" t="str">
        <f t="shared" si="1"/>
        <v>Year 5</v>
      </c>
      <c r="S18" s="143" t="str">
        <f t="shared" si="1"/>
        <v>Year 6</v>
      </c>
      <c r="T18" s="143" t="str">
        <f t="shared" si="1"/>
        <v>Year 7</v>
      </c>
      <c r="U18" s="143" t="str">
        <f t="shared" si="1"/>
        <v>Year 8</v>
      </c>
      <c r="V18" s="143" t="str">
        <f t="shared" si="1"/>
        <v>Year 9</v>
      </c>
      <c r="W18" s="143" t="str">
        <f t="shared" si="1"/>
        <v>Year 10</v>
      </c>
      <c r="X18" s="143" t="str">
        <f t="shared" si="1"/>
        <v>Year 11</v>
      </c>
      <c r="Y18" s="143" t="str">
        <f t="shared" si="1"/>
        <v>Year 12</v>
      </c>
      <c r="Z18" s="143" t="str">
        <f t="shared" si="1"/>
        <v>Year 13</v>
      </c>
      <c r="AA18" s="69" t="s">
        <v>21</v>
      </c>
      <c r="AB18" s="69"/>
    </row>
    <row r="19" spans="1:35" ht="15" x14ac:dyDescent="0.25">
      <c r="C19" s="138">
        <f>IF(D19=0,C18,IF(ISBLANK(G19),C18,1+MAX(C$5:C18)))</f>
        <v>0</v>
      </c>
      <c r="D19" s="132">
        <v>1</v>
      </c>
      <c r="E19" s="138"/>
      <c r="F19" s="139" t="str">
        <f t="shared" ref="F19:F76" si="2">IF(ISBLANK(G19),"",C19)</f>
        <v/>
      </c>
      <c r="H19" s="76">
        <v>2013</v>
      </c>
      <c r="I19" s="76">
        <f t="shared" ref="I19:AA19" si="3">+H19+1</f>
        <v>2014</v>
      </c>
      <c r="J19" s="76">
        <f t="shared" si="3"/>
        <v>2015</v>
      </c>
      <c r="K19" s="76">
        <f t="shared" si="3"/>
        <v>2016</v>
      </c>
      <c r="L19" s="76">
        <f t="shared" si="3"/>
        <v>2017</v>
      </c>
      <c r="M19" s="76">
        <f t="shared" si="3"/>
        <v>2018</v>
      </c>
      <c r="N19" s="76">
        <f t="shared" si="3"/>
        <v>2019</v>
      </c>
      <c r="O19" s="76">
        <f t="shared" si="3"/>
        <v>2020</v>
      </c>
      <c r="P19" s="76">
        <f t="shared" si="3"/>
        <v>2021</v>
      </c>
      <c r="Q19" s="76">
        <f t="shared" si="3"/>
        <v>2022</v>
      </c>
      <c r="R19" s="76">
        <f t="shared" si="3"/>
        <v>2023</v>
      </c>
      <c r="S19" s="76">
        <f t="shared" si="3"/>
        <v>2024</v>
      </c>
      <c r="T19" s="76">
        <f t="shared" si="3"/>
        <v>2025</v>
      </c>
      <c r="U19" s="76">
        <f t="shared" si="3"/>
        <v>2026</v>
      </c>
      <c r="V19" s="76">
        <f t="shared" si="3"/>
        <v>2027</v>
      </c>
      <c r="W19" s="76">
        <f t="shared" si="3"/>
        <v>2028</v>
      </c>
      <c r="X19" s="76">
        <f t="shared" si="3"/>
        <v>2029</v>
      </c>
      <c r="Y19" s="76">
        <f t="shared" si="3"/>
        <v>2030</v>
      </c>
      <c r="Z19" s="76">
        <f t="shared" si="3"/>
        <v>2031</v>
      </c>
      <c r="AA19" s="76">
        <f t="shared" si="3"/>
        <v>2032</v>
      </c>
      <c r="AB19" s="69"/>
    </row>
    <row r="20" spans="1:35" ht="15" x14ac:dyDescent="0.25">
      <c r="A20" s="144" t="s">
        <v>22</v>
      </c>
      <c r="B20" s="66">
        <v>1</v>
      </c>
      <c r="C20" s="138">
        <f>IF(D20=0,C19,IF(ISBLANK(G20),C19,1+MAX(C$18:C19)))</f>
        <v>1</v>
      </c>
      <c r="D20" s="132">
        <v>1</v>
      </c>
      <c r="E20" s="138"/>
      <c r="F20" s="139">
        <v>1</v>
      </c>
      <c r="G20" s="144" t="str">
        <f>+A20&amp;" ("&amp;B20&amp;")"</f>
        <v>OPERATING REVENUES (1)</v>
      </c>
      <c r="AB20" s="69"/>
    </row>
    <row r="21" spans="1:35" ht="15" x14ac:dyDescent="0.25">
      <c r="C21" s="138">
        <f>IF(D21=0,C20,IF(ISBLANK(G21),C20,1+MAX(C$18:C20)))</f>
        <v>2</v>
      </c>
      <c r="D21" s="132">
        <v>1</v>
      </c>
      <c r="F21" s="139">
        <f t="shared" si="2"/>
        <v>2</v>
      </c>
      <c r="G21" s="145" t="s">
        <v>23</v>
      </c>
      <c r="H21" s="6">
        <v>0</v>
      </c>
      <c r="I21" s="6">
        <v>0</v>
      </c>
      <c r="J21" s="6">
        <v>0</v>
      </c>
      <c r="K21" s="6">
        <v>713319</v>
      </c>
      <c r="L21" s="6">
        <f>$K21*(1+(((1*0.1)+(0*0.15))*(3/12)))</f>
        <v>731151.97499999998</v>
      </c>
      <c r="M21" s="5">
        <f>$K21*(1+(((1*0.1)+(0*0.15))*(12/12)))</f>
        <v>784650.9</v>
      </c>
      <c r="N21" s="5">
        <f t="shared" ref="N21:O21" si="4">+N365</f>
        <v>809388</v>
      </c>
      <c r="O21" s="5">
        <f t="shared" si="4"/>
        <v>834177</v>
      </c>
      <c r="P21" s="5">
        <f>+P365</f>
        <v>838344</v>
      </c>
      <c r="Q21" s="5">
        <f t="shared" ref="Q21:Z21" si="5">+Q365</f>
        <v>842512</v>
      </c>
      <c r="R21" s="5">
        <f t="shared" si="5"/>
        <v>846707</v>
      </c>
      <c r="S21" s="5">
        <f t="shared" si="5"/>
        <v>850940</v>
      </c>
      <c r="T21" s="5">
        <f t="shared" si="5"/>
        <v>884272</v>
      </c>
      <c r="U21" s="5">
        <f t="shared" si="5"/>
        <v>888693</v>
      </c>
      <c r="V21" s="5">
        <f t="shared" si="5"/>
        <v>893136</v>
      </c>
      <c r="W21" s="5">
        <f t="shared" si="5"/>
        <v>926325</v>
      </c>
      <c r="X21" s="5">
        <f t="shared" si="5"/>
        <v>930957</v>
      </c>
      <c r="Y21" s="5">
        <f t="shared" si="5"/>
        <v>935612</v>
      </c>
      <c r="Z21" s="5">
        <f t="shared" si="5"/>
        <v>970379</v>
      </c>
      <c r="AA21" s="5">
        <v>0</v>
      </c>
      <c r="AB21" s="69"/>
    </row>
    <row r="22" spans="1:35" ht="15" x14ac:dyDescent="0.25">
      <c r="C22" s="138">
        <f>IF(D22=0,C21,IF(ISBLANK(G22),C21,1+MAX(C$18:C21)))</f>
        <v>3</v>
      </c>
      <c r="D22" s="132">
        <v>1</v>
      </c>
      <c r="F22" s="139">
        <f t="shared" si="2"/>
        <v>3</v>
      </c>
      <c r="G22" s="145" t="s">
        <v>24</v>
      </c>
      <c r="H22" s="6">
        <v>0</v>
      </c>
      <c r="I22" s="6">
        <v>0</v>
      </c>
      <c r="J22" s="6">
        <v>0</v>
      </c>
      <c r="K22" s="6">
        <v>22705</v>
      </c>
      <c r="L22" s="6">
        <f>+K22</f>
        <v>22705</v>
      </c>
      <c r="M22" s="6">
        <f>+L22</f>
        <v>22705</v>
      </c>
      <c r="N22" s="6">
        <f t="shared" ref="N22:Z22" si="6">+M22</f>
        <v>22705</v>
      </c>
      <c r="O22" s="6">
        <f t="shared" si="6"/>
        <v>22705</v>
      </c>
      <c r="P22" s="6">
        <f t="shared" si="6"/>
        <v>22705</v>
      </c>
      <c r="Q22" s="6">
        <f t="shared" si="6"/>
        <v>22705</v>
      </c>
      <c r="R22" s="6">
        <f t="shared" si="6"/>
        <v>22705</v>
      </c>
      <c r="S22" s="6">
        <f t="shared" si="6"/>
        <v>22705</v>
      </c>
      <c r="T22" s="6">
        <f t="shared" si="6"/>
        <v>22705</v>
      </c>
      <c r="U22" s="6">
        <f t="shared" si="6"/>
        <v>22705</v>
      </c>
      <c r="V22" s="6">
        <f t="shared" si="6"/>
        <v>22705</v>
      </c>
      <c r="W22" s="6">
        <f t="shared" si="6"/>
        <v>22705</v>
      </c>
      <c r="X22" s="6">
        <f t="shared" si="6"/>
        <v>22705</v>
      </c>
      <c r="Y22" s="6">
        <f t="shared" si="6"/>
        <v>22705</v>
      </c>
      <c r="Z22" s="6">
        <f t="shared" si="6"/>
        <v>22705</v>
      </c>
      <c r="AA22" s="5"/>
      <c r="AB22" s="69"/>
    </row>
    <row r="23" spans="1:35" ht="15" x14ac:dyDescent="0.25">
      <c r="C23" s="138">
        <f>IF(D23=0,C22,IF(ISBLANK(G23),C22,1+MAX(C$18:C22)))</f>
        <v>4</v>
      </c>
      <c r="D23" s="132">
        <f>IF($C$10="SUBJECT",0,1)</f>
        <v>1</v>
      </c>
      <c r="F23" s="139">
        <f t="shared" si="2"/>
        <v>4</v>
      </c>
      <c r="G23" s="145" t="s">
        <v>25</v>
      </c>
      <c r="H23" s="6">
        <v>0</v>
      </c>
      <c r="I23" s="6">
        <v>0</v>
      </c>
      <c r="J23" s="6">
        <v>0</v>
      </c>
      <c r="K23" s="6">
        <v>0</v>
      </c>
      <c r="L23" s="6">
        <v>0</v>
      </c>
      <c r="M23" s="6">
        <v>0</v>
      </c>
      <c r="N23" s="6">
        <f t="shared" ref="N23:O23" si="7">+N366</f>
        <v>0</v>
      </c>
      <c r="O23" s="6">
        <f t="shared" si="7"/>
        <v>0</v>
      </c>
      <c r="P23" s="6">
        <f>+P366</f>
        <v>0</v>
      </c>
      <c r="Q23" s="6">
        <f t="shared" ref="Q23:Z23" si="8">+Q366</f>
        <v>0</v>
      </c>
      <c r="R23" s="6">
        <f t="shared" si="8"/>
        <v>0</v>
      </c>
      <c r="S23" s="6">
        <f t="shared" si="8"/>
        <v>28932</v>
      </c>
      <c r="T23" s="6">
        <f t="shared" si="8"/>
        <v>0</v>
      </c>
      <c r="U23" s="6">
        <f t="shared" si="8"/>
        <v>0</v>
      </c>
      <c r="V23" s="6">
        <f t="shared" si="8"/>
        <v>28580</v>
      </c>
      <c r="W23" s="6">
        <f t="shared" si="8"/>
        <v>0</v>
      </c>
      <c r="X23" s="6">
        <f t="shared" si="8"/>
        <v>0</v>
      </c>
      <c r="Y23" s="6">
        <f t="shared" si="8"/>
        <v>29940</v>
      </c>
      <c r="Z23" s="6">
        <f t="shared" si="8"/>
        <v>0</v>
      </c>
      <c r="AA23" s="6">
        <v>0</v>
      </c>
      <c r="AB23" s="69"/>
    </row>
    <row r="24" spans="1:35" ht="15.75" thickBot="1" x14ac:dyDescent="0.3">
      <c r="C24" s="138">
        <f>IF(D24=0,C23,IF(ISBLANK(G24),C23,1+MAX(C$18:C23)))</f>
        <v>5</v>
      </c>
      <c r="D24" s="132">
        <v>1</v>
      </c>
      <c r="F24" s="139">
        <f t="shared" si="2"/>
        <v>5</v>
      </c>
      <c r="G24" s="146" t="s">
        <v>26</v>
      </c>
      <c r="H24" s="7">
        <f t="shared" ref="H24:Z24" si="9">SUM(H21:H23)</f>
        <v>0</v>
      </c>
      <c r="I24" s="7">
        <f t="shared" si="9"/>
        <v>0</v>
      </c>
      <c r="J24" s="7">
        <f t="shared" si="9"/>
        <v>0</v>
      </c>
      <c r="K24" s="7">
        <f t="shared" si="9"/>
        <v>736024</v>
      </c>
      <c r="L24" s="7">
        <f t="shared" si="9"/>
        <v>753856.97499999998</v>
      </c>
      <c r="M24" s="7">
        <f t="shared" si="9"/>
        <v>807355.9</v>
      </c>
      <c r="N24" s="7">
        <f t="shared" si="9"/>
        <v>832093</v>
      </c>
      <c r="O24" s="7">
        <f t="shared" si="9"/>
        <v>856882</v>
      </c>
      <c r="P24" s="7">
        <f t="shared" si="9"/>
        <v>861049</v>
      </c>
      <c r="Q24" s="7">
        <f t="shared" si="9"/>
        <v>865217</v>
      </c>
      <c r="R24" s="7">
        <f t="shared" si="9"/>
        <v>869412</v>
      </c>
      <c r="S24" s="7">
        <f t="shared" si="9"/>
        <v>902577</v>
      </c>
      <c r="T24" s="7">
        <f t="shared" si="9"/>
        <v>906977</v>
      </c>
      <c r="U24" s="7">
        <f t="shared" si="9"/>
        <v>911398</v>
      </c>
      <c r="V24" s="7">
        <f t="shared" si="9"/>
        <v>944421</v>
      </c>
      <c r="W24" s="7">
        <f t="shared" si="9"/>
        <v>949030</v>
      </c>
      <c r="X24" s="7">
        <f t="shared" si="9"/>
        <v>953662</v>
      </c>
      <c r="Y24" s="7">
        <f t="shared" si="9"/>
        <v>988257</v>
      </c>
      <c r="Z24" s="7">
        <f t="shared" si="9"/>
        <v>993084</v>
      </c>
      <c r="AA24" s="7">
        <f t="shared" ref="AA24" si="10">SUM(AA21:AA23)</f>
        <v>0</v>
      </c>
      <c r="AB24" s="69"/>
    </row>
    <row r="25" spans="1:35" ht="15.75" thickTop="1" x14ac:dyDescent="0.25">
      <c r="C25" s="138">
        <f>IF(D25=0,C24,IF(ISBLANK(G25),C24,1+MAX(C$18:C24)))</f>
        <v>6</v>
      </c>
      <c r="D25" s="132">
        <v>1</v>
      </c>
      <c r="F25" s="139">
        <f t="shared" si="2"/>
        <v>6</v>
      </c>
      <c r="G25" s="147" t="s">
        <v>27</v>
      </c>
      <c r="H25" s="8"/>
      <c r="I25" s="8"/>
      <c r="J25" s="8"/>
      <c r="K25" s="8"/>
      <c r="L25" s="9"/>
      <c r="M25" s="9"/>
      <c r="N25" s="10" t="str">
        <f t="shared" ref="N25:Z25" si="11">IF(N23&gt;0,+N23/N21,"")</f>
        <v/>
      </c>
      <c r="O25" s="10" t="str">
        <f t="shared" si="11"/>
        <v/>
      </c>
      <c r="P25" s="10" t="str">
        <f t="shared" si="11"/>
        <v/>
      </c>
      <c r="Q25" s="10" t="str">
        <f t="shared" si="11"/>
        <v/>
      </c>
      <c r="R25" s="10" t="str">
        <f t="shared" si="11"/>
        <v/>
      </c>
      <c r="S25" s="10">
        <f t="shared" si="11"/>
        <v>3.4000047006839493E-2</v>
      </c>
      <c r="T25" s="10" t="str">
        <f t="shared" si="11"/>
        <v/>
      </c>
      <c r="U25" s="10" t="str">
        <f t="shared" si="11"/>
        <v/>
      </c>
      <c r="V25" s="10">
        <f t="shared" si="11"/>
        <v>3.1999605883090594E-2</v>
      </c>
      <c r="W25" s="10" t="str">
        <f t="shared" si="11"/>
        <v/>
      </c>
      <c r="X25" s="10" t="str">
        <f t="shared" si="11"/>
        <v/>
      </c>
      <c r="Y25" s="10">
        <f t="shared" si="11"/>
        <v>3.2000444628756362E-2</v>
      </c>
      <c r="Z25" s="10" t="str">
        <f t="shared" si="11"/>
        <v/>
      </c>
      <c r="AA25" s="10"/>
      <c r="AB25" s="69"/>
      <c r="AE25" s="148"/>
      <c r="AF25" s="148"/>
      <c r="AG25" s="148"/>
    </row>
    <row r="26" spans="1:35" ht="15" x14ac:dyDescent="0.25">
      <c r="C26" s="138">
        <f>IF(D26=0,C25,IF(ISBLANK(G26),C25,1+MAX(C$18:C25)))</f>
        <v>6</v>
      </c>
      <c r="D26" s="132">
        <v>1</v>
      </c>
      <c r="F26" s="139" t="str">
        <f t="shared" si="2"/>
        <v/>
      </c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69"/>
      <c r="AE26" s="148"/>
      <c r="AF26" s="148"/>
      <c r="AG26" s="148"/>
    </row>
    <row r="27" spans="1:35" ht="15" x14ac:dyDescent="0.25">
      <c r="A27" s="144" t="s">
        <v>28</v>
      </c>
      <c r="B27" s="25">
        <v>1</v>
      </c>
      <c r="C27" s="138">
        <f>IF(D27=0,C26,IF(ISBLANK(G27),C26,1+MAX(C$18:C26)))</f>
        <v>7</v>
      </c>
      <c r="D27" s="132">
        <v>1</v>
      </c>
      <c r="F27" s="139">
        <f t="shared" si="2"/>
        <v>7</v>
      </c>
      <c r="G27" s="144" t="str">
        <f>+A27&amp;" ("&amp;B27&amp;")"</f>
        <v>OPERATING EXPENSES (1)</v>
      </c>
      <c r="H27" s="6"/>
      <c r="I27" s="6"/>
      <c r="J27" s="6"/>
      <c r="K27" s="6"/>
      <c r="L27" s="5"/>
      <c r="M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69"/>
      <c r="AB27" s="69"/>
      <c r="AC27" s="2" t="s">
        <v>29</v>
      </c>
    </row>
    <row r="28" spans="1:35" ht="15" x14ac:dyDescent="0.25">
      <c r="C28" s="138">
        <f>IF(D28=0,C27,IF(ISBLANK(G28),C27,1+MAX(C$18:C27)))</f>
        <v>8</v>
      </c>
      <c r="D28" s="132">
        <v>1</v>
      </c>
      <c r="F28" s="139">
        <f t="shared" si="2"/>
        <v>8</v>
      </c>
      <c r="G28" s="149" t="s">
        <v>30</v>
      </c>
      <c r="H28" s="6">
        <v>0</v>
      </c>
      <c r="I28" s="6">
        <v>0</v>
      </c>
      <c r="J28" s="6">
        <v>0</v>
      </c>
      <c r="K28" s="5">
        <v>590138</v>
      </c>
      <c r="L28" s="6">
        <f t="shared" ref="L28:Z28" si="12">+K28*(1+$AC28)</f>
        <v>601940.76</v>
      </c>
      <c r="M28" s="6">
        <f t="shared" si="12"/>
        <v>613979.57519999996</v>
      </c>
      <c r="N28" s="6">
        <f t="shared" si="12"/>
        <v>626259.16670399997</v>
      </c>
      <c r="O28" s="6">
        <f t="shared" si="12"/>
        <v>638784.35003808001</v>
      </c>
      <c r="P28" s="6">
        <f t="shared" si="12"/>
        <v>651560.03703884163</v>
      </c>
      <c r="Q28" s="6">
        <f t="shared" si="12"/>
        <v>664591.23777961847</v>
      </c>
      <c r="R28" s="6">
        <f t="shared" si="12"/>
        <v>677883.06253521086</v>
      </c>
      <c r="S28" s="6">
        <f t="shared" si="12"/>
        <v>691440.72378591506</v>
      </c>
      <c r="T28" s="6">
        <f t="shared" si="12"/>
        <v>705269.53826163337</v>
      </c>
      <c r="U28" s="6">
        <f t="shared" si="12"/>
        <v>719374.9290268661</v>
      </c>
      <c r="V28" s="6">
        <f t="shared" si="12"/>
        <v>733762.42760740349</v>
      </c>
      <c r="W28" s="6">
        <f t="shared" si="12"/>
        <v>748437.6761595516</v>
      </c>
      <c r="X28" s="6">
        <f t="shared" si="12"/>
        <v>763406.42968274269</v>
      </c>
      <c r="Y28" s="6">
        <f t="shared" si="12"/>
        <v>778674.55827639753</v>
      </c>
      <c r="Z28" s="6">
        <f t="shared" si="12"/>
        <v>794248.04944192548</v>
      </c>
      <c r="AA28" s="69"/>
      <c r="AB28" s="69"/>
      <c r="AC28" s="150">
        <v>0.02</v>
      </c>
    </row>
    <row r="29" spans="1:35" ht="15" x14ac:dyDescent="0.25">
      <c r="C29" s="138">
        <f>IF(D29=0,C28,IF(ISBLANK(G29),C28,1+MAX(C$18:C28)))</f>
        <v>9</v>
      </c>
      <c r="D29" s="132">
        <f>IF($C$10="SUBJECT",0,1)</f>
        <v>1</v>
      </c>
      <c r="F29" s="139">
        <f t="shared" si="2"/>
        <v>9</v>
      </c>
      <c r="G29" s="149" t="s">
        <v>31</v>
      </c>
      <c r="H29" s="11"/>
      <c r="I29" s="11"/>
      <c r="J29" s="11"/>
      <c r="K29" s="11"/>
      <c r="L29" s="11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9"/>
      <c r="AB29" s="69"/>
    </row>
    <row r="30" spans="1:35" ht="15" x14ac:dyDescent="0.25">
      <c r="C30" s="138">
        <f>IF(D30=0,C29,IF(ISBLANK(G30),C29,1+MAX(C$18:C29)))</f>
        <v>10</v>
      </c>
      <c r="D30" s="132">
        <f>IF($C$10="SUBJECT",0,1)</f>
        <v>1</v>
      </c>
      <c r="F30" s="139">
        <f t="shared" si="2"/>
        <v>10</v>
      </c>
      <c r="G30" s="12" t="s">
        <v>32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6">
        <f>+M406*(1+$AC30)*AH30*-1</f>
        <v>-11583.934286400001</v>
      </c>
      <c r="O30" s="6">
        <f t="shared" ref="O30:Z32" si="13">+N30*(1+$AC30)</f>
        <v>-11815.612972128001</v>
      </c>
      <c r="P30" s="6">
        <f t="shared" si="13"/>
        <v>-12051.925231570562</v>
      </c>
      <c r="Q30" s="6">
        <f t="shared" si="13"/>
        <v>-12292.963736201973</v>
      </c>
      <c r="R30" s="6">
        <f t="shared" si="13"/>
        <v>-12538.823010926013</v>
      </c>
      <c r="S30" s="6">
        <f t="shared" si="13"/>
        <v>-12789.599471144533</v>
      </c>
      <c r="T30" s="6">
        <f t="shared" si="13"/>
        <v>-13045.391460567424</v>
      </c>
      <c r="U30" s="6">
        <f t="shared" si="13"/>
        <v>-13306.299289778772</v>
      </c>
      <c r="V30" s="6">
        <f t="shared" si="13"/>
        <v>-13572.425275574347</v>
      </c>
      <c r="W30" s="6">
        <f t="shared" si="13"/>
        <v>-13843.873781085835</v>
      </c>
      <c r="X30" s="6">
        <f t="shared" si="13"/>
        <v>-14120.751256707552</v>
      </c>
      <c r="Y30" s="6">
        <f t="shared" si="13"/>
        <v>-14403.166281841703</v>
      </c>
      <c r="Z30" s="6">
        <f t="shared" si="13"/>
        <v>-14691.229607478537</v>
      </c>
      <c r="AA30" s="69"/>
      <c r="AB30" s="69"/>
      <c r="AC30" s="2">
        <f>+AC28</f>
        <v>0.02</v>
      </c>
      <c r="AE30" s="151" t="s">
        <v>33</v>
      </c>
      <c r="AF30" s="152"/>
      <c r="AG30" s="153" t="s">
        <v>34</v>
      </c>
      <c r="AH30" s="154">
        <v>0.15</v>
      </c>
      <c r="AI30" s="13">
        <v>0.15</v>
      </c>
    </row>
    <row r="31" spans="1:35" ht="15" x14ac:dyDescent="0.25">
      <c r="C31" s="138">
        <f>IF(D31=0,C30,IF(ISBLANK(G31),C30,1+MAX(C$18:C30)))</f>
        <v>11</v>
      </c>
      <c r="D31" s="132">
        <f t="shared" ref="D31:D32" si="14">IF($C$10="SUBJECT",0,1)</f>
        <v>1</v>
      </c>
      <c r="F31" s="139">
        <f t="shared" si="2"/>
        <v>11</v>
      </c>
      <c r="G31" s="12" t="s">
        <v>35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6">
        <f>+M407*(1+$AC31)*AH31*-1</f>
        <v>-44501.757480000007</v>
      </c>
      <c r="O31" s="6">
        <f t="shared" si="13"/>
        <v>-45391.792629600008</v>
      </c>
      <c r="P31" s="6">
        <f t="shared" si="13"/>
        <v>-46299.628482192005</v>
      </c>
      <c r="Q31" s="6">
        <f t="shared" si="13"/>
        <v>-47225.621051835849</v>
      </c>
      <c r="R31" s="6">
        <f t="shared" si="13"/>
        <v>-48170.133472872571</v>
      </c>
      <c r="S31" s="6">
        <f t="shared" si="13"/>
        <v>-49133.53614233002</v>
      </c>
      <c r="T31" s="6">
        <f t="shared" si="13"/>
        <v>-50116.206865176624</v>
      </c>
      <c r="U31" s="6">
        <f t="shared" si="13"/>
        <v>-51118.531002480158</v>
      </c>
      <c r="V31" s="6">
        <f t="shared" si="13"/>
        <v>-52140.90162252976</v>
      </c>
      <c r="W31" s="6">
        <f t="shared" si="13"/>
        <v>-53183.719654980356</v>
      </c>
      <c r="X31" s="6">
        <f t="shared" si="13"/>
        <v>-54247.394048079965</v>
      </c>
      <c r="Y31" s="6">
        <f t="shared" si="13"/>
        <v>-55332.341929041562</v>
      </c>
      <c r="Z31" s="6">
        <f t="shared" si="13"/>
        <v>-56438.988767622395</v>
      </c>
      <c r="AA31" s="69"/>
      <c r="AB31" s="69"/>
      <c r="AC31" s="2">
        <f>+AC30</f>
        <v>0.02</v>
      </c>
      <c r="AE31" s="151" t="s">
        <v>36</v>
      </c>
      <c r="AF31" s="152"/>
      <c r="AG31" s="153" t="s">
        <v>37</v>
      </c>
      <c r="AH31" s="154">
        <v>0.5</v>
      </c>
      <c r="AI31" s="13">
        <v>0.5</v>
      </c>
    </row>
    <row r="32" spans="1:35" ht="15" x14ac:dyDescent="0.25">
      <c r="C32" s="138">
        <f>IF(D32=0,C31,IF(ISBLANK(G32),C31,1+MAX(C$18:C31)))</f>
        <v>12</v>
      </c>
      <c r="D32" s="132">
        <f t="shared" si="14"/>
        <v>1</v>
      </c>
      <c r="F32" s="139">
        <f t="shared" si="2"/>
        <v>12</v>
      </c>
      <c r="G32" s="12" t="s">
        <v>38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6">
        <f>+M408*(1+$AC32)*AH32*-1</f>
        <v>-1469.1363552000003</v>
      </c>
      <c r="O32" s="6">
        <f t="shared" si="13"/>
        <v>-1498.5190823040002</v>
      </c>
      <c r="P32" s="6">
        <f t="shared" si="13"/>
        <v>-1528.4894639500803</v>
      </c>
      <c r="Q32" s="6">
        <f t="shared" si="13"/>
        <v>-1559.0592532290821</v>
      </c>
      <c r="R32" s="6">
        <f t="shared" si="13"/>
        <v>-1590.2404382936638</v>
      </c>
      <c r="S32" s="6">
        <f t="shared" si="13"/>
        <v>-1622.0452470595371</v>
      </c>
      <c r="T32" s="6">
        <f t="shared" si="13"/>
        <v>-1654.486152000728</v>
      </c>
      <c r="U32" s="6">
        <f t="shared" si="13"/>
        <v>-1687.5758750407426</v>
      </c>
      <c r="V32" s="6">
        <f t="shared" si="13"/>
        <v>-1721.3273925415574</v>
      </c>
      <c r="W32" s="6">
        <f t="shared" si="13"/>
        <v>-1755.7539403923886</v>
      </c>
      <c r="X32" s="6">
        <f t="shared" si="13"/>
        <v>-1790.8690192002364</v>
      </c>
      <c r="Y32" s="6">
        <f t="shared" si="13"/>
        <v>-1826.6863995842411</v>
      </c>
      <c r="Z32" s="6">
        <f t="shared" si="13"/>
        <v>-1863.220127575926</v>
      </c>
      <c r="AA32" s="69"/>
      <c r="AB32" s="69"/>
      <c r="AC32" s="2">
        <f t="shared" ref="AC32" si="15">+AC31</f>
        <v>0.02</v>
      </c>
      <c r="AE32" s="151" t="s">
        <v>39</v>
      </c>
      <c r="AF32" s="152"/>
      <c r="AG32" s="153" t="s">
        <v>40</v>
      </c>
      <c r="AH32" s="154">
        <v>0.1</v>
      </c>
      <c r="AI32" s="13">
        <v>0.1</v>
      </c>
    </row>
    <row r="33" spans="1:28" ht="15" x14ac:dyDescent="0.25">
      <c r="C33" s="138">
        <f>IF(D33=0,C32,IF(ISBLANK(G33),C32,1+MAX(C$18:C32)))</f>
        <v>12</v>
      </c>
      <c r="D33" s="132">
        <f>IF($C$10="IOU",1,0)</f>
        <v>0</v>
      </c>
      <c r="F33" s="139">
        <f t="shared" si="2"/>
        <v>12</v>
      </c>
      <c r="G33" s="12" t="s">
        <v>41</v>
      </c>
      <c r="H33" s="6"/>
      <c r="I33" s="6"/>
      <c r="J33" s="6"/>
      <c r="K33" s="6"/>
      <c r="L33" s="6"/>
      <c r="M33" s="6"/>
      <c r="N33" s="6">
        <f>IF($C$10="IOU",+N373,0)</f>
        <v>0</v>
      </c>
      <c r="O33" s="6">
        <f>IF($C$10="IOU",+O373,0)</f>
        <v>0</v>
      </c>
      <c r="P33" s="6">
        <f>IF($C$10="IOU",+P373,0)</f>
        <v>0</v>
      </c>
      <c r="Q33" s="6">
        <f>IF($C$10="IOU",+Q373,0)</f>
        <v>0</v>
      </c>
      <c r="R33" s="6">
        <f>IF($C$10="IOU",+R373,0)</f>
        <v>0</v>
      </c>
      <c r="S33" s="6">
        <f>IF($C$10="IOU",+S373,0)</f>
        <v>0</v>
      </c>
      <c r="T33" s="6">
        <f>IF($C$10="IOU",+T373,0)</f>
        <v>0</v>
      </c>
      <c r="U33" s="6">
        <f>IF($C$10="IOU",+U373,0)</f>
        <v>0</v>
      </c>
      <c r="V33" s="6">
        <f>IF($C$10="IOU",+V373,0)</f>
        <v>0</v>
      </c>
      <c r="W33" s="6">
        <f>IF($C$10="IOU",+W373,0)</f>
        <v>0</v>
      </c>
      <c r="X33" s="6">
        <f>IF($C$10="IOU",+X373,0)</f>
        <v>0</v>
      </c>
      <c r="Y33" s="6">
        <f>IF($C$10="IOU",+Y373,0)</f>
        <v>0</v>
      </c>
      <c r="Z33" s="6">
        <f>IF($C$10="IOU",+Z373,0)</f>
        <v>0</v>
      </c>
      <c r="AA33" s="69"/>
      <c r="AB33" s="69"/>
    </row>
    <row r="34" spans="1:28" ht="15" x14ac:dyDescent="0.25">
      <c r="C34" s="138">
        <f>IF(D34=0,C33,IF(ISBLANK(G34),C33,1+MAX(C$18:C33)))</f>
        <v>13</v>
      </c>
      <c r="D34" s="132">
        <v>1</v>
      </c>
      <c r="F34" s="139">
        <f t="shared" si="2"/>
        <v>13</v>
      </c>
      <c r="G34" s="155" t="s">
        <v>42</v>
      </c>
      <c r="H34" s="14">
        <f t="shared" ref="H34:Z34" si="16">SUM(H28:H33)</f>
        <v>0</v>
      </c>
      <c r="I34" s="14">
        <f t="shared" si="16"/>
        <v>0</v>
      </c>
      <c r="J34" s="14">
        <f t="shared" si="16"/>
        <v>0</v>
      </c>
      <c r="K34" s="14">
        <f t="shared" si="16"/>
        <v>590138</v>
      </c>
      <c r="L34" s="14">
        <f t="shared" si="16"/>
        <v>601940.76</v>
      </c>
      <c r="M34" s="14">
        <f t="shared" si="16"/>
        <v>613979.57519999996</v>
      </c>
      <c r="N34" s="14">
        <f t="shared" si="16"/>
        <v>568704.3385824</v>
      </c>
      <c r="O34" s="14">
        <f t="shared" si="16"/>
        <v>580078.42535404803</v>
      </c>
      <c r="P34" s="14">
        <f t="shared" si="16"/>
        <v>591679.99386112893</v>
      </c>
      <c r="Q34" s="14">
        <f t="shared" si="16"/>
        <v>603513.5937383516</v>
      </c>
      <c r="R34" s="14">
        <f t="shared" si="16"/>
        <v>615583.86561311863</v>
      </c>
      <c r="S34" s="14">
        <f t="shared" si="16"/>
        <v>627895.54292538099</v>
      </c>
      <c r="T34" s="14">
        <f t="shared" si="16"/>
        <v>640453.45378388849</v>
      </c>
      <c r="U34" s="14">
        <f t="shared" si="16"/>
        <v>653262.52285956638</v>
      </c>
      <c r="V34" s="14">
        <f t="shared" si="16"/>
        <v>666327.77331675787</v>
      </c>
      <c r="W34" s="14">
        <f t="shared" si="16"/>
        <v>679654.32878309302</v>
      </c>
      <c r="X34" s="14">
        <f t="shared" si="16"/>
        <v>693247.41535875492</v>
      </c>
      <c r="Y34" s="14">
        <f t="shared" si="16"/>
        <v>707112.36366593</v>
      </c>
      <c r="Z34" s="14">
        <f t="shared" si="16"/>
        <v>721254.6109392487</v>
      </c>
      <c r="AA34" s="69"/>
      <c r="AB34" s="69"/>
    </row>
    <row r="35" spans="1:28" ht="15" x14ac:dyDescent="0.25">
      <c r="A35" s="145" t="s">
        <v>43</v>
      </c>
      <c r="B35" s="25">
        <f>MAX(B$20:B34)+1</f>
        <v>2</v>
      </c>
      <c r="C35" s="138">
        <f>IF(D35=0,C34,IF(ISBLANK(G35),C34,1+MAX(C$18:C34)))</f>
        <v>14</v>
      </c>
      <c r="D35" s="132">
        <v>1</v>
      </c>
      <c r="F35" s="139">
        <f t="shared" si="2"/>
        <v>14</v>
      </c>
      <c r="G35" s="4" t="str">
        <f>+A35&amp;" ("&amp;B35&amp;")"</f>
        <v>Depreciation (2)</v>
      </c>
      <c r="H35" s="5">
        <f>+H314</f>
        <v>0</v>
      </c>
      <c r="I35" s="5">
        <f t="shared" ref="I35:J35" si="17">+I314</f>
        <v>0</v>
      </c>
      <c r="J35" s="5">
        <f t="shared" si="17"/>
        <v>0</v>
      </c>
      <c r="K35" s="5">
        <f>+K459</f>
        <v>60448</v>
      </c>
      <c r="L35" s="5">
        <f>+L312</f>
        <v>60448</v>
      </c>
      <c r="M35" s="5">
        <f>+M312</f>
        <v>91061.478400000007</v>
      </c>
      <c r="N35" s="5">
        <f>+N312</f>
        <v>91582.291200000007</v>
      </c>
      <c r="O35" s="5">
        <f t="shared" ref="O35:Z35" si="18">+O312</f>
        <v>92849.768799999991</v>
      </c>
      <c r="P35" s="5">
        <f t="shared" si="18"/>
        <v>94129.647200000007</v>
      </c>
      <c r="Q35" s="5">
        <f t="shared" si="18"/>
        <v>95426.104000000007</v>
      </c>
      <c r="R35" s="5">
        <f t="shared" si="18"/>
        <v>96741.294000000009</v>
      </c>
      <c r="S35" s="5">
        <f t="shared" si="18"/>
        <v>98073.440799999997</v>
      </c>
      <c r="T35" s="5">
        <f t="shared" si="18"/>
        <v>99424.8024</v>
      </c>
      <c r="U35" s="5">
        <f t="shared" si="18"/>
        <v>100784.28080000001</v>
      </c>
      <c r="V35" s="5">
        <f t="shared" si="18"/>
        <v>102146.61599999999</v>
      </c>
      <c r="W35" s="5">
        <f t="shared" si="18"/>
        <v>103526.2004</v>
      </c>
      <c r="X35" s="5">
        <f t="shared" si="18"/>
        <v>104926.292</v>
      </c>
      <c r="Y35" s="5">
        <f t="shared" si="18"/>
        <v>106344.166</v>
      </c>
      <c r="Z35" s="5">
        <f t="shared" si="18"/>
        <v>107781.0288</v>
      </c>
      <c r="AA35" s="69"/>
      <c r="AB35" s="69"/>
    </row>
    <row r="36" spans="1:28" ht="15.75" thickBot="1" x14ac:dyDescent="0.3">
      <c r="C36" s="138">
        <f>IF(D36=0,C35,IF(ISBLANK(G36),C35,1+MAX(C$18:C35)))</f>
        <v>15</v>
      </c>
      <c r="D36" s="132">
        <v>1</v>
      </c>
      <c r="F36" s="139">
        <f t="shared" si="2"/>
        <v>15</v>
      </c>
      <c r="G36" s="155" t="s">
        <v>44</v>
      </c>
      <c r="H36" s="7">
        <f t="shared" ref="H36:Z36" si="19">+H35+H34</f>
        <v>0</v>
      </c>
      <c r="I36" s="7">
        <f t="shared" si="19"/>
        <v>0</v>
      </c>
      <c r="J36" s="7">
        <f t="shared" si="19"/>
        <v>0</v>
      </c>
      <c r="K36" s="7">
        <f t="shared" si="19"/>
        <v>650586</v>
      </c>
      <c r="L36" s="7">
        <f t="shared" si="19"/>
        <v>662388.76</v>
      </c>
      <c r="M36" s="7">
        <f t="shared" si="19"/>
        <v>705041.05359999998</v>
      </c>
      <c r="N36" s="7">
        <f t="shared" si="19"/>
        <v>660286.62978239998</v>
      </c>
      <c r="O36" s="7">
        <f t="shared" si="19"/>
        <v>672928.19415404799</v>
      </c>
      <c r="P36" s="7">
        <f t="shared" si="19"/>
        <v>685809.64106112893</v>
      </c>
      <c r="Q36" s="7">
        <f t="shared" si="19"/>
        <v>698939.69773835165</v>
      </c>
      <c r="R36" s="7">
        <f t="shared" si="19"/>
        <v>712325.15961311862</v>
      </c>
      <c r="S36" s="7">
        <f t="shared" si="19"/>
        <v>725968.98372538097</v>
      </c>
      <c r="T36" s="7">
        <f t="shared" si="19"/>
        <v>739878.25618388853</v>
      </c>
      <c r="U36" s="7">
        <f t="shared" si="19"/>
        <v>754046.80365956645</v>
      </c>
      <c r="V36" s="7">
        <f t="shared" si="19"/>
        <v>768474.38931675791</v>
      </c>
      <c r="W36" s="7">
        <f t="shared" si="19"/>
        <v>783180.52918309299</v>
      </c>
      <c r="X36" s="7">
        <f t="shared" si="19"/>
        <v>798173.70735875494</v>
      </c>
      <c r="Y36" s="7">
        <f t="shared" si="19"/>
        <v>813456.52966592996</v>
      </c>
      <c r="Z36" s="7">
        <f t="shared" si="19"/>
        <v>829035.63973924867</v>
      </c>
      <c r="AA36" s="69"/>
      <c r="AB36" s="69"/>
    </row>
    <row r="37" spans="1:28" ht="15.75" thickTop="1" x14ac:dyDescent="0.25">
      <c r="C37" s="138">
        <f>IF(D37=0,C36,IF(ISBLANK(G37),C36,1+MAX(C$18:C36)))</f>
        <v>15</v>
      </c>
      <c r="D37" s="132">
        <v>1</v>
      </c>
      <c r="F37" s="139" t="str">
        <f t="shared" si="2"/>
        <v/>
      </c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69"/>
      <c r="AB37" s="69"/>
    </row>
    <row r="38" spans="1:28" ht="15.75" thickBot="1" x14ac:dyDescent="0.3">
      <c r="C38" s="138">
        <f>IF(D38=0,C37,IF(ISBLANK(G38),C37,1+MAX(C$18:C37)))</f>
        <v>16</v>
      </c>
      <c r="D38" s="132">
        <v>1</v>
      </c>
      <c r="F38" s="139">
        <f t="shared" si="2"/>
        <v>16</v>
      </c>
      <c r="G38" s="146" t="s">
        <v>45</v>
      </c>
      <c r="H38" s="7">
        <f t="shared" ref="H38:Z38" si="20">+H24-H36</f>
        <v>0</v>
      </c>
      <c r="I38" s="7">
        <f t="shared" si="20"/>
        <v>0</v>
      </c>
      <c r="J38" s="7">
        <f t="shared" si="20"/>
        <v>0</v>
      </c>
      <c r="K38" s="7">
        <f t="shared" si="20"/>
        <v>85438</v>
      </c>
      <c r="L38" s="7">
        <f t="shared" si="20"/>
        <v>91468.214999999967</v>
      </c>
      <c r="M38" s="7">
        <f t="shared" si="20"/>
        <v>102314.84640000004</v>
      </c>
      <c r="N38" s="7">
        <f t="shared" si="20"/>
        <v>171806.37021760002</v>
      </c>
      <c r="O38" s="7">
        <f t="shared" si="20"/>
        <v>183953.80584595201</v>
      </c>
      <c r="P38" s="7">
        <f t="shared" si="20"/>
        <v>175239.35893887107</v>
      </c>
      <c r="Q38" s="7">
        <f t="shared" si="20"/>
        <v>166277.30226164835</v>
      </c>
      <c r="R38" s="7">
        <f t="shared" si="20"/>
        <v>157086.84038688138</v>
      </c>
      <c r="S38" s="7">
        <f t="shared" si="20"/>
        <v>176608.01627461903</v>
      </c>
      <c r="T38" s="7">
        <f t="shared" si="20"/>
        <v>167098.74381611147</v>
      </c>
      <c r="U38" s="7">
        <f t="shared" si="20"/>
        <v>157351.19634043355</v>
      </c>
      <c r="V38" s="7">
        <f t="shared" si="20"/>
        <v>175946.61068324209</v>
      </c>
      <c r="W38" s="7">
        <f t="shared" si="20"/>
        <v>165849.47081690701</v>
      </c>
      <c r="X38" s="7">
        <f t="shared" si="20"/>
        <v>155488.29264124506</v>
      </c>
      <c r="Y38" s="7">
        <f t="shared" si="20"/>
        <v>174800.47033407004</v>
      </c>
      <c r="Z38" s="7">
        <f t="shared" si="20"/>
        <v>164048.36026075133</v>
      </c>
      <c r="AA38" s="69"/>
      <c r="AB38" s="69"/>
    </row>
    <row r="39" spans="1:28" ht="15.75" thickTop="1" x14ac:dyDescent="0.25">
      <c r="C39" s="138">
        <f>IF(D39=0,C38,IF(ISBLANK(G39),C38,1+MAX(C$18:C38)))</f>
        <v>16</v>
      </c>
      <c r="D39" s="132">
        <v>1</v>
      </c>
      <c r="F39" s="139" t="str">
        <f t="shared" si="2"/>
        <v/>
      </c>
      <c r="H39" s="6"/>
      <c r="I39" s="6"/>
      <c r="J39" s="6"/>
      <c r="K39" s="6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69"/>
    </row>
    <row r="40" spans="1:28" ht="15" x14ac:dyDescent="0.25">
      <c r="A40" s="4" t="s">
        <v>46</v>
      </c>
      <c r="B40" s="25">
        <f>MAX(B$20:B39)+1</f>
        <v>3</v>
      </c>
      <c r="C40" s="138">
        <f>IF(D40=0,C39,IF(ISBLANK(G40),C39,1+MAX(C$18:C39)))</f>
        <v>17</v>
      </c>
      <c r="D40" s="132">
        <v>1</v>
      </c>
      <c r="F40" s="139">
        <f t="shared" si="2"/>
        <v>17</v>
      </c>
      <c r="G40" s="4" t="str">
        <f t="shared" ref="G40:G42" si="21">+A40&amp;" ("&amp;B40&amp;")"</f>
        <v>Revenues (3)</v>
      </c>
      <c r="H40" s="6">
        <f t="shared" ref="H40:Z40" si="22">+H24</f>
        <v>0</v>
      </c>
      <c r="I40" s="6">
        <f t="shared" si="22"/>
        <v>0</v>
      </c>
      <c r="J40" s="6">
        <f t="shared" si="22"/>
        <v>0</v>
      </c>
      <c r="K40" s="6">
        <f t="shared" si="22"/>
        <v>736024</v>
      </c>
      <c r="L40" s="6">
        <f t="shared" si="22"/>
        <v>753856.97499999998</v>
      </c>
      <c r="M40" s="6">
        <f t="shared" si="22"/>
        <v>807355.9</v>
      </c>
      <c r="N40" s="6">
        <f t="shared" si="22"/>
        <v>832093</v>
      </c>
      <c r="O40" s="6">
        <f t="shared" si="22"/>
        <v>856882</v>
      </c>
      <c r="P40" s="6">
        <f t="shared" si="22"/>
        <v>861049</v>
      </c>
      <c r="Q40" s="6">
        <f t="shared" si="22"/>
        <v>865217</v>
      </c>
      <c r="R40" s="6">
        <f t="shared" si="22"/>
        <v>869412</v>
      </c>
      <c r="S40" s="6">
        <f t="shared" si="22"/>
        <v>902577</v>
      </c>
      <c r="T40" s="6">
        <f t="shared" si="22"/>
        <v>906977</v>
      </c>
      <c r="U40" s="6">
        <f t="shared" si="22"/>
        <v>911398</v>
      </c>
      <c r="V40" s="6">
        <f t="shared" si="22"/>
        <v>944421</v>
      </c>
      <c r="W40" s="6">
        <f t="shared" si="22"/>
        <v>949030</v>
      </c>
      <c r="X40" s="6">
        <f t="shared" si="22"/>
        <v>953662</v>
      </c>
      <c r="Y40" s="6">
        <f t="shared" si="22"/>
        <v>988257</v>
      </c>
      <c r="Z40" s="6">
        <f t="shared" si="22"/>
        <v>993084</v>
      </c>
      <c r="AA40" s="69"/>
      <c r="AB40" s="69"/>
    </row>
    <row r="41" spans="1:28" ht="15" x14ac:dyDescent="0.25">
      <c r="A41" s="4" t="s">
        <v>7</v>
      </c>
      <c r="B41" s="25">
        <f>MAX(B$20:B40)+1</f>
        <v>4</v>
      </c>
      <c r="C41" s="138">
        <f>IF(D41=0,C40,IF(ISBLANK(G41),C40,1+MAX(C$18:C40)))</f>
        <v>18</v>
      </c>
      <c r="D41" s="132">
        <v>1</v>
      </c>
      <c r="F41" s="139">
        <f t="shared" si="2"/>
        <v>18</v>
      </c>
      <c r="G41" s="4" t="str">
        <f t="shared" si="21"/>
        <v>EBITDA (4)</v>
      </c>
      <c r="H41" s="6">
        <f t="shared" ref="H41:Z41" si="23">+H38+H35</f>
        <v>0</v>
      </c>
      <c r="I41" s="6">
        <f t="shared" si="23"/>
        <v>0</v>
      </c>
      <c r="J41" s="6">
        <f t="shared" si="23"/>
        <v>0</v>
      </c>
      <c r="K41" s="6">
        <f t="shared" si="23"/>
        <v>145886</v>
      </c>
      <c r="L41" s="6">
        <f t="shared" si="23"/>
        <v>151916.21499999997</v>
      </c>
      <c r="M41" s="6">
        <f t="shared" si="23"/>
        <v>193376.32480000006</v>
      </c>
      <c r="N41" s="6">
        <f t="shared" si="23"/>
        <v>263388.6614176</v>
      </c>
      <c r="O41" s="6">
        <f t="shared" si="23"/>
        <v>276803.57464595197</v>
      </c>
      <c r="P41" s="6">
        <f t="shared" si="23"/>
        <v>269369.00613887107</v>
      </c>
      <c r="Q41" s="6">
        <f t="shared" si="23"/>
        <v>261703.40626164834</v>
      </c>
      <c r="R41" s="6">
        <f t="shared" si="23"/>
        <v>253828.13438688137</v>
      </c>
      <c r="S41" s="6">
        <f t="shared" si="23"/>
        <v>274681.45707461901</v>
      </c>
      <c r="T41" s="6">
        <f t="shared" si="23"/>
        <v>266523.54621611146</v>
      </c>
      <c r="U41" s="6">
        <f t="shared" si="23"/>
        <v>258135.47714043356</v>
      </c>
      <c r="V41" s="6">
        <f t="shared" si="23"/>
        <v>278093.22668324207</v>
      </c>
      <c r="W41" s="6">
        <f t="shared" si="23"/>
        <v>269375.67121690698</v>
      </c>
      <c r="X41" s="6">
        <f t="shared" si="23"/>
        <v>260414.58464124508</v>
      </c>
      <c r="Y41" s="6">
        <f t="shared" si="23"/>
        <v>281144.63633407</v>
      </c>
      <c r="Z41" s="6">
        <f t="shared" si="23"/>
        <v>271829.3890607513</v>
      </c>
      <c r="AA41" s="69"/>
      <c r="AB41" s="69"/>
    </row>
    <row r="42" spans="1:28" ht="15" x14ac:dyDescent="0.25">
      <c r="A42" s="4" t="s">
        <v>4</v>
      </c>
      <c r="B42" s="25">
        <f>MAX(B$20:B41)+1</f>
        <v>5</v>
      </c>
      <c r="C42" s="138">
        <f>IF(D42=0,C41,IF(ISBLANK(G42),C41,1+MAX(C$18:C41)))</f>
        <v>19</v>
      </c>
      <c r="D42" s="132">
        <v>1</v>
      </c>
      <c r="F42" s="139">
        <f t="shared" si="2"/>
        <v>19</v>
      </c>
      <c r="G42" s="4" t="str">
        <f t="shared" si="21"/>
        <v>EBIT (5)</v>
      </c>
      <c r="H42" s="6">
        <f t="shared" ref="H42:Z42" si="24">+H38</f>
        <v>0</v>
      </c>
      <c r="I42" s="6">
        <f t="shared" si="24"/>
        <v>0</v>
      </c>
      <c r="J42" s="6">
        <f t="shared" si="24"/>
        <v>0</v>
      </c>
      <c r="K42" s="6">
        <f t="shared" si="24"/>
        <v>85438</v>
      </c>
      <c r="L42" s="6">
        <f t="shared" si="24"/>
        <v>91468.214999999967</v>
      </c>
      <c r="M42" s="6">
        <f t="shared" si="24"/>
        <v>102314.84640000004</v>
      </c>
      <c r="N42" s="6">
        <f t="shared" si="24"/>
        <v>171806.37021760002</v>
      </c>
      <c r="O42" s="6">
        <f t="shared" si="24"/>
        <v>183953.80584595201</v>
      </c>
      <c r="P42" s="6">
        <f t="shared" si="24"/>
        <v>175239.35893887107</v>
      </c>
      <c r="Q42" s="6">
        <f t="shared" si="24"/>
        <v>166277.30226164835</v>
      </c>
      <c r="R42" s="6">
        <f t="shared" si="24"/>
        <v>157086.84038688138</v>
      </c>
      <c r="S42" s="6">
        <f t="shared" si="24"/>
        <v>176608.01627461903</v>
      </c>
      <c r="T42" s="6">
        <f t="shared" si="24"/>
        <v>167098.74381611147</v>
      </c>
      <c r="U42" s="6">
        <f t="shared" si="24"/>
        <v>157351.19634043355</v>
      </c>
      <c r="V42" s="6">
        <f t="shared" si="24"/>
        <v>175946.61068324209</v>
      </c>
      <c r="W42" s="6">
        <f t="shared" si="24"/>
        <v>165849.47081690701</v>
      </c>
      <c r="X42" s="6">
        <f t="shared" si="24"/>
        <v>155488.29264124506</v>
      </c>
      <c r="Y42" s="6">
        <f t="shared" si="24"/>
        <v>174800.47033407004</v>
      </c>
      <c r="Z42" s="6">
        <f t="shared" si="24"/>
        <v>164048.36026075133</v>
      </c>
      <c r="AA42" s="69"/>
      <c r="AB42" s="69"/>
    </row>
    <row r="43" spans="1:28" ht="15" x14ac:dyDescent="0.25">
      <c r="C43" s="138">
        <f>IF(D43=0,C42,IF(ISBLANK(G43),C42,1+MAX(C$18:C42)))</f>
        <v>19</v>
      </c>
      <c r="D43" s="132">
        <v>1</v>
      </c>
      <c r="F43" s="139" t="str">
        <f t="shared" si="2"/>
        <v/>
      </c>
      <c r="G43" s="4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9"/>
    </row>
    <row r="44" spans="1:28" ht="15" x14ac:dyDescent="0.25">
      <c r="C44" s="138">
        <f>IF(D44=0,C43,IF(ISBLANK(G44),C43,1+MAX(C$18:C43)))</f>
        <v>20</v>
      </c>
      <c r="D44" s="132">
        <v>1</v>
      </c>
      <c r="F44" s="139">
        <f t="shared" si="2"/>
        <v>20</v>
      </c>
      <c r="G44" s="156" t="s">
        <v>4</v>
      </c>
      <c r="H44" s="17">
        <f t="shared" ref="H44:Z44" si="25">+H42</f>
        <v>0</v>
      </c>
      <c r="I44" s="17">
        <f t="shared" si="25"/>
        <v>0</v>
      </c>
      <c r="J44" s="17">
        <f t="shared" si="25"/>
        <v>0</v>
      </c>
      <c r="K44" s="17">
        <f t="shared" si="25"/>
        <v>85438</v>
      </c>
      <c r="L44" s="17">
        <f t="shared" si="25"/>
        <v>91468.214999999967</v>
      </c>
      <c r="M44" s="17">
        <f t="shared" si="25"/>
        <v>102314.84640000004</v>
      </c>
      <c r="N44" s="17">
        <f t="shared" si="25"/>
        <v>171806.37021760002</v>
      </c>
      <c r="O44" s="17">
        <f t="shared" si="25"/>
        <v>183953.80584595201</v>
      </c>
      <c r="P44" s="17">
        <f t="shared" si="25"/>
        <v>175239.35893887107</v>
      </c>
      <c r="Q44" s="17">
        <f t="shared" si="25"/>
        <v>166277.30226164835</v>
      </c>
      <c r="R44" s="17">
        <f t="shared" si="25"/>
        <v>157086.84038688138</v>
      </c>
      <c r="S44" s="17">
        <f t="shared" si="25"/>
        <v>176608.01627461903</v>
      </c>
      <c r="T44" s="17">
        <f t="shared" si="25"/>
        <v>167098.74381611147</v>
      </c>
      <c r="U44" s="17">
        <f t="shared" si="25"/>
        <v>157351.19634043355</v>
      </c>
      <c r="V44" s="17">
        <f t="shared" si="25"/>
        <v>175946.61068324209</v>
      </c>
      <c r="W44" s="17">
        <f t="shared" si="25"/>
        <v>165849.47081690701</v>
      </c>
      <c r="X44" s="17">
        <f t="shared" si="25"/>
        <v>155488.29264124506</v>
      </c>
      <c r="Y44" s="17">
        <f t="shared" si="25"/>
        <v>174800.47033407004</v>
      </c>
      <c r="Z44" s="17">
        <f t="shared" si="25"/>
        <v>164048.36026075133</v>
      </c>
      <c r="AA44" s="69"/>
    </row>
    <row r="45" spans="1:28" ht="15" x14ac:dyDescent="0.25">
      <c r="C45" s="138">
        <f>IF(D45=0,C44,IF(ISBLANK(G45),C44,1+MAX(C$18:C44)))</f>
        <v>21</v>
      </c>
      <c r="D45" s="132">
        <v>1</v>
      </c>
      <c r="F45" s="139">
        <f t="shared" si="2"/>
        <v>21</v>
      </c>
      <c r="G45" s="17" t="s">
        <v>47</v>
      </c>
      <c r="H45" s="18">
        <v>0</v>
      </c>
      <c r="I45" s="18">
        <v>0</v>
      </c>
      <c r="J45" s="18">
        <v>0</v>
      </c>
      <c r="K45" s="18">
        <v>0</v>
      </c>
      <c r="L45" s="18">
        <v>0</v>
      </c>
      <c r="M45" s="18">
        <v>0</v>
      </c>
      <c r="N45" s="18">
        <f t="shared" ref="N45:Z45" si="26">IF($C$10="IOU",ROUND(+N44*$AB45,0),0)</f>
        <v>0</v>
      </c>
      <c r="O45" s="18">
        <f t="shared" si="26"/>
        <v>0</v>
      </c>
      <c r="P45" s="18">
        <f t="shared" si="26"/>
        <v>0</v>
      </c>
      <c r="Q45" s="18">
        <f t="shared" si="26"/>
        <v>0</v>
      </c>
      <c r="R45" s="18">
        <f t="shared" si="26"/>
        <v>0</v>
      </c>
      <c r="S45" s="18">
        <f t="shared" si="26"/>
        <v>0</v>
      </c>
      <c r="T45" s="18">
        <f t="shared" si="26"/>
        <v>0</v>
      </c>
      <c r="U45" s="18">
        <f t="shared" si="26"/>
        <v>0</v>
      </c>
      <c r="V45" s="18">
        <f t="shared" si="26"/>
        <v>0</v>
      </c>
      <c r="W45" s="18">
        <f t="shared" si="26"/>
        <v>0</v>
      </c>
      <c r="X45" s="18">
        <f t="shared" si="26"/>
        <v>0</v>
      </c>
      <c r="Y45" s="18">
        <f t="shared" si="26"/>
        <v>0</v>
      </c>
      <c r="Z45" s="18">
        <f t="shared" si="26"/>
        <v>0</v>
      </c>
      <c r="AA45" s="69"/>
      <c r="AB45" s="157">
        <v>0.28889999999999999</v>
      </c>
    </row>
    <row r="46" spans="1:28" ht="15" x14ac:dyDescent="0.25">
      <c r="C46" s="138">
        <f>IF(D46=0,C45,IF(ISBLANK(G46),C45,1+MAX(C$18:C45)))</f>
        <v>21</v>
      </c>
      <c r="D46" s="132">
        <v>1</v>
      </c>
      <c r="F46" s="139" t="str">
        <f t="shared" si="2"/>
        <v/>
      </c>
      <c r="G46" s="17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69"/>
      <c r="AB46" s="69"/>
    </row>
    <row r="47" spans="1:28" ht="15" x14ac:dyDescent="0.25">
      <c r="C47" s="138">
        <f>IF(D47=0,C46,IF(ISBLANK(G47),C46,1+MAX(C$18:C46)))</f>
        <v>22</v>
      </c>
      <c r="D47" s="132">
        <v>1</v>
      </c>
      <c r="F47" s="139">
        <f t="shared" si="2"/>
        <v>22</v>
      </c>
      <c r="G47" s="158" t="s">
        <v>48</v>
      </c>
      <c r="H47" s="17">
        <f t="shared" ref="H47:Z47" si="27">+H44-H45</f>
        <v>0</v>
      </c>
      <c r="I47" s="17">
        <f t="shared" si="27"/>
        <v>0</v>
      </c>
      <c r="J47" s="17">
        <f t="shared" si="27"/>
        <v>0</v>
      </c>
      <c r="K47" s="17">
        <f t="shared" si="27"/>
        <v>85438</v>
      </c>
      <c r="L47" s="17">
        <f t="shared" si="27"/>
        <v>91468.214999999967</v>
      </c>
      <c r="M47" s="17">
        <f t="shared" si="27"/>
        <v>102314.84640000004</v>
      </c>
      <c r="N47" s="17">
        <f t="shared" si="27"/>
        <v>171806.37021760002</v>
      </c>
      <c r="O47" s="17">
        <f t="shared" si="27"/>
        <v>183953.80584595201</v>
      </c>
      <c r="P47" s="17">
        <f t="shared" si="27"/>
        <v>175239.35893887107</v>
      </c>
      <c r="Q47" s="17">
        <f t="shared" si="27"/>
        <v>166277.30226164835</v>
      </c>
      <c r="R47" s="17">
        <f t="shared" si="27"/>
        <v>157086.84038688138</v>
      </c>
      <c r="S47" s="17">
        <f t="shared" si="27"/>
        <v>176608.01627461903</v>
      </c>
      <c r="T47" s="17">
        <f t="shared" si="27"/>
        <v>167098.74381611147</v>
      </c>
      <c r="U47" s="17">
        <f t="shared" si="27"/>
        <v>157351.19634043355</v>
      </c>
      <c r="V47" s="17">
        <f t="shared" si="27"/>
        <v>175946.61068324209</v>
      </c>
      <c r="W47" s="17">
        <f t="shared" si="27"/>
        <v>165849.47081690701</v>
      </c>
      <c r="X47" s="17">
        <f t="shared" si="27"/>
        <v>155488.29264124506</v>
      </c>
      <c r="Y47" s="17">
        <f t="shared" si="27"/>
        <v>174800.47033407004</v>
      </c>
      <c r="Z47" s="17">
        <f t="shared" si="27"/>
        <v>164048.36026075133</v>
      </c>
      <c r="AA47" s="69"/>
      <c r="AB47" s="69"/>
    </row>
    <row r="48" spans="1:28" ht="15" x14ac:dyDescent="0.25">
      <c r="C48" s="138">
        <f>IF(D48=0,C47,IF(ISBLANK(G48),C47,1+MAX(C$18:C47)))</f>
        <v>23</v>
      </c>
      <c r="D48" s="132">
        <v>1</v>
      </c>
      <c r="F48" s="139">
        <f t="shared" si="2"/>
        <v>23</v>
      </c>
      <c r="G48" s="17" t="s">
        <v>49</v>
      </c>
      <c r="H48" s="17">
        <f t="shared" ref="H48:Z48" si="28">+H35</f>
        <v>0</v>
      </c>
      <c r="I48" s="17">
        <f t="shared" si="28"/>
        <v>0</v>
      </c>
      <c r="J48" s="17">
        <f t="shared" si="28"/>
        <v>0</v>
      </c>
      <c r="K48" s="17">
        <f t="shared" si="28"/>
        <v>60448</v>
      </c>
      <c r="L48" s="17">
        <f t="shared" si="28"/>
        <v>60448</v>
      </c>
      <c r="M48" s="17">
        <f t="shared" si="28"/>
        <v>91061.478400000007</v>
      </c>
      <c r="N48" s="17">
        <f t="shared" si="28"/>
        <v>91582.291200000007</v>
      </c>
      <c r="O48" s="17">
        <f t="shared" si="28"/>
        <v>92849.768799999991</v>
      </c>
      <c r="P48" s="17">
        <f t="shared" si="28"/>
        <v>94129.647200000007</v>
      </c>
      <c r="Q48" s="17">
        <f t="shared" si="28"/>
        <v>95426.104000000007</v>
      </c>
      <c r="R48" s="17">
        <f t="shared" si="28"/>
        <v>96741.294000000009</v>
      </c>
      <c r="S48" s="17">
        <f t="shared" si="28"/>
        <v>98073.440799999997</v>
      </c>
      <c r="T48" s="17">
        <f t="shared" si="28"/>
        <v>99424.8024</v>
      </c>
      <c r="U48" s="17">
        <f t="shared" si="28"/>
        <v>100784.28080000001</v>
      </c>
      <c r="V48" s="17">
        <f t="shared" si="28"/>
        <v>102146.61599999999</v>
      </c>
      <c r="W48" s="17">
        <f t="shared" si="28"/>
        <v>103526.2004</v>
      </c>
      <c r="X48" s="17">
        <f t="shared" si="28"/>
        <v>104926.292</v>
      </c>
      <c r="Y48" s="17">
        <f t="shared" si="28"/>
        <v>106344.166</v>
      </c>
      <c r="Z48" s="17">
        <f t="shared" si="28"/>
        <v>107781.0288</v>
      </c>
      <c r="AA48" s="69"/>
      <c r="AB48" s="69"/>
    </row>
    <row r="49" spans="1:34" ht="15" x14ac:dyDescent="0.25">
      <c r="A49" s="17" t="s">
        <v>50</v>
      </c>
      <c r="B49" s="25">
        <f>MAX(B$20:B48)+1</f>
        <v>6</v>
      </c>
      <c r="C49" s="138">
        <f>IF(D49=0,C48,IF(ISBLANK(G49),C48,1+MAX(C$18:C48)))</f>
        <v>24</v>
      </c>
      <c r="D49" s="132">
        <v>1</v>
      </c>
      <c r="F49" s="139">
        <f t="shared" si="2"/>
        <v>24</v>
      </c>
      <c r="G49" s="4" t="str">
        <f t="shared" ref="G49:G50" si="29">+A49&amp;" ("&amp;B49&amp;")"</f>
        <v>(-)  Capital Expenditures (6)</v>
      </c>
      <c r="H49" s="17">
        <f>+H444</f>
        <v>0</v>
      </c>
      <c r="I49" s="17">
        <f t="shared" ref="I49:K49" si="30">+I444</f>
        <v>0</v>
      </c>
      <c r="J49" s="17">
        <f t="shared" si="30"/>
        <v>0</v>
      </c>
      <c r="K49" s="17">
        <f t="shared" si="30"/>
        <v>70364</v>
      </c>
      <c r="L49" s="17">
        <f>+L304</f>
        <v>0</v>
      </c>
      <c r="M49" s="17">
        <f t="shared" ref="M49:Z49" si="31">+M304</f>
        <v>0</v>
      </c>
      <c r="N49" s="17">
        <f t="shared" si="31"/>
        <v>86508</v>
      </c>
      <c r="O49" s="17">
        <f t="shared" si="31"/>
        <v>87003</v>
      </c>
      <c r="P49" s="17">
        <f t="shared" si="31"/>
        <v>88207</v>
      </c>
      <c r="Q49" s="17">
        <f t="shared" si="31"/>
        <v>89423</v>
      </c>
      <c r="R49" s="17">
        <f t="shared" si="31"/>
        <v>90655</v>
      </c>
      <c r="S49" s="17">
        <f t="shared" si="31"/>
        <v>91904</v>
      </c>
      <c r="T49" s="17">
        <f t="shared" si="31"/>
        <v>93170</v>
      </c>
      <c r="U49" s="17">
        <f t="shared" si="31"/>
        <v>92651</v>
      </c>
      <c r="V49" s="17">
        <f t="shared" si="31"/>
        <v>93903</v>
      </c>
      <c r="W49" s="17">
        <f t="shared" si="31"/>
        <v>95172</v>
      </c>
      <c r="X49" s="17">
        <f t="shared" si="31"/>
        <v>96459</v>
      </c>
      <c r="Y49" s="17">
        <f t="shared" si="31"/>
        <v>97762</v>
      </c>
      <c r="Z49" s="17">
        <f t="shared" si="31"/>
        <v>99084</v>
      </c>
      <c r="AA49" s="69"/>
      <c r="AB49" s="69"/>
      <c r="AC49" s="69"/>
      <c r="AE49" s="69"/>
    </row>
    <row r="50" spans="1:34" ht="15" x14ac:dyDescent="0.25">
      <c r="A50" s="17" t="s">
        <v>51</v>
      </c>
      <c r="B50" s="25">
        <f>MAX(B$20:B49)+1</f>
        <v>7</v>
      </c>
      <c r="C50" s="138">
        <f>IF(D50=0,C49,IF(ISBLANK(G50),C49,1+MAX(C$18:C49)))</f>
        <v>25</v>
      </c>
      <c r="D50" s="132">
        <v>1</v>
      </c>
      <c r="F50" s="139">
        <f t="shared" si="2"/>
        <v>25</v>
      </c>
      <c r="G50" s="4" t="str">
        <f t="shared" si="29"/>
        <v>(-)  Changes in Working Capital (7)</v>
      </c>
      <c r="H50" s="18">
        <f t="shared" ref="H50:J50" si="32">0.0024*H40</f>
        <v>0</v>
      </c>
      <c r="I50" s="18">
        <f t="shared" si="32"/>
        <v>0</v>
      </c>
      <c r="J50" s="18">
        <f t="shared" si="32"/>
        <v>0</v>
      </c>
      <c r="K50" s="18">
        <f>-0.0119*K40</f>
        <v>-8758.6856000000007</v>
      </c>
      <c r="L50" s="18">
        <f t="shared" ref="L50:Z50" si="33">-0.0119*L40</f>
        <v>-8970.8980025000001</v>
      </c>
      <c r="M50" s="18">
        <f t="shared" si="33"/>
        <v>-9607.5352100000018</v>
      </c>
      <c r="N50" s="18">
        <f t="shared" si="33"/>
        <v>-9901.9067000000014</v>
      </c>
      <c r="O50" s="18">
        <f t="shared" si="33"/>
        <v>-10196.8958</v>
      </c>
      <c r="P50" s="18">
        <f t="shared" si="33"/>
        <v>-10246.483100000001</v>
      </c>
      <c r="Q50" s="18">
        <f t="shared" si="33"/>
        <v>-10296.0823</v>
      </c>
      <c r="R50" s="18">
        <f t="shared" si="33"/>
        <v>-10346.0028</v>
      </c>
      <c r="S50" s="18">
        <f t="shared" si="33"/>
        <v>-10740.666300000001</v>
      </c>
      <c r="T50" s="18">
        <f t="shared" si="33"/>
        <v>-10793.026300000001</v>
      </c>
      <c r="U50" s="18">
        <f t="shared" si="33"/>
        <v>-10845.636200000001</v>
      </c>
      <c r="V50" s="18">
        <f t="shared" si="33"/>
        <v>-11238.609900000001</v>
      </c>
      <c r="W50" s="18">
        <f t="shared" si="33"/>
        <v>-11293.457</v>
      </c>
      <c r="X50" s="18">
        <f t="shared" si="33"/>
        <v>-11348.577800000001</v>
      </c>
      <c r="Y50" s="18">
        <f t="shared" si="33"/>
        <v>-11760.258300000001</v>
      </c>
      <c r="Z50" s="18">
        <f t="shared" si="33"/>
        <v>-11817.699600000002</v>
      </c>
      <c r="AA50" s="69"/>
      <c r="AB50" s="69"/>
      <c r="AC50" s="69"/>
      <c r="AE50" s="69"/>
    </row>
    <row r="51" spans="1:34" ht="15" x14ac:dyDescent="0.25">
      <c r="C51" s="138">
        <f>IF(D51=0,C50,IF(ISBLANK(G51),C50,1+MAX(C$18:C50)))</f>
        <v>25</v>
      </c>
      <c r="D51" s="132">
        <v>1</v>
      </c>
      <c r="F51" s="139" t="str">
        <f t="shared" si="2"/>
        <v/>
      </c>
      <c r="G51" s="17"/>
      <c r="H51" s="16"/>
      <c r="I51" s="16"/>
      <c r="J51" s="16"/>
      <c r="K51" s="16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16"/>
      <c r="AC51" s="16"/>
      <c r="AD51" s="16"/>
      <c r="AE51" s="16"/>
    </row>
    <row r="52" spans="1:34" ht="15.75" thickBot="1" x14ac:dyDescent="0.3">
      <c r="C52" s="138">
        <f>IF(D52=0,C51,IF(ISBLANK(G52),C51,1+MAX(C$18:C51)))</f>
        <v>26</v>
      </c>
      <c r="D52" s="132">
        <v>1</v>
      </c>
      <c r="F52" s="139">
        <f t="shared" si="2"/>
        <v>26</v>
      </c>
      <c r="G52" s="158" t="s">
        <v>52</v>
      </c>
      <c r="H52" s="20">
        <f>+H47+H48-H49-H50</f>
        <v>0</v>
      </c>
      <c r="I52" s="20">
        <f t="shared" ref="I52:Z52" si="34">+I47+I48-I49-I50</f>
        <v>0</v>
      </c>
      <c r="J52" s="20">
        <f t="shared" si="34"/>
        <v>0</v>
      </c>
      <c r="K52" s="20">
        <f t="shared" si="34"/>
        <v>84280.685599999997</v>
      </c>
      <c r="L52" s="20">
        <f t="shared" si="34"/>
        <v>160887.11300249997</v>
      </c>
      <c r="M52" s="20">
        <f t="shared" si="34"/>
        <v>202983.86001000006</v>
      </c>
      <c r="N52" s="20">
        <f t="shared" si="34"/>
        <v>186782.56811759999</v>
      </c>
      <c r="O52" s="20">
        <f t="shared" si="34"/>
        <v>199997.47044595197</v>
      </c>
      <c r="P52" s="20">
        <f t="shared" si="34"/>
        <v>191408.48923887109</v>
      </c>
      <c r="Q52" s="20">
        <f t="shared" si="34"/>
        <v>182576.48856164835</v>
      </c>
      <c r="R52" s="20">
        <f t="shared" si="34"/>
        <v>173519.13718688136</v>
      </c>
      <c r="S52" s="20">
        <f t="shared" si="34"/>
        <v>193518.12337461903</v>
      </c>
      <c r="T52" s="20">
        <f t="shared" si="34"/>
        <v>184146.57251611145</v>
      </c>
      <c r="U52" s="20">
        <f t="shared" si="34"/>
        <v>176330.11334043357</v>
      </c>
      <c r="V52" s="20">
        <f t="shared" si="34"/>
        <v>195428.83658324208</v>
      </c>
      <c r="W52" s="20">
        <f t="shared" si="34"/>
        <v>185497.12821690697</v>
      </c>
      <c r="X52" s="20">
        <f t="shared" si="34"/>
        <v>175304.16244124508</v>
      </c>
      <c r="Y52" s="20">
        <f t="shared" si="34"/>
        <v>195142.89463406999</v>
      </c>
      <c r="Z52" s="20">
        <f t="shared" si="34"/>
        <v>184563.08866075129</v>
      </c>
      <c r="AA52" s="5"/>
      <c r="AB52" s="5">
        <f>+Z52</f>
        <v>184563.08866075129</v>
      </c>
      <c r="AC52" s="5"/>
      <c r="AE52" s="159"/>
    </row>
    <row r="53" spans="1:34" ht="15.75" thickTop="1" x14ac:dyDescent="0.25">
      <c r="C53" s="138">
        <f>IF(D53=0,C52,IF(ISBLANK(G53),C52,1+MAX(C$18:C52)))</f>
        <v>27</v>
      </c>
      <c r="D53" s="132">
        <f>IF($C$10="SUBJECT",0,1)</f>
        <v>1</v>
      </c>
      <c r="F53" s="139">
        <f t="shared" si="2"/>
        <v>27</v>
      </c>
      <c r="G53" s="160" t="s">
        <v>53</v>
      </c>
      <c r="H53" s="21"/>
      <c r="I53" s="22"/>
      <c r="J53" s="22"/>
      <c r="K53" s="22"/>
      <c r="L53" s="22"/>
      <c r="M53" s="23">
        <v>-0.5</v>
      </c>
      <c r="N53" s="24">
        <f t="shared" ref="N53:R53" si="35">+M53+1</f>
        <v>0.5</v>
      </c>
      <c r="O53" s="24">
        <f t="shared" si="35"/>
        <v>1.5</v>
      </c>
      <c r="P53" s="24">
        <f t="shared" si="35"/>
        <v>2.5</v>
      </c>
      <c r="Q53" s="24">
        <f t="shared" si="35"/>
        <v>3.5</v>
      </c>
      <c r="R53" s="24">
        <f t="shared" si="35"/>
        <v>4.5</v>
      </c>
      <c r="S53" s="24">
        <f>+R53+1</f>
        <v>5.5</v>
      </c>
      <c r="T53" s="24">
        <f>+S53+1</f>
        <v>6.5</v>
      </c>
      <c r="U53" s="24">
        <f>+T53+1</f>
        <v>7.5</v>
      </c>
      <c r="V53" s="24">
        <f>+U53+1</f>
        <v>8.5</v>
      </c>
      <c r="W53" s="24">
        <f t="shared" ref="W53:Z53" si="36">+V53+1</f>
        <v>9.5</v>
      </c>
      <c r="X53" s="24">
        <f t="shared" si="36"/>
        <v>10.5</v>
      </c>
      <c r="Y53" s="24">
        <f t="shared" si="36"/>
        <v>11.5</v>
      </c>
      <c r="Z53" s="24">
        <f t="shared" si="36"/>
        <v>12.5</v>
      </c>
      <c r="AA53" s="5"/>
      <c r="AB53" s="5"/>
      <c r="AC53" s="5"/>
    </row>
    <row r="54" spans="1:34" ht="15" x14ac:dyDescent="0.25">
      <c r="B54" s="25">
        <f>MAX(B$20:B53)+1</f>
        <v>8</v>
      </c>
      <c r="C54" s="138">
        <f>IF(D54=0,C53,IF(ISBLANK(G54),C53,1+MAX(C$18:C53)))</f>
        <v>27</v>
      </c>
      <c r="D54" s="132">
        <f t="shared" ref="D54:D68" si="37">IF($C$10="IOU",1,0)</f>
        <v>0</v>
      </c>
      <c r="F54" s="139">
        <f t="shared" si="2"/>
        <v>27</v>
      </c>
      <c r="G54" s="120" t="str">
        <f>+"Present Value Factor:   "&amp;TEXT(AC54,"0.00%")&amp;"  ("&amp;B54&amp;")"</f>
        <v>Present Value Factor:   7.12%  (8)</v>
      </c>
      <c r="J54" s="6"/>
      <c r="K54" s="6"/>
      <c r="L54" s="6"/>
      <c r="M54" s="6"/>
      <c r="N54" s="161">
        <f t="shared" ref="N54:Z54" si="38">ROUND((1/((1+$AC54)^N53)),4)</f>
        <v>0.96619999999999995</v>
      </c>
      <c r="O54" s="161">
        <f t="shared" si="38"/>
        <v>0.90200000000000002</v>
      </c>
      <c r="P54" s="161">
        <f t="shared" si="38"/>
        <v>0.84199999999999997</v>
      </c>
      <c r="Q54" s="161">
        <f t="shared" si="38"/>
        <v>0.78610000000000002</v>
      </c>
      <c r="R54" s="161">
        <f t="shared" si="38"/>
        <v>0.73380000000000001</v>
      </c>
      <c r="S54" s="161">
        <f t="shared" si="38"/>
        <v>0.68500000000000005</v>
      </c>
      <c r="T54" s="161">
        <f t="shared" si="38"/>
        <v>0.63949999999999996</v>
      </c>
      <c r="U54" s="161">
        <f t="shared" si="38"/>
        <v>0.59699999999999998</v>
      </c>
      <c r="V54" s="161">
        <f t="shared" si="38"/>
        <v>0.55730000000000002</v>
      </c>
      <c r="W54" s="161">
        <f t="shared" si="38"/>
        <v>0.52029999999999998</v>
      </c>
      <c r="X54" s="161">
        <f t="shared" si="38"/>
        <v>0.48570000000000002</v>
      </c>
      <c r="Y54" s="161">
        <f t="shared" si="38"/>
        <v>0.45340000000000003</v>
      </c>
      <c r="Z54" s="161">
        <f t="shared" si="38"/>
        <v>0.42330000000000001</v>
      </c>
      <c r="AC54" s="162">
        <f>+H2</f>
        <v>7.1199999999999999E-2</v>
      </c>
      <c r="AD54" s="163" t="s">
        <v>54</v>
      </c>
      <c r="AE54" s="5"/>
      <c r="AF54" s="5"/>
      <c r="AG54" s="5"/>
      <c r="AH54" s="5"/>
    </row>
    <row r="55" spans="1:34" ht="15" x14ac:dyDescent="0.25">
      <c r="C55" s="138">
        <f>IF(D55=0,C54,IF(ISBLANK(G55),C54,1+MAX(C$18:C54)))</f>
        <v>27</v>
      </c>
      <c r="D55" s="132">
        <f t="shared" si="37"/>
        <v>0</v>
      </c>
      <c r="F55" s="139" t="str">
        <f t="shared" si="2"/>
        <v/>
      </c>
      <c r="G55" s="120"/>
      <c r="H55" s="120"/>
      <c r="I55" s="164"/>
      <c r="J55" s="6"/>
      <c r="K55" s="6"/>
      <c r="L55" s="6"/>
      <c r="M55" s="6"/>
      <c r="N55" s="165"/>
      <c r="O55" s="165"/>
      <c r="P55" s="165"/>
      <c r="Q55" s="165"/>
      <c r="R55" s="165"/>
      <c r="S55" s="165"/>
      <c r="T55" s="165"/>
      <c r="U55" s="165"/>
      <c r="V55" s="165"/>
      <c r="W55" s="165"/>
      <c r="X55" s="165"/>
      <c r="Y55" s="165"/>
      <c r="Z55" s="165"/>
      <c r="AB55" s="5"/>
      <c r="AC55" s="5"/>
      <c r="AD55" s="5"/>
      <c r="AE55" s="5"/>
      <c r="AF55" s="5"/>
      <c r="AG55" s="5"/>
      <c r="AH55" s="5"/>
    </row>
    <row r="56" spans="1:34" ht="15.75" thickBot="1" x14ac:dyDescent="0.3">
      <c r="C56" s="138">
        <f>IF(D56=0,C55,IF(ISBLANK(G56),C55,1+MAX(C$18:C55)))</f>
        <v>27</v>
      </c>
      <c r="D56" s="132">
        <f t="shared" si="37"/>
        <v>0</v>
      </c>
      <c r="F56" s="139">
        <f t="shared" si="2"/>
        <v>27</v>
      </c>
      <c r="G56" s="120" t="s">
        <v>55</v>
      </c>
      <c r="H56" s="120"/>
      <c r="I56" s="33"/>
      <c r="J56" s="6"/>
      <c r="K56" s="6"/>
      <c r="L56" s="6"/>
      <c r="M56" s="6"/>
      <c r="N56" s="20">
        <f t="shared" ref="N56:R56" si="39">+N52*N54</f>
        <v>180469.31731522511</v>
      </c>
      <c r="O56" s="20">
        <f t="shared" si="39"/>
        <v>180397.71834224867</v>
      </c>
      <c r="P56" s="20">
        <f t="shared" si="39"/>
        <v>161165.94793912946</v>
      </c>
      <c r="Q56" s="20">
        <f t="shared" si="39"/>
        <v>143523.37765831177</v>
      </c>
      <c r="R56" s="20">
        <f t="shared" si="39"/>
        <v>127328.34286773355</v>
      </c>
      <c r="S56" s="20">
        <f>+S52*S54</f>
        <v>132559.91451161404</v>
      </c>
      <c r="T56" s="20">
        <f>+T52*T54</f>
        <v>117761.73312405327</v>
      </c>
      <c r="U56" s="20">
        <f>+U52*U54</f>
        <v>105269.07766423884</v>
      </c>
      <c r="V56" s="20">
        <f>+V52*V54</f>
        <v>108912.49062784082</v>
      </c>
      <c r="W56" s="20">
        <f t="shared" ref="W56:Z56" si="40">+W52*W54</f>
        <v>96514.1558112567</v>
      </c>
      <c r="X56" s="20">
        <f t="shared" si="40"/>
        <v>85145.231697712734</v>
      </c>
      <c r="Y56" s="20">
        <f t="shared" si="40"/>
        <v>88477.788427087333</v>
      </c>
      <c r="Z56" s="20">
        <f t="shared" si="40"/>
        <v>78125.555430096021</v>
      </c>
      <c r="AB56" s="17">
        <f>SUM(M56:Z56)</f>
        <v>1605650.6514165483</v>
      </c>
      <c r="AC56" s="5"/>
      <c r="AD56" s="5"/>
      <c r="AE56" s="5"/>
      <c r="AF56" s="5"/>
      <c r="AG56" s="5"/>
      <c r="AH56" s="5"/>
    </row>
    <row r="57" spans="1:34" ht="15.75" thickTop="1" x14ac:dyDescent="0.25">
      <c r="C57" s="138">
        <f>IF(D57=0,C56,IF(ISBLANK(G57),C56,1+MAX(C$18:C56)))</f>
        <v>27</v>
      </c>
      <c r="D57" s="132">
        <f t="shared" si="37"/>
        <v>0</v>
      </c>
      <c r="F57" s="139" t="str">
        <f t="shared" si="2"/>
        <v/>
      </c>
      <c r="I57" s="6"/>
      <c r="J57" s="6"/>
      <c r="K57" s="6"/>
      <c r="L57" s="6"/>
      <c r="M57" s="6"/>
      <c r="N57" s="166">
        <f t="shared" ref="N57:R57" si="41">+N53</f>
        <v>0.5</v>
      </c>
      <c r="O57" s="166">
        <f t="shared" si="41"/>
        <v>1.5</v>
      </c>
      <c r="P57" s="166">
        <f t="shared" si="41"/>
        <v>2.5</v>
      </c>
      <c r="Q57" s="166">
        <f t="shared" si="41"/>
        <v>3.5</v>
      </c>
      <c r="R57" s="166">
        <f t="shared" si="41"/>
        <v>4.5</v>
      </c>
      <c r="S57" s="166">
        <f>+S53</f>
        <v>5.5</v>
      </c>
      <c r="T57" s="166">
        <f>+T53</f>
        <v>6.5</v>
      </c>
      <c r="U57" s="166">
        <f>+U53</f>
        <v>7.5</v>
      </c>
      <c r="V57" s="166">
        <f>+V53</f>
        <v>8.5</v>
      </c>
      <c r="W57" s="166">
        <f t="shared" ref="W57:Z57" si="42">+W53</f>
        <v>9.5</v>
      </c>
      <c r="X57" s="166">
        <f t="shared" si="42"/>
        <v>10.5</v>
      </c>
      <c r="Y57" s="166">
        <f t="shared" si="42"/>
        <v>11.5</v>
      </c>
      <c r="Z57" s="166">
        <f t="shared" si="42"/>
        <v>12.5</v>
      </c>
      <c r="AB57" s="5"/>
      <c r="AC57" s="5"/>
      <c r="AD57" s="5"/>
      <c r="AE57" s="5"/>
      <c r="AF57" s="5"/>
      <c r="AG57" s="5"/>
      <c r="AH57" s="5"/>
    </row>
    <row r="58" spans="1:34" ht="15" x14ac:dyDescent="0.25">
      <c r="B58" s="25">
        <f>MAX(B$20:B57)+1</f>
        <v>9</v>
      </c>
      <c r="C58" s="138">
        <f>IF(D58=0,C57,IF(ISBLANK(G58),C57,1+MAX(C$18:C57)))</f>
        <v>27</v>
      </c>
      <c r="D58" s="132">
        <f t="shared" si="37"/>
        <v>0</v>
      </c>
      <c r="F58" s="139">
        <f t="shared" si="2"/>
        <v>27</v>
      </c>
      <c r="G58" s="120" t="str">
        <f>+"Present Value Factor:   "&amp;TEXT(AC58,"0.00%")&amp;"  ("&amp;B58&amp;")"</f>
        <v>Present Value Factor:   8.48%  (9)</v>
      </c>
      <c r="J58" s="6"/>
      <c r="K58" s="6"/>
      <c r="L58" s="6"/>
      <c r="M58" s="6"/>
      <c r="N58" s="161">
        <f t="shared" ref="N58:Z58" si="43">ROUND((1/((1+$AC58)^N57)),4)</f>
        <v>0.96009999999999995</v>
      </c>
      <c r="O58" s="161">
        <f t="shared" si="43"/>
        <v>0.8851</v>
      </c>
      <c r="P58" s="161">
        <f t="shared" si="43"/>
        <v>0.81589999999999996</v>
      </c>
      <c r="Q58" s="161">
        <f t="shared" si="43"/>
        <v>0.75209999999999999</v>
      </c>
      <c r="R58" s="161">
        <f t="shared" si="43"/>
        <v>0.69330000000000003</v>
      </c>
      <c r="S58" s="161">
        <f t="shared" si="43"/>
        <v>0.6391</v>
      </c>
      <c r="T58" s="161">
        <f t="shared" si="43"/>
        <v>0.58919999999999995</v>
      </c>
      <c r="U58" s="161">
        <f t="shared" si="43"/>
        <v>0.54310000000000003</v>
      </c>
      <c r="V58" s="161">
        <f t="shared" si="43"/>
        <v>0.50060000000000004</v>
      </c>
      <c r="W58" s="161">
        <f t="shared" si="43"/>
        <v>0.46150000000000002</v>
      </c>
      <c r="X58" s="161">
        <f t="shared" si="43"/>
        <v>0.4254</v>
      </c>
      <c r="Y58" s="161">
        <f t="shared" si="43"/>
        <v>0.39219999999999999</v>
      </c>
      <c r="Z58" s="161">
        <f t="shared" si="43"/>
        <v>0.36149999999999999</v>
      </c>
      <c r="AB58" s="5"/>
      <c r="AC58" s="162">
        <f>+H3</f>
        <v>8.48E-2</v>
      </c>
      <c r="AD58" s="163" t="s">
        <v>56</v>
      </c>
      <c r="AE58" s="5"/>
      <c r="AF58" s="5"/>
      <c r="AG58" s="5"/>
      <c r="AH58" s="5"/>
    </row>
    <row r="59" spans="1:34" ht="15" x14ac:dyDescent="0.25">
      <c r="C59" s="138">
        <f>IF(D59=0,C58,IF(ISBLANK(G59),C58,1+MAX(C$18:C58)))</f>
        <v>27</v>
      </c>
      <c r="D59" s="132">
        <f t="shared" si="37"/>
        <v>0</v>
      </c>
      <c r="F59" s="139" t="str">
        <f t="shared" si="2"/>
        <v/>
      </c>
      <c r="G59" s="120"/>
      <c r="H59" s="120"/>
      <c r="I59" s="164"/>
      <c r="J59" s="6"/>
      <c r="K59" s="6"/>
      <c r="L59" s="6"/>
      <c r="M59" s="6"/>
      <c r="N59" s="165"/>
      <c r="O59" s="165"/>
      <c r="P59" s="165"/>
      <c r="Q59" s="165"/>
      <c r="R59" s="165"/>
      <c r="S59" s="165"/>
      <c r="T59" s="165"/>
      <c r="U59" s="165"/>
      <c r="V59" s="165"/>
      <c r="W59" s="165"/>
      <c r="X59" s="165"/>
      <c r="Y59" s="165"/>
      <c r="Z59" s="165"/>
      <c r="AB59" s="5"/>
      <c r="AC59" s="5"/>
      <c r="AD59" s="5"/>
      <c r="AE59" s="5"/>
      <c r="AF59" s="5"/>
      <c r="AG59" s="5"/>
      <c r="AH59" s="5"/>
    </row>
    <row r="60" spans="1:34" ht="15.75" thickBot="1" x14ac:dyDescent="0.3">
      <c r="C60" s="138">
        <f>IF(D60=0,C59,IF(ISBLANK(G60),C59,1+MAX(C$18:C59)))</f>
        <v>27</v>
      </c>
      <c r="D60" s="132">
        <f t="shared" si="37"/>
        <v>0</v>
      </c>
      <c r="F60" s="139">
        <f t="shared" si="2"/>
        <v>27</v>
      </c>
      <c r="G60" s="120" t="s">
        <v>55</v>
      </c>
      <c r="H60" s="120"/>
      <c r="I60" s="33"/>
      <c r="J60" s="6"/>
      <c r="K60" s="6"/>
      <c r="L60" s="6"/>
      <c r="M60" s="6"/>
      <c r="N60" s="20">
        <f t="shared" ref="N60:Z60" si="44">+N52*N58</f>
        <v>179329.94364970774</v>
      </c>
      <c r="O60" s="20">
        <f t="shared" si="44"/>
        <v>177017.76109171208</v>
      </c>
      <c r="P60" s="20">
        <f t="shared" si="44"/>
        <v>156170.18636999492</v>
      </c>
      <c r="Q60" s="20">
        <f t="shared" si="44"/>
        <v>137315.77704721573</v>
      </c>
      <c r="R60" s="20">
        <f t="shared" si="44"/>
        <v>120300.81781166485</v>
      </c>
      <c r="S60" s="20">
        <f t="shared" si="44"/>
        <v>123677.43264871903</v>
      </c>
      <c r="T60" s="20">
        <f t="shared" si="44"/>
        <v>108499.16052649285</v>
      </c>
      <c r="U60" s="20">
        <f t="shared" si="44"/>
        <v>95764.884555189477</v>
      </c>
      <c r="V60" s="20">
        <f t="shared" si="44"/>
        <v>97831.675593570995</v>
      </c>
      <c r="W60" s="20">
        <f t="shared" si="44"/>
        <v>85606.92467210257</v>
      </c>
      <c r="X60" s="20">
        <f t="shared" si="44"/>
        <v>74574.390702505654</v>
      </c>
      <c r="Y60" s="20">
        <f t="shared" si="44"/>
        <v>76535.043275482254</v>
      </c>
      <c r="Z60" s="20">
        <f t="shared" si="44"/>
        <v>66719.556550861584</v>
      </c>
      <c r="AB60" s="17">
        <f>SUM(M60:Z60)</f>
        <v>1499343.5544952198</v>
      </c>
      <c r="AC60" s="5"/>
      <c r="AD60" s="5"/>
      <c r="AE60" s="5"/>
      <c r="AF60" s="5"/>
      <c r="AG60" s="5"/>
      <c r="AH60" s="5"/>
    </row>
    <row r="61" spans="1:34" ht="15.75" thickTop="1" x14ac:dyDescent="0.25">
      <c r="C61" s="138">
        <f>IF(D61=0,C60,IF(ISBLANK(G61),C60,1+MAX(C$18:C60)))</f>
        <v>27</v>
      </c>
      <c r="D61" s="132">
        <f t="shared" si="37"/>
        <v>0</v>
      </c>
      <c r="F61" s="139" t="str">
        <f t="shared" si="2"/>
        <v/>
      </c>
      <c r="I61" s="6"/>
      <c r="J61" s="6"/>
      <c r="K61" s="6"/>
      <c r="L61" s="6"/>
      <c r="M61" s="6"/>
      <c r="N61" s="167">
        <f t="shared" ref="N61:Z61" si="45">+N57</f>
        <v>0.5</v>
      </c>
      <c r="O61" s="167">
        <f t="shared" si="45"/>
        <v>1.5</v>
      </c>
      <c r="P61" s="167">
        <f t="shared" si="45"/>
        <v>2.5</v>
      </c>
      <c r="Q61" s="167">
        <f t="shared" si="45"/>
        <v>3.5</v>
      </c>
      <c r="R61" s="167">
        <f t="shared" si="45"/>
        <v>4.5</v>
      </c>
      <c r="S61" s="167">
        <f t="shared" si="45"/>
        <v>5.5</v>
      </c>
      <c r="T61" s="167">
        <f t="shared" si="45"/>
        <v>6.5</v>
      </c>
      <c r="U61" s="167">
        <f t="shared" si="45"/>
        <v>7.5</v>
      </c>
      <c r="V61" s="167">
        <f t="shared" si="45"/>
        <v>8.5</v>
      </c>
      <c r="W61" s="167">
        <f t="shared" si="45"/>
        <v>9.5</v>
      </c>
      <c r="X61" s="167">
        <f t="shared" si="45"/>
        <v>10.5</v>
      </c>
      <c r="Y61" s="167">
        <f t="shared" si="45"/>
        <v>11.5</v>
      </c>
      <c r="Z61" s="167">
        <f t="shared" si="45"/>
        <v>12.5</v>
      </c>
      <c r="AB61" s="5"/>
      <c r="AC61" s="5"/>
      <c r="AD61" s="5"/>
      <c r="AE61" s="5"/>
      <c r="AF61" s="5"/>
      <c r="AG61" s="5"/>
      <c r="AH61" s="5"/>
    </row>
    <row r="62" spans="1:34" ht="15" x14ac:dyDescent="0.25">
      <c r="B62" s="25">
        <f>+B$54</f>
        <v>8</v>
      </c>
      <c r="C62" s="138">
        <f>IF(D62=0,C61,IF(ISBLANK(G62),C61,1+MAX(C$18:C61)))</f>
        <v>27</v>
      </c>
      <c r="D62" s="132">
        <f t="shared" si="37"/>
        <v>0</v>
      </c>
      <c r="F62" s="139">
        <f t="shared" si="2"/>
        <v>27</v>
      </c>
      <c r="G62" s="120" t="str">
        <f>+"Present Value Factor:   "&amp;TEXT(AC62,"0.00%")&amp;"  ("&amp;B62&amp;")"</f>
        <v>Present Value Factor:   6.62%  (8)</v>
      </c>
      <c r="J62" s="6"/>
      <c r="K62" s="6"/>
      <c r="L62" s="6"/>
      <c r="M62" s="6"/>
      <c r="N62" s="161">
        <f t="shared" ref="N62:Z62" si="46">ROUND((1/((1+$AC62)^N61)),4)</f>
        <v>0.96850000000000003</v>
      </c>
      <c r="O62" s="161">
        <f t="shared" si="46"/>
        <v>0.9083</v>
      </c>
      <c r="P62" s="161">
        <f t="shared" si="46"/>
        <v>0.85189999999999999</v>
      </c>
      <c r="Q62" s="161">
        <f t="shared" si="46"/>
        <v>0.79900000000000004</v>
      </c>
      <c r="R62" s="161">
        <f t="shared" si="46"/>
        <v>0.74939999999999996</v>
      </c>
      <c r="S62" s="161">
        <f t="shared" si="46"/>
        <v>0.70289999999999997</v>
      </c>
      <c r="T62" s="161">
        <f t="shared" si="46"/>
        <v>0.65920000000000001</v>
      </c>
      <c r="U62" s="161">
        <f t="shared" si="46"/>
        <v>0.61829999999999996</v>
      </c>
      <c r="V62" s="161">
        <f t="shared" si="46"/>
        <v>0.57989999999999997</v>
      </c>
      <c r="W62" s="161">
        <f t="shared" si="46"/>
        <v>0.54390000000000005</v>
      </c>
      <c r="X62" s="161">
        <f t="shared" si="46"/>
        <v>0.5101</v>
      </c>
      <c r="Y62" s="161">
        <f t="shared" si="46"/>
        <v>0.47849999999999998</v>
      </c>
      <c r="Z62" s="161">
        <f t="shared" si="46"/>
        <v>0.44879999999999998</v>
      </c>
      <c r="AC62" s="162">
        <f>+AC54-H9</f>
        <v>6.6199999999999995E-2</v>
      </c>
      <c r="AD62" s="163" t="s">
        <v>54</v>
      </c>
      <c r="AE62" s="5"/>
      <c r="AF62" s="5"/>
      <c r="AG62" s="5"/>
      <c r="AH62" s="5"/>
    </row>
    <row r="63" spans="1:34" ht="15" x14ac:dyDescent="0.25">
      <c r="C63" s="138">
        <f>IF(D63=0,C62,IF(ISBLANK(G63),C62,1+MAX(C$18:C62)))</f>
        <v>27</v>
      </c>
      <c r="D63" s="132">
        <f t="shared" si="37"/>
        <v>0</v>
      </c>
      <c r="F63" s="139" t="str">
        <f t="shared" si="2"/>
        <v/>
      </c>
      <c r="G63" s="120"/>
      <c r="H63" s="120"/>
      <c r="I63" s="164"/>
      <c r="J63" s="6"/>
      <c r="K63" s="6"/>
      <c r="L63" s="6"/>
      <c r="M63" s="6"/>
      <c r="N63" s="165"/>
      <c r="O63" s="165"/>
      <c r="P63" s="165"/>
      <c r="Q63" s="165"/>
      <c r="R63" s="165"/>
      <c r="S63" s="165"/>
      <c r="T63" s="165"/>
      <c r="U63" s="165"/>
      <c r="V63" s="165"/>
      <c r="W63" s="165"/>
      <c r="X63" s="165"/>
      <c r="Y63" s="165"/>
      <c r="Z63" s="165"/>
      <c r="AB63" s="5"/>
      <c r="AC63" s="5"/>
      <c r="AD63" s="5"/>
      <c r="AE63" s="5"/>
      <c r="AF63" s="5"/>
      <c r="AG63" s="5"/>
      <c r="AH63" s="5"/>
    </row>
    <row r="64" spans="1:34" ht="15.75" thickBot="1" x14ac:dyDescent="0.3">
      <c r="C64" s="138">
        <f>IF(D64=0,C63,IF(ISBLANK(G64),C63,1+MAX(C$18:C63)))</f>
        <v>27</v>
      </c>
      <c r="D64" s="132">
        <f t="shared" si="37"/>
        <v>0</v>
      </c>
      <c r="F64" s="139">
        <f t="shared" si="2"/>
        <v>27</v>
      </c>
      <c r="G64" s="120" t="s">
        <v>55</v>
      </c>
      <c r="H64" s="120"/>
      <c r="I64" s="33"/>
      <c r="J64" s="6"/>
      <c r="K64" s="6"/>
      <c r="L64" s="6"/>
      <c r="M64" s="6"/>
      <c r="N64" s="20">
        <f t="shared" ref="N64:Z64" si="47">+N$52*N62</f>
        <v>180898.91722189559</v>
      </c>
      <c r="O64" s="20">
        <f t="shared" si="47"/>
        <v>181657.70240605818</v>
      </c>
      <c r="P64" s="20">
        <f t="shared" si="47"/>
        <v>163060.89198259427</v>
      </c>
      <c r="Q64" s="20">
        <f t="shared" si="47"/>
        <v>145878.61436075703</v>
      </c>
      <c r="R64" s="20">
        <f t="shared" si="47"/>
        <v>130035.24140784888</v>
      </c>
      <c r="S64" s="20">
        <f t="shared" si="47"/>
        <v>136023.8889200197</v>
      </c>
      <c r="T64" s="20">
        <f t="shared" si="47"/>
        <v>121389.42060262067</v>
      </c>
      <c r="U64" s="20">
        <f t="shared" si="47"/>
        <v>109024.90907839008</v>
      </c>
      <c r="V64" s="20">
        <f t="shared" si="47"/>
        <v>113329.18233462208</v>
      </c>
      <c r="W64" s="20">
        <f t="shared" si="47"/>
        <v>100891.88803717571</v>
      </c>
      <c r="X64" s="20">
        <f t="shared" si="47"/>
        <v>89422.65326127912</v>
      </c>
      <c r="Y64" s="20">
        <f t="shared" si="47"/>
        <v>93375.87508240249</v>
      </c>
      <c r="Z64" s="20">
        <f t="shared" si="47"/>
        <v>82831.914190945172</v>
      </c>
      <c r="AB64" s="17">
        <f>SUM(M64:Z64)</f>
        <v>1647821.0988866091</v>
      </c>
      <c r="AC64" s="5"/>
      <c r="AD64" s="5"/>
      <c r="AE64" s="5"/>
      <c r="AF64" s="5"/>
      <c r="AG64" s="5"/>
      <c r="AH64" s="5"/>
    </row>
    <row r="65" spans="1:34" ht="15.75" thickTop="1" x14ac:dyDescent="0.25">
      <c r="C65" s="138">
        <f>IF(D65=0,C64,IF(ISBLANK(G65),C64,1+MAX(C$18:C64)))</f>
        <v>27</v>
      </c>
      <c r="D65" s="132">
        <f t="shared" si="37"/>
        <v>0</v>
      </c>
      <c r="F65" s="139" t="str">
        <f t="shared" si="2"/>
        <v/>
      </c>
      <c r="I65" s="6"/>
      <c r="J65" s="6"/>
      <c r="K65" s="6"/>
      <c r="L65" s="6"/>
      <c r="M65" s="6"/>
      <c r="N65" s="167">
        <f t="shared" ref="N65:Z65" si="48">+N61</f>
        <v>0.5</v>
      </c>
      <c r="O65" s="167">
        <f t="shared" si="48"/>
        <v>1.5</v>
      </c>
      <c r="P65" s="167">
        <f t="shared" si="48"/>
        <v>2.5</v>
      </c>
      <c r="Q65" s="167">
        <f t="shared" si="48"/>
        <v>3.5</v>
      </c>
      <c r="R65" s="167">
        <f t="shared" si="48"/>
        <v>4.5</v>
      </c>
      <c r="S65" s="167">
        <f t="shared" si="48"/>
        <v>5.5</v>
      </c>
      <c r="T65" s="167">
        <f t="shared" si="48"/>
        <v>6.5</v>
      </c>
      <c r="U65" s="167">
        <f t="shared" si="48"/>
        <v>7.5</v>
      </c>
      <c r="V65" s="167">
        <f t="shared" si="48"/>
        <v>8.5</v>
      </c>
      <c r="W65" s="167">
        <f t="shared" si="48"/>
        <v>9.5</v>
      </c>
      <c r="X65" s="167">
        <f t="shared" si="48"/>
        <v>10.5</v>
      </c>
      <c r="Y65" s="167">
        <f t="shared" si="48"/>
        <v>11.5</v>
      </c>
      <c r="Z65" s="167">
        <f t="shared" si="48"/>
        <v>12.5</v>
      </c>
      <c r="AB65" s="5"/>
      <c r="AC65" s="5"/>
      <c r="AD65" s="5"/>
      <c r="AE65" s="5"/>
      <c r="AF65" s="5"/>
      <c r="AG65" s="5"/>
      <c r="AH65" s="5"/>
    </row>
    <row r="66" spans="1:34" ht="15" x14ac:dyDescent="0.25">
      <c r="B66" s="25">
        <f>+B$58</f>
        <v>9</v>
      </c>
      <c r="C66" s="138">
        <f>IF(D66=0,C65,IF(ISBLANK(G66),C65,1+MAX(C$18:C65)))</f>
        <v>27</v>
      </c>
      <c r="D66" s="132">
        <f t="shared" si="37"/>
        <v>0</v>
      </c>
      <c r="F66" s="139">
        <f t="shared" si="2"/>
        <v>27</v>
      </c>
      <c r="G66" s="120" t="str">
        <f>+"Present Value Factor:   "&amp;TEXT(AC66,"0.00%")&amp;"  ("&amp;B66&amp;")"</f>
        <v>Present Value Factor:   7.98%  (9)</v>
      </c>
      <c r="J66" s="6"/>
      <c r="K66" s="6"/>
      <c r="L66" s="6"/>
      <c r="M66" s="6"/>
      <c r="N66" s="161">
        <f t="shared" ref="N66:Z66" si="49">ROUND((1/((1+$AC66)^N65)),4)</f>
        <v>0.96230000000000004</v>
      </c>
      <c r="O66" s="161">
        <f t="shared" si="49"/>
        <v>0.89119999999999999</v>
      </c>
      <c r="P66" s="161">
        <f t="shared" si="49"/>
        <v>0.82540000000000002</v>
      </c>
      <c r="Q66" s="161">
        <f t="shared" si="49"/>
        <v>0.76439999999999997</v>
      </c>
      <c r="R66" s="161">
        <f t="shared" si="49"/>
        <v>0.70789999999999997</v>
      </c>
      <c r="S66" s="161">
        <f t="shared" si="49"/>
        <v>0.65559999999999996</v>
      </c>
      <c r="T66" s="161">
        <f t="shared" si="49"/>
        <v>0.60709999999999997</v>
      </c>
      <c r="U66" s="161">
        <f t="shared" si="49"/>
        <v>0.56220000000000003</v>
      </c>
      <c r="V66" s="161">
        <f t="shared" si="49"/>
        <v>0.52070000000000005</v>
      </c>
      <c r="W66" s="161">
        <f t="shared" si="49"/>
        <v>0.48220000000000002</v>
      </c>
      <c r="X66" s="161">
        <f t="shared" si="49"/>
        <v>0.4466</v>
      </c>
      <c r="Y66" s="161">
        <f t="shared" si="49"/>
        <v>0.41360000000000002</v>
      </c>
      <c r="Z66" s="161">
        <f t="shared" si="49"/>
        <v>0.38300000000000001</v>
      </c>
      <c r="AB66" s="5"/>
      <c r="AC66" s="162">
        <f>+AC58-H9</f>
        <v>7.9799999999999996E-2</v>
      </c>
      <c r="AD66" s="163" t="s">
        <v>56</v>
      </c>
      <c r="AE66" s="5"/>
      <c r="AF66" s="5"/>
      <c r="AG66" s="5"/>
      <c r="AH66" s="5"/>
    </row>
    <row r="67" spans="1:34" ht="15" x14ac:dyDescent="0.25">
      <c r="C67" s="138">
        <f>IF(D67=0,C66,IF(ISBLANK(G67),C66,1+MAX(C$18:C66)))</f>
        <v>27</v>
      </c>
      <c r="D67" s="132">
        <f t="shared" si="37"/>
        <v>0</v>
      </c>
      <c r="F67" s="139" t="str">
        <f t="shared" si="2"/>
        <v/>
      </c>
      <c r="G67" s="120"/>
      <c r="H67" s="120"/>
      <c r="I67" s="164"/>
      <c r="J67" s="6"/>
      <c r="K67" s="6"/>
      <c r="L67" s="6"/>
      <c r="M67" s="6"/>
      <c r="N67" s="165"/>
      <c r="O67" s="165"/>
      <c r="P67" s="165"/>
      <c r="Q67" s="165"/>
      <c r="R67" s="165"/>
      <c r="S67" s="165"/>
      <c r="T67" s="165"/>
      <c r="U67" s="165"/>
      <c r="V67" s="165"/>
      <c r="W67" s="165"/>
      <c r="X67" s="165"/>
      <c r="Y67" s="165"/>
      <c r="Z67" s="165"/>
      <c r="AB67" s="5"/>
      <c r="AC67" s="5"/>
      <c r="AD67" s="5"/>
      <c r="AE67" s="5"/>
      <c r="AF67" s="5"/>
      <c r="AG67" s="5"/>
      <c r="AH67" s="5"/>
    </row>
    <row r="68" spans="1:34" ht="15.75" thickBot="1" x14ac:dyDescent="0.3">
      <c r="C68" s="138">
        <f>IF(D68=0,C67,IF(ISBLANK(G68),C67,1+MAX(C$18:C67)))</f>
        <v>27</v>
      </c>
      <c r="D68" s="132">
        <f t="shared" si="37"/>
        <v>0</v>
      </c>
      <c r="F68" s="139">
        <f t="shared" si="2"/>
        <v>27</v>
      </c>
      <c r="G68" s="120" t="s">
        <v>55</v>
      </c>
      <c r="H68" s="33"/>
      <c r="I68" s="33"/>
      <c r="J68" s="6"/>
      <c r="K68" s="6"/>
      <c r="L68" s="6"/>
      <c r="M68" s="6"/>
      <c r="N68" s="20">
        <f t="shared" ref="N68:Z68" si="50">+N$52*N66</f>
        <v>179740.86529956647</v>
      </c>
      <c r="O68" s="20">
        <f t="shared" si="50"/>
        <v>178237.74566143239</v>
      </c>
      <c r="P68" s="20">
        <f t="shared" si="50"/>
        <v>157988.5670177642</v>
      </c>
      <c r="Q68" s="20">
        <f t="shared" si="50"/>
        <v>139561.46785652399</v>
      </c>
      <c r="R68" s="20">
        <f t="shared" si="50"/>
        <v>122834.19721459331</v>
      </c>
      <c r="S68" s="20">
        <f t="shared" si="50"/>
        <v>126870.48168440022</v>
      </c>
      <c r="T68" s="20">
        <f t="shared" si="50"/>
        <v>111795.38417453125</v>
      </c>
      <c r="U68" s="20">
        <f t="shared" si="50"/>
        <v>99132.789719991764</v>
      </c>
      <c r="V68" s="20">
        <f t="shared" si="50"/>
        <v>101759.79520889417</v>
      </c>
      <c r="W68" s="20">
        <f t="shared" si="50"/>
        <v>89446.715226192551</v>
      </c>
      <c r="X68" s="20">
        <f t="shared" si="50"/>
        <v>78290.838946260046</v>
      </c>
      <c r="Y68" s="20">
        <f t="shared" si="50"/>
        <v>80711.101220651355</v>
      </c>
      <c r="Z68" s="20">
        <f t="shared" si="50"/>
        <v>70687.662957067747</v>
      </c>
      <c r="AB68" s="17">
        <f>SUM(M68:Z68)</f>
        <v>1537057.6121878694</v>
      </c>
      <c r="AC68" s="5"/>
      <c r="AD68" s="5"/>
      <c r="AE68" s="5"/>
      <c r="AF68" s="5"/>
      <c r="AG68" s="5"/>
      <c r="AH68" s="5"/>
    </row>
    <row r="69" spans="1:34" ht="15.75" thickTop="1" x14ac:dyDescent="0.25">
      <c r="C69" s="138">
        <f>IF(D69=0,C68,IF(ISBLANK(G69),C68,1+MAX(C$18:C68)))</f>
        <v>27</v>
      </c>
      <c r="D69" s="132">
        <f t="shared" ref="D69:D76" si="51">IF($C$10="MUNI",1,0)</f>
        <v>1</v>
      </c>
      <c r="F69" s="139" t="str">
        <f t="shared" si="2"/>
        <v/>
      </c>
      <c r="H69" s="6"/>
      <c r="I69" s="6"/>
      <c r="J69" s="6"/>
      <c r="K69" s="6"/>
      <c r="L69" s="6"/>
      <c r="M69" s="6"/>
      <c r="N69" s="167">
        <f t="shared" ref="N69:Z69" si="52">+N65</f>
        <v>0.5</v>
      </c>
      <c r="O69" s="167">
        <f t="shared" si="52"/>
        <v>1.5</v>
      </c>
      <c r="P69" s="167">
        <f t="shared" si="52"/>
        <v>2.5</v>
      </c>
      <c r="Q69" s="167">
        <f t="shared" si="52"/>
        <v>3.5</v>
      </c>
      <c r="R69" s="167">
        <f t="shared" si="52"/>
        <v>4.5</v>
      </c>
      <c r="S69" s="167">
        <f t="shared" si="52"/>
        <v>5.5</v>
      </c>
      <c r="T69" s="167">
        <f t="shared" si="52"/>
        <v>6.5</v>
      </c>
      <c r="U69" s="167">
        <f t="shared" si="52"/>
        <v>7.5</v>
      </c>
      <c r="V69" s="167">
        <f t="shared" si="52"/>
        <v>8.5</v>
      </c>
      <c r="W69" s="167">
        <f t="shared" si="52"/>
        <v>9.5</v>
      </c>
      <c r="X69" s="167">
        <f t="shared" si="52"/>
        <v>10.5</v>
      </c>
      <c r="Y69" s="167">
        <f t="shared" si="52"/>
        <v>11.5</v>
      </c>
      <c r="Z69" s="167">
        <f t="shared" si="52"/>
        <v>12.5</v>
      </c>
      <c r="AB69" s="5"/>
      <c r="AC69" s="5"/>
      <c r="AD69" s="5"/>
      <c r="AE69" s="5"/>
      <c r="AF69" s="5"/>
      <c r="AG69" s="5"/>
      <c r="AH69" s="5"/>
    </row>
    <row r="70" spans="1:34" ht="15" x14ac:dyDescent="0.25">
      <c r="B70" s="25">
        <f>+B$54</f>
        <v>8</v>
      </c>
      <c r="C70" s="138">
        <f>IF(D70=0,C69,IF(ISBLANK(G70),C69,1+MAX(C$18:C69)))</f>
        <v>28</v>
      </c>
      <c r="D70" s="132">
        <f t="shared" si="51"/>
        <v>1</v>
      </c>
      <c r="F70" s="139">
        <f t="shared" si="2"/>
        <v>28</v>
      </c>
      <c r="G70" s="120" t="str">
        <f>+"Present Value Factor:   "&amp;TEXT(AC70,"0.00%")&amp;"  ("&amp;B70&amp;")"</f>
        <v>Present Value Factor:   3.84%  (8)</v>
      </c>
      <c r="J70" s="6"/>
      <c r="K70" s="6"/>
      <c r="L70" s="6"/>
      <c r="M70" s="6"/>
      <c r="N70" s="161">
        <f t="shared" ref="N70:Z70" si="53">ROUND((1/((1+$AC70)^N69)),4)</f>
        <v>0.98129999999999995</v>
      </c>
      <c r="O70" s="161">
        <f t="shared" si="53"/>
        <v>0.94499999999999995</v>
      </c>
      <c r="P70" s="161">
        <f t="shared" si="53"/>
        <v>0.91010000000000002</v>
      </c>
      <c r="Q70" s="161">
        <f t="shared" si="53"/>
        <v>0.87639999999999996</v>
      </c>
      <c r="R70" s="161">
        <f t="shared" si="53"/>
        <v>0.84399999999999997</v>
      </c>
      <c r="S70" s="161">
        <f t="shared" si="53"/>
        <v>0.81279999999999997</v>
      </c>
      <c r="T70" s="161">
        <f t="shared" si="53"/>
        <v>0.78280000000000005</v>
      </c>
      <c r="U70" s="161">
        <f t="shared" si="53"/>
        <v>0.75380000000000003</v>
      </c>
      <c r="V70" s="161">
        <f t="shared" si="53"/>
        <v>0.72589999999999999</v>
      </c>
      <c r="W70" s="161">
        <f t="shared" si="53"/>
        <v>0.69910000000000005</v>
      </c>
      <c r="X70" s="161">
        <f t="shared" si="53"/>
        <v>0.67320000000000002</v>
      </c>
      <c r="Y70" s="161">
        <f t="shared" si="53"/>
        <v>0.64829999999999999</v>
      </c>
      <c r="Z70" s="161">
        <f t="shared" si="53"/>
        <v>0.62439999999999996</v>
      </c>
      <c r="AC70" s="162">
        <f>+H1</f>
        <v>3.8399999999999997E-2</v>
      </c>
      <c r="AD70" s="163" t="s">
        <v>54</v>
      </c>
      <c r="AE70" s="5"/>
      <c r="AF70" s="5"/>
      <c r="AG70" s="5"/>
      <c r="AH70" s="5"/>
    </row>
    <row r="71" spans="1:34" ht="15" x14ac:dyDescent="0.25">
      <c r="C71" s="138">
        <f>IF(D71=0,C70,IF(ISBLANK(G71),C70,1+MAX(C$18:C70)))</f>
        <v>28</v>
      </c>
      <c r="D71" s="132">
        <f t="shared" si="51"/>
        <v>1</v>
      </c>
      <c r="F71" s="139" t="str">
        <f t="shared" si="2"/>
        <v/>
      </c>
      <c r="G71" s="120"/>
      <c r="H71" s="164"/>
      <c r="I71" s="164"/>
      <c r="J71" s="6"/>
      <c r="K71" s="6"/>
      <c r="L71" s="6"/>
      <c r="M71" s="6"/>
      <c r="N71" s="165"/>
      <c r="O71" s="165"/>
      <c r="P71" s="165"/>
      <c r="Q71" s="165"/>
      <c r="R71" s="165"/>
      <c r="S71" s="165"/>
      <c r="T71" s="165"/>
      <c r="U71" s="165"/>
      <c r="V71" s="165"/>
      <c r="W71" s="165"/>
      <c r="X71" s="165"/>
      <c r="Y71" s="165"/>
      <c r="Z71" s="165"/>
      <c r="AB71" s="5"/>
      <c r="AC71" s="5"/>
      <c r="AD71" s="5"/>
      <c r="AE71" s="5"/>
      <c r="AF71" s="5"/>
      <c r="AG71" s="5"/>
      <c r="AH71" s="5"/>
    </row>
    <row r="72" spans="1:34" ht="15.75" thickBot="1" x14ac:dyDescent="0.3">
      <c r="C72" s="138">
        <f>IF(D72=0,C71,IF(ISBLANK(G72),C71,1+MAX(C$18:C71)))</f>
        <v>29</v>
      </c>
      <c r="D72" s="132">
        <f t="shared" si="51"/>
        <v>1</v>
      </c>
      <c r="F72" s="139">
        <f t="shared" si="2"/>
        <v>29</v>
      </c>
      <c r="G72" s="120" t="s">
        <v>55</v>
      </c>
      <c r="H72" s="33"/>
      <c r="I72" s="33"/>
      <c r="J72" s="6"/>
      <c r="K72" s="6"/>
      <c r="L72" s="6"/>
      <c r="M72" s="6"/>
      <c r="N72" s="20">
        <f t="shared" ref="N72:Z72" si="54">+N$52*N70</f>
        <v>183289.73409380086</v>
      </c>
      <c r="O72" s="20">
        <f t="shared" si="54"/>
        <v>188997.6095714246</v>
      </c>
      <c r="P72" s="20">
        <f t="shared" si="54"/>
        <v>174200.86605629657</v>
      </c>
      <c r="Q72" s="20">
        <f t="shared" si="54"/>
        <v>160010.03457542861</v>
      </c>
      <c r="R72" s="20">
        <f t="shared" si="54"/>
        <v>146450.15178572785</v>
      </c>
      <c r="S72" s="20">
        <f t="shared" si="54"/>
        <v>157291.53067889033</v>
      </c>
      <c r="T72" s="20">
        <f t="shared" si="54"/>
        <v>144149.93696561205</v>
      </c>
      <c r="U72" s="20">
        <f t="shared" si="54"/>
        <v>132917.63943601883</v>
      </c>
      <c r="V72" s="20">
        <f t="shared" si="54"/>
        <v>141861.79247577544</v>
      </c>
      <c r="W72" s="20">
        <f t="shared" si="54"/>
        <v>129681.04233643967</v>
      </c>
      <c r="X72" s="20">
        <f t="shared" si="54"/>
        <v>118014.76215544619</v>
      </c>
      <c r="Y72" s="20">
        <f t="shared" si="54"/>
        <v>126511.13859126758</v>
      </c>
      <c r="Z72" s="20">
        <f t="shared" si="54"/>
        <v>115241.1925597731</v>
      </c>
      <c r="AB72" s="17">
        <f>SUM(M72:Z72)</f>
        <v>1918617.4312819017</v>
      </c>
      <c r="AC72" s="5"/>
      <c r="AD72" s="5"/>
      <c r="AE72" s="5"/>
      <c r="AF72" s="5"/>
      <c r="AG72" s="5"/>
      <c r="AH72" s="5"/>
    </row>
    <row r="73" spans="1:34" ht="15.75" thickTop="1" x14ac:dyDescent="0.25">
      <c r="C73" s="138">
        <f>IF(D73=0,C72,IF(ISBLANK(G73),C72,1+MAX(C$18:C72)))</f>
        <v>29</v>
      </c>
      <c r="D73" s="132">
        <f t="shared" si="51"/>
        <v>1</v>
      </c>
      <c r="F73" s="139" t="str">
        <f t="shared" si="2"/>
        <v/>
      </c>
      <c r="H73" s="6"/>
      <c r="I73" s="6"/>
      <c r="J73" s="6"/>
      <c r="K73" s="6"/>
      <c r="L73" s="6"/>
      <c r="M73" s="6"/>
      <c r="N73" s="167">
        <f t="shared" ref="N73:Z73" si="55">+N69</f>
        <v>0.5</v>
      </c>
      <c r="O73" s="167">
        <f t="shared" si="55"/>
        <v>1.5</v>
      </c>
      <c r="P73" s="167">
        <f t="shared" si="55"/>
        <v>2.5</v>
      </c>
      <c r="Q73" s="167">
        <f t="shared" si="55"/>
        <v>3.5</v>
      </c>
      <c r="R73" s="167">
        <f t="shared" si="55"/>
        <v>4.5</v>
      </c>
      <c r="S73" s="167">
        <f t="shared" si="55"/>
        <v>5.5</v>
      </c>
      <c r="T73" s="167">
        <f t="shared" si="55"/>
        <v>6.5</v>
      </c>
      <c r="U73" s="167">
        <f t="shared" si="55"/>
        <v>7.5</v>
      </c>
      <c r="V73" s="167">
        <f t="shared" si="55"/>
        <v>8.5</v>
      </c>
      <c r="W73" s="167">
        <f t="shared" si="55"/>
        <v>9.5</v>
      </c>
      <c r="X73" s="167">
        <f t="shared" si="55"/>
        <v>10.5</v>
      </c>
      <c r="Y73" s="167">
        <f t="shared" si="55"/>
        <v>11.5</v>
      </c>
      <c r="Z73" s="167">
        <f t="shared" si="55"/>
        <v>12.5</v>
      </c>
      <c r="AB73" s="5"/>
      <c r="AC73" s="5"/>
      <c r="AD73" s="5"/>
      <c r="AE73" s="5"/>
      <c r="AF73" s="5"/>
      <c r="AG73" s="5"/>
      <c r="AH73" s="5"/>
    </row>
    <row r="74" spans="1:34" ht="15" x14ac:dyDescent="0.25">
      <c r="B74" s="25">
        <f>+B$58</f>
        <v>9</v>
      </c>
      <c r="C74" s="138">
        <f>IF(D74=0,C73,IF(ISBLANK(G74),C73,1+MAX(C$18:C73)))</f>
        <v>30</v>
      </c>
      <c r="D74" s="132">
        <f t="shared" si="51"/>
        <v>1</v>
      </c>
      <c r="F74" s="139">
        <f t="shared" si="2"/>
        <v>30</v>
      </c>
      <c r="G74" s="120" t="str">
        <f>+"Present Value Factor:   "&amp;TEXT(AC74,"0.00%")&amp;"  ("&amp;B74&amp;")"</f>
        <v>Present Value Factor:   3.34%  (9)</v>
      </c>
      <c r="J74" s="6"/>
      <c r="K74" s="6"/>
      <c r="L74" s="6"/>
      <c r="M74" s="6"/>
      <c r="N74" s="161">
        <f t="shared" ref="N74:Z74" si="56">ROUND((1/((1+$AC74)^N73)),4)</f>
        <v>0.98370000000000002</v>
      </c>
      <c r="O74" s="161">
        <f t="shared" si="56"/>
        <v>0.95189999999999997</v>
      </c>
      <c r="P74" s="161">
        <f t="shared" si="56"/>
        <v>0.92110000000000003</v>
      </c>
      <c r="Q74" s="161">
        <f t="shared" si="56"/>
        <v>0.89139999999999997</v>
      </c>
      <c r="R74" s="161">
        <f t="shared" si="56"/>
        <v>0.86260000000000003</v>
      </c>
      <c r="S74" s="161">
        <f t="shared" si="56"/>
        <v>0.8347</v>
      </c>
      <c r="T74" s="161">
        <f t="shared" si="56"/>
        <v>0.80769999999999997</v>
      </c>
      <c r="U74" s="161">
        <f t="shared" si="56"/>
        <v>0.78159999999999996</v>
      </c>
      <c r="V74" s="161">
        <f t="shared" si="56"/>
        <v>0.75629999999999997</v>
      </c>
      <c r="W74" s="161">
        <f t="shared" si="56"/>
        <v>0.7319</v>
      </c>
      <c r="X74" s="161">
        <f t="shared" si="56"/>
        <v>0.70820000000000005</v>
      </c>
      <c r="Y74" s="161">
        <f t="shared" si="56"/>
        <v>0.68540000000000001</v>
      </c>
      <c r="Z74" s="161">
        <f t="shared" si="56"/>
        <v>0.66320000000000001</v>
      </c>
      <c r="AB74" s="5"/>
      <c r="AC74" s="162">
        <f>+AC70-H9</f>
        <v>3.3399999999999999E-2</v>
      </c>
      <c r="AD74" s="163" t="s">
        <v>56</v>
      </c>
      <c r="AE74" s="5"/>
      <c r="AF74" s="5"/>
      <c r="AG74" s="5"/>
      <c r="AH74" s="5"/>
    </row>
    <row r="75" spans="1:34" ht="15" x14ac:dyDescent="0.25">
      <c r="C75" s="138">
        <f>IF(D75=0,C74,IF(ISBLANK(G75),C74,1+MAX(C$18:C74)))</f>
        <v>30</v>
      </c>
      <c r="D75" s="132">
        <f t="shared" si="51"/>
        <v>1</v>
      </c>
      <c r="F75" s="139" t="str">
        <f t="shared" si="2"/>
        <v/>
      </c>
      <c r="G75" s="120"/>
      <c r="H75" s="164"/>
      <c r="I75" s="164"/>
      <c r="J75" s="6"/>
      <c r="K75" s="6"/>
      <c r="L75" s="6"/>
      <c r="M75" s="6"/>
      <c r="N75" s="165"/>
      <c r="O75" s="165"/>
      <c r="P75" s="165"/>
      <c r="Q75" s="165"/>
      <c r="R75" s="165"/>
      <c r="S75" s="165"/>
      <c r="T75" s="165"/>
      <c r="U75" s="165"/>
      <c r="V75" s="165"/>
      <c r="W75" s="165"/>
      <c r="X75" s="165"/>
      <c r="Y75" s="165"/>
      <c r="Z75" s="165"/>
      <c r="AB75" s="5"/>
      <c r="AC75" s="5"/>
      <c r="AD75" s="5"/>
      <c r="AE75" s="5"/>
      <c r="AF75" s="5"/>
      <c r="AG75" s="5"/>
      <c r="AH75" s="5"/>
    </row>
    <row r="76" spans="1:34" ht="15.75" thickBot="1" x14ac:dyDescent="0.3">
      <c r="C76" s="138">
        <f>IF(D76=0,C75,IF(ISBLANK(G76),C75,1+MAX(C$18:C75)))</f>
        <v>31</v>
      </c>
      <c r="D76" s="132">
        <f t="shared" si="51"/>
        <v>1</v>
      </c>
      <c r="F76" s="139">
        <f t="shared" si="2"/>
        <v>31</v>
      </c>
      <c r="G76" s="120" t="s">
        <v>55</v>
      </c>
      <c r="H76" s="33"/>
      <c r="I76" s="33"/>
      <c r="J76" s="6"/>
      <c r="K76" s="6"/>
      <c r="L76" s="6"/>
      <c r="M76" s="6"/>
      <c r="N76" s="20">
        <f t="shared" ref="N76:Z76" si="57">+N$52*N74</f>
        <v>183738.01225728312</v>
      </c>
      <c r="O76" s="20">
        <f t="shared" si="57"/>
        <v>190377.59211750168</v>
      </c>
      <c r="P76" s="20">
        <f t="shared" si="57"/>
        <v>176306.35943792417</v>
      </c>
      <c r="Q76" s="20">
        <f t="shared" si="57"/>
        <v>162748.68190385334</v>
      </c>
      <c r="R76" s="20">
        <f t="shared" si="57"/>
        <v>149677.60773740386</v>
      </c>
      <c r="S76" s="20">
        <f t="shared" si="57"/>
        <v>161529.57758079449</v>
      </c>
      <c r="T76" s="20">
        <f t="shared" si="57"/>
        <v>148735.18662126322</v>
      </c>
      <c r="U76" s="20">
        <f t="shared" si="57"/>
        <v>137819.61658688288</v>
      </c>
      <c r="V76" s="20">
        <f t="shared" si="57"/>
        <v>147802.82910790597</v>
      </c>
      <c r="W76" s="20">
        <f t="shared" si="57"/>
        <v>135765.34814195422</v>
      </c>
      <c r="X76" s="20">
        <f t="shared" si="57"/>
        <v>124150.40784088978</v>
      </c>
      <c r="Y76" s="20">
        <f t="shared" si="57"/>
        <v>133750.93998219157</v>
      </c>
      <c r="Z76" s="20">
        <f t="shared" si="57"/>
        <v>122402.24039981027</v>
      </c>
      <c r="AB76" s="17">
        <f>SUM(M76:Z76)</f>
        <v>1974804.3997156587</v>
      </c>
      <c r="AC76" s="5"/>
      <c r="AD76" s="5"/>
      <c r="AE76" s="5"/>
      <c r="AF76" s="5"/>
      <c r="AG76" s="5"/>
      <c r="AH76" s="5"/>
    </row>
    <row r="77" spans="1:34" ht="17.25" thickTop="1" thickBot="1" x14ac:dyDescent="0.3">
      <c r="D77" s="132">
        <f>IF($C$10="SUBJECT",0,1)</f>
        <v>1</v>
      </c>
      <c r="G77" s="26"/>
      <c r="I77" s="27"/>
      <c r="J77" s="6"/>
      <c r="K77" s="28" t="s">
        <v>57</v>
      </c>
      <c r="L77" s="6"/>
      <c r="M77" s="6"/>
      <c r="N77" s="5"/>
      <c r="O77" s="5"/>
      <c r="P77" s="5"/>
      <c r="Q77" s="5"/>
      <c r="R77" s="5"/>
      <c r="S77" s="28" t="s">
        <v>57</v>
      </c>
      <c r="AB77" s="5"/>
      <c r="AC77" s="5"/>
      <c r="AD77" s="5"/>
      <c r="AE77" s="5"/>
      <c r="AF77" s="5"/>
      <c r="AG77" s="5"/>
      <c r="AH77" s="5"/>
    </row>
    <row r="78" spans="1:34" ht="15.75" thickBot="1" x14ac:dyDescent="0.3">
      <c r="C78" s="168" t="s">
        <v>58</v>
      </c>
      <c r="D78" s="132">
        <v>2</v>
      </c>
      <c r="H78" s="169"/>
      <c r="I78" s="170"/>
      <c r="J78" s="170"/>
      <c r="K78" s="34" t="str">
        <f>+"DCF With Capitalization of Terminal Value Model @ "&amp;TEXT(AB79,"0.00%")</f>
        <v>DCF With Capitalization of Terminal Value Model @ 7.12%</v>
      </c>
      <c r="L78" s="35"/>
      <c r="M78" s="35"/>
      <c r="N78" s="35"/>
      <c r="O78" s="36"/>
      <c r="P78" s="6"/>
      <c r="Q78" s="34" t="str">
        <f>+"DCF With EBIT &amp; EBITDA Terminal Value Model - Discount Rate of "&amp;TEXT(AD79,"0.00%")</f>
        <v>DCF With EBIT &amp; EBITDA Terminal Value Model - Discount Rate of 7.12%</v>
      </c>
      <c r="R78" s="35"/>
      <c r="S78" s="35"/>
      <c r="T78" s="35"/>
      <c r="U78" s="36"/>
      <c r="AB78" s="5"/>
      <c r="AC78" s="5"/>
      <c r="AD78" s="5"/>
      <c r="AE78" s="5"/>
      <c r="AF78" s="5"/>
      <c r="AG78" s="5"/>
      <c r="AH78" s="5"/>
    </row>
    <row r="79" spans="1:34" ht="15" x14ac:dyDescent="0.25">
      <c r="D79" s="132">
        <v>2</v>
      </c>
      <c r="G79" s="29"/>
      <c r="K79" s="37"/>
      <c r="L79" s="38"/>
      <c r="M79" s="39"/>
      <c r="N79" s="40" t="s">
        <v>59</v>
      </c>
      <c r="O79" s="41"/>
      <c r="Q79" s="37"/>
      <c r="R79" s="38"/>
      <c r="S79" s="39"/>
      <c r="T79" s="38"/>
      <c r="U79" s="42" t="s">
        <v>59</v>
      </c>
      <c r="AB79" s="171">
        <f>+AC54</f>
        <v>7.1199999999999999E-2</v>
      </c>
      <c r="AC79" s="5"/>
      <c r="AD79" s="171">
        <f>+AB79</f>
        <v>7.1199999999999999E-2</v>
      </c>
      <c r="AE79" s="5"/>
      <c r="AF79" s="5"/>
      <c r="AG79" s="5"/>
      <c r="AH79" s="5"/>
    </row>
    <row r="80" spans="1:34" ht="15" x14ac:dyDescent="0.25">
      <c r="A80" s="172" t="str">
        <f>TEXT(+Z53+0.5,0)</f>
        <v>13</v>
      </c>
      <c r="D80" s="132">
        <v>2</v>
      </c>
      <c r="K80" s="43"/>
      <c r="L80" s="32"/>
      <c r="M80" s="19"/>
      <c r="N80" s="44" t="s">
        <v>60</v>
      </c>
      <c r="O80" s="45"/>
      <c r="Q80" s="43"/>
      <c r="R80" s="32"/>
      <c r="S80" s="19"/>
      <c r="T80" s="44" t="str">
        <f>+"Multiples"&amp;" ("&amp;B105&amp;")"</f>
        <v>Multiples (13)</v>
      </c>
      <c r="U80" s="46" t="s">
        <v>60</v>
      </c>
      <c r="AB80" s="5"/>
      <c r="AC80" s="5"/>
      <c r="AD80" s="5"/>
      <c r="AE80" s="5"/>
      <c r="AF80" s="5"/>
      <c r="AG80" s="5"/>
      <c r="AH80" s="5"/>
    </row>
    <row r="81" spans="1:36" ht="15" x14ac:dyDescent="0.25">
      <c r="D81" s="132">
        <v>2</v>
      </c>
      <c r="K81" s="43"/>
      <c r="L81" s="32"/>
      <c r="M81" s="19"/>
      <c r="N81" s="32"/>
      <c r="O81" s="45"/>
      <c r="Q81" s="43"/>
      <c r="R81" s="32"/>
      <c r="S81" s="19"/>
      <c r="T81" s="32"/>
      <c r="U81" s="47"/>
      <c r="AB81" s="5"/>
      <c r="AC81" s="5"/>
      <c r="AD81" s="5"/>
      <c r="AE81" s="5"/>
      <c r="AF81" s="5"/>
      <c r="AG81" s="5"/>
      <c r="AH81" s="5"/>
    </row>
    <row r="82" spans="1:36" ht="15" x14ac:dyDescent="0.25">
      <c r="D82" s="132">
        <v>2</v>
      </c>
      <c r="K82" s="48" t="str">
        <f>+A83&amp;" ("&amp;B83&amp;")"</f>
        <v>Projected Debt Free Net Cash Flow (10)</v>
      </c>
      <c r="L82" s="32"/>
      <c r="M82" s="32"/>
      <c r="N82" s="32">
        <f>+AB83</f>
        <v>184563.08866075129</v>
      </c>
      <c r="O82" s="45"/>
      <c r="Q82" s="49" t="s">
        <v>61</v>
      </c>
      <c r="R82" s="32"/>
      <c r="S82" s="32">
        <f>+AD83</f>
        <v>164048.36026075133</v>
      </c>
      <c r="T82" s="50">
        <f>+AE83</f>
        <v>14.6</v>
      </c>
      <c r="U82" s="47">
        <f>+T82*S82</f>
        <v>2395106.0598069695</v>
      </c>
      <c r="AB82" s="5"/>
      <c r="AC82" s="5"/>
      <c r="AD82" s="5"/>
      <c r="AE82" s="5"/>
      <c r="AF82" s="5"/>
      <c r="AG82" s="5"/>
      <c r="AH82" s="5"/>
    </row>
    <row r="83" spans="1:36" ht="16.899999999999999" customHeight="1" x14ac:dyDescent="0.25">
      <c r="A83" s="173" t="s">
        <v>62</v>
      </c>
      <c r="B83" s="25">
        <f>MAX(B$20:B82)+1</f>
        <v>10</v>
      </c>
      <c r="D83" s="132">
        <v>2</v>
      </c>
      <c r="K83" s="48" t="str">
        <f>+A84&amp;" ("&amp;B84&amp;")"</f>
        <v>Divided by Capitalization Factor (8)</v>
      </c>
      <c r="L83" s="32"/>
      <c r="M83" s="33"/>
      <c r="N83" s="51">
        <f>+AB79</f>
        <v>7.1199999999999999E-2</v>
      </c>
      <c r="O83" s="45"/>
      <c r="Q83" s="49" t="s">
        <v>63</v>
      </c>
      <c r="R83" s="32"/>
      <c r="S83" s="33">
        <f>+AD84</f>
        <v>271829.3890607513</v>
      </c>
      <c r="T83" s="50">
        <f>+AE84</f>
        <v>10.1</v>
      </c>
      <c r="U83" s="52">
        <f>+T83*S83</f>
        <v>2745476.829513588</v>
      </c>
      <c r="V83" s="174"/>
      <c r="W83" s="174"/>
      <c r="X83" s="174"/>
      <c r="Y83" s="174"/>
      <c r="Z83" s="174"/>
      <c r="AB83" s="5">
        <f>+AB52</f>
        <v>184563.08866075129</v>
      </c>
      <c r="AC83" s="5"/>
      <c r="AD83" s="5">
        <f>+Z$42</f>
        <v>164048.36026075133</v>
      </c>
      <c r="AE83" s="5">
        <f>+H7</f>
        <v>14.6</v>
      </c>
      <c r="AF83" s="5"/>
      <c r="AG83" s="5"/>
      <c r="AH83" s="5"/>
    </row>
    <row r="84" spans="1:36" ht="16.899999999999999" customHeight="1" x14ac:dyDescent="0.25">
      <c r="A84" s="173" t="s">
        <v>64</v>
      </c>
      <c r="B84" s="25">
        <f>+B$54</f>
        <v>8</v>
      </c>
      <c r="D84" s="132">
        <v>2</v>
      </c>
      <c r="K84" s="175" t="str">
        <f>+A85</f>
        <v>13th Year Terminal Value</v>
      </c>
      <c r="L84" s="32"/>
      <c r="M84" s="19"/>
      <c r="N84" s="33">
        <f>+N82/N83</f>
        <v>2592178.2115274058</v>
      </c>
      <c r="O84" s="45"/>
      <c r="Q84" s="53" t="s">
        <v>65</v>
      </c>
      <c r="R84" s="32"/>
      <c r="S84" s="19"/>
      <c r="T84" s="32"/>
      <c r="U84" s="54">
        <f>ROUND((0.33*U82)+(0.67*U83),0)</f>
        <v>2629854</v>
      </c>
      <c r="AB84" s="5"/>
      <c r="AC84" s="5"/>
      <c r="AD84" s="5">
        <f>+Z$41</f>
        <v>271829.3890607513</v>
      </c>
      <c r="AE84" s="5">
        <f>+H8</f>
        <v>10.1</v>
      </c>
      <c r="AF84" s="5"/>
      <c r="AG84" s="5"/>
      <c r="AH84" s="5"/>
    </row>
    <row r="85" spans="1:36" ht="16.899999999999999" customHeight="1" x14ac:dyDescent="0.25">
      <c r="A85" s="2" t="str">
        <f>+A80&amp;"th Year Terminal Value"</f>
        <v>13th Year Terminal Value</v>
      </c>
      <c r="D85" s="132">
        <v>2</v>
      </c>
      <c r="K85" s="48" t="str">
        <f>+A86&amp;" ("&amp;B86&amp;")"</f>
        <v>13th Year Present Value Factor (11)</v>
      </c>
      <c r="L85" s="32"/>
      <c r="M85" s="19"/>
      <c r="N85" s="55">
        <f>+AB86</f>
        <v>0.42330000000000001</v>
      </c>
      <c r="O85" s="45"/>
      <c r="Q85" s="49" t="str">
        <f>+K85</f>
        <v>13th Year Present Value Factor (11)</v>
      </c>
      <c r="R85" s="32"/>
      <c r="S85" s="19"/>
      <c r="T85" s="32"/>
      <c r="U85" s="56">
        <f>+AB86</f>
        <v>0.42330000000000001</v>
      </c>
      <c r="AC85" s="5"/>
      <c r="AD85" s="5"/>
      <c r="AE85" s="5"/>
      <c r="AF85" s="5"/>
      <c r="AG85" s="5"/>
      <c r="AH85" s="5"/>
    </row>
    <row r="86" spans="1:36" ht="16.899999999999999" customHeight="1" x14ac:dyDescent="0.25">
      <c r="A86" s="173" t="str">
        <f>+TEXT(A80,0)&amp;"th Year Present Value Factor"</f>
        <v>13th Year Present Value Factor</v>
      </c>
      <c r="B86" s="25">
        <f>MAX(B$20:B85)+1</f>
        <v>11</v>
      </c>
      <c r="D86" s="132">
        <v>2</v>
      </c>
      <c r="K86" s="48" t="s">
        <v>66</v>
      </c>
      <c r="L86" s="57"/>
      <c r="M86" s="19"/>
      <c r="N86" s="58">
        <f>+N85*N84</f>
        <v>1097269.0369395509</v>
      </c>
      <c r="O86" s="45"/>
      <c r="Q86" s="49" t="s">
        <v>66</v>
      </c>
      <c r="R86" s="57"/>
      <c r="S86" s="19"/>
      <c r="T86" s="33"/>
      <c r="U86" s="59">
        <f>+U85*U84</f>
        <v>1113217.1982</v>
      </c>
      <c r="AB86" s="176">
        <f>+Z$54</f>
        <v>0.42330000000000001</v>
      </c>
      <c r="AC86" s="5"/>
      <c r="AD86" s="177"/>
      <c r="AE86" s="5"/>
      <c r="AF86" s="5"/>
      <c r="AG86" s="5"/>
      <c r="AH86" s="5"/>
    </row>
    <row r="87" spans="1:36" ht="16.899999999999999" customHeight="1" x14ac:dyDescent="0.25">
      <c r="D87" s="132">
        <v>2</v>
      </c>
      <c r="K87" s="48" t="s">
        <v>67</v>
      </c>
      <c r="L87" s="57"/>
      <c r="M87" s="19"/>
      <c r="N87" s="32"/>
      <c r="O87" s="45"/>
      <c r="Q87" s="49" t="s">
        <v>67</v>
      </c>
      <c r="R87" s="57"/>
      <c r="S87" s="19"/>
      <c r="T87" s="57"/>
      <c r="U87" s="47"/>
      <c r="AB87" s="5"/>
      <c r="AC87" s="5"/>
      <c r="AD87" s="5"/>
      <c r="AE87" s="5"/>
      <c r="AF87" s="5"/>
      <c r="AG87" s="5"/>
      <c r="AH87" s="5"/>
    </row>
    <row r="88" spans="1:36" ht="16.899999999999999" customHeight="1" x14ac:dyDescent="0.25">
      <c r="D88" s="132">
        <v>2</v>
      </c>
      <c r="K88" s="48" t="str">
        <f>+A89</f>
        <v>Cash Flow for 13 Years</v>
      </c>
      <c r="L88" s="57"/>
      <c r="M88" s="19"/>
      <c r="N88" s="60">
        <f>+AB89</f>
        <v>1605650.6514165483</v>
      </c>
      <c r="O88" s="45"/>
      <c r="Q88" s="49" t="str">
        <f>+K88</f>
        <v>Cash Flow for 13 Years</v>
      </c>
      <c r="R88" s="57"/>
      <c r="S88" s="19"/>
      <c r="T88" s="33"/>
      <c r="U88" s="52">
        <f>+AB89</f>
        <v>1605650.6514165483</v>
      </c>
      <c r="AB88" s="5"/>
      <c r="AC88" s="5"/>
      <c r="AD88" s="5"/>
      <c r="AE88" s="5"/>
      <c r="AF88" s="5"/>
      <c r="AG88" s="5"/>
      <c r="AH88" s="5"/>
    </row>
    <row r="89" spans="1:36" ht="16.899999999999999" customHeight="1" x14ac:dyDescent="0.25">
      <c r="A89" s="2" t="str">
        <f>+"Cash Flow for "&amp;TEXT(A80,0)&amp;" Years"</f>
        <v>Cash Flow for 13 Years</v>
      </c>
      <c r="D89" s="132">
        <v>2</v>
      </c>
      <c r="K89" s="48"/>
      <c r="L89" s="57"/>
      <c r="M89" s="19"/>
      <c r="N89" s="32"/>
      <c r="O89" s="45"/>
      <c r="Q89" s="49"/>
      <c r="R89" s="57"/>
      <c r="S89" s="19"/>
      <c r="T89" s="32"/>
      <c r="U89" s="47"/>
      <c r="AB89" s="5">
        <f>+AB56</f>
        <v>1605650.6514165483</v>
      </c>
      <c r="AC89" s="5"/>
      <c r="AD89" s="5"/>
      <c r="AE89" s="5"/>
      <c r="AF89" s="5"/>
      <c r="AG89" s="5"/>
      <c r="AH89" s="5"/>
    </row>
    <row r="90" spans="1:36" ht="16.899999999999999" customHeight="1" thickBot="1" x14ac:dyDescent="0.3">
      <c r="D90" s="132">
        <v>2</v>
      </c>
      <c r="K90" s="48" t="s">
        <v>68</v>
      </c>
      <c r="L90" s="57"/>
      <c r="M90" s="19"/>
      <c r="N90" s="20">
        <f>+N86+N88</f>
        <v>2702919.6883560992</v>
      </c>
      <c r="O90" s="45"/>
      <c r="Q90" s="49" t="s">
        <v>68</v>
      </c>
      <c r="R90" s="57"/>
      <c r="S90" s="19"/>
      <c r="T90" s="33"/>
      <c r="U90" s="61">
        <f>+U86+U88</f>
        <v>2718867.849616548</v>
      </c>
      <c r="AB90" s="5"/>
      <c r="AC90" s="5"/>
      <c r="AD90" s="5"/>
      <c r="AE90" s="5"/>
      <c r="AF90" s="5"/>
      <c r="AG90" s="5"/>
      <c r="AH90" s="5"/>
    </row>
    <row r="91" spans="1:36" ht="16.899999999999999" customHeight="1" thickTop="1" thickBot="1" x14ac:dyDescent="0.3">
      <c r="D91" s="132">
        <v>2</v>
      </c>
      <c r="K91" s="62"/>
      <c r="L91" s="63"/>
      <c r="M91" s="64"/>
      <c r="N91" s="63"/>
      <c r="O91" s="65"/>
      <c r="Q91" s="62"/>
      <c r="R91" s="63"/>
      <c r="S91" s="64"/>
      <c r="T91" s="63"/>
      <c r="U91" s="65"/>
      <c r="AB91" s="5"/>
      <c r="AC91" s="5"/>
      <c r="AD91" s="5"/>
      <c r="AE91" s="5"/>
      <c r="AF91" s="5"/>
      <c r="AG91" s="5"/>
      <c r="AH91" s="5"/>
    </row>
    <row r="92" spans="1:36" ht="15" x14ac:dyDescent="0.25">
      <c r="D92" s="132">
        <v>2</v>
      </c>
      <c r="K92" s="6"/>
      <c r="L92" s="5"/>
      <c r="M92" s="5"/>
      <c r="N92" s="5"/>
      <c r="O92" s="5"/>
      <c r="P92" s="6"/>
      <c r="Q92" s="6"/>
      <c r="R92" s="5"/>
      <c r="S92" s="5"/>
      <c r="T92" s="5"/>
      <c r="U92" s="5"/>
      <c r="AB92" s="5"/>
      <c r="AC92" s="5"/>
      <c r="AD92" s="5"/>
      <c r="AE92" s="5"/>
      <c r="AF92" s="5"/>
      <c r="AG92" s="5"/>
      <c r="AH92" s="5"/>
      <c r="AI92" s="5"/>
      <c r="AJ92" s="5"/>
    </row>
    <row r="93" spans="1:36" ht="15.75" thickBot="1" x14ac:dyDescent="0.3">
      <c r="D93" s="132">
        <v>2</v>
      </c>
      <c r="K93" s="6"/>
      <c r="L93" s="5"/>
      <c r="M93" s="5"/>
      <c r="N93" s="5"/>
      <c r="O93" s="5"/>
      <c r="P93" s="6"/>
      <c r="Q93" s="6"/>
      <c r="R93" s="5"/>
      <c r="S93" s="5"/>
      <c r="T93" s="5"/>
      <c r="U93" s="5"/>
      <c r="AB93" s="5"/>
      <c r="AC93" s="5"/>
      <c r="AD93" s="5"/>
      <c r="AE93" s="5"/>
      <c r="AF93" s="5"/>
      <c r="AG93" s="5"/>
      <c r="AH93" s="5"/>
      <c r="AI93" s="5"/>
      <c r="AJ93" s="5"/>
    </row>
    <row r="94" spans="1:36" ht="15.75" thickBot="1" x14ac:dyDescent="0.3">
      <c r="D94" s="132">
        <v>2</v>
      </c>
      <c r="K94" s="34" t="str">
        <f>+"DCF With Capitalization of Terminal Value Model @ "&amp;TEXT(AB95,"0.00%")</f>
        <v>DCF With Capitalization of Terminal Value Model @ 8.48%</v>
      </c>
      <c r="L94" s="35"/>
      <c r="M94" s="35"/>
      <c r="N94" s="35"/>
      <c r="O94" s="36"/>
      <c r="P94" s="6"/>
      <c r="Q94" s="34" t="str">
        <f>+"DCF With EBIT &amp; EBITDA Terminal Value Model - Discount Rate of "&amp;TEXT(AD95,"0.00%")</f>
        <v>DCF With EBIT &amp; EBITDA Terminal Value Model - Discount Rate of 8.48%</v>
      </c>
      <c r="R94" s="35"/>
      <c r="S94" s="35"/>
      <c r="T94" s="35"/>
      <c r="U94" s="36"/>
      <c r="AB94" s="5"/>
      <c r="AC94" s="5"/>
      <c r="AD94" s="5"/>
      <c r="AE94" s="5"/>
      <c r="AF94" s="5"/>
      <c r="AG94" s="5"/>
      <c r="AH94" s="5"/>
      <c r="AI94" s="5"/>
      <c r="AJ94" s="5"/>
    </row>
    <row r="95" spans="1:36" ht="15" x14ac:dyDescent="0.25">
      <c r="D95" s="132">
        <v>2</v>
      </c>
      <c r="K95" s="37"/>
      <c r="L95" s="38"/>
      <c r="M95" s="39"/>
      <c r="N95" s="40" t="s">
        <v>59</v>
      </c>
      <c r="O95" s="41"/>
      <c r="P95" s="6"/>
      <c r="Q95" s="37"/>
      <c r="R95" s="38"/>
      <c r="S95" s="39"/>
      <c r="T95" s="38"/>
      <c r="U95" s="42" t="s">
        <v>59</v>
      </c>
      <c r="AB95" s="171">
        <f>+AC58</f>
        <v>8.48E-2</v>
      </c>
      <c r="AC95" s="5"/>
      <c r="AD95" s="171">
        <f>+AB95</f>
        <v>8.48E-2</v>
      </c>
      <c r="AE95" s="5"/>
      <c r="AF95" s="5"/>
      <c r="AG95" s="5"/>
      <c r="AH95" s="5"/>
      <c r="AI95" s="5"/>
      <c r="AJ95" s="5"/>
    </row>
    <row r="96" spans="1:36" ht="15" x14ac:dyDescent="0.25">
      <c r="D96" s="132">
        <v>2</v>
      </c>
      <c r="K96" s="43"/>
      <c r="L96" s="32"/>
      <c r="M96" s="19"/>
      <c r="N96" s="44" t="s">
        <v>60</v>
      </c>
      <c r="O96" s="45"/>
      <c r="P96" s="6"/>
      <c r="Q96" s="43"/>
      <c r="R96" s="32"/>
      <c r="S96" s="19"/>
      <c r="T96" s="44" t="str">
        <f>+T80</f>
        <v>Multiples (13)</v>
      </c>
      <c r="U96" s="46" t="s">
        <v>60</v>
      </c>
      <c r="AB96" s="5"/>
      <c r="AC96" s="5"/>
      <c r="AD96" s="5"/>
      <c r="AE96" s="5"/>
      <c r="AF96" s="5"/>
      <c r="AG96" s="5"/>
      <c r="AH96" s="5"/>
      <c r="AI96" s="5"/>
      <c r="AJ96" s="5"/>
    </row>
    <row r="97" spans="1:36" ht="15" x14ac:dyDescent="0.25">
      <c r="D97" s="132">
        <v>2</v>
      </c>
      <c r="K97" s="43"/>
      <c r="L97" s="32"/>
      <c r="M97" s="19"/>
      <c r="N97" s="32"/>
      <c r="O97" s="45"/>
      <c r="P97" s="6"/>
      <c r="Q97" s="43"/>
      <c r="R97" s="32"/>
      <c r="S97" s="19"/>
      <c r="T97" s="32"/>
      <c r="U97" s="47"/>
      <c r="AB97" s="5"/>
      <c r="AC97" s="5"/>
      <c r="AD97" s="5"/>
      <c r="AE97" s="5"/>
      <c r="AF97" s="5"/>
      <c r="AG97" s="5"/>
      <c r="AH97" s="5"/>
      <c r="AI97" s="5"/>
      <c r="AJ97" s="5"/>
    </row>
    <row r="98" spans="1:36" ht="15" x14ac:dyDescent="0.25">
      <c r="D98" s="132">
        <v>2</v>
      </c>
      <c r="K98" s="48" t="str">
        <f>+A99&amp;" ("&amp;B99&amp;")"</f>
        <v>Projected Debt Free Net Cash Flow (10)</v>
      </c>
      <c r="L98" s="32"/>
      <c r="M98" s="32"/>
      <c r="N98" s="32">
        <f>+AB99</f>
        <v>184563.08866075129</v>
      </c>
      <c r="O98" s="45"/>
      <c r="P98" s="6"/>
      <c r="Q98" s="49" t="s">
        <v>61</v>
      </c>
      <c r="R98" s="32"/>
      <c r="S98" s="32">
        <f>+AD99</f>
        <v>164048.36026075133</v>
      </c>
      <c r="T98" s="50">
        <f>+AE99</f>
        <v>14.6</v>
      </c>
      <c r="U98" s="47">
        <f>+T98*S98</f>
        <v>2395106.0598069695</v>
      </c>
      <c r="AB98" s="5"/>
      <c r="AC98" s="5"/>
      <c r="AD98" s="5"/>
      <c r="AE98" s="5"/>
      <c r="AF98" s="5"/>
      <c r="AG98" s="5"/>
      <c r="AH98" s="5"/>
      <c r="AI98" s="5"/>
      <c r="AJ98" s="5"/>
    </row>
    <row r="99" spans="1:36" ht="16.899999999999999" customHeight="1" x14ac:dyDescent="0.25">
      <c r="A99" s="173" t="s">
        <v>62</v>
      </c>
      <c r="B99" s="25">
        <f>+B$83</f>
        <v>10</v>
      </c>
      <c r="D99" s="132">
        <v>2</v>
      </c>
      <c r="K99" s="48" t="str">
        <f>+A100&amp;" ("&amp;B100&amp;")"</f>
        <v>Divided by Capitalization Factor (9)</v>
      </c>
      <c r="L99" s="32"/>
      <c r="M99" s="33"/>
      <c r="N99" s="51">
        <f>+AB95</f>
        <v>8.48E-2</v>
      </c>
      <c r="O99" s="45"/>
      <c r="P99" s="6"/>
      <c r="Q99" s="49" t="s">
        <v>63</v>
      </c>
      <c r="R99" s="32"/>
      <c r="S99" s="33">
        <f>+AD100</f>
        <v>271829.3890607513</v>
      </c>
      <c r="T99" s="50">
        <f>+AE100</f>
        <v>10.1</v>
      </c>
      <c r="U99" s="52">
        <f>+T99*S99</f>
        <v>2745476.829513588</v>
      </c>
      <c r="AB99" s="5">
        <f>+AB52</f>
        <v>184563.08866075129</v>
      </c>
      <c r="AC99" s="5"/>
      <c r="AD99" s="5">
        <f>+AD83</f>
        <v>164048.36026075133</v>
      </c>
      <c r="AE99" s="5">
        <f>+AE$83</f>
        <v>14.6</v>
      </c>
      <c r="AF99" s="5"/>
      <c r="AG99" s="5"/>
      <c r="AH99" s="5"/>
      <c r="AI99" s="5"/>
      <c r="AJ99" s="5"/>
    </row>
    <row r="100" spans="1:36" ht="16.899999999999999" customHeight="1" x14ac:dyDescent="0.25">
      <c r="A100" s="173" t="s">
        <v>64</v>
      </c>
      <c r="B100" s="25">
        <f>+B$58</f>
        <v>9</v>
      </c>
      <c r="D100" s="132">
        <v>2</v>
      </c>
      <c r="K100" s="175" t="str">
        <f>+K84</f>
        <v>13th Year Terminal Value</v>
      </c>
      <c r="L100" s="32"/>
      <c r="M100" s="19"/>
      <c r="N100" s="33">
        <f>+N98/N99</f>
        <v>2176451.5172258406</v>
      </c>
      <c r="O100" s="45"/>
      <c r="P100" s="6"/>
      <c r="Q100" s="53" t="s">
        <v>65</v>
      </c>
      <c r="R100" s="32"/>
      <c r="S100" s="19"/>
      <c r="T100" s="32"/>
      <c r="U100" s="54">
        <f>ROUND((0.33*U98)+(0.67*U99),0)</f>
        <v>2629854</v>
      </c>
      <c r="AB100" s="5"/>
      <c r="AC100" s="5"/>
      <c r="AD100" s="5">
        <f>+AD84</f>
        <v>271829.3890607513</v>
      </c>
      <c r="AE100" s="5">
        <f>+AE$84</f>
        <v>10.1</v>
      </c>
      <c r="AF100" s="5"/>
      <c r="AG100" s="5"/>
      <c r="AH100" s="5"/>
      <c r="AI100" s="5"/>
      <c r="AJ100" s="5"/>
    </row>
    <row r="101" spans="1:36" ht="16.899999999999999" customHeight="1" x14ac:dyDescent="0.25">
      <c r="D101" s="132">
        <v>2</v>
      </c>
      <c r="K101" s="48" t="str">
        <f>+A102&amp;" ("&amp;B102&amp;")"</f>
        <v>13th Year Present Value Factor (12)</v>
      </c>
      <c r="L101" s="32"/>
      <c r="M101" s="19"/>
      <c r="N101" s="55">
        <f>+AB102</f>
        <v>0.36149999999999999</v>
      </c>
      <c r="O101" s="45"/>
      <c r="P101" s="6"/>
      <c r="Q101" s="49" t="str">
        <f>+K101</f>
        <v>13th Year Present Value Factor (12)</v>
      </c>
      <c r="R101" s="32"/>
      <c r="S101" s="19"/>
      <c r="T101" s="32"/>
      <c r="U101" s="56">
        <f>+AB102</f>
        <v>0.36149999999999999</v>
      </c>
      <c r="AC101" s="5"/>
      <c r="AD101" s="5"/>
      <c r="AE101" s="5"/>
      <c r="AF101" s="5"/>
      <c r="AG101" s="5"/>
      <c r="AH101" s="5"/>
      <c r="AI101" s="5"/>
      <c r="AJ101" s="5"/>
    </row>
    <row r="102" spans="1:36" ht="16.899999999999999" customHeight="1" x14ac:dyDescent="0.25">
      <c r="A102" s="173" t="str">
        <f>+A86</f>
        <v>13th Year Present Value Factor</v>
      </c>
      <c r="B102" s="25">
        <f>MAX(B$20:B101)+1</f>
        <v>12</v>
      </c>
      <c r="D102" s="132">
        <v>2</v>
      </c>
      <c r="K102" s="48" t="s">
        <v>66</v>
      </c>
      <c r="L102" s="57"/>
      <c r="M102" s="19"/>
      <c r="N102" s="58">
        <f>+N101*N100</f>
        <v>786787.22347714135</v>
      </c>
      <c r="O102" s="45"/>
      <c r="P102" s="6"/>
      <c r="Q102" s="49" t="s">
        <v>66</v>
      </c>
      <c r="R102" s="57"/>
      <c r="S102" s="19"/>
      <c r="T102" s="33"/>
      <c r="U102" s="59">
        <f>+U101*U100</f>
        <v>950692.22100000002</v>
      </c>
      <c r="AB102" s="176">
        <f>+Z$58</f>
        <v>0.36149999999999999</v>
      </c>
      <c r="AC102" s="5"/>
      <c r="AD102" s="177"/>
      <c r="AE102" s="5"/>
      <c r="AF102" s="5"/>
      <c r="AG102" s="5"/>
      <c r="AH102" s="5"/>
      <c r="AI102" s="5"/>
      <c r="AJ102" s="5"/>
    </row>
    <row r="103" spans="1:36" ht="16.899999999999999" customHeight="1" x14ac:dyDescent="0.25">
      <c r="D103" s="132">
        <v>2</v>
      </c>
      <c r="K103" s="48" t="s">
        <v>67</v>
      </c>
      <c r="L103" s="57"/>
      <c r="M103" s="19"/>
      <c r="N103" s="32"/>
      <c r="O103" s="45"/>
      <c r="P103" s="6"/>
      <c r="Q103" s="49" t="s">
        <v>67</v>
      </c>
      <c r="R103" s="57"/>
      <c r="S103" s="19"/>
      <c r="T103" s="57"/>
      <c r="U103" s="47"/>
      <c r="AB103" s="5"/>
      <c r="AC103" s="5"/>
      <c r="AD103" s="5"/>
      <c r="AE103" s="5"/>
      <c r="AF103" s="5"/>
      <c r="AG103" s="5"/>
      <c r="AH103" s="5"/>
      <c r="AI103" s="5"/>
      <c r="AJ103" s="5"/>
    </row>
    <row r="104" spans="1:36" ht="16.899999999999999" customHeight="1" x14ac:dyDescent="0.25">
      <c r="D104" s="132">
        <v>2</v>
      </c>
      <c r="K104" s="48" t="str">
        <f>+K$88</f>
        <v>Cash Flow for 13 Years</v>
      </c>
      <c r="L104" s="57"/>
      <c r="M104" s="19"/>
      <c r="N104" s="60">
        <f>+AB105</f>
        <v>1499343.5544952198</v>
      </c>
      <c r="O104" s="45"/>
      <c r="P104" s="6"/>
      <c r="Q104" s="49" t="str">
        <f>+Q$88</f>
        <v>Cash Flow for 13 Years</v>
      </c>
      <c r="R104" s="57"/>
      <c r="S104" s="19"/>
      <c r="T104" s="33"/>
      <c r="U104" s="52">
        <f>+AB105</f>
        <v>1499343.5544952198</v>
      </c>
      <c r="AB104" s="5"/>
      <c r="AC104" s="5"/>
      <c r="AD104" s="5"/>
      <c r="AE104" s="5"/>
      <c r="AF104" s="5"/>
      <c r="AG104" s="5"/>
      <c r="AH104" s="5"/>
      <c r="AI104" s="5"/>
      <c r="AJ104" s="5"/>
    </row>
    <row r="105" spans="1:36" ht="16.899999999999999" customHeight="1" x14ac:dyDescent="0.25">
      <c r="B105" s="178">
        <f>MAX(B$20:B104)+1</f>
        <v>13</v>
      </c>
      <c r="D105" s="132">
        <v>2</v>
      </c>
      <c r="K105" s="48"/>
      <c r="L105" s="57"/>
      <c r="M105" s="19"/>
      <c r="N105" s="32"/>
      <c r="O105" s="45"/>
      <c r="P105" s="6"/>
      <c r="Q105" s="49"/>
      <c r="R105" s="57"/>
      <c r="S105" s="19"/>
      <c r="T105" s="32"/>
      <c r="U105" s="47"/>
      <c r="AB105" s="5">
        <f>+AB60</f>
        <v>1499343.5544952198</v>
      </c>
      <c r="AC105" s="5"/>
      <c r="AD105" s="5"/>
      <c r="AE105" s="5"/>
      <c r="AF105" s="5"/>
      <c r="AG105" s="5"/>
      <c r="AH105" s="5"/>
      <c r="AI105" s="5"/>
      <c r="AJ105" s="5"/>
    </row>
    <row r="106" spans="1:36" ht="16.899999999999999" customHeight="1" thickBot="1" x14ac:dyDescent="0.3">
      <c r="D106" s="132">
        <v>2</v>
      </c>
      <c r="K106" s="48" t="s">
        <v>68</v>
      </c>
      <c r="L106" s="57"/>
      <c r="M106" s="19"/>
      <c r="N106" s="20">
        <f>+N102+N104</f>
        <v>2286130.7779723611</v>
      </c>
      <c r="O106" s="45"/>
      <c r="P106" s="6"/>
      <c r="Q106" s="49" t="s">
        <v>68</v>
      </c>
      <c r="R106" s="57"/>
      <c r="S106" s="19"/>
      <c r="T106" s="33"/>
      <c r="U106" s="61">
        <f>+U102+U104</f>
        <v>2450035.77549522</v>
      </c>
      <c r="AB106" s="5"/>
      <c r="AC106" s="5"/>
      <c r="AD106" s="5"/>
      <c r="AE106" s="5"/>
      <c r="AF106" s="5"/>
      <c r="AG106" s="5"/>
      <c r="AH106" s="5"/>
      <c r="AI106" s="5"/>
      <c r="AJ106" s="5"/>
    </row>
    <row r="107" spans="1:36" ht="16.899999999999999" customHeight="1" thickTop="1" thickBot="1" x14ac:dyDescent="0.3">
      <c r="D107" s="132">
        <v>2</v>
      </c>
      <c r="K107" s="62"/>
      <c r="L107" s="63"/>
      <c r="M107" s="64"/>
      <c r="N107" s="63"/>
      <c r="O107" s="65"/>
      <c r="P107" s="6"/>
      <c r="Q107" s="62"/>
      <c r="R107" s="63"/>
      <c r="S107" s="64"/>
      <c r="T107" s="63"/>
      <c r="U107" s="65"/>
      <c r="AB107" s="5"/>
      <c r="AC107" s="5"/>
      <c r="AD107" s="5"/>
      <c r="AE107" s="5"/>
      <c r="AF107" s="5"/>
      <c r="AG107" s="5"/>
      <c r="AH107" s="5"/>
      <c r="AI107" s="5"/>
      <c r="AJ107" s="5"/>
    </row>
    <row r="108" spans="1:36" ht="15" x14ac:dyDescent="0.25">
      <c r="D108" s="132">
        <v>2</v>
      </c>
      <c r="K108" s="32"/>
      <c r="L108" s="32"/>
      <c r="M108" s="19"/>
      <c r="N108" s="6"/>
      <c r="O108" s="32"/>
      <c r="P108" s="6"/>
      <c r="Q108" s="6"/>
      <c r="R108" s="5"/>
      <c r="S108" s="5"/>
      <c r="T108" s="5"/>
      <c r="U108" s="5"/>
      <c r="AB108" s="5"/>
      <c r="AC108" s="5"/>
      <c r="AD108" s="5"/>
      <c r="AE108" s="5"/>
      <c r="AF108" s="5"/>
      <c r="AG108" s="5"/>
      <c r="AH108" s="5"/>
      <c r="AI108" s="5"/>
      <c r="AJ108" s="5"/>
    </row>
    <row r="109" spans="1:36" ht="15" x14ac:dyDescent="0.25">
      <c r="D109" s="132">
        <v>2</v>
      </c>
      <c r="K109" s="32"/>
      <c r="L109" s="32"/>
      <c r="M109" s="19"/>
      <c r="N109" s="6"/>
      <c r="O109" s="32"/>
      <c r="P109" s="6"/>
      <c r="Q109" s="6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G109" s="5"/>
      <c r="AH109" s="5"/>
      <c r="AI109" s="5"/>
      <c r="AJ109" s="5"/>
    </row>
    <row r="110" spans="1:36" ht="16.5" thickBot="1" x14ac:dyDescent="0.3">
      <c r="D110" s="132">
        <v>2</v>
      </c>
      <c r="G110" s="30"/>
      <c r="L110" s="6"/>
      <c r="M110" s="6"/>
      <c r="N110" s="6"/>
      <c r="O110" s="6"/>
      <c r="P110" s="6"/>
      <c r="Q110" s="6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G110" s="5"/>
      <c r="AH110" s="5"/>
      <c r="AI110" s="5"/>
      <c r="AJ110" s="5"/>
    </row>
    <row r="111" spans="1:36" ht="15.75" thickBot="1" x14ac:dyDescent="0.3">
      <c r="D111" s="132">
        <v>2</v>
      </c>
      <c r="G111" s="31"/>
      <c r="K111" s="34" t="str">
        <f>+"DCF With Capitalization of Terminal Value Model @ "&amp;TEXT(AB112,"0.00%")</f>
        <v>DCF With Capitalization of Terminal Value Model @ 6.62%</v>
      </c>
      <c r="L111" s="35"/>
      <c r="M111" s="35"/>
      <c r="N111" s="35"/>
      <c r="O111" s="36"/>
      <c r="P111" s="6"/>
      <c r="Q111" s="34" t="str">
        <f>+"DCF With Capitalization of Terminal Value Model @ "&amp;TEXT(AB128,"0.00%")</f>
        <v>DCF With Capitalization of Terminal Value Model @ 7.98%</v>
      </c>
      <c r="R111" s="35"/>
      <c r="S111" s="35"/>
      <c r="T111" s="35"/>
      <c r="U111" s="36"/>
      <c r="AB111" s="5"/>
      <c r="AC111" s="5"/>
      <c r="AD111" s="5"/>
      <c r="AE111" s="5"/>
      <c r="AF111" s="5"/>
      <c r="AG111" s="5"/>
      <c r="AH111" s="5"/>
      <c r="AI111" s="5"/>
      <c r="AJ111" s="5"/>
    </row>
    <row r="112" spans="1:36" ht="15" x14ac:dyDescent="0.25">
      <c r="C112" s="168" t="s">
        <v>69</v>
      </c>
      <c r="D112" s="132">
        <v>2</v>
      </c>
      <c r="G112" s="29"/>
      <c r="K112" s="37"/>
      <c r="L112" s="38"/>
      <c r="M112" s="39"/>
      <c r="N112" s="40" t="s">
        <v>59</v>
      </c>
      <c r="O112" s="41"/>
      <c r="Q112" s="37"/>
      <c r="R112" s="38"/>
      <c r="S112" s="39"/>
      <c r="T112" s="40" t="s">
        <v>59</v>
      </c>
      <c r="U112" s="41"/>
      <c r="AB112" s="171">
        <f>+AC62</f>
        <v>6.6199999999999995E-2</v>
      </c>
      <c r="AC112" s="5"/>
      <c r="AD112" s="171">
        <f>+AB112</f>
        <v>6.6199999999999995E-2</v>
      </c>
      <c r="AE112" s="5"/>
      <c r="AF112" s="5"/>
      <c r="AG112" s="5"/>
      <c r="AH112" s="5"/>
      <c r="AI112" s="5"/>
      <c r="AJ112" s="5"/>
    </row>
    <row r="113" spans="1:40" ht="15" x14ac:dyDescent="0.25">
      <c r="D113" s="132">
        <v>2</v>
      </c>
      <c r="K113" s="43"/>
      <c r="L113" s="32"/>
      <c r="M113" s="19"/>
      <c r="N113" s="44" t="s">
        <v>60</v>
      </c>
      <c r="O113" s="45"/>
      <c r="Q113" s="43"/>
      <c r="R113" s="32"/>
      <c r="S113" s="19"/>
      <c r="T113" s="44" t="s">
        <v>60</v>
      </c>
      <c r="U113" s="45"/>
      <c r="AB113" s="5"/>
      <c r="AC113" s="5"/>
      <c r="AD113" s="5"/>
      <c r="AE113" s="5"/>
      <c r="AF113" s="5"/>
      <c r="AG113" s="5"/>
      <c r="AH113" s="5"/>
      <c r="AI113" s="5"/>
      <c r="AJ113" s="5"/>
    </row>
    <row r="114" spans="1:40" ht="15" x14ac:dyDescent="0.25">
      <c r="D114" s="132">
        <v>2</v>
      </c>
      <c r="K114" s="43"/>
      <c r="L114" s="32"/>
      <c r="M114" s="19"/>
      <c r="N114" s="32"/>
      <c r="O114" s="45"/>
      <c r="Q114" s="43"/>
      <c r="R114" s="32"/>
      <c r="S114" s="19"/>
      <c r="T114" s="32"/>
      <c r="U114" s="45"/>
      <c r="AB114" s="5"/>
      <c r="AC114" s="5"/>
      <c r="AD114" s="5"/>
      <c r="AE114" s="5"/>
      <c r="AF114" s="5"/>
      <c r="AG114" s="5"/>
      <c r="AH114" s="5"/>
      <c r="AI114" s="5"/>
      <c r="AJ114" s="5"/>
    </row>
    <row r="115" spans="1:40" ht="15" x14ac:dyDescent="0.25">
      <c r="D115" s="132">
        <v>2</v>
      </c>
      <c r="K115" s="48" t="str">
        <f>+K82</f>
        <v>Projected Debt Free Net Cash Flow (10)</v>
      </c>
      <c r="L115" s="32"/>
      <c r="M115" s="32"/>
      <c r="N115" s="32">
        <f>+AB116</f>
        <v>184563.08866075129</v>
      </c>
      <c r="O115" s="45"/>
      <c r="Q115" s="48" t="str">
        <f t="shared" ref="Q115:Q121" si="58">+K98</f>
        <v>Projected Debt Free Net Cash Flow (10)</v>
      </c>
      <c r="R115" s="32"/>
      <c r="S115" s="32"/>
      <c r="T115" s="32">
        <f>+AB132</f>
        <v>184563.08866075129</v>
      </c>
      <c r="U115" s="45"/>
      <c r="AB115" s="5"/>
      <c r="AC115" s="5"/>
      <c r="AD115" s="5"/>
      <c r="AE115" s="5"/>
      <c r="AF115" s="5"/>
      <c r="AG115" s="5"/>
      <c r="AH115" s="5"/>
      <c r="AI115" s="5"/>
      <c r="AJ115" s="5"/>
    </row>
    <row r="116" spans="1:40" ht="16.899999999999999" customHeight="1" x14ac:dyDescent="0.25">
      <c r="A116" s="173" t="s">
        <v>62</v>
      </c>
      <c r="B116" s="25">
        <f>B$83</f>
        <v>10</v>
      </c>
      <c r="D116" s="132">
        <v>2</v>
      </c>
      <c r="K116" s="48" t="str">
        <f t="shared" ref="K116:K120" si="59">+K83</f>
        <v>Divided by Capitalization Factor (8)</v>
      </c>
      <c r="L116" s="32"/>
      <c r="M116" s="33"/>
      <c r="N116" s="51">
        <f>+AB112</f>
        <v>6.6199999999999995E-2</v>
      </c>
      <c r="O116" s="45"/>
      <c r="Q116" s="48" t="str">
        <f t="shared" si="58"/>
        <v>Divided by Capitalization Factor (9)</v>
      </c>
      <c r="R116" s="32"/>
      <c r="S116" s="33"/>
      <c r="T116" s="51">
        <f>+AB128</f>
        <v>7.9799999999999996E-2</v>
      </c>
      <c r="U116" s="45"/>
      <c r="AB116" s="5">
        <f>+AB$52</f>
        <v>184563.08866075129</v>
      </c>
      <c r="AC116" s="5"/>
      <c r="AD116" s="5">
        <f>+Z$42</f>
        <v>164048.36026075133</v>
      </c>
      <c r="AE116" s="5">
        <f>+AE$83</f>
        <v>14.6</v>
      </c>
      <c r="AF116" s="5"/>
      <c r="AG116" s="5"/>
      <c r="AH116" s="5"/>
      <c r="AI116" s="5"/>
      <c r="AJ116" s="5"/>
    </row>
    <row r="117" spans="1:40" ht="16.899999999999999" customHeight="1" x14ac:dyDescent="0.25">
      <c r="A117" s="173" t="s">
        <v>64</v>
      </c>
      <c r="B117" s="25">
        <f>+B$54</f>
        <v>8</v>
      </c>
      <c r="D117" s="132">
        <v>2</v>
      </c>
      <c r="K117" s="48" t="str">
        <f t="shared" si="59"/>
        <v>13th Year Terminal Value</v>
      </c>
      <c r="L117" s="32"/>
      <c r="M117" s="19"/>
      <c r="N117" s="33">
        <f>+N115/N116</f>
        <v>2787962.0643618023</v>
      </c>
      <c r="O117" s="45"/>
      <c r="Q117" s="48" t="str">
        <f t="shared" si="58"/>
        <v>13th Year Terminal Value</v>
      </c>
      <c r="R117" s="32"/>
      <c r="S117" s="19"/>
      <c r="T117" s="33">
        <f>+T115/T116</f>
        <v>2312820.6599091641</v>
      </c>
      <c r="U117" s="45"/>
      <c r="AB117" s="5"/>
      <c r="AC117" s="5"/>
      <c r="AD117" s="5">
        <f>+Z$41</f>
        <v>271829.3890607513</v>
      </c>
      <c r="AE117" s="5">
        <f>+AE$84</f>
        <v>10.1</v>
      </c>
      <c r="AF117" s="5"/>
      <c r="AG117" s="5"/>
      <c r="AH117" s="5"/>
      <c r="AI117" s="5"/>
      <c r="AJ117" s="5"/>
    </row>
    <row r="118" spans="1:40" ht="16.899999999999999" customHeight="1" x14ac:dyDescent="0.25">
      <c r="D118" s="132">
        <v>2</v>
      </c>
      <c r="K118" s="48" t="str">
        <f t="shared" si="59"/>
        <v>13th Year Present Value Factor (11)</v>
      </c>
      <c r="L118" s="32"/>
      <c r="M118" s="19"/>
      <c r="N118" s="55">
        <f>+N85</f>
        <v>0.42330000000000001</v>
      </c>
      <c r="O118" s="45"/>
      <c r="Q118" s="48" t="str">
        <f t="shared" si="58"/>
        <v>13th Year Present Value Factor (12)</v>
      </c>
      <c r="R118" s="32"/>
      <c r="S118" s="19"/>
      <c r="T118" s="55">
        <f>+N101</f>
        <v>0.36149999999999999</v>
      </c>
      <c r="U118" s="45"/>
      <c r="AC118" s="5"/>
      <c r="AD118" s="5"/>
      <c r="AE118" s="5"/>
      <c r="AF118" s="5"/>
      <c r="AG118" s="5"/>
      <c r="AH118" s="5"/>
      <c r="AI118" s="5"/>
      <c r="AJ118" s="5"/>
    </row>
    <row r="119" spans="1:40" ht="16.899999999999999" customHeight="1" x14ac:dyDescent="0.25">
      <c r="A119" s="173" t="s">
        <v>70</v>
      </c>
      <c r="B119" s="25">
        <f>B$86</f>
        <v>11</v>
      </c>
      <c r="D119" s="132">
        <v>2</v>
      </c>
      <c r="K119" s="48" t="str">
        <f t="shared" si="59"/>
        <v>Present Value of Terminal Value</v>
      </c>
      <c r="L119" s="57"/>
      <c r="M119" s="19"/>
      <c r="N119" s="58">
        <f>+N118*N117</f>
        <v>1180144.341844351</v>
      </c>
      <c r="O119" s="45"/>
      <c r="Q119" s="48" t="str">
        <f t="shared" si="58"/>
        <v>Present Value of Terminal Value</v>
      </c>
      <c r="R119" s="57"/>
      <c r="S119" s="19"/>
      <c r="T119" s="58">
        <f>+T118*T117</f>
        <v>836084.66855716275</v>
      </c>
      <c r="U119" s="45"/>
      <c r="AB119" s="176">
        <f>+Z62</f>
        <v>0.44879999999999998</v>
      </c>
      <c r="AC119" s="5"/>
      <c r="AD119" s="177">
        <f>+AB119</f>
        <v>0.44879999999999998</v>
      </c>
      <c r="AE119" s="5"/>
      <c r="AF119" s="5"/>
      <c r="AG119" s="5"/>
      <c r="AH119" s="5"/>
      <c r="AI119" s="5"/>
      <c r="AJ119" s="5"/>
    </row>
    <row r="120" spans="1:40" ht="16.899999999999999" customHeight="1" x14ac:dyDescent="0.25">
      <c r="D120" s="132">
        <v>2</v>
      </c>
      <c r="K120" s="48" t="str">
        <f t="shared" si="59"/>
        <v>Present Value Debt Free Net</v>
      </c>
      <c r="L120" s="57"/>
      <c r="M120" s="19"/>
      <c r="N120" s="32"/>
      <c r="O120" s="45"/>
      <c r="Q120" s="48" t="str">
        <f t="shared" si="58"/>
        <v>Present Value Debt Free Net</v>
      </c>
      <c r="R120" s="57"/>
      <c r="S120" s="19"/>
      <c r="T120" s="32"/>
      <c r="U120" s="45"/>
      <c r="AB120" s="5"/>
      <c r="AC120" s="5"/>
      <c r="AD120" s="5"/>
      <c r="AE120" s="5"/>
      <c r="AF120" s="5"/>
      <c r="AG120" s="5"/>
      <c r="AH120" s="5"/>
      <c r="AI120" s="5"/>
      <c r="AJ120" s="5"/>
    </row>
    <row r="121" spans="1:40" ht="16.899999999999999" customHeight="1" x14ac:dyDescent="0.25">
      <c r="D121" s="132">
        <v>2</v>
      </c>
      <c r="K121" s="48" t="str">
        <f>+K$88</f>
        <v>Cash Flow for 13 Years</v>
      </c>
      <c r="L121" s="57"/>
      <c r="M121" s="19"/>
      <c r="N121" s="60">
        <f>+AB122</f>
        <v>1605650.6514165483</v>
      </c>
      <c r="O121" s="45"/>
      <c r="Q121" s="48" t="str">
        <f t="shared" si="58"/>
        <v>Cash Flow for 13 Years</v>
      </c>
      <c r="R121" s="57"/>
      <c r="S121" s="19"/>
      <c r="T121" s="60">
        <f>+AB138</f>
        <v>1499343.5544952198</v>
      </c>
      <c r="U121" s="45"/>
      <c r="V121" s="5"/>
      <c r="W121" s="5"/>
      <c r="X121" s="5"/>
      <c r="Y121" s="5"/>
      <c r="AB121" s="5"/>
      <c r="AC121" s="5"/>
      <c r="AD121" s="5"/>
      <c r="AE121" s="5"/>
      <c r="AF121" s="5"/>
      <c r="AG121" s="5"/>
      <c r="AH121" s="5"/>
      <c r="AI121" s="5"/>
      <c r="AJ121" s="5"/>
    </row>
    <row r="122" spans="1:40" ht="16.899999999999999" customHeight="1" x14ac:dyDescent="0.25">
      <c r="D122" s="132">
        <v>2</v>
      </c>
      <c r="K122" s="48"/>
      <c r="L122" s="57"/>
      <c r="M122" s="19"/>
      <c r="N122" s="32"/>
      <c r="O122" s="45"/>
      <c r="Q122" s="48"/>
      <c r="R122" s="57"/>
      <c r="S122" s="19"/>
      <c r="T122" s="32"/>
      <c r="U122" s="45"/>
      <c r="V122" s="5"/>
      <c r="W122" s="5"/>
      <c r="X122" s="5"/>
      <c r="Y122" s="5"/>
      <c r="AB122" s="5">
        <f>+AB56</f>
        <v>1605650.6514165483</v>
      </c>
      <c r="AC122" s="5"/>
      <c r="AD122" s="5">
        <f>+AB122</f>
        <v>1605650.6514165483</v>
      </c>
      <c r="AE122" s="5"/>
      <c r="AF122" s="5"/>
      <c r="AG122" s="5"/>
      <c r="AH122" s="5"/>
      <c r="AI122" s="5"/>
      <c r="AJ122" s="5"/>
    </row>
    <row r="123" spans="1:40" ht="16.899999999999999" customHeight="1" thickBot="1" x14ac:dyDescent="0.3">
      <c r="D123" s="132">
        <v>2</v>
      </c>
      <c r="K123" s="48" t="s">
        <v>68</v>
      </c>
      <c r="L123" s="57"/>
      <c r="M123" s="19"/>
      <c r="N123" s="20">
        <f>+N119+N121</f>
        <v>2785794.9932608996</v>
      </c>
      <c r="O123" s="45"/>
      <c r="Q123" s="48" t="s">
        <v>68</v>
      </c>
      <c r="R123" s="57"/>
      <c r="S123" s="19"/>
      <c r="T123" s="20">
        <f>+T119+T121</f>
        <v>2335428.2230523825</v>
      </c>
      <c r="U123" s="45"/>
      <c r="V123" s="5"/>
      <c r="W123" s="5"/>
      <c r="X123" s="5"/>
      <c r="Y123" s="5"/>
      <c r="AB123" s="5"/>
      <c r="AC123" s="5"/>
      <c r="AD123" s="5"/>
      <c r="AE123" s="5"/>
      <c r="AF123" s="5"/>
      <c r="AG123" s="5"/>
      <c r="AH123" s="5"/>
      <c r="AI123" s="5"/>
      <c r="AJ123" s="5"/>
    </row>
    <row r="124" spans="1:40" ht="16.899999999999999" customHeight="1" thickTop="1" thickBot="1" x14ac:dyDescent="0.3">
      <c r="D124" s="132">
        <v>2</v>
      </c>
      <c r="K124" s="62"/>
      <c r="L124" s="63"/>
      <c r="M124" s="64"/>
      <c r="N124" s="63"/>
      <c r="O124" s="65"/>
      <c r="Q124" s="62"/>
      <c r="R124" s="63"/>
      <c r="S124" s="64"/>
      <c r="T124" s="63"/>
      <c r="U124" s="65"/>
      <c r="V124" s="5"/>
      <c r="W124" s="5"/>
      <c r="X124" s="5"/>
      <c r="Y124" s="5"/>
      <c r="AB124" s="5"/>
      <c r="AC124" s="5"/>
      <c r="AD124" s="5"/>
      <c r="AE124" s="5"/>
      <c r="AF124" s="5"/>
      <c r="AG124" s="5"/>
      <c r="AH124" s="5"/>
      <c r="AI124" s="5"/>
      <c r="AJ124" s="5"/>
    </row>
    <row r="125" spans="1:40" ht="15" x14ac:dyDescent="0.25">
      <c r="D125" s="132">
        <v>2</v>
      </c>
      <c r="K125" s="6"/>
      <c r="L125" s="5"/>
      <c r="M125" s="5"/>
      <c r="N125" s="5"/>
      <c r="O125" s="5"/>
      <c r="P125" s="6"/>
      <c r="Q125" s="179"/>
      <c r="R125" s="180"/>
      <c r="S125" s="180"/>
      <c r="T125" s="180"/>
      <c r="U125" s="180"/>
      <c r="V125" s="5"/>
      <c r="W125" s="5"/>
      <c r="X125" s="5"/>
      <c r="Y125" s="5"/>
      <c r="AB125" s="5"/>
      <c r="AC125" s="5"/>
      <c r="AD125" s="5"/>
      <c r="AE125" s="5"/>
      <c r="AF125" s="5"/>
      <c r="AG125" s="5"/>
      <c r="AH125" s="5"/>
      <c r="AI125" s="5"/>
      <c r="AJ125" s="5"/>
    </row>
    <row r="126" spans="1:40" ht="15" x14ac:dyDescent="0.25">
      <c r="D126" s="132"/>
      <c r="K126" s="6"/>
      <c r="L126" s="5"/>
      <c r="M126" s="5"/>
      <c r="N126" s="5"/>
      <c r="O126" s="5"/>
      <c r="P126" s="6"/>
      <c r="Q126" s="179"/>
      <c r="R126" s="180"/>
      <c r="S126" s="180"/>
      <c r="T126" s="180"/>
      <c r="U126" s="180"/>
      <c r="V126" s="5"/>
      <c r="W126" s="5"/>
      <c r="X126" s="5"/>
      <c r="Y126" s="5"/>
      <c r="AB126" s="5"/>
      <c r="AC126" s="5"/>
      <c r="AD126" s="5"/>
      <c r="AE126" s="5"/>
      <c r="AF126" s="5"/>
      <c r="AG126" s="5"/>
      <c r="AH126" s="5"/>
      <c r="AI126" s="5"/>
      <c r="AJ126" s="5"/>
    </row>
    <row r="127" spans="1:40" ht="15" x14ac:dyDescent="0.25">
      <c r="D127" s="132"/>
      <c r="P127" s="6"/>
      <c r="Q127" s="181" t="str">
        <f>+"DCF With EBIT &amp; EBITDA Terminal Value Model - Discount Rate of "&amp;TEXT(AD128,"0.00%")</f>
        <v>DCF With EBIT &amp; EBITDA Terminal Value Model - Discount Rate of 7.98%</v>
      </c>
      <c r="R127" s="181"/>
      <c r="S127" s="181"/>
      <c r="T127" s="181"/>
      <c r="U127" s="181"/>
      <c r="V127" s="5"/>
      <c r="W127" s="5"/>
      <c r="X127" s="5"/>
      <c r="Y127" s="5"/>
      <c r="AB127" s="5"/>
      <c r="AC127" s="5"/>
      <c r="AD127" s="5"/>
      <c r="AE127" s="5"/>
      <c r="AF127" s="5"/>
      <c r="AG127" s="5"/>
      <c r="AH127" s="5"/>
      <c r="AI127" s="5"/>
      <c r="AJ127" s="5"/>
      <c r="AL127" s="174"/>
      <c r="AM127" s="31"/>
      <c r="AN127" s="31"/>
    </row>
    <row r="128" spans="1:40" ht="15" x14ac:dyDescent="0.25">
      <c r="D128" s="132"/>
      <c r="P128" s="6"/>
      <c r="Q128" s="182"/>
      <c r="R128" s="182"/>
      <c r="S128" s="183"/>
      <c r="T128" s="182"/>
      <c r="U128" s="184" t="s">
        <v>59</v>
      </c>
      <c r="V128" s="5"/>
      <c r="W128" s="5"/>
      <c r="X128" s="5"/>
      <c r="Y128" s="5"/>
      <c r="AB128" s="171">
        <f>+AC66</f>
        <v>7.9799999999999996E-2</v>
      </c>
      <c r="AC128" s="5"/>
      <c r="AD128" s="171">
        <f>+AB128</f>
        <v>7.9799999999999996E-2</v>
      </c>
      <c r="AE128" s="5"/>
      <c r="AF128" s="5"/>
      <c r="AG128" s="5"/>
      <c r="AH128" s="5"/>
      <c r="AI128" s="5"/>
      <c r="AJ128" s="5"/>
    </row>
    <row r="129" spans="4:36" ht="15" x14ac:dyDescent="0.25">
      <c r="D129" s="132"/>
      <c r="P129" s="6"/>
      <c r="Q129" s="182"/>
      <c r="R129" s="182"/>
      <c r="S129" s="183"/>
      <c r="T129" s="185" t="s">
        <v>71</v>
      </c>
      <c r="U129" s="185" t="s">
        <v>60</v>
      </c>
      <c r="V129" s="5"/>
      <c r="W129" s="5"/>
      <c r="X129" s="5"/>
      <c r="Y129" s="5"/>
      <c r="AB129" s="5"/>
      <c r="AC129" s="5"/>
      <c r="AD129" s="5"/>
      <c r="AE129" s="5"/>
      <c r="AF129" s="5"/>
      <c r="AG129" s="5"/>
      <c r="AH129" s="5"/>
      <c r="AI129" s="5"/>
      <c r="AJ129" s="5"/>
    </row>
    <row r="130" spans="4:36" ht="15" x14ac:dyDescent="0.25">
      <c r="D130" s="132"/>
      <c r="P130" s="6"/>
      <c r="Q130" s="182"/>
      <c r="R130" s="182"/>
      <c r="S130" s="183"/>
      <c r="T130" s="182"/>
      <c r="U130" s="182"/>
      <c r="V130" s="5"/>
      <c r="W130" s="5"/>
      <c r="X130" s="5"/>
      <c r="Y130" s="5"/>
      <c r="AB130" s="5"/>
      <c r="AC130" s="5"/>
      <c r="AD130" s="5"/>
      <c r="AE130" s="5"/>
      <c r="AF130" s="5"/>
      <c r="AG130" s="5"/>
      <c r="AH130" s="5"/>
      <c r="AI130" s="5"/>
      <c r="AJ130" s="5"/>
    </row>
    <row r="131" spans="4:36" ht="15" x14ac:dyDescent="0.25">
      <c r="D131" s="132"/>
      <c r="P131" s="6"/>
      <c r="Q131" s="186" t="s">
        <v>61</v>
      </c>
      <c r="R131" s="182"/>
      <c r="S131" s="182">
        <f>+AD132</f>
        <v>164048.36026075133</v>
      </c>
      <c r="T131" s="187">
        <f>+AE132</f>
        <v>14.6</v>
      </c>
      <c r="U131" s="182">
        <f>+T131*S131</f>
        <v>2395106.0598069695</v>
      </c>
      <c r="V131" s="5"/>
      <c r="W131" s="5"/>
      <c r="X131" s="5"/>
      <c r="Y131" s="5"/>
      <c r="AB131" s="5"/>
      <c r="AC131" s="5"/>
      <c r="AD131" s="5"/>
      <c r="AE131" s="5"/>
      <c r="AF131" s="5"/>
      <c r="AG131" s="5"/>
      <c r="AH131" s="5"/>
      <c r="AI131" s="5"/>
      <c r="AJ131" s="5"/>
    </row>
    <row r="132" spans="4:36" ht="16.899999999999999" customHeight="1" x14ac:dyDescent="0.25">
      <c r="D132" s="132"/>
      <c r="P132" s="6"/>
      <c r="Q132" s="186" t="s">
        <v>63</v>
      </c>
      <c r="R132" s="182"/>
      <c r="S132" s="188">
        <f>+AD133</f>
        <v>271829.3890607513</v>
      </c>
      <c r="T132" s="187">
        <f>+AE133</f>
        <v>10.1</v>
      </c>
      <c r="U132" s="188">
        <f>+T132*S132</f>
        <v>2745476.829513588</v>
      </c>
      <c r="V132" s="5"/>
      <c r="W132" s="5"/>
      <c r="X132" s="5"/>
      <c r="Y132" s="5"/>
      <c r="AB132" s="5">
        <f>+AB$52</f>
        <v>184563.08866075129</v>
      </c>
      <c r="AC132" s="5"/>
      <c r="AD132" s="5">
        <f>+AD116</f>
        <v>164048.36026075133</v>
      </c>
      <c r="AE132" s="5">
        <f>+AE$83</f>
        <v>14.6</v>
      </c>
      <c r="AF132" s="5"/>
      <c r="AG132" s="5"/>
      <c r="AH132" s="5"/>
      <c r="AI132" s="5"/>
      <c r="AJ132" s="5"/>
    </row>
    <row r="133" spans="4:36" ht="16.899999999999999" customHeight="1" x14ac:dyDescent="0.25">
      <c r="D133" s="132"/>
      <c r="P133" s="6"/>
      <c r="Q133" s="189" t="s">
        <v>65</v>
      </c>
      <c r="R133" s="182"/>
      <c r="S133" s="183"/>
      <c r="T133" s="182"/>
      <c r="U133" s="188">
        <f>ROUND((0.33*U131)+(0.67*U132),0)</f>
        <v>2629854</v>
      </c>
      <c r="V133" s="5"/>
      <c r="W133" s="5"/>
      <c r="X133" s="5"/>
      <c r="Y133" s="5"/>
      <c r="AB133" s="5"/>
      <c r="AC133" s="5"/>
      <c r="AD133" s="5">
        <f>+AD117</f>
        <v>271829.3890607513</v>
      </c>
      <c r="AE133" s="5">
        <f>+AE$84</f>
        <v>10.1</v>
      </c>
      <c r="AF133" s="5"/>
      <c r="AG133" s="5"/>
      <c r="AH133" s="5"/>
      <c r="AI133" s="5"/>
      <c r="AJ133" s="5"/>
    </row>
    <row r="134" spans="4:36" ht="16.899999999999999" customHeight="1" x14ac:dyDescent="0.25">
      <c r="D134" s="132"/>
      <c r="P134" s="6"/>
      <c r="Q134" s="186" t="str">
        <f>+Q118</f>
        <v>13th Year Present Value Factor (12)</v>
      </c>
      <c r="R134" s="182"/>
      <c r="S134" s="183"/>
      <c r="T134" s="182"/>
      <c r="U134" s="190">
        <f>+U101</f>
        <v>0.36149999999999999</v>
      </c>
      <c r="V134" s="5"/>
      <c r="W134" s="5"/>
      <c r="X134" s="5"/>
      <c r="Y134" s="5"/>
      <c r="AC134" s="5"/>
      <c r="AD134" s="5"/>
      <c r="AE134" s="5"/>
      <c r="AF134" s="5"/>
      <c r="AG134" s="5"/>
      <c r="AH134" s="5"/>
      <c r="AI134" s="5"/>
      <c r="AJ134" s="5"/>
    </row>
    <row r="135" spans="4:36" ht="16.899999999999999" customHeight="1" x14ac:dyDescent="0.25">
      <c r="D135" s="132"/>
      <c r="P135" s="6"/>
      <c r="Q135" s="186" t="s">
        <v>66</v>
      </c>
      <c r="R135" s="186"/>
      <c r="S135" s="183"/>
      <c r="T135" s="188"/>
      <c r="U135" s="188">
        <f>+U134*U133</f>
        <v>950692.22100000002</v>
      </c>
      <c r="V135" s="5"/>
      <c r="W135" s="5"/>
      <c r="X135" s="5"/>
      <c r="Y135" s="5"/>
      <c r="AB135" s="176">
        <f>+Z66</f>
        <v>0.38300000000000001</v>
      </c>
      <c r="AC135" s="5"/>
      <c r="AD135" s="177">
        <f>+AB135</f>
        <v>0.38300000000000001</v>
      </c>
      <c r="AE135" s="5"/>
      <c r="AF135" s="5"/>
      <c r="AG135" s="5"/>
      <c r="AH135" s="5"/>
      <c r="AI135" s="5"/>
      <c r="AJ135" s="5"/>
    </row>
    <row r="136" spans="4:36" ht="16.899999999999999" customHeight="1" x14ac:dyDescent="0.25">
      <c r="D136" s="132"/>
      <c r="P136" s="6"/>
      <c r="Q136" s="186" t="s">
        <v>67</v>
      </c>
      <c r="R136" s="186"/>
      <c r="S136" s="183"/>
      <c r="T136" s="186"/>
      <c r="U136" s="182"/>
      <c r="V136" s="5"/>
      <c r="W136" s="5"/>
      <c r="X136" s="5"/>
      <c r="Y136" s="5"/>
      <c r="AB136" s="5"/>
      <c r="AC136" s="5"/>
      <c r="AD136" s="5"/>
      <c r="AE136" s="5"/>
      <c r="AF136" s="5"/>
      <c r="AG136" s="5"/>
      <c r="AH136" s="5"/>
      <c r="AI136" s="5"/>
      <c r="AJ136" s="5"/>
    </row>
    <row r="137" spans="4:36" ht="16.899999999999999" customHeight="1" x14ac:dyDescent="0.25">
      <c r="D137" s="132"/>
      <c r="P137" s="6"/>
      <c r="Q137" s="186" t="str">
        <f>+Q$88</f>
        <v>Cash Flow for 13 Years</v>
      </c>
      <c r="R137" s="186"/>
      <c r="S137" s="183"/>
      <c r="T137" s="188"/>
      <c r="U137" s="188">
        <f>+AB138</f>
        <v>1499343.5544952198</v>
      </c>
      <c r="V137" s="5"/>
      <c r="W137" s="5"/>
      <c r="X137" s="5"/>
      <c r="Y137" s="5"/>
      <c r="AB137" s="5"/>
      <c r="AC137" s="5"/>
      <c r="AD137" s="5"/>
      <c r="AE137" s="5"/>
      <c r="AF137" s="5"/>
      <c r="AG137" s="5"/>
      <c r="AH137" s="5"/>
      <c r="AI137" s="5"/>
      <c r="AJ137" s="5"/>
    </row>
    <row r="138" spans="4:36" ht="16.899999999999999" customHeight="1" x14ac:dyDescent="0.25">
      <c r="D138" s="132"/>
      <c r="P138" s="6"/>
      <c r="Q138" s="186"/>
      <c r="R138" s="186"/>
      <c r="S138" s="183"/>
      <c r="T138" s="182"/>
      <c r="U138" s="182"/>
      <c r="V138" s="5"/>
      <c r="W138" s="5"/>
      <c r="X138" s="5"/>
      <c r="Y138" s="5"/>
      <c r="AB138" s="5">
        <f>+AB60</f>
        <v>1499343.5544952198</v>
      </c>
      <c r="AC138" s="5"/>
      <c r="AD138" s="5">
        <f>+AB138</f>
        <v>1499343.5544952198</v>
      </c>
      <c r="AE138" s="5"/>
      <c r="AF138" s="5"/>
      <c r="AG138" s="5"/>
      <c r="AH138" s="5"/>
      <c r="AI138" s="5"/>
      <c r="AJ138" s="5"/>
    </row>
    <row r="139" spans="4:36" ht="16.899999999999999" customHeight="1" x14ac:dyDescent="0.25">
      <c r="D139" s="132"/>
      <c r="P139" s="6"/>
      <c r="Q139" s="186" t="s">
        <v>68</v>
      </c>
      <c r="R139" s="186"/>
      <c r="S139" s="183"/>
      <c r="T139" s="188"/>
      <c r="U139" s="182">
        <f>+U135+U137</f>
        <v>2450035.77549522</v>
      </c>
      <c r="V139" s="5"/>
      <c r="W139" s="5"/>
      <c r="X139" s="5"/>
      <c r="Y139" s="5"/>
      <c r="AB139" s="5"/>
      <c r="AC139" s="5"/>
      <c r="AD139" s="5"/>
      <c r="AE139" s="5"/>
      <c r="AF139" s="5"/>
      <c r="AG139" s="5"/>
      <c r="AH139" s="5"/>
      <c r="AI139" s="5"/>
      <c r="AJ139" s="5"/>
    </row>
    <row r="140" spans="4:36" ht="16.899999999999999" customHeight="1" x14ac:dyDescent="0.25">
      <c r="D140" s="132"/>
      <c r="P140" s="6"/>
      <c r="Q140" s="182"/>
      <c r="R140" s="182"/>
      <c r="S140" s="183"/>
      <c r="T140" s="182"/>
      <c r="U140" s="182"/>
      <c r="V140" s="5"/>
      <c r="W140" s="5"/>
      <c r="X140" s="5"/>
      <c r="Y140" s="5"/>
      <c r="AB140" s="5"/>
      <c r="AC140" s="5"/>
      <c r="AD140" s="5"/>
      <c r="AE140" s="5"/>
      <c r="AF140" s="5"/>
      <c r="AG140" s="5"/>
      <c r="AH140" s="5"/>
      <c r="AI140" s="5"/>
      <c r="AJ140" s="5"/>
    </row>
    <row r="141" spans="4:36" ht="15" x14ac:dyDescent="0.25">
      <c r="D141" s="132"/>
      <c r="K141" s="32"/>
      <c r="L141" s="32"/>
      <c r="M141" s="19"/>
      <c r="N141" s="6"/>
      <c r="O141" s="32"/>
      <c r="P141" s="6"/>
      <c r="Q141" s="6"/>
      <c r="R141" s="5"/>
      <c r="S141" s="5"/>
      <c r="T141" s="5"/>
      <c r="U141" s="5"/>
      <c r="V141" s="5"/>
      <c r="W141" s="5"/>
      <c r="X141" s="5"/>
      <c r="Y141" s="5"/>
      <c r="AB141" s="5"/>
      <c r="AC141" s="5"/>
      <c r="AD141" s="5"/>
      <c r="AE141" s="5"/>
      <c r="AF141" s="5"/>
      <c r="AG141" s="5"/>
      <c r="AH141" s="5"/>
      <c r="AI141" s="5"/>
      <c r="AJ141" s="5"/>
    </row>
    <row r="142" spans="4:36" ht="15.75" x14ac:dyDescent="0.25">
      <c r="D142" s="132">
        <v>2</v>
      </c>
      <c r="L142" s="27" t="s">
        <v>72</v>
      </c>
      <c r="M142" s="19"/>
      <c r="N142" s="6"/>
      <c r="O142" s="32"/>
      <c r="P142" s="6"/>
      <c r="Q142" s="6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G142" s="5"/>
      <c r="AH142" s="5"/>
      <c r="AI142" s="5"/>
      <c r="AJ142" s="5"/>
    </row>
    <row r="143" spans="4:36" ht="16.5" thickBot="1" x14ac:dyDescent="0.3">
      <c r="D143" s="132">
        <v>2</v>
      </c>
      <c r="G143" s="27"/>
      <c r="L143" s="6"/>
      <c r="M143" s="6"/>
      <c r="N143" s="6"/>
      <c r="O143" s="6"/>
      <c r="P143" s="6"/>
      <c r="Q143" s="6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G143" s="5"/>
      <c r="AH143" s="5"/>
      <c r="AI143" s="5"/>
      <c r="AJ143" s="5"/>
    </row>
    <row r="144" spans="4:36" ht="15.75" thickBot="1" x14ac:dyDescent="0.3">
      <c r="D144" s="132">
        <v>3</v>
      </c>
      <c r="K144" s="34" t="str">
        <f>+"DCF With Capitalization of Terminal Value Model @ "&amp;TEXT(AB145,"0.00%")</f>
        <v>DCF With Capitalization of Terminal Value Model @ 3.84%</v>
      </c>
      <c r="L144" s="35"/>
      <c r="M144" s="35"/>
      <c r="N144" s="35"/>
      <c r="O144" s="36"/>
      <c r="P144" s="6"/>
      <c r="Q144" s="34" t="str">
        <f>+"DCF With EBIT &amp; EBITDA Terminal Value Model - Discount Rate of "&amp;TEXT(AD145,"0.00%")</f>
        <v>DCF With EBIT &amp; EBITDA Terminal Value Model - Discount Rate of 3.84%</v>
      </c>
      <c r="R144" s="35"/>
      <c r="S144" s="35"/>
      <c r="T144" s="35"/>
      <c r="U144" s="36"/>
      <c r="V144" s="5"/>
      <c r="W144" s="5"/>
      <c r="X144" s="5"/>
      <c r="Y144" s="5"/>
      <c r="AB144" s="5"/>
      <c r="AC144" s="5"/>
      <c r="AD144" s="5"/>
      <c r="AE144" s="5"/>
      <c r="AF144" s="5"/>
      <c r="AG144" s="5"/>
      <c r="AH144" s="5"/>
      <c r="AI144" s="5"/>
      <c r="AJ144" s="5"/>
    </row>
    <row r="145" spans="3:36" ht="15" x14ac:dyDescent="0.25">
      <c r="C145" s="168" t="s">
        <v>73</v>
      </c>
      <c r="D145" s="132">
        <v>3</v>
      </c>
      <c r="G145" s="29"/>
      <c r="K145" s="37"/>
      <c r="L145" s="38"/>
      <c r="M145" s="39"/>
      <c r="N145" s="40" t="s">
        <v>59</v>
      </c>
      <c r="O145" s="41"/>
      <c r="Q145" s="37"/>
      <c r="R145" s="38"/>
      <c r="S145" s="39"/>
      <c r="T145" s="38"/>
      <c r="U145" s="42" t="s">
        <v>59</v>
      </c>
      <c r="V145" s="5"/>
      <c r="W145" s="5"/>
      <c r="X145" s="5"/>
      <c r="Y145" s="5"/>
      <c r="AB145" s="171">
        <f>+AC70</f>
        <v>3.8399999999999997E-2</v>
      </c>
      <c r="AC145" s="5"/>
      <c r="AD145" s="171">
        <f>+AB145</f>
        <v>3.8399999999999997E-2</v>
      </c>
      <c r="AE145" s="5"/>
      <c r="AF145" s="5"/>
      <c r="AG145" s="5"/>
      <c r="AH145" s="5"/>
      <c r="AI145" s="5"/>
      <c r="AJ145" s="5"/>
    </row>
    <row r="146" spans="3:36" ht="15" x14ac:dyDescent="0.25">
      <c r="D146" s="132">
        <v>3</v>
      </c>
      <c r="K146" s="43"/>
      <c r="L146" s="32"/>
      <c r="M146" s="19"/>
      <c r="N146" s="44" t="s">
        <v>60</v>
      </c>
      <c r="O146" s="45"/>
      <c r="Q146" s="43"/>
      <c r="R146" s="32"/>
      <c r="S146" s="19"/>
      <c r="T146" s="44" t="str">
        <f>+T96</f>
        <v>Multiples (13)</v>
      </c>
      <c r="U146" s="46" t="s">
        <v>60</v>
      </c>
      <c r="V146" s="5"/>
      <c r="W146" s="5"/>
      <c r="X146" s="5"/>
      <c r="Y146" s="5"/>
      <c r="AB146" s="5"/>
      <c r="AC146" s="5"/>
      <c r="AD146" s="5"/>
      <c r="AE146" s="5"/>
      <c r="AF146" s="5"/>
      <c r="AG146" s="5"/>
      <c r="AH146" s="5"/>
      <c r="AI146" s="5"/>
      <c r="AJ146" s="5"/>
    </row>
    <row r="147" spans="3:36" ht="15" x14ac:dyDescent="0.25">
      <c r="D147" s="132">
        <v>3</v>
      </c>
      <c r="K147" s="43"/>
      <c r="L147" s="32"/>
      <c r="M147" s="19"/>
      <c r="N147" s="32"/>
      <c r="O147" s="45"/>
      <c r="Q147" s="43"/>
      <c r="R147" s="32"/>
      <c r="S147" s="19"/>
      <c r="T147" s="32"/>
      <c r="U147" s="47"/>
      <c r="V147" s="5"/>
      <c r="W147" s="5"/>
      <c r="X147" s="5"/>
      <c r="Y147" s="5"/>
      <c r="AB147" s="5"/>
      <c r="AC147" s="5"/>
      <c r="AD147" s="5"/>
      <c r="AE147" s="5"/>
      <c r="AF147" s="5"/>
      <c r="AG147" s="5"/>
      <c r="AH147" s="5"/>
      <c r="AI147" s="5"/>
      <c r="AJ147" s="5"/>
    </row>
    <row r="148" spans="3:36" ht="15" x14ac:dyDescent="0.25">
      <c r="D148" s="132">
        <v>3</v>
      </c>
      <c r="K148" s="48" t="str">
        <f t="shared" ref="K148:K154" si="60">+K115</f>
        <v>Projected Debt Free Net Cash Flow (10)</v>
      </c>
      <c r="L148" s="32"/>
      <c r="M148" s="32"/>
      <c r="N148" s="32">
        <f>+AB149</f>
        <v>184563.08866075129</v>
      </c>
      <c r="O148" s="45"/>
      <c r="Q148" s="49" t="s">
        <v>61</v>
      </c>
      <c r="R148" s="32"/>
      <c r="S148" s="32">
        <f>+AD149</f>
        <v>164048.36026075133</v>
      </c>
      <c r="T148" s="50">
        <f>+AE149</f>
        <v>14.6</v>
      </c>
      <c r="U148" s="47">
        <f>+T148*S148</f>
        <v>2395106.0598069695</v>
      </c>
      <c r="V148" s="5"/>
      <c r="W148" s="5"/>
      <c r="X148" s="5"/>
      <c r="Y148" s="5"/>
      <c r="AB148" s="5"/>
      <c r="AC148" s="5"/>
      <c r="AD148" s="5"/>
      <c r="AE148" s="5"/>
      <c r="AF148" s="5"/>
      <c r="AG148" s="5"/>
      <c r="AH148" s="5"/>
      <c r="AI148" s="5"/>
      <c r="AJ148" s="5"/>
    </row>
    <row r="149" spans="3:36" ht="16.899999999999999" customHeight="1" x14ac:dyDescent="0.25">
      <c r="D149" s="132">
        <v>3</v>
      </c>
      <c r="K149" s="48" t="str">
        <f t="shared" si="60"/>
        <v>Divided by Capitalization Factor (8)</v>
      </c>
      <c r="L149" s="32"/>
      <c r="M149" s="33"/>
      <c r="N149" s="51">
        <f>+AB145</f>
        <v>3.8399999999999997E-2</v>
      </c>
      <c r="O149" s="45"/>
      <c r="Q149" s="49" t="s">
        <v>63</v>
      </c>
      <c r="R149" s="32"/>
      <c r="S149" s="33">
        <f>+AD150</f>
        <v>271829.3890607513</v>
      </c>
      <c r="T149" s="50">
        <f>+AE150</f>
        <v>10.1</v>
      </c>
      <c r="U149" s="52">
        <f>+T149*S149</f>
        <v>2745476.829513588</v>
      </c>
      <c r="V149" s="5"/>
      <c r="W149" s="5"/>
      <c r="X149" s="5"/>
      <c r="Y149" s="5"/>
      <c r="AB149" s="5">
        <f>+AB$52</f>
        <v>184563.08866075129</v>
      </c>
      <c r="AC149" s="5"/>
      <c r="AD149" s="5">
        <f>+Z$42</f>
        <v>164048.36026075133</v>
      </c>
      <c r="AE149" s="5">
        <f>+AE$83</f>
        <v>14.6</v>
      </c>
      <c r="AF149" s="5"/>
      <c r="AG149" s="5"/>
      <c r="AH149" s="5"/>
      <c r="AI149" s="5"/>
      <c r="AJ149" s="5"/>
    </row>
    <row r="150" spans="3:36" ht="16.899999999999999" customHeight="1" x14ac:dyDescent="0.25">
      <c r="D150" s="132">
        <v>3</v>
      </c>
      <c r="K150" s="48" t="str">
        <f t="shared" si="60"/>
        <v>13th Year Terminal Value</v>
      </c>
      <c r="L150" s="32"/>
      <c r="M150" s="19"/>
      <c r="N150" s="33">
        <f>+N148/N149</f>
        <v>4806330.4338737316</v>
      </c>
      <c r="O150" s="45"/>
      <c r="Q150" s="53" t="s">
        <v>65</v>
      </c>
      <c r="R150" s="32"/>
      <c r="S150" s="19"/>
      <c r="T150" s="32"/>
      <c r="U150" s="54">
        <f>ROUND((0.33*U148)+(0.67*U149),0)</f>
        <v>2629854</v>
      </c>
      <c r="V150" s="5"/>
      <c r="W150" s="5"/>
      <c r="X150" s="5"/>
      <c r="Y150" s="5"/>
      <c r="AB150" s="5"/>
      <c r="AC150" s="5"/>
      <c r="AD150" s="5">
        <f>+Z$41</f>
        <v>271829.3890607513</v>
      </c>
      <c r="AE150" s="5">
        <f>+AE$84</f>
        <v>10.1</v>
      </c>
      <c r="AF150" s="5"/>
      <c r="AG150" s="5"/>
      <c r="AH150" s="5"/>
      <c r="AI150" s="5"/>
      <c r="AJ150" s="5"/>
    </row>
    <row r="151" spans="3:36" ht="16.899999999999999" customHeight="1" x14ac:dyDescent="0.25">
      <c r="D151" s="132">
        <v>3</v>
      </c>
      <c r="K151" s="48" t="str">
        <f t="shared" si="60"/>
        <v>13th Year Present Value Factor (11)</v>
      </c>
      <c r="L151" s="32"/>
      <c r="M151" s="19"/>
      <c r="N151" s="55">
        <f>+AB152</f>
        <v>0.62439999999999996</v>
      </c>
      <c r="O151" s="45"/>
      <c r="Q151" s="49" t="str">
        <f>+K151</f>
        <v>13th Year Present Value Factor (11)</v>
      </c>
      <c r="R151" s="32"/>
      <c r="S151" s="19"/>
      <c r="T151" s="32"/>
      <c r="U151" s="56">
        <f>+AD152</f>
        <v>0.62439999999999996</v>
      </c>
      <c r="V151" s="5"/>
      <c r="W151" s="5"/>
      <c r="X151" s="5"/>
      <c r="Y151" s="5"/>
      <c r="AC151" s="5"/>
      <c r="AD151" s="5"/>
      <c r="AE151" s="5"/>
      <c r="AF151" s="5"/>
      <c r="AG151" s="5"/>
      <c r="AH151" s="5"/>
      <c r="AI151" s="5"/>
      <c r="AJ151" s="5"/>
    </row>
    <row r="152" spans="3:36" ht="16.899999999999999" customHeight="1" x14ac:dyDescent="0.25">
      <c r="D152" s="132">
        <v>3</v>
      </c>
      <c r="K152" s="48" t="str">
        <f t="shared" si="60"/>
        <v>Present Value of Terminal Value</v>
      </c>
      <c r="L152" s="57"/>
      <c r="M152" s="19"/>
      <c r="N152" s="58">
        <f>+N151*N150</f>
        <v>3001072.7229107576</v>
      </c>
      <c r="O152" s="45"/>
      <c r="Q152" s="49" t="s">
        <v>66</v>
      </c>
      <c r="R152" s="57"/>
      <c r="S152" s="19"/>
      <c r="T152" s="33"/>
      <c r="U152" s="59">
        <f>+U151*U150</f>
        <v>1642080.8376</v>
      </c>
      <c r="V152" s="5"/>
      <c r="W152" s="5"/>
      <c r="X152" s="5"/>
      <c r="Y152" s="5"/>
      <c r="AA152" s="2" t="s">
        <v>74</v>
      </c>
      <c r="AB152" s="176">
        <f>+Z70</f>
        <v>0.62439999999999996</v>
      </c>
      <c r="AC152" s="5"/>
      <c r="AD152" s="177">
        <f>+AB152</f>
        <v>0.62439999999999996</v>
      </c>
      <c r="AE152" s="5"/>
      <c r="AF152" s="5"/>
      <c r="AG152" s="5"/>
      <c r="AH152" s="5"/>
      <c r="AI152" s="5"/>
      <c r="AJ152" s="5"/>
    </row>
    <row r="153" spans="3:36" ht="16.899999999999999" customHeight="1" x14ac:dyDescent="0.25">
      <c r="D153" s="132">
        <v>3</v>
      </c>
      <c r="K153" s="48" t="str">
        <f t="shared" si="60"/>
        <v>Present Value Debt Free Net</v>
      </c>
      <c r="L153" s="57"/>
      <c r="M153" s="19"/>
      <c r="N153" s="32"/>
      <c r="O153" s="45"/>
      <c r="Q153" s="49" t="s">
        <v>67</v>
      </c>
      <c r="R153" s="57"/>
      <c r="S153" s="19"/>
      <c r="T153" s="57"/>
      <c r="U153" s="47"/>
      <c r="V153" s="5"/>
      <c r="W153" s="5"/>
      <c r="X153" s="5"/>
      <c r="Y153" s="5"/>
      <c r="AB153" s="5"/>
      <c r="AC153" s="5"/>
      <c r="AD153" s="5"/>
      <c r="AE153" s="5"/>
      <c r="AF153" s="5"/>
      <c r="AG153" s="5"/>
      <c r="AH153" s="5"/>
      <c r="AI153" s="5"/>
      <c r="AJ153" s="5"/>
    </row>
    <row r="154" spans="3:36" ht="16.899999999999999" customHeight="1" x14ac:dyDescent="0.25">
      <c r="D154" s="132">
        <v>3</v>
      </c>
      <c r="K154" s="48" t="str">
        <f t="shared" si="60"/>
        <v>Cash Flow for 13 Years</v>
      </c>
      <c r="L154" s="57"/>
      <c r="M154" s="19"/>
      <c r="N154" s="60">
        <f>+AB155</f>
        <v>1918617.4312819017</v>
      </c>
      <c r="O154" s="45"/>
      <c r="Q154" s="49" t="str">
        <f>+Q$88</f>
        <v>Cash Flow for 13 Years</v>
      </c>
      <c r="R154" s="57"/>
      <c r="S154" s="19"/>
      <c r="T154" s="33"/>
      <c r="U154" s="52">
        <f>+AD155</f>
        <v>1918617.4312819017</v>
      </c>
      <c r="V154" s="5"/>
      <c r="W154" s="5"/>
      <c r="X154" s="5"/>
      <c r="Y154" s="5"/>
      <c r="AB154" s="5"/>
      <c r="AC154" s="5"/>
      <c r="AD154" s="5"/>
      <c r="AE154" s="5"/>
      <c r="AF154" s="5"/>
      <c r="AG154" s="5"/>
      <c r="AH154" s="5"/>
    </row>
    <row r="155" spans="3:36" ht="16.899999999999999" customHeight="1" x14ac:dyDescent="0.25">
      <c r="D155" s="132">
        <v>3</v>
      </c>
      <c r="K155" s="48"/>
      <c r="L155" s="57"/>
      <c r="M155" s="19"/>
      <c r="N155" s="32"/>
      <c r="O155" s="45"/>
      <c r="Q155" s="49"/>
      <c r="R155" s="57"/>
      <c r="S155" s="19"/>
      <c r="T155" s="32"/>
      <c r="U155" s="47"/>
      <c r="V155" s="5"/>
      <c r="W155" s="5"/>
      <c r="X155" s="5"/>
      <c r="Y155" s="5"/>
      <c r="AB155" s="5">
        <f>+AB72</f>
        <v>1918617.4312819017</v>
      </c>
      <c r="AC155" s="5"/>
      <c r="AD155" s="5">
        <f>+AB155</f>
        <v>1918617.4312819017</v>
      </c>
      <c r="AE155" s="5"/>
      <c r="AF155" s="5"/>
      <c r="AG155" s="5"/>
      <c r="AH155" s="5"/>
    </row>
    <row r="156" spans="3:36" ht="16.899999999999999" customHeight="1" thickBot="1" x14ac:dyDescent="0.3">
      <c r="D156" s="132">
        <v>3</v>
      </c>
      <c r="K156" s="48" t="s">
        <v>68</v>
      </c>
      <c r="L156" s="57"/>
      <c r="M156" s="19"/>
      <c r="N156" s="20">
        <f>+N152+N154</f>
        <v>4919690.1541926591</v>
      </c>
      <c r="O156" s="45"/>
      <c r="Q156" s="49" t="s">
        <v>68</v>
      </c>
      <c r="R156" s="57"/>
      <c r="S156" s="19"/>
      <c r="T156" s="33"/>
      <c r="U156" s="61">
        <f>+U152+U154</f>
        <v>3560698.2688819016</v>
      </c>
      <c r="V156" s="5"/>
      <c r="W156" s="5"/>
      <c r="X156" s="5"/>
      <c r="Y156" s="5"/>
      <c r="AB156" s="5"/>
      <c r="AC156" s="5"/>
      <c r="AD156" s="5"/>
      <c r="AE156" s="5"/>
      <c r="AF156" s="5"/>
      <c r="AG156" s="5"/>
      <c r="AH156" s="5"/>
    </row>
    <row r="157" spans="3:36" ht="16.899999999999999" customHeight="1" thickTop="1" thickBot="1" x14ac:dyDescent="0.3">
      <c r="D157" s="132">
        <v>3</v>
      </c>
      <c r="K157" s="62"/>
      <c r="L157" s="63"/>
      <c r="M157" s="64"/>
      <c r="N157" s="63"/>
      <c r="O157" s="65"/>
      <c r="Q157" s="62"/>
      <c r="R157" s="63"/>
      <c r="S157" s="64"/>
      <c r="T157" s="63"/>
      <c r="U157" s="65"/>
      <c r="V157" s="5"/>
      <c r="W157" s="5"/>
      <c r="X157" s="5"/>
      <c r="Y157" s="5"/>
      <c r="AB157" s="5"/>
      <c r="AC157" s="5"/>
      <c r="AD157" s="5"/>
      <c r="AE157" s="5"/>
      <c r="AF157" s="5"/>
      <c r="AG157" s="5"/>
      <c r="AH157" s="5"/>
    </row>
    <row r="158" spans="3:36" ht="15" x14ac:dyDescent="0.25">
      <c r="D158" s="132">
        <v>3</v>
      </c>
      <c r="K158" s="6"/>
      <c r="L158" s="5"/>
      <c r="M158" s="5"/>
      <c r="N158" s="5"/>
      <c r="O158" s="5"/>
      <c r="P158" s="6"/>
      <c r="Q158" s="6"/>
      <c r="R158" s="5"/>
      <c r="S158" s="5"/>
      <c r="T158" s="5"/>
      <c r="U158" s="5"/>
      <c r="V158" s="5"/>
      <c r="W158" s="5"/>
      <c r="X158" s="5"/>
      <c r="Y158" s="5"/>
      <c r="AB158" s="5"/>
      <c r="AC158" s="5"/>
      <c r="AD158" s="5"/>
      <c r="AE158" s="5"/>
      <c r="AF158" s="5"/>
      <c r="AG158" s="5"/>
      <c r="AH158" s="5"/>
    </row>
    <row r="159" spans="3:36" ht="15.75" thickBot="1" x14ac:dyDescent="0.3">
      <c r="D159" s="132">
        <v>3</v>
      </c>
      <c r="K159" s="6"/>
      <c r="L159" s="5"/>
      <c r="M159" s="5"/>
      <c r="N159" s="5"/>
      <c r="O159" s="5"/>
      <c r="P159" s="6"/>
      <c r="Q159" s="6"/>
      <c r="R159" s="5"/>
      <c r="S159" s="5"/>
      <c r="T159" s="5"/>
      <c r="U159" s="5"/>
      <c r="V159" s="5"/>
      <c r="W159" s="5"/>
      <c r="X159" s="5"/>
      <c r="Y159" s="5"/>
      <c r="AB159" s="5"/>
      <c r="AC159" s="5"/>
      <c r="AD159" s="5"/>
      <c r="AE159" s="5"/>
      <c r="AF159" s="5"/>
      <c r="AG159" s="5"/>
      <c r="AH159" s="5"/>
    </row>
    <row r="160" spans="3:36" ht="15.75" thickBot="1" x14ac:dyDescent="0.3">
      <c r="D160" s="132">
        <v>3</v>
      </c>
      <c r="K160" s="34" t="str">
        <f>+"DCF With Capitalization of Terminal Value Model @ "&amp;TEXT(AB161,"0.00%")</f>
        <v>DCF With Capitalization of Terminal Value Model @ 3.34%</v>
      </c>
      <c r="L160" s="35"/>
      <c r="M160" s="35"/>
      <c r="N160" s="35"/>
      <c r="O160" s="36"/>
      <c r="P160" s="6"/>
      <c r="Q160" s="34" t="str">
        <f>+"DCF With EBIT &amp; EBITDA Terminal Value Model - Discount Rate of "&amp;TEXT(AD161,"0.00%")</f>
        <v>DCF With EBIT &amp; EBITDA Terminal Value Model - Discount Rate of 3.34%</v>
      </c>
      <c r="R160" s="35"/>
      <c r="S160" s="35"/>
      <c r="T160" s="35"/>
      <c r="U160" s="36"/>
      <c r="V160" s="5"/>
      <c r="W160" s="5"/>
      <c r="X160" s="5"/>
      <c r="Y160" s="5"/>
      <c r="AB160" s="5"/>
      <c r="AC160" s="5"/>
      <c r="AD160" s="5"/>
      <c r="AE160" s="5"/>
      <c r="AF160" s="5"/>
      <c r="AG160" s="5"/>
      <c r="AH160" s="5"/>
    </row>
    <row r="161" spans="3:34" ht="15" x14ac:dyDescent="0.25">
      <c r="C161" s="168" t="s">
        <v>75</v>
      </c>
      <c r="D161" s="132">
        <v>3</v>
      </c>
      <c r="K161" s="37"/>
      <c r="L161" s="38"/>
      <c r="M161" s="39"/>
      <c r="N161" s="40" t="s">
        <v>59</v>
      </c>
      <c r="O161" s="41"/>
      <c r="P161" s="6"/>
      <c r="Q161" s="37"/>
      <c r="R161" s="38"/>
      <c r="S161" s="39"/>
      <c r="T161" s="38"/>
      <c r="U161" s="42" t="s">
        <v>59</v>
      </c>
      <c r="V161" s="5"/>
      <c r="W161" s="5"/>
      <c r="X161" s="5"/>
      <c r="Y161" s="5"/>
      <c r="AB161" s="171">
        <f>+AC74</f>
        <v>3.3399999999999999E-2</v>
      </c>
      <c r="AC161" s="5"/>
      <c r="AD161" s="171">
        <f>+AB161</f>
        <v>3.3399999999999999E-2</v>
      </c>
      <c r="AE161" s="5"/>
      <c r="AF161" s="5"/>
      <c r="AG161" s="5"/>
      <c r="AH161" s="5"/>
    </row>
    <row r="162" spans="3:34" ht="15" x14ac:dyDescent="0.25">
      <c r="D162" s="132">
        <v>3</v>
      </c>
      <c r="K162" s="43"/>
      <c r="L162" s="32"/>
      <c r="M162" s="19"/>
      <c r="N162" s="44" t="s">
        <v>60</v>
      </c>
      <c r="O162" s="45"/>
      <c r="P162" s="6"/>
      <c r="Q162" s="43"/>
      <c r="R162" s="32"/>
      <c r="S162" s="19"/>
      <c r="T162" s="44" t="str">
        <f>+T146</f>
        <v>Multiples (13)</v>
      </c>
      <c r="U162" s="46" t="s">
        <v>60</v>
      </c>
      <c r="V162" s="5"/>
      <c r="W162" s="5"/>
      <c r="X162" s="5"/>
      <c r="Y162" s="5"/>
      <c r="AB162" s="5"/>
      <c r="AC162" s="5"/>
      <c r="AD162" s="5"/>
      <c r="AE162" s="5"/>
      <c r="AF162" s="5"/>
      <c r="AG162" s="5"/>
      <c r="AH162" s="5"/>
    </row>
    <row r="163" spans="3:34" ht="15" x14ac:dyDescent="0.25">
      <c r="D163" s="132">
        <v>3</v>
      </c>
      <c r="K163" s="43"/>
      <c r="L163" s="32"/>
      <c r="M163" s="19"/>
      <c r="N163" s="32"/>
      <c r="O163" s="45"/>
      <c r="P163" s="6"/>
      <c r="Q163" s="43"/>
      <c r="R163" s="32"/>
      <c r="S163" s="19"/>
      <c r="T163" s="32"/>
      <c r="U163" s="47"/>
      <c r="V163" s="5"/>
      <c r="W163" s="5"/>
      <c r="X163" s="5"/>
      <c r="Y163" s="5"/>
      <c r="AB163" s="5"/>
      <c r="AC163" s="5"/>
      <c r="AD163" s="5"/>
      <c r="AE163" s="5"/>
      <c r="AF163" s="5"/>
      <c r="AG163" s="5"/>
      <c r="AH163" s="5"/>
    </row>
    <row r="164" spans="3:34" ht="15" x14ac:dyDescent="0.25">
      <c r="D164" s="132">
        <v>3</v>
      </c>
      <c r="K164" s="48" t="str">
        <f t="shared" ref="K164:K170" si="61">+Q115</f>
        <v>Projected Debt Free Net Cash Flow (10)</v>
      </c>
      <c r="L164" s="32"/>
      <c r="M164" s="32"/>
      <c r="N164" s="32">
        <f>+AB165</f>
        <v>184563.08866075129</v>
      </c>
      <c r="O164" s="45"/>
      <c r="P164" s="6"/>
      <c r="Q164" s="49" t="s">
        <v>61</v>
      </c>
      <c r="R164" s="32"/>
      <c r="S164" s="32">
        <f>+AD165</f>
        <v>164048.36026075133</v>
      </c>
      <c r="T164" s="50">
        <f>+AE165</f>
        <v>14.6</v>
      </c>
      <c r="U164" s="47">
        <f>+T164*S164</f>
        <v>2395106.0598069695</v>
      </c>
      <c r="V164" s="5"/>
      <c r="W164" s="5"/>
      <c r="X164" s="5"/>
      <c r="Y164" s="5"/>
      <c r="AB164" s="5"/>
      <c r="AC164" s="5"/>
      <c r="AD164" s="5"/>
      <c r="AE164" s="5"/>
      <c r="AF164" s="5"/>
      <c r="AG164" s="5"/>
      <c r="AH164" s="5"/>
    </row>
    <row r="165" spans="3:34" ht="16.899999999999999" customHeight="1" x14ac:dyDescent="0.25">
      <c r="D165" s="132">
        <v>3</v>
      </c>
      <c r="K165" s="48" t="str">
        <f t="shared" si="61"/>
        <v>Divided by Capitalization Factor (9)</v>
      </c>
      <c r="L165" s="32"/>
      <c r="M165" s="33"/>
      <c r="N165" s="51">
        <f>+AB161</f>
        <v>3.3399999999999999E-2</v>
      </c>
      <c r="O165" s="45"/>
      <c r="P165" s="6"/>
      <c r="Q165" s="49" t="s">
        <v>63</v>
      </c>
      <c r="R165" s="32"/>
      <c r="S165" s="33">
        <f>+AD166</f>
        <v>271829.3890607513</v>
      </c>
      <c r="T165" s="50">
        <f>+AE166</f>
        <v>10.1</v>
      </c>
      <c r="U165" s="52">
        <f>+T165*S165</f>
        <v>2745476.829513588</v>
      </c>
      <c r="V165" s="5"/>
      <c r="W165" s="5"/>
      <c r="X165" s="5"/>
      <c r="Y165" s="5"/>
      <c r="AB165" s="5">
        <f>+AB$52</f>
        <v>184563.08866075129</v>
      </c>
      <c r="AC165" s="5"/>
      <c r="AD165" s="5">
        <f>+AD149</f>
        <v>164048.36026075133</v>
      </c>
      <c r="AE165" s="5">
        <f>+AE$83</f>
        <v>14.6</v>
      </c>
      <c r="AF165" s="5"/>
      <c r="AG165" s="5"/>
      <c r="AH165" s="5"/>
    </row>
    <row r="166" spans="3:34" ht="16.899999999999999" customHeight="1" x14ac:dyDescent="0.25">
      <c r="D166" s="132">
        <v>3</v>
      </c>
      <c r="K166" s="48" t="str">
        <f t="shared" si="61"/>
        <v>13th Year Terminal Value</v>
      </c>
      <c r="L166" s="32"/>
      <c r="M166" s="19"/>
      <c r="N166" s="33">
        <f>+N164/N165</f>
        <v>5525840.9778668052</v>
      </c>
      <c r="O166" s="45"/>
      <c r="P166" s="6"/>
      <c r="Q166" s="53" t="s">
        <v>65</v>
      </c>
      <c r="R166" s="32"/>
      <c r="S166" s="19"/>
      <c r="T166" s="32"/>
      <c r="U166" s="54">
        <f>ROUND((0.33*U164)+(0.67*U165),0)</f>
        <v>2629854</v>
      </c>
      <c r="V166" s="5"/>
      <c r="W166" s="5"/>
      <c r="X166" s="5"/>
      <c r="Y166" s="5"/>
      <c r="AB166" s="5"/>
      <c r="AC166" s="5"/>
      <c r="AD166" s="5">
        <f>+AD150</f>
        <v>271829.3890607513</v>
      </c>
      <c r="AE166" s="5">
        <f>+AE$84</f>
        <v>10.1</v>
      </c>
      <c r="AF166" s="5"/>
      <c r="AG166" s="5"/>
      <c r="AH166" s="5"/>
    </row>
    <row r="167" spans="3:34" ht="16.899999999999999" customHeight="1" x14ac:dyDescent="0.25">
      <c r="D167" s="132">
        <v>3</v>
      </c>
      <c r="K167" s="48" t="str">
        <f t="shared" si="61"/>
        <v>13th Year Present Value Factor (12)</v>
      </c>
      <c r="L167" s="32"/>
      <c r="M167" s="19"/>
      <c r="N167" s="55">
        <f>+N151</f>
        <v>0.62439999999999996</v>
      </c>
      <c r="O167" s="45"/>
      <c r="P167" s="6"/>
      <c r="Q167" s="49" t="str">
        <f>+K167</f>
        <v>13th Year Present Value Factor (12)</v>
      </c>
      <c r="R167" s="32"/>
      <c r="S167" s="19"/>
      <c r="T167" s="32"/>
      <c r="U167" s="56">
        <f>+AD168</f>
        <v>0.62439999999999996</v>
      </c>
      <c r="V167" s="5"/>
      <c r="W167" s="5"/>
      <c r="X167" s="5"/>
      <c r="Y167" s="5"/>
      <c r="AC167" s="5"/>
      <c r="AD167" s="5"/>
      <c r="AE167" s="5"/>
      <c r="AF167" s="5"/>
      <c r="AG167" s="5"/>
      <c r="AH167" s="5"/>
    </row>
    <row r="168" spans="3:34" ht="16.899999999999999" customHeight="1" x14ac:dyDescent="0.25">
      <c r="D168" s="132">
        <v>3</v>
      </c>
      <c r="K168" s="48" t="str">
        <f t="shared" si="61"/>
        <v>Present Value of Terminal Value</v>
      </c>
      <c r="L168" s="57"/>
      <c r="M168" s="19"/>
      <c r="N168" s="58">
        <f>+N167*N166</f>
        <v>3450335.106580033</v>
      </c>
      <c r="O168" s="45"/>
      <c r="P168" s="6"/>
      <c r="Q168" s="49" t="s">
        <v>66</v>
      </c>
      <c r="R168" s="57"/>
      <c r="S168" s="19"/>
      <c r="T168" s="33"/>
      <c r="U168" s="59">
        <f>+U167*U166</f>
        <v>1642080.8376</v>
      </c>
      <c r="V168" s="5"/>
      <c r="W168" s="5"/>
      <c r="X168" s="5"/>
      <c r="Y168" s="5"/>
      <c r="AB168" s="176">
        <f>+Z70</f>
        <v>0.62439999999999996</v>
      </c>
      <c r="AC168" s="5"/>
      <c r="AD168" s="177">
        <f>+AB168</f>
        <v>0.62439999999999996</v>
      </c>
      <c r="AE168" s="5"/>
      <c r="AF168" s="5"/>
      <c r="AG168" s="5"/>
      <c r="AH168" s="5"/>
    </row>
    <row r="169" spans="3:34" ht="16.899999999999999" customHeight="1" x14ac:dyDescent="0.25">
      <c r="D169" s="132">
        <v>3</v>
      </c>
      <c r="K169" s="48" t="str">
        <f t="shared" si="61"/>
        <v>Present Value Debt Free Net</v>
      </c>
      <c r="L169" s="57"/>
      <c r="M169" s="19"/>
      <c r="N169" s="32"/>
      <c r="O169" s="45"/>
      <c r="P169" s="6"/>
      <c r="Q169" s="49" t="s">
        <v>67</v>
      </c>
      <c r="R169" s="57"/>
      <c r="S169" s="19"/>
      <c r="T169" s="57"/>
      <c r="U169" s="47"/>
      <c r="V169" s="5"/>
      <c r="W169" s="5"/>
      <c r="X169" s="5"/>
      <c r="Y169" s="5"/>
      <c r="AB169" s="5"/>
      <c r="AC169" s="5"/>
      <c r="AD169" s="5"/>
      <c r="AE169" s="5"/>
      <c r="AF169" s="5"/>
      <c r="AG169" s="5"/>
      <c r="AH169" s="5"/>
    </row>
    <row r="170" spans="3:34" ht="16.899999999999999" customHeight="1" x14ac:dyDescent="0.25">
      <c r="D170" s="132">
        <v>3</v>
      </c>
      <c r="K170" s="48" t="str">
        <f t="shared" si="61"/>
        <v>Cash Flow for 13 Years</v>
      </c>
      <c r="L170" s="57"/>
      <c r="M170" s="19"/>
      <c r="N170" s="60">
        <f>+AB171</f>
        <v>1918617.4312819017</v>
      </c>
      <c r="O170" s="45"/>
      <c r="P170" s="6"/>
      <c r="Q170" s="49" t="str">
        <f>+Q$88</f>
        <v>Cash Flow for 13 Years</v>
      </c>
      <c r="R170" s="57"/>
      <c r="S170" s="19"/>
      <c r="T170" s="33"/>
      <c r="U170" s="52">
        <f>+AD171</f>
        <v>1918617.4312819017</v>
      </c>
      <c r="V170" s="5"/>
      <c r="W170" s="5"/>
      <c r="X170" s="5"/>
      <c r="Y170" s="5"/>
      <c r="AB170" s="5"/>
      <c r="AC170" s="5"/>
      <c r="AD170" s="5"/>
      <c r="AE170" s="5"/>
      <c r="AF170" s="5"/>
      <c r="AG170" s="5"/>
      <c r="AH170" s="5"/>
    </row>
    <row r="171" spans="3:34" ht="16.899999999999999" customHeight="1" x14ac:dyDescent="0.25">
      <c r="D171" s="132">
        <v>3</v>
      </c>
      <c r="K171" s="48"/>
      <c r="L171" s="57"/>
      <c r="M171" s="19"/>
      <c r="N171" s="32"/>
      <c r="O171" s="45"/>
      <c r="P171" s="6"/>
      <c r="Q171" s="49"/>
      <c r="R171" s="57"/>
      <c r="S171" s="19"/>
      <c r="T171" s="32"/>
      <c r="U171" s="47"/>
      <c r="V171" s="5"/>
      <c r="W171" s="5"/>
      <c r="X171" s="5"/>
      <c r="Y171" s="5"/>
      <c r="AB171" s="5">
        <f>+AB72</f>
        <v>1918617.4312819017</v>
      </c>
      <c r="AC171" s="5"/>
      <c r="AD171" s="5">
        <f>+AB171</f>
        <v>1918617.4312819017</v>
      </c>
      <c r="AE171" s="5"/>
      <c r="AF171" s="5"/>
      <c r="AG171" s="5"/>
      <c r="AH171" s="5"/>
    </row>
    <row r="172" spans="3:34" ht="16.899999999999999" customHeight="1" thickBot="1" x14ac:dyDescent="0.3">
      <c r="D172" s="132">
        <v>3</v>
      </c>
      <c r="K172" s="48" t="s">
        <v>68</v>
      </c>
      <c r="L172" s="57"/>
      <c r="M172" s="19"/>
      <c r="N172" s="20">
        <f>+N168+N170</f>
        <v>5368952.5378619349</v>
      </c>
      <c r="O172" s="45"/>
      <c r="P172" s="6"/>
      <c r="Q172" s="49" t="s">
        <v>68</v>
      </c>
      <c r="R172" s="57"/>
      <c r="S172" s="19"/>
      <c r="T172" s="33"/>
      <c r="U172" s="61">
        <f>+U168+U170</f>
        <v>3560698.2688819016</v>
      </c>
      <c r="V172" s="5"/>
      <c r="W172" s="5"/>
      <c r="X172" s="5"/>
      <c r="Y172" s="5"/>
      <c r="AB172" s="5"/>
      <c r="AC172" s="5"/>
      <c r="AD172" s="5"/>
      <c r="AE172" s="5"/>
      <c r="AF172" s="5"/>
      <c r="AG172" s="5"/>
      <c r="AH172" s="5"/>
    </row>
    <row r="173" spans="3:34" ht="16.899999999999999" customHeight="1" thickTop="1" thickBot="1" x14ac:dyDescent="0.3">
      <c r="D173" s="132">
        <v>3</v>
      </c>
      <c r="K173" s="62"/>
      <c r="L173" s="63"/>
      <c r="M173" s="64"/>
      <c r="N173" s="63"/>
      <c r="O173" s="65"/>
      <c r="P173" s="6"/>
      <c r="Q173" s="62"/>
      <c r="R173" s="63"/>
      <c r="S173" s="64"/>
      <c r="T173" s="63"/>
      <c r="U173" s="65"/>
      <c r="V173" s="5"/>
      <c r="W173" s="5"/>
      <c r="X173" s="5"/>
      <c r="Y173" s="5"/>
      <c r="AB173" s="5"/>
      <c r="AC173" s="5"/>
      <c r="AD173" s="5"/>
      <c r="AE173" s="5"/>
      <c r="AF173" s="5"/>
      <c r="AG173" s="5"/>
      <c r="AH173" s="5"/>
    </row>
    <row r="174" spans="3:34" ht="15" x14ac:dyDescent="0.25">
      <c r="D174" s="132">
        <v>3</v>
      </c>
      <c r="S174" s="5"/>
      <c r="T174" s="5"/>
      <c r="U174" s="5"/>
      <c r="V174" s="5"/>
      <c r="W174" s="5"/>
      <c r="X174" s="5"/>
      <c r="Y174" s="5"/>
      <c r="AB174" s="5"/>
      <c r="AC174" s="5"/>
      <c r="AD174" s="5"/>
      <c r="AE174" s="5"/>
      <c r="AF174" s="5"/>
      <c r="AG174" s="5"/>
      <c r="AH174" s="5"/>
    </row>
    <row r="175" spans="3:34" ht="15" x14ac:dyDescent="0.25">
      <c r="D175" s="132">
        <v>3</v>
      </c>
      <c r="H175" s="32"/>
      <c r="I175" s="32"/>
      <c r="J175" s="19"/>
      <c r="K175" s="6"/>
      <c r="L175" s="32"/>
      <c r="M175" s="6"/>
      <c r="N175" s="6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</row>
    <row r="176" spans="3:34" ht="15.75" x14ac:dyDescent="0.25">
      <c r="D176" s="132">
        <v>3</v>
      </c>
      <c r="G176" s="26" t="s">
        <v>57</v>
      </c>
      <c r="H176" s="32"/>
      <c r="I176" s="32"/>
      <c r="J176" s="19"/>
      <c r="K176" s="6"/>
      <c r="L176" s="32"/>
      <c r="M176" s="6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</row>
    <row r="177" spans="1:29" ht="15" x14ac:dyDescent="0.25">
      <c r="D177" s="132">
        <v>4</v>
      </c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</row>
    <row r="178" spans="1:29" ht="31.5" customHeight="1" x14ac:dyDescent="0.25">
      <c r="D178" s="132">
        <v>4</v>
      </c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</row>
    <row r="179" spans="1:29" ht="15" x14ac:dyDescent="0.25">
      <c r="D179" s="132">
        <v>4</v>
      </c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</row>
    <row r="180" spans="1:29" ht="55.5" customHeight="1" x14ac:dyDescent="0.25">
      <c r="A180" s="66" t="s">
        <v>76</v>
      </c>
      <c r="D180" s="132">
        <v>4</v>
      </c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</row>
    <row r="181" spans="1:29" ht="15" x14ac:dyDescent="0.25">
      <c r="D181" s="132">
        <v>4</v>
      </c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</row>
    <row r="182" spans="1:29" ht="15" x14ac:dyDescent="0.25">
      <c r="A182" s="191" t="s">
        <v>52</v>
      </c>
      <c r="B182" s="25">
        <f>MAX(B$20:B58)+1</f>
        <v>10</v>
      </c>
      <c r="C182" s="138">
        <f>IF(D182=0,C52,IF(ISBLANK(G182),C52,1+MAX(C$20:C52)))</f>
        <v>26</v>
      </c>
      <c r="D182" s="132">
        <v>4</v>
      </c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</row>
    <row r="183" spans="1:29" ht="15" x14ac:dyDescent="0.25">
      <c r="A183" s="192"/>
      <c r="C183" s="138">
        <f>IF(D183=0,C182,IF(ISBLANK(G183),C182,1+MAX(C$20:C182)))</f>
        <v>26</v>
      </c>
      <c r="D183" s="132">
        <v>4</v>
      </c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</row>
    <row r="184" spans="1:29" ht="15" x14ac:dyDescent="0.25">
      <c r="A184" s="191" t="s">
        <v>77</v>
      </c>
      <c r="B184" s="25">
        <f>+B$54</f>
        <v>8</v>
      </c>
      <c r="C184" s="138">
        <f>IF(D184=0,C183,IF(ISBLANK(G184),C183,1+MAX(C$182:C183)))</f>
        <v>26</v>
      </c>
      <c r="D184" s="132">
        <v>4</v>
      </c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</row>
    <row r="185" spans="1:29" ht="15" x14ac:dyDescent="0.25">
      <c r="A185" s="191"/>
      <c r="C185" s="138">
        <f>IF(D185=0,C184,IF(ISBLANK(G185),C184,1+MAX(C$182:C184)))</f>
        <v>26</v>
      </c>
      <c r="D185" s="132">
        <v>4</v>
      </c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</row>
    <row r="186" spans="1:29" ht="15" x14ac:dyDescent="0.25">
      <c r="C186" s="138">
        <f>IF(D186=0,C185,IF(ISBLANK(G186),C185,1+MAX(C$182:C185)))</f>
        <v>26</v>
      </c>
      <c r="D186" s="132">
        <v>4</v>
      </c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</row>
    <row r="187" spans="1:29" ht="15" x14ac:dyDescent="0.25">
      <c r="C187" s="138">
        <f>IF(D187=0,C186,IF(ISBLANK(G187),C186,1+MAX(C$182:C186)))</f>
        <v>26</v>
      </c>
      <c r="D187" s="132">
        <v>4</v>
      </c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</row>
    <row r="188" spans="1:29" ht="15" x14ac:dyDescent="0.25">
      <c r="C188" s="138">
        <f>IF(D188=0,C187,IF(ISBLANK(G188),C187,1+MAX(C$182:C187)))</f>
        <v>26</v>
      </c>
      <c r="D188" s="132">
        <v>4</v>
      </c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</row>
    <row r="189" spans="1:29" ht="57" customHeight="1" x14ac:dyDescent="0.25">
      <c r="C189" s="138">
        <f>IF(D189=0,C188,IF(ISBLANK(G189),C188,1+MAX(C$182:C188)))</f>
        <v>26</v>
      </c>
      <c r="D189" s="132">
        <v>4</v>
      </c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</row>
    <row r="190" spans="1:29" ht="15" x14ac:dyDescent="0.25">
      <c r="C190" s="138">
        <f>IF(D190=0,C189,IF(ISBLANK(G190),C189,1+MAX(C$182:C189)))</f>
        <v>26</v>
      </c>
      <c r="D190" s="132">
        <v>4</v>
      </c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</row>
    <row r="191" spans="1:29" ht="15" x14ac:dyDescent="0.25">
      <c r="B191" s="25">
        <f>+B$182</f>
        <v>10</v>
      </c>
      <c r="C191" s="138">
        <f>IF(D191=0,C190,IF(ISBLANK(G191),C190,1+MAX(C$182:C190)))</f>
        <v>26</v>
      </c>
      <c r="D191" s="132">
        <v>4</v>
      </c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</row>
    <row r="192" spans="1:29" ht="15" x14ac:dyDescent="0.25">
      <c r="C192" s="138">
        <f>IF(D192=0,C191,IF(ISBLANK(G192),C191,1+MAX(C$182:C191)))</f>
        <v>26</v>
      </c>
      <c r="D192" s="132">
        <v>4</v>
      </c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</row>
    <row r="193" spans="1:29" ht="15" x14ac:dyDescent="0.25">
      <c r="A193" s="191" t="s">
        <v>77</v>
      </c>
      <c r="B193" s="25">
        <f>+B$58</f>
        <v>9</v>
      </c>
      <c r="C193" s="138">
        <f>IF(D193=0,C192,IF(ISBLANK(G193),C192,1+MAX(C$182:C192)))</f>
        <v>26</v>
      </c>
      <c r="D193" s="132">
        <v>4</v>
      </c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</row>
    <row r="194" spans="1:29" ht="15" x14ac:dyDescent="0.25">
      <c r="C194" s="138">
        <f>IF(D194=0,C193,IF(ISBLANK(G194),C193,1+MAX(C$182:C193)))</f>
        <v>26</v>
      </c>
      <c r="D194" s="132">
        <v>4</v>
      </c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</row>
    <row r="195" spans="1:29" ht="15" x14ac:dyDescent="0.25">
      <c r="C195" s="138">
        <f>IF(D195=0,C194,IF(ISBLANK(G195),C194,1+MAX(C$182:C194)))</f>
        <v>26</v>
      </c>
      <c r="D195" s="132">
        <v>4</v>
      </c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</row>
    <row r="196" spans="1:29" ht="15" x14ac:dyDescent="0.25">
      <c r="D196" s="132">
        <v>0</v>
      </c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</row>
    <row r="197" spans="1:29" ht="15" x14ac:dyDescent="0.25">
      <c r="D197" s="132">
        <v>0</v>
      </c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</row>
    <row r="198" spans="1:29" ht="15" x14ac:dyDescent="0.25">
      <c r="D198" s="132">
        <v>0</v>
      </c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</row>
    <row r="199" spans="1:29" ht="15" x14ac:dyDescent="0.25">
      <c r="D199" s="132">
        <v>0</v>
      </c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</row>
    <row r="200" spans="1:29" ht="15.75" x14ac:dyDescent="0.25">
      <c r="D200" s="132">
        <v>0</v>
      </c>
      <c r="G200" s="193" t="s">
        <v>78</v>
      </c>
      <c r="H200" s="194" t="s">
        <v>74</v>
      </c>
      <c r="I200" s="194" t="s">
        <v>74</v>
      </c>
      <c r="J200" s="194" t="s">
        <v>74</v>
      </c>
      <c r="K200" s="194" t="s">
        <v>74</v>
      </c>
      <c r="L200" s="194" t="s">
        <v>74</v>
      </c>
      <c r="M200" s="194" t="s">
        <v>74</v>
      </c>
      <c r="N200" s="194" t="s">
        <v>74</v>
      </c>
      <c r="O200" s="194" t="s">
        <v>74</v>
      </c>
      <c r="P200" s="194" t="s">
        <v>74</v>
      </c>
      <c r="Q200" s="194" t="s">
        <v>74</v>
      </c>
      <c r="R200" s="194" t="s">
        <v>74</v>
      </c>
      <c r="S200" s="194" t="s">
        <v>74</v>
      </c>
      <c r="T200" s="194" t="s">
        <v>74</v>
      </c>
      <c r="U200" s="194" t="s">
        <v>74</v>
      </c>
      <c r="V200" s="194" t="s">
        <v>74</v>
      </c>
      <c r="W200" s="194" t="s">
        <v>74</v>
      </c>
      <c r="X200" s="194" t="s">
        <v>74</v>
      </c>
      <c r="Y200" s="194" t="s">
        <v>74</v>
      </c>
      <c r="Z200" s="194" t="s">
        <v>74</v>
      </c>
      <c r="AA200" s="5"/>
      <c r="AB200" s="5"/>
      <c r="AC200" s="5"/>
    </row>
    <row r="201" spans="1:29" ht="15.75" x14ac:dyDescent="0.25">
      <c r="D201" s="132">
        <v>1</v>
      </c>
      <c r="G201" s="27"/>
      <c r="H201" s="32"/>
      <c r="I201" s="32"/>
      <c r="J201" s="19"/>
      <c r="K201" s="6"/>
      <c r="L201" s="32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5"/>
      <c r="AB201" s="5"/>
      <c r="AC201" s="5"/>
    </row>
    <row r="202" spans="1:29" ht="15.75" x14ac:dyDescent="0.25">
      <c r="D202" s="132">
        <v>1</v>
      </c>
      <c r="G202" s="27"/>
      <c r="H202" s="32"/>
      <c r="I202" s="32"/>
      <c r="J202" s="19"/>
      <c r="K202" s="6"/>
      <c r="L202" s="32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5"/>
      <c r="AB202" s="5"/>
      <c r="AC202" s="5"/>
    </row>
    <row r="203" spans="1:29" ht="24" customHeight="1" x14ac:dyDescent="0.25">
      <c r="D203" s="132">
        <v>1</v>
      </c>
      <c r="G203" s="195" t="s">
        <v>79</v>
      </c>
      <c r="H203" s="196" t="s">
        <v>80</v>
      </c>
      <c r="J203" s="19"/>
      <c r="K203" s="6"/>
      <c r="L203" s="32"/>
      <c r="M203" s="6"/>
      <c r="N203" s="6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69"/>
      <c r="AB203" s="5"/>
      <c r="AC203" s="5"/>
    </row>
    <row r="204" spans="1:29" ht="30.75" customHeight="1" x14ac:dyDescent="0.25">
      <c r="D204" s="132">
        <f>IF($C$10="SUBJECT",1,0)</f>
        <v>0</v>
      </c>
      <c r="H204" s="113" t="s">
        <v>81</v>
      </c>
      <c r="I204" s="113"/>
      <c r="J204" s="113"/>
      <c r="K204" s="113"/>
      <c r="L204" s="113"/>
      <c r="M204" s="113"/>
      <c r="N204" s="110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69"/>
      <c r="AB204" s="5"/>
      <c r="AC204" s="5"/>
    </row>
    <row r="205" spans="1:29" ht="15" x14ac:dyDescent="0.25">
      <c r="D205" s="132">
        <v>0</v>
      </c>
      <c r="H205" s="197"/>
      <c r="J205" s="68"/>
      <c r="K205" s="6"/>
      <c r="L205" s="32"/>
      <c r="M205" s="6"/>
      <c r="N205" s="6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69"/>
      <c r="AB205" s="5"/>
      <c r="AC205" s="5"/>
    </row>
    <row r="206" spans="1:29" ht="15" x14ac:dyDescent="0.25">
      <c r="D206" s="132"/>
      <c r="G206" s="66" t="s">
        <v>2</v>
      </c>
      <c r="H206" s="67" t="s">
        <v>82</v>
      </c>
      <c r="J206" s="68"/>
      <c r="K206" s="6"/>
      <c r="L206" s="32"/>
      <c r="M206" s="6"/>
      <c r="N206" s="6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69"/>
      <c r="AB206" s="5"/>
      <c r="AC206" s="5"/>
    </row>
    <row r="207" spans="1:29" ht="15" x14ac:dyDescent="0.25">
      <c r="D207" s="132">
        <v>0</v>
      </c>
      <c r="G207" s="150"/>
      <c r="H207" s="197"/>
      <c r="J207" s="68"/>
      <c r="K207" s="6"/>
      <c r="L207" s="32"/>
      <c r="M207" s="6"/>
      <c r="N207" s="6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69"/>
      <c r="AB207" s="5"/>
      <c r="AC207" s="5"/>
    </row>
    <row r="208" spans="1:29" ht="24" customHeight="1" x14ac:dyDescent="0.25">
      <c r="D208" s="132">
        <v>0</v>
      </c>
      <c r="G208" s="195"/>
      <c r="H208" s="196"/>
      <c r="J208" s="19"/>
      <c r="K208" s="6"/>
      <c r="L208" s="32"/>
      <c r="M208" s="6"/>
      <c r="N208" s="6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69"/>
      <c r="AB208" s="5"/>
      <c r="AC208" s="5"/>
    </row>
    <row r="209" spans="4:29" ht="42.75" customHeight="1" x14ac:dyDescent="0.25">
      <c r="D209" s="132">
        <f>IF($C$10="IOU",1,0)</f>
        <v>0</v>
      </c>
      <c r="H209" s="113" t="s">
        <v>83</v>
      </c>
      <c r="I209" s="113"/>
      <c r="J209" s="113"/>
      <c r="K209" s="113"/>
      <c r="L209" s="113"/>
      <c r="M209" s="113"/>
      <c r="N209" s="110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69"/>
      <c r="AB209" s="5"/>
      <c r="AC209" s="5"/>
    </row>
    <row r="210" spans="4:29" ht="15" x14ac:dyDescent="0.25">
      <c r="D210" s="132">
        <v>0</v>
      </c>
      <c r="H210" s="197"/>
      <c r="J210" s="68"/>
      <c r="K210" s="6"/>
      <c r="L210" s="32"/>
      <c r="M210" s="6"/>
      <c r="N210" s="6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69"/>
      <c r="AB210" s="5"/>
      <c r="AC210" s="5"/>
    </row>
    <row r="211" spans="4:29" ht="15" x14ac:dyDescent="0.25">
      <c r="D211" s="132"/>
      <c r="G211" s="66" t="s">
        <v>2</v>
      </c>
      <c r="H211" s="67" t="s">
        <v>84</v>
      </c>
      <c r="J211" s="68"/>
      <c r="K211" s="6"/>
      <c r="L211" s="32"/>
      <c r="M211" s="6"/>
      <c r="N211" s="6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69"/>
      <c r="AB211" s="5"/>
      <c r="AC211" s="5"/>
    </row>
    <row r="212" spans="4:29" ht="15" x14ac:dyDescent="0.25">
      <c r="D212" s="132">
        <v>0</v>
      </c>
      <c r="G212" s="150"/>
      <c r="H212" s="197"/>
      <c r="J212" s="68"/>
      <c r="K212" s="6"/>
      <c r="L212" s="32"/>
      <c r="M212" s="6"/>
      <c r="N212" s="6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69"/>
      <c r="AB212" s="5"/>
      <c r="AC212" s="5"/>
    </row>
    <row r="213" spans="4:29" ht="60" customHeight="1" x14ac:dyDescent="0.25">
      <c r="D213" s="132">
        <f>IF($C$10="IOU",1,0)</f>
        <v>0</v>
      </c>
      <c r="G213" s="150"/>
      <c r="H213" s="113" t="s">
        <v>85</v>
      </c>
      <c r="I213" s="113"/>
      <c r="J213" s="113"/>
      <c r="K213" s="113"/>
      <c r="L213" s="113"/>
      <c r="M213" s="113"/>
      <c r="N213" s="110"/>
      <c r="O213" s="110"/>
      <c r="P213" s="110"/>
      <c r="Q213" s="110"/>
      <c r="R213" s="110"/>
      <c r="S213" s="110"/>
      <c r="T213" s="5"/>
      <c r="U213" s="5"/>
      <c r="V213" s="5"/>
      <c r="W213" s="5"/>
      <c r="X213" s="5"/>
      <c r="Y213" s="5"/>
      <c r="Z213" s="5"/>
      <c r="AA213" s="69"/>
      <c r="AB213" s="5"/>
      <c r="AC213" s="5"/>
    </row>
    <row r="214" spans="4:29" ht="15" x14ac:dyDescent="0.25">
      <c r="D214" s="132">
        <v>0</v>
      </c>
      <c r="G214" s="198"/>
      <c r="J214" s="19"/>
      <c r="K214" s="6"/>
      <c r="L214" s="32"/>
      <c r="M214" s="6"/>
      <c r="N214" s="6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69"/>
      <c r="AB214" s="5"/>
      <c r="AC214" s="5"/>
    </row>
    <row r="215" spans="4:29" ht="15" x14ac:dyDescent="0.25">
      <c r="D215" s="132">
        <v>0</v>
      </c>
      <c r="G215" s="198"/>
      <c r="J215" s="19"/>
      <c r="K215" s="6"/>
      <c r="L215" s="32"/>
      <c r="M215" s="6"/>
      <c r="N215" s="6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69"/>
      <c r="AB215" s="5"/>
      <c r="AC215" s="5"/>
    </row>
    <row r="216" spans="4:29" ht="45.75" customHeight="1" x14ac:dyDescent="0.25">
      <c r="D216" s="132">
        <f>IF($C$10="MUNI",1,0)</f>
        <v>1</v>
      </c>
      <c r="H216" s="113" t="s">
        <v>83</v>
      </c>
      <c r="I216" s="113"/>
      <c r="J216" s="113"/>
      <c r="K216" s="113"/>
      <c r="L216" s="113"/>
      <c r="M216" s="113"/>
      <c r="N216" s="110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69"/>
      <c r="AB216" s="5"/>
      <c r="AC216" s="5"/>
    </row>
    <row r="217" spans="4:29" ht="15" x14ac:dyDescent="0.25">
      <c r="D217" s="132">
        <v>0</v>
      </c>
      <c r="H217" s="197"/>
      <c r="J217" s="68"/>
      <c r="K217" s="6"/>
      <c r="L217" s="32"/>
      <c r="M217" s="6"/>
      <c r="N217" s="6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69"/>
      <c r="AB217" s="5"/>
      <c r="AC217" s="5"/>
    </row>
    <row r="218" spans="4:29" ht="30.75" customHeight="1" x14ac:dyDescent="0.25">
      <c r="D218" s="132"/>
      <c r="G218" s="66" t="s">
        <v>2</v>
      </c>
      <c r="H218" s="113" t="s">
        <v>86</v>
      </c>
      <c r="I218" s="113"/>
      <c r="J218" s="113"/>
      <c r="K218" s="113"/>
      <c r="L218" s="113"/>
      <c r="M218" s="113"/>
      <c r="N218" s="6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69"/>
      <c r="AB218" s="5"/>
      <c r="AC218" s="5"/>
    </row>
    <row r="219" spans="4:29" ht="15" x14ac:dyDescent="0.25">
      <c r="D219" s="132">
        <v>0</v>
      </c>
      <c r="G219" s="150"/>
      <c r="H219" s="197"/>
      <c r="J219" s="68"/>
      <c r="K219" s="6"/>
      <c r="L219" s="32"/>
      <c r="M219" s="6"/>
      <c r="N219" s="6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69"/>
      <c r="AB219" s="5"/>
      <c r="AC219" s="5"/>
    </row>
    <row r="220" spans="4:29" ht="66.75" customHeight="1" x14ac:dyDescent="0.25">
      <c r="D220" s="132">
        <f>IF($C$10="MUNI",1,0)</f>
        <v>1</v>
      </c>
      <c r="G220" s="150"/>
      <c r="H220" s="113" t="s">
        <v>87</v>
      </c>
      <c r="I220" s="113"/>
      <c r="J220" s="113"/>
      <c r="K220" s="113"/>
      <c r="L220" s="113"/>
      <c r="M220" s="113"/>
      <c r="N220" s="110"/>
      <c r="O220" s="110"/>
      <c r="P220" s="110"/>
      <c r="Q220" s="110"/>
      <c r="R220" s="110"/>
      <c r="S220" s="110"/>
      <c r="T220" s="5"/>
      <c r="U220" s="5"/>
      <c r="V220" s="5"/>
      <c r="W220" s="5"/>
      <c r="X220" s="5"/>
      <c r="Y220" s="5"/>
      <c r="Z220" s="5"/>
      <c r="AA220" s="69"/>
      <c r="AB220" s="5"/>
      <c r="AC220" s="5"/>
    </row>
    <row r="221" spans="4:29" ht="15" x14ac:dyDescent="0.25">
      <c r="D221" s="132">
        <v>0</v>
      </c>
      <c r="G221" s="150"/>
      <c r="H221" s="197"/>
      <c r="J221" s="68"/>
      <c r="K221" s="6"/>
      <c r="L221" s="32"/>
      <c r="M221" s="6"/>
      <c r="N221" s="6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69"/>
      <c r="AB221" s="5"/>
      <c r="AC221" s="5"/>
    </row>
    <row r="222" spans="4:29" ht="30" customHeight="1" x14ac:dyDescent="0.25">
      <c r="D222" s="132">
        <v>1</v>
      </c>
      <c r="G222" s="150"/>
      <c r="H222" s="114" t="s">
        <v>88</v>
      </c>
      <c r="I222" s="114"/>
      <c r="J222" s="114"/>
      <c r="K222" s="114"/>
      <c r="L222" s="114"/>
      <c r="M222" s="114"/>
      <c r="N222" s="111"/>
      <c r="O222" s="111"/>
      <c r="P222" s="111"/>
      <c r="Q222" s="111"/>
      <c r="R222" s="25"/>
      <c r="S222" s="25"/>
      <c r="T222" s="5"/>
      <c r="U222" s="5"/>
      <c r="V222" s="5"/>
      <c r="W222" s="5"/>
      <c r="X222" s="5"/>
      <c r="Y222" s="5"/>
      <c r="Z222" s="5"/>
      <c r="AA222" s="69"/>
      <c r="AB222" s="5"/>
      <c r="AC222" s="5"/>
    </row>
    <row r="223" spans="4:29" ht="15" customHeight="1" x14ac:dyDescent="0.25">
      <c r="D223" s="132"/>
      <c r="G223" s="150"/>
      <c r="H223" s="197"/>
      <c r="I223" s="111"/>
      <c r="J223" s="111"/>
      <c r="K223" s="111"/>
      <c r="L223" s="111"/>
      <c r="M223" s="111"/>
      <c r="N223" s="111"/>
      <c r="O223" s="111"/>
      <c r="P223" s="111"/>
      <c r="Q223" s="111"/>
      <c r="R223" s="111"/>
      <c r="S223" s="25"/>
      <c r="T223" s="5"/>
      <c r="U223" s="5"/>
      <c r="V223" s="5"/>
      <c r="W223" s="5"/>
      <c r="X223" s="5"/>
      <c r="Y223" s="5"/>
      <c r="Z223" s="5"/>
      <c r="AA223" s="69"/>
      <c r="AB223" s="5"/>
      <c r="AC223" s="5"/>
    </row>
    <row r="224" spans="4:29" ht="27" customHeight="1" x14ac:dyDescent="0.25">
      <c r="D224" s="199">
        <f>IF($C$10="SUBJECT",0,1)</f>
        <v>1</v>
      </c>
      <c r="G224" s="150"/>
      <c r="H224" s="114" t="s">
        <v>89</v>
      </c>
      <c r="I224" s="114"/>
      <c r="J224" s="114"/>
      <c r="K224" s="114"/>
      <c r="L224" s="114"/>
      <c r="M224" s="114"/>
      <c r="N224" s="111"/>
      <c r="O224" s="111"/>
      <c r="P224" s="111"/>
      <c r="Q224" s="111"/>
      <c r="R224" s="111"/>
      <c r="S224" s="25"/>
      <c r="T224" s="5"/>
      <c r="U224" s="5"/>
      <c r="V224" s="5"/>
      <c r="W224" s="5"/>
      <c r="X224" s="5"/>
      <c r="Y224" s="5"/>
      <c r="Z224" s="5"/>
      <c r="AA224" s="69"/>
      <c r="AB224" s="5"/>
      <c r="AC224" s="5"/>
    </row>
    <row r="225" spans="4:29" ht="29.25" customHeight="1" x14ac:dyDescent="0.25">
      <c r="D225" s="199">
        <f>IF($C$10="SUBJECT",0,1)</f>
        <v>1</v>
      </c>
      <c r="G225" s="150"/>
      <c r="H225" s="114" t="s">
        <v>90</v>
      </c>
      <c r="I225" s="114"/>
      <c r="J225" s="114"/>
      <c r="K225" s="114"/>
      <c r="L225" s="114"/>
      <c r="M225" s="114"/>
      <c r="N225" s="111"/>
      <c r="O225" s="111"/>
      <c r="P225" s="111"/>
      <c r="Q225" s="111"/>
      <c r="R225" s="111"/>
      <c r="S225" s="25"/>
      <c r="T225" s="5"/>
      <c r="U225" s="5"/>
      <c r="V225" s="5"/>
      <c r="W225" s="5"/>
      <c r="X225" s="5"/>
      <c r="Y225" s="5"/>
      <c r="Z225" s="5"/>
      <c r="AA225" s="69"/>
      <c r="AB225" s="5"/>
      <c r="AC225" s="5"/>
    </row>
    <row r="226" spans="4:29" ht="15" customHeight="1" x14ac:dyDescent="0.25">
      <c r="D226" s="199">
        <v>1</v>
      </c>
      <c r="G226" s="150"/>
      <c r="H226" s="197" t="s">
        <v>91</v>
      </c>
      <c r="I226" s="111"/>
      <c r="J226" s="111"/>
      <c r="K226" s="111"/>
      <c r="L226" s="111"/>
      <c r="M226" s="111"/>
      <c r="N226" s="111"/>
      <c r="O226" s="111"/>
      <c r="P226" s="111"/>
      <c r="Q226" s="111"/>
      <c r="R226" s="111"/>
      <c r="S226" s="25"/>
      <c r="T226" s="5"/>
      <c r="U226" s="5"/>
      <c r="V226" s="5"/>
      <c r="W226" s="5"/>
      <c r="X226" s="5"/>
      <c r="Y226" s="5"/>
      <c r="Z226" s="5"/>
      <c r="AA226" s="69"/>
      <c r="AB226" s="5"/>
      <c r="AC226" s="5"/>
    </row>
    <row r="227" spans="4:29" ht="15" customHeight="1" x14ac:dyDescent="0.25">
      <c r="D227" s="199"/>
      <c r="G227" s="150"/>
      <c r="H227" s="197"/>
      <c r="I227" s="111"/>
      <c r="J227" s="111"/>
      <c r="K227" s="111"/>
      <c r="L227" s="111"/>
      <c r="M227" s="111"/>
      <c r="N227" s="111"/>
      <c r="O227" s="111"/>
      <c r="P227" s="111"/>
      <c r="Q227" s="111"/>
      <c r="R227" s="111"/>
      <c r="S227" s="25"/>
      <c r="T227" s="5"/>
      <c r="U227" s="5"/>
      <c r="V227" s="5"/>
      <c r="W227" s="5"/>
      <c r="X227" s="5"/>
      <c r="Y227" s="5"/>
      <c r="Z227" s="5"/>
      <c r="AA227" s="69"/>
      <c r="AB227" s="5"/>
      <c r="AC227" s="5"/>
    </row>
    <row r="228" spans="4:29" ht="15" customHeight="1" x14ac:dyDescent="0.25">
      <c r="D228" s="199"/>
      <c r="G228" s="150"/>
      <c r="H228" s="197"/>
      <c r="I228" s="111"/>
      <c r="J228" s="111"/>
      <c r="K228" s="111"/>
      <c r="L228" s="111"/>
      <c r="M228" s="111"/>
      <c r="N228" s="111"/>
      <c r="O228" s="111"/>
      <c r="P228" s="111"/>
      <c r="Q228" s="111"/>
      <c r="R228" s="111"/>
      <c r="S228" s="25"/>
      <c r="T228" s="5"/>
      <c r="U228" s="5"/>
      <c r="V228" s="5"/>
      <c r="W228" s="5"/>
      <c r="X228" s="5"/>
      <c r="Y228" s="5"/>
      <c r="Z228" s="5"/>
      <c r="AA228" s="69"/>
      <c r="AB228" s="5"/>
      <c r="AC228" s="5"/>
    </row>
    <row r="229" spans="4:29" ht="15" customHeight="1" x14ac:dyDescent="0.25">
      <c r="D229" s="132"/>
      <c r="G229" s="150"/>
      <c r="H229" s="197"/>
      <c r="I229" s="111"/>
      <c r="J229" s="111"/>
      <c r="K229" s="111"/>
      <c r="L229" s="111"/>
      <c r="M229" s="111"/>
      <c r="N229" s="111"/>
      <c r="O229" s="111"/>
      <c r="P229" s="111"/>
      <c r="Q229" s="111"/>
      <c r="R229" s="25"/>
      <c r="S229" s="25"/>
      <c r="T229" s="5"/>
      <c r="U229" s="5"/>
      <c r="V229" s="5"/>
      <c r="W229" s="5"/>
      <c r="X229" s="5"/>
      <c r="Y229" s="5"/>
      <c r="Z229" s="5"/>
      <c r="AA229" s="69"/>
      <c r="AB229" s="5"/>
      <c r="AC229" s="5"/>
    </row>
    <row r="230" spans="4:29" ht="15" customHeight="1" x14ac:dyDescent="0.25">
      <c r="D230" s="132"/>
      <c r="G230" s="150"/>
      <c r="H230" s="197"/>
      <c r="I230" s="111"/>
      <c r="J230" s="111"/>
      <c r="K230" s="111"/>
      <c r="L230" s="111"/>
      <c r="M230" s="111"/>
      <c r="N230" s="111"/>
      <c r="O230" s="111"/>
      <c r="P230" s="111"/>
      <c r="Q230" s="111"/>
      <c r="R230" s="25"/>
      <c r="S230" s="25"/>
      <c r="T230" s="5"/>
      <c r="U230" s="5"/>
      <c r="V230" s="5"/>
      <c r="W230" s="5"/>
      <c r="X230" s="5"/>
      <c r="Y230" s="5"/>
      <c r="Z230" s="5"/>
      <c r="AA230" s="69"/>
      <c r="AB230" s="5"/>
      <c r="AC230" s="5"/>
    </row>
    <row r="231" spans="4:29" ht="15" customHeight="1" x14ac:dyDescent="0.25">
      <c r="D231" s="132"/>
      <c r="G231" s="150"/>
      <c r="H231" s="197"/>
      <c r="I231" s="111"/>
      <c r="J231" s="111"/>
      <c r="K231" s="111"/>
      <c r="L231" s="111"/>
      <c r="M231" s="111"/>
      <c r="N231" s="111"/>
      <c r="O231" s="111"/>
      <c r="P231" s="111"/>
      <c r="Q231" s="111"/>
      <c r="R231" s="25"/>
      <c r="S231" s="25"/>
      <c r="T231" s="5"/>
      <c r="U231" s="5"/>
      <c r="V231" s="5"/>
      <c r="W231" s="5"/>
      <c r="X231" s="5"/>
      <c r="Y231" s="5"/>
      <c r="Z231" s="5"/>
      <c r="AA231" s="69"/>
      <c r="AB231" s="5"/>
      <c r="AC231" s="5"/>
    </row>
    <row r="232" spans="4:29" ht="15" customHeight="1" x14ac:dyDescent="0.25">
      <c r="D232" s="132">
        <v>0</v>
      </c>
      <c r="G232" s="150"/>
      <c r="H232" s="197"/>
      <c r="I232" s="111"/>
      <c r="J232" s="111"/>
      <c r="K232" s="111"/>
      <c r="L232" s="111"/>
      <c r="M232" s="111"/>
      <c r="N232" s="111"/>
      <c r="O232" s="111"/>
      <c r="P232" s="111"/>
      <c r="Q232" s="111"/>
      <c r="R232" s="25"/>
      <c r="S232" s="25"/>
      <c r="T232" s="5"/>
      <c r="U232" s="5"/>
      <c r="V232" s="5"/>
      <c r="W232" s="5"/>
      <c r="X232" s="5"/>
      <c r="Y232" s="5"/>
      <c r="Z232" s="5"/>
      <c r="AA232" s="69"/>
      <c r="AB232" s="5"/>
      <c r="AC232" s="5"/>
    </row>
    <row r="233" spans="4:29" ht="15" customHeight="1" x14ac:dyDescent="0.25">
      <c r="D233" s="132">
        <f>IF($C$10="IOU",1,0)</f>
        <v>0</v>
      </c>
      <c r="G233" s="150"/>
      <c r="H233" s="197" t="s">
        <v>92</v>
      </c>
      <c r="I233" s="111"/>
      <c r="J233" s="111"/>
      <c r="K233" s="111"/>
      <c r="L233" s="111"/>
      <c r="M233" s="111"/>
      <c r="N233" s="111"/>
      <c r="O233" s="111"/>
      <c r="P233" s="111"/>
      <c r="Q233" s="111"/>
      <c r="R233" s="25"/>
      <c r="S233" s="25"/>
      <c r="T233" s="5"/>
      <c r="U233" s="5"/>
      <c r="V233" s="5"/>
      <c r="W233" s="5"/>
      <c r="X233" s="5"/>
      <c r="Y233" s="5"/>
      <c r="Z233" s="5"/>
      <c r="AA233" s="69"/>
      <c r="AB233" s="5"/>
      <c r="AC233" s="5"/>
    </row>
    <row r="234" spans="4:29" ht="15" x14ac:dyDescent="0.25">
      <c r="D234" s="132">
        <v>0</v>
      </c>
      <c r="G234" s="150"/>
      <c r="H234" s="197"/>
      <c r="J234" s="68"/>
      <c r="K234" s="6"/>
      <c r="L234" s="32"/>
      <c r="M234" s="6"/>
      <c r="N234" s="6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69"/>
      <c r="AB234" s="5"/>
      <c r="AC234" s="5"/>
    </row>
    <row r="235" spans="4:29" ht="15" x14ac:dyDescent="0.25">
      <c r="D235" s="132">
        <v>0</v>
      </c>
      <c r="G235" s="150"/>
      <c r="H235" s="197"/>
      <c r="J235" s="68"/>
      <c r="K235" s="6"/>
      <c r="L235" s="32"/>
      <c r="M235" s="6"/>
      <c r="N235" s="6"/>
      <c r="O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69"/>
      <c r="AB235" s="5"/>
      <c r="AC235" s="5"/>
    </row>
    <row r="236" spans="4:29" ht="15" x14ac:dyDescent="0.25">
      <c r="D236" s="132">
        <v>0</v>
      </c>
      <c r="G236" s="150"/>
      <c r="H236" s="197"/>
      <c r="J236" s="68"/>
      <c r="K236" s="6"/>
      <c r="L236" s="32"/>
      <c r="M236" s="6"/>
      <c r="N236" s="6"/>
      <c r="O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69"/>
      <c r="AB236" s="5"/>
      <c r="AC236" s="5"/>
    </row>
    <row r="237" spans="4:29" ht="15" x14ac:dyDescent="0.25">
      <c r="D237" s="132">
        <v>0</v>
      </c>
      <c r="G237" s="150"/>
      <c r="H237" s="197"/>
      <c r="J237" s="68"/>
      <c r="K237" s="6"/>
      <c r="L237" s="32"/>
      <c r="M237" s="6"/>
      <c r="N237" s="6"/>
      <c r="O237" s="5"/>
      <c r="Q237" s="5"/>
      <c r="R237" s="5"/>
      <c r="T237" s="5"/>
      <c r="U237" s="5"/>
      <c r="V237" s="5"/>
      <c r="W237" s="5"/>
      <c r="X237" s="5"/>
      <c r="Y237" s="5"/>
      <c r="Z237" s="5"/>
      <c r="AA237" s="69"/>
      <c r="AB237" s="5"/>
      <c r="AC237" s="5"/>
    </row>
    <row r="238" spans="4:29" ht="15" x14ac:dyDescent="0.25">
      <c r="D238" s="132">
        <v>0</v>
      </c>
      <c r="G238" s="150"/>
      <c r="H238" s="197"/>
      <c r="J238" s="68"/>
      <c r="K238" s="6"/>
      <c r="L238" s="32"/>
      <c r="M238" s="6"/>
      <c r="N238" s="6"/>
      <c r="O238" s="5"/>
      <c r="Q238" s="5"/>
      <c r="T238" s="5"/>
      <c r="U238" s="5"/>
      <c r="V238" s="5"/>
      <c r="W238" s="5"/>
      <c r="X238" s="5"/>
      <c r="Y238" s="5"/>
      <c r="Z238" s="5"/>
      <c r="AA238" s="69"/>
      <c r="AB238" s="5"/>
      <c r="AC238" s="5"/>
    </row>
    <row r="239" spans="4:29" ht="15" x14ac:dyDescent="0.25">
      <c r="D239" s="132">
        <v>0</v>
      </c>
      <c r="G239" s="150"/>
      <c r="H239" s="197"/>
      <c r="J239" s="68"/>
      <c r="K239" s="6"/>
      <c r="L239" s="32"/>
      <c r="M239" s="6"/>
      <c r="N239" s="6"/>
      <c r="O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69"/>
      <c r="AB239" s="5"/>
      <c r="AC239" s="5"/>
    </row>
    <row r="240" spans="4:29" ht="27" customHeight="1" x14ac:dyDescent="0.25">
      <c r="D240" s="132">
        <v>0</v>
      </c>
      <c r="G240" s="150"/>
      <c r="H240" s="114" t="s">
        <v>93</v>
      </c>
      <c r="I240" s="114"/>
      <c r="J240" s="114"/>
      <c r="K240" s="114"/>
      <c r="L240" s="114"/>
      <c r="M240" s="6"/>
      <c r="N240" s="6"/>
      <c r="O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69"/>
      <c r="AB240" s="5"/>
      <c r="AC240" s="5"/>
    </row>
    <row r="241" spans="1:29" ht="15" x14ac:dyDescent="0.25">
      <c r="D241" s="132">
        <v>0</v>
      </c>
      <c r="G241" s="150"/>
      <c r="J241" s="68"/>
      <c r="K241" s="6"/>
      <c r="L241" s="32"/>
      <c r="M241" s="6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69"/>
      <c r="AB241" s="5"/>
      <c r="AC241" s="5"/>
    </row>
    <row r="242" spans="1:29" ht="15" x14ac:dyDescent="0.25">
      <c r="D242" s="132">
        <v>0</v>
      </c>
      <c r="G242" s="150"/>
      <c r="J242" s="68"/>
      <c r="K242" s="6"/>
      <c r="L242" s="32"/>
      <c r="M242" s="6"/>
      <c r="O242" s="5"/>
      <c r="P242" s="5"/>
      <c r="Q242" s="5"/>
      <c r="R242" s="5"/>
      <c r="S242" s="70"/>
      <c r="T242" s="5"/>
      <c r="U242" s="5"/>
      <c r="V242" s="5"/>
      <c r="W242" s="5"/>
      <c r="X242" s="5"/>
      <c r="Y242" s="5"/>
      <c r="Z242" s="5"/>
      <c r="AA242" s="69"/>
      <c r="AB242" s="5"/>
      <c r="AC242" s="5"/>
    </row>
    <row r="243" spans="1:29" ht="15" x14ac:dyDescent="0.25">
      <c r="D243" s="132">
        <v>0</v>
      </c>
      <c r="G243" s="150"/>
      <c r="J243" s="68"/>
      <c r="K243" s="6"/>
      <c r="L243" s="32"/>
      <c r="M243" s="6"/>
      <c r="N243" s="6"/>
      <c r="O243" s="5"/>
      <c r="P243" s="5"/>
      <c r="Q243" s="5"/>
      <c r="R243" s="5"/>
      <c r="S243" s="70"/>
      <c r="T243" s="5"/>
      <c r="U243" s="5"/>
      <c r="V243" s="5"/>
      <c r="W243" s="5"/>
      <c r="X243" s="5"/>
      <c r="Y243" s="5"/>
      <c r="Z243" s="5"/>
      <c r="AA243" s="69"/>
      <c r="AB243" s="5"/>
      <c r="AC243" s="5"/>
    </row>
    <row r="244" spans="1:29" ht="15" x14ac:dyDescent="0.25">
      <c r="D244" s="132">
        <v>0</v>
      </c>
      <c r="G244" s="150"/>
      <c r="J244" s="68"/>
      <c r="K244" s="6"/>
      <c r="L244" s="32"/>
      <c r="M244" s="6"/>
      <c r="N244" s="6"/>
      <c r="O244" s="5"/>
      <c r="P244" s="5"/>
      <c r="Q244" s="5"/>
      <c r="R244" s="5"/>
      <c r="T244" s="5"/>
      <c r="U244" s="5"/>
      <c r="V244" s="5"/>
      <c r="W244" s="5"/>
      <c r="X244" s="5"/>
      <c r="Y244" s="5"/>
      <c r="Z244" s="5"/>
      <c r="AA244" s="69"/>
      <c r="AB244" s="5"/>
      <c r="AC244" s="5"/>
    </row>
    <row r="245" spans="1:29" ht="15" x14ac:dyDescent="0.25">
      <c r="D245" s="132">
        <v>0</v>
      </c>
      <c r="J245" s="68"/>
      <c r="K245" s="6"/>
      <c r="L245" s="32"/>
      <c r="M245" s="6"/>
      <c r="N245" s="6"/>
      <c r="O245" s="5"/>
      <c r="P245" s="5"/>
      <c r="Q245" s="5"/>
      <c r="R245" s="5"/>
      <c r="T245" s="5"/>
      <c r="U245" s="5"/>
      <c r="V245" s="5"/>
      <c r="W245" s="5"/>
      <c r="X245" s="5"/>
      <c r="Y245" s="5"/>
      <c r="Z245" s="5"/>
      <c r="AA245" s="69"/>
      <c r="AB245" s="5"/>
      <c r="AC245" s="5"/>
    </row>
    <row r="246" spans="1:29" ht="15" x14ac:dyDescent="0.25">
      <c r="A246" s="200">
        <v>2</v>
      </c>
      <c r="D246" s="132">
        <v>1</v>
      </c>
      <c r="G246" s="201" t="str">
        <f t="shared" ref="G246:G252" si="62">"("&amp;TEXT(A246,0)&amp;")"</f>
        <v>(2)</v>
      </c>
      <c r="H246" s="115" t="s">
        <v>94</v>
      </c>
      <c r="I246" s="115"/>
      <c r="J246" s="115"/>
      <c r="K246" s="115"/>
      <c r="L246" s="115"/>
      <c r="M246" s="115"/>
      <c r="N246" s="6"/>
      <c r="O246" s="5"/>
      <c r="P246" s="5"/>
      <c r="Q246" s="5"/>
      <c r="R246" s="5"/>
      <c r="S246" s="70"/>
      <c r="T246" s="5"/>
      <c r="U246" s="5"/>
      <c r="V246" s="5"/>
      <c r="W246" s="5"/>
      <c r="X246" s="5"/>
      <c r="Y246" s="5"/>
      <c r="Z246" s="5"/>
      <c r="AB246" s="5"/>
      <c r="AC246" s="5"/>
    </row>
    <row r="247" spans="1:29" ht="15" x14ac:dyDescent="0.25">
      <c r="A247" s="200">
        <v>3</v>
      </c>
      <c r="B247" s="202">
        <f>+F24</f>
        <v>5</v>
      </c>
      <c r="D247" s="132">
        <v>1</v>
      </c>
      <c r="G247" s="203" t="str">
        <f t="shared" si="62"/>
        <v>(3)</v>
      </c>
      <c r="H247" s="2" t="str">
        <f>+"Line "&amp;B247&amp;"."</f>
        <v>Line 5.</v>
      </c>
      <c r="J247" s="68"/>
      <c r="K247" s="6"/>
      <c r="L247" s="32"/>
      <c r="M247" s="6"/>
      <c r="N247" s="6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B247" s="5"/>
      <c r="AC247" s="5"/>
    </row>
    <row r="248" spans="1:29" ht="15" x14ac:dyDescent="0.25">
      <c r="A248" s="200">
        <v>4</v>
      </c>
      <c r="B248" s="202">
        <f>+F38</f>
        <v>16</v>
      </c>
      <c r="D248" s="132">
        <v>1</v>
      </c>
      <c r="G248" s="203" t="str">
        <f t="shared" si="62"/>
        <v>(4)</v>
      </c>
      <c r="H248" s="2" t="str">
        <f>+"Line "&amp;B248&amp;" + line "&amp;B248-2&amp;"."</f>
        <v>Line 16 + line 14.</v>
      </c>
      <c r="J248" s="68"/>
      <c r="K248" s="6"/>
      <c r="L248" s="32"/>
      <c r="M248" s="6"/>
      <c r="N248" s="6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B248" s="5"/>
      <c r="AC248" s="5"/>
    </row>
    <row r="249" spans="1:29" ht="15" x14ac:dyDescent="0.25">
      <c r="A249" s="200">
        <v>5</v>
      </c>
      <c r="B249" s="202">
        <f>+B248</f>
        <v>16</v>
      </c>
      <c r="D249" s="132">
        <v>1</v>
      </c>
      <c r="G249" s="203" t="str">
        <f t="shared" si="62"/>
        <v>(5)</v>
      </c>
      <c r="H249" s="2" t="str">
        <f>+"Line "&amp;B249&amp;"."</f>
        <v>Line 16.</v>
      </c>
      <c r="J249" s="68"/>
      <c r="K249" s="6"/>
      <c r="L249" s="32"/>
      <c r="M249" s="6"/>
      <c r="N249" s="6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B249" s="5"/>
      <c r="AC249" s="5"/>
    </row>
    <row r="250" spans="1:29" ht="30" customHeight="1" x14ac:dyDescent="0.25">
      <c r="A250" s="200">
        <v>6</v>
      </c>
      <c r="D250" s="132">
        <f>IF($C$10="IOU",0,1)</f>
        <v>1</v>
      </c>
      <c r="G250" s="201" t="str">
        <f t="shared" si="62"/>
        <v>(6)</v>
      </c>
      <c r="H250" s="112" t="str">
        <f>+"Capital Expenditures - Are estimates at "&amp;TEXT(Q303,"0.00%")&amp;" of prior year-end GROSS Property, plant and equipment."</f>
        <v>Capital Expenditures - Are estimates at 1.59% of prior year-end GROSS Property, plant and equipment.</v>
      </c>
      <c r="I250" s="112"/>
      <c r="J250" s="112"/>
      <c r="K250" s="112"/>
      <c r="L250" s="112"/>
      <c r="M250" s="112"/>
      <c r="N250" s="109"/>
      <c r="O250" s="109"/>
      <c r="P250" s="109"/>
      <c r="Q250" s="109"/>
      <c r="R250" s="5"/>
      <c r="S250" s="5"/>
      <c r="T250" s="5" t="s">
        <v>95</v>
      </c>
      <c r="U250" s="5" t="s">
        <v>95</v>
      </c>
      <c r="V250" s="5" t="s">
        <v>95</v>
      </c>
      <c r="W250" s="5" t="s">
        <v>95</v>
      </c>
      <c r="X250" s="5" t="s">
        <v>95</v>
      </c>
      <c r="Y250" s="5" t="s">
        <v>95</v>
      </c>
      <c r="Z250" s="5" t="s">
        <v>95</v>
      </c>
      <c r="AA250" s="5" t="s">
        <v>95</v>
      </c>
      <c r="AB250" s="5"/>
      <c r="AC250" s="5"/>
    </row>
    <row r="251" spans="1:29" ht="30.75" customHeight="1" x14ac:dyDescent="0.25">
      <c r="A251" s="200">
        <v>6</v>
      </c>
      <c r="D251" s="132">
        <f>IF($C$10="IOU",1,0)</f>
        <v>0</v>
      </c>
      <c r="F251" s="150"/>
      <c r="G251" s="201" t="str">
        <f t="shared" si="62"/>
        <v>(6)</v>
      </c>
      <c r="H251" s="116" t="str">
        <f>+"Capital Expenditures - Are estimates at "&amp;TEXT(Q303,"0.00%")&amp;" of prior year-end GROSS Property, plant and equipment."</f>
        <v>Capital Expenditures - Are estimates at 1.59% of prior year-end GROSS Property, plant and equipment.</v>
      </c>
      <c r="I251" s="116"/>
      <c r="J251" s="116"/>
      <c r="K251" s="116"/>
      <c r="L251" s="116"/>
      <c r="M251" s="116"/>
      <c r="N251" s="109"/>
      <c r="O251" s="109"/>
      <c r="P251" s="109"/>
      <c r="Q251" s="109"/>
      <c r="R251" s="5"/>
      <c r="T251" s="204" t="str">
        <f>+"reduction in cost due to the fact governmental agencies must pay prevailing wages while private companies do not. Post-2020 years are estimates at "&amp;TEXT(Q303,"0.00%")&amp;" of prior year-end GROSS Property, plant and equipment."</f>
        <v>reduction in cost due to the fact governmental agencies must pay prevailing wages while private companies do not. Post-2020 years are estimates at 1.59% of prior year-end GROSS Property, plant and equipment.</v>
      </c>
      <c r="U251" s="5"/>
      <c r="V251" s="5"/>
      <c r="W251" s="5"/>
      <c r="X251" s="5"/>
      <c r="Y251" s="5"/>
      <c r="Z251" s="5"/>
      <c r="AB251" s="5"/>
      <c r="AC251" s="5"/>
    </row>
    <row r="252" spans="1:29" ht="17.25" customHeight="1" x14ac:dyDescent="0.25">
      <c r="A252" s="200">
        <v>7</v>
      </c>
      <c r="D252" s="132">
        <v>1</v>
      </c>
      <c r="G252" s="201" t="str">
        <f t="shared" si="62"/>
        <v>(7)</v>
      </c>
      <c r="H252" s="205" t="s">
        <v>96</v>
      </c>
      <c r="I252" s="205"/>
      <c r="J252" s="205"/>
      <c r="K252" s="205"/>
      <c r="L252" s="205"/>
      <c r="M252" s="205"/>
      <c r="N252" s="205"/>
      <c r="O252" s="205"/>
      <c r="P252" s="205"/>
      <c r="Q252" s="205"/>
      <c r="R252" s="206"/>
      <c r="S252" s="206"/>
      <c r="T252" s="5" t="str">
        <f>+"Capital Expenditures - Year 2016 are from Engineers Assessment inventory post-2015 additions. Years 2017 - 2020 are from Engineers Assessment CIP @ 30%. "&amp;T251</f>
        <v>Capital Expenditures - Year 2016 are from Engineers Assessment inventory post-2015 additions. Years 2017 - 2020 are from Engineers Assessment CIP @ 30%. reduction in cost due to the fact governmental agencies must pay prevailing wages while private companies do not. Post-2020 years are estimates at 1.59% of prior year-end GROSS Property, plant and equipment.</v>
      </c>
      <c r="U252" s="5"/>
      <c r="V252" s="5"/>
      <c r="W252" s="5"/>
      <c r="X252" s="5"/>
      <c r="Y252" s="5"/>
      <c r="Z252" s="5"/>
      <c r="AB252" s="5"/>
      <c r="AC252" s="5"/>
    </row>
    <row r="253" spans="1:29" ht="15" x14ac:dyDescent="0.25">
      <c r="D253" s="132">
        <v>0</v>
      </c>
    </row>
    <row r="254" spans="1:29" ht="30.75" customHeight="1" x14ac:dyDescent="0.25">
      <c r="A254" s="5">
        <v>0</v>
      </c>
      <c r="D254" s="132">
        <v>0</v>
      </c>
      <c r="G254" s="201"/>
      <c r="H254" s="207" t="s">
        <v>97</v>
      </c>
      <c r="I254" s="207"/>
      <c r="J254" s="207"/>
      <c r="K254" s="207"/>
      <c r="L254" s="207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B254" s="5"/>
      <c r="AC254" s="5"/>
    </row>
    <row r="255" spans="1:29" ht="15" x14ac:dyDescent="0.25">
      <c r="A255" s="5">
        <v>0</v>
      </c>
      <c r="D255" s="132">
        <v>0</v>
      </c>
      <c r="G255" s="203"/>
      <c r="H255" s="2" t="s">
        <v>98</v>
      </c>
      <c r="I255" s="6"/>
      <c r="J255" s="208"/>
      <c r="K255" s="6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B255" s="5"/>
      <c r="AC255" s="5"/>
    </row>
    <row r="256" spans="1:29" ht="30" customHeight="1" x14ac:dyDescent="0.25">
      <c r="A256" s="5">
        <v>8</v>
      </c>
      <c r="D256" s="132">
        <f>IF($C$10="IOU",1,0)</f>
        <v>0</v>
      </c>
      <c r="G256" s="201" t="str">
        <f t="shared" ref="G256:G264" si="63">"("&amp;TEXT(A256,0)&amp;")"</f>
        <v>(8)</v>
      </c>
      <c r="H256" s="207" t="s">
        <v>99</v>
      </c>
      <c r="I256" s="207"/>
      <c r="J256" s="207"/>
      <c r="K256" s="207"/>
      <c r="L256" s="207"/>
      <c r="M256" s="207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B256" s="5"/>
      <c r="AC256" s="5"/>
    </row>
    <row r="257" spans="1:29" ht="30" customHeight="1" x14ac:dyDescent="0.25">
      <c r="A257" s="5">
        <v>9</v>
      </c>
      <c r="D257" s="132">
        <f>IF($C$10="IOU",1,0)</f>
        <v>0</v>
      </c>
      <c r="G257" s="201" t="str">
        <f t="shared" si="63"/>
        <v>(9)</v>
      </c>
      <c r="H257" s="207" t="s">
        <v>100</v>
      </c>
      <c r="I257" s="207"/>
      <c r="J257" s="207"/>
      <c r="K257" s="207"/>
      <c r="L257" s="207"/>
      <c r="M257" s="207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B257" s="5"/>
      <c r="AC257" s="5"/>
    </row>
    <row r="258" spans="1:29" ht="30" customHeight="1" x14ac:dyDescent="0.25">
      <c r="A258" s="5">
        <v>8</v>
      </c>
      <c r="D258" s="132">
        <f>IF($C$10="IOU",0,1)</f>
        <v>1</v>
      </c>
      <c r="G258" s="201" t="str">
        <f t="shared" si="63"/>
        <v>(8)</v>
      </c>
      <c r="H258" s="207" t="s">
        <v>101</v>
      </c>
      <c r="I258" s="207"/>
      <c r="J258" s="207"/>
      <c r="K258" s="207"/>
      <c r="L258" s="207"/>
      <c r="M258" s="207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B258" s="5"/>
      <c r="AC258" s="5"/>
    </row>
    <row r="259" spans="1:29" ht="30" customHeight="1" x14ac:dyDescent="0.25">
      <c r="A259" s="5">
        <v>9</v>
      </c>
      <c r="D259" s="132">
        <f>IF($C$10="MUNI",1,0)</f>
        <v>1</v>
      </c>
      <c r="G259" s="201" t="str">
        <f t="shared" si="63"/>
        <v>(9)</v>
      </c>
      <c r="H259" s="207" t="s">
        <v>102</v>
      </c>
      <c r="I259" s="207"/>
      <c r="J259" s="207"/>
      <c r="K259" s="207"/>
      <c r="L259" s="207"/>
      <c r="M259" s="207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B259" s="5"/>
      <c r="AC259" s="5"/>
    </row>
    <row r="260" spans="1:29" ht="15" x14ac:dyDescent="0.25">
      <c r="A260" s="5">
        <v>10</v>
      </c>
      <c r="B260" s="202">
        <f>+F52</f>
        <v>26</v>
      </c>
      <c r="D260" s="132">
        <v>1</v>
      </c>
      <c r="G260" s="203" t="str">
        <f t="shared" si="63"/>
        <v>(10)</v>
      </c>
      <c r="H260" s="2" t="str">
        <f>+"Final year shown, line "&amp;B260&amp;"."</f>
        <v>Final year shown, line 26.</v>
      </c>
      <c r="I260" s="6"/>
      <c r="J260" s="208"/>
      <c r="K260" s="6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B260" s="5"/>
      <c r="AC260" s="5"/>
    </row>
    <row r="261" spans="1:29" ht="15" x14ac:dyDescent="0.25">
      <c r="A261" s="5">
        <v>11</v>
      </c>
      <c r="B261" s="202">
        <f>IF($C$10="IOU",+F54,+F70)</f>
        <v>28</v>
      </c>
      <c r="D261" s="132">
        <f>IF($C$10="SUBJECT",0,1)</f>
        <v>1</v>
      </c>
      <c r="G261" s="203" t="str">
        <f t="shared" si="63"/>
        <v>(11)</v>
      </c>
      <c r="H261" s="2" t="str">
        <f>+"Final year shown, line "&amp;B261&amp;"."</f>
        <v>Final year shown, line 28.</v>
      </c>
      <c r="I261" s="6"/>
      <c r="J261" s="208"/>
      <c r="K261" s="6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B261" s="5"/>
      <c r="AC261" s="5"/>
    </row>
    <row r="262" spans="1:29" ht="15" x14ac:dyDescent="0.25">
      <c r="A262" s="5">
        <v>12</v>
      </c>
      <c r="B262" s="202">
        <f>IF($C$10="IOU",+F58,+F70)</f>
        <v>28</v>
      </c>
      <c r="D262" s="132">
        <f>IF($C$10="SUBJECT",0,1)</f>
        <v>1</v>
      </c>
      <c r="G262" s="203" t="str">
        <f t="shared" si="63"/>
        <v>(12)</v>
      </c>
      <c r="H262" s="2" t="str">
        <f>+"Final year shown, line "&amp;B262&amp;"."</f>
        <v>Final year shown, line 28.</v>
      </c>
      <c r="I262" s="6"/>
      <c r="J262" s="208"/>
      <c r="K262" s="6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B262" s="5"/>
      <c r="AC262" s="5"/>
    </row>
    <row r="263" spans="1:29" ht="15" x14ac:dyDescent="0.25">
      <c r="A263" s="5">
        <v>13</v>
      </c>
      <c r="B263" s="2"/>
      <c r="D263" s="132">
        <f>IF($C$10="SUBJECT",0,1)</f>
        <v>1</v>
      </c>
      <c r="G263" s="203" t="str">
        <f t="shared" si="63"/>
        <v>(13)</v>
      </c>
      <c r="H263" s="2" t="s">
        <v>103</v>
      </c>
      <c r="I263" s="6"/>
      <c r="J263" s="208"/>
      <c r="K263" s="6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B263" s="5"/>
      <c r="AC263" s="5"/>
    </row>
    <row r="264" spans="1:29" ht="15" x14ac:dyDescent="0.25">
      <c r="A264" s="5">
        <v>11</v>
      </c>
      <c r="D264" s="132"/>
      <c r="G264" s="203" t="str">
        <f t="shared" si="63"/>
        <v>(11)</v>
      </c>
      <c r="H264" s="2" t="s">
        <v>104</v>
      </c>
      <c r="I264" s="6"/>
      <c r="J264" s="208"/>
      <c r="K264" s="6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</row>
    <row r="265" spans="1:29" ht="15" x14ac:dyDescent="0.25">
      <c r="D265" s="132">
        <v>0</v>
      </c>
      <c r="G265" s="203"/>
      <c r="I265" s="6"/>
      <c r="J265" s="208"/>
      <c r="K265" s="6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</row>
    <row r="266" spans="1:29" ht="15" x14ac:dyDescent="0.25">
      <c r="B266" s="2"/>
      <c r="D266" s="132">
        <v>0</v>
      </c>
      <c r="G266" s="209"/>
      <c r="I266" s="6"/>
      <c r="J266" s="208"/>
      <c r="K266" s="6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</row>
    <row r="267" spans="1:29" ht="15" x14ac:dyDescent="0.25">
      <c r="D267" s="132">
        <v>1</v>
      </c>
      <c r="G267" s="209"/>
      <c r="H267" s="208"/>
      <c r="I267" s="6"/>
      <c r="J267" s="208"/>
      <c r="K267" s="6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</row>
    <row r="268" spans="1:29" ht="15" x14ac:dyDescent="0.25">
      <c r="D268" s="132">
        <v>1</v>
      </c>
      <c r="G268" s="210" t="s">
        <v>105</v>
      </c>
      <c r="I268" s="6"/>
      <c r="J268" s="208"/>
      <c r="K268" s="6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</row>
    <row r="269" spans="1:29" ht="15" x14ac:dyDescent="0.25">
      <c r="D269" s="132">
        <v>1</v>
      </c>
      <c r="G269" s="210"/>
      <c r="H269" s="2" t="s">
        <v>106</v>
      </c>
      <c r="I269" s="6"/>
      <c r="J269" s="208"/>
      <c r="K269" s="6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</row>
    <row r="270" spans="1:29" ht="15" x14ac:dyDescent="0.25">
      <c r="D270" s="132">
        <v>1</v>
      </c>
      <c r="G270" s="210"/>
      <c r="H270" s="2" t="s">
        <v>107</v>
      </c>
      <c r="I270" s="6"/>
      <c r="J270" s="208"/>
      <c r="K270" s="6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</row>
    <row r="271" spans="1:29" ht="15" x14ac:dyDescent="0.25">
      <c r="D271" s="132">
        <v>1</v>
      </c>
      <c r="G271" s="210"/>
      <c r="H271" s="2" t="s">
        <v>108</v>
      </c>
      <c r="I271" s="6"/>
      <c r="J271" s="208"/>
      <c r="K271" s="6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</row>
    <row r="272" spans="1:29" ht="15" x14ac:dyDescent="0.25">
      <c r="D272" s="132">
        <v>1</v>
      </c>
      <c r="G272" s="209"/>
      <c r="H272" s="2" t="s">
        <v>109</v>
      </c>
      <c r="I272" s="6"/>
      <c r="J272" s="208"/>
      <c r="K272" s="6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</row>
    <row r="273" spans="4:29" ht="15" x14ac:dyDescent="0.25">
      <c r="D273" s="132">
        <v>1</v>
      </c>
      <c r="G273" s="211"/>
      <c r="H273" s="2" t="s">
        <v>110</v>
      </c>
      <c r="I273" s="6"/>
      <c r="J273" s="6"/>
      <c r="K273" s="6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</row>
    <row r="274" spans="4:29" ht="15" x14ac:dyDescent="0.25">
      <c r="D274" s="132">
        <v>1</v>
      </c>
      <c r="G274" s="211"/>
      <c r="H274" s="2" t="s">
        <v>111</v>
      </c>
      <c r="I274" s="6"/>
      <c r="J274" s="6"/>
      <c r="K274" s="6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</row>
    <row r="275" spans="4:29" ht="15" x14ac:dyDescent="0.25">
      <c r="D275" s="132">
        <v>1</v>
      </c>
      <c r="G275" s="211"/>
      <c r="H275" s="2" t="s">
        <v>112</v>
      </c>
      <c r="I275" s="6"/>
      <c r="J275" s="6"/>
      <c r="K275" s="6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</row>
    <row r="276" spans="4:29" ht="15" x14ac:dyDescent="0.25">
      <c r="D276" s="132">
        <v>0</v>
      </c>
      <c r="G276" s="211"/>
      <c r="H276" s="2" t="s">
        <v>113</v>
      </c>
      <c r="I276" s="6"/>
      <c r="J276" s="6"/>
      <c r="K276" s="6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</row>
    <row r="277" spans="4:29" ht="15" x14ac:dyDescent="0.25">
      <c r="D277" s="132">
        <v>0</v>
      </c>
      <c r="G277" s="211"/>
      <c r="I277" s="6"/>
      <c r="J277" s="6"/>
      <c r="K277" s="6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</row>
    <row r="278" spans="4:29" ht="15" x14ac:dyDescent="0.25">
      <c r="D278" s="132">
        <v>0</v>
      </c>
      <c r="G278" s="211">
        <v>13</v>
      </c>
      <c r="H278" s="208"/>
      <c r="I278" s="6"/>
      <c r="J278" s="6"/>
      <c r="K278" s="6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</row>
    <row r="279" spans="4:29" ht="15" x14ac:dyDescent="0.25">
      <c r="D279" s="132">
        <v>0</v>
      </c>
      <c r="G279" s="211">
        <v>14</v>
      </c>
      <c r="H279" s="6"/>
      <c r="I279" s="6"/>
      <c r="J279" s="6"/>
      <c r="K279" s="6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</row>
    <row r="280" spans="4:29" ht="15" x14ac:dyDescent="0.25">
      <c r="D280" s="132">
        <v>0</v>
      </c>
      <c r="G280" s="211">
        <v>15</v>
      </c>
      <c r="H280" s="6"/>
      <c r="I280" s="6"/>
      <c r="J280" s="6"/>
      <c r="K280" s="6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</row>
    <row r="281" spans="4:29" ht="15" x14ac:dyDescent="0.25">
      <c r="D281" s="132">
        <v>0</v>
      </c>
      <c r="G281" s="211">
        <v>16</v>
      </c>
      <c r="H281" s="6"/>
      <c r="I281" s="6"/>
      <c r="J281" s="6"/>
      <c r="K281" s="6"/>
      <c r="L281" s="5"/>
      <c r="N281" s="5"/>
      <c r="R281" s="5"/>
      <c r="AA281" s="5"/>
      <c r="AB281" s="5"/>
      <c r="AC281" s="5"/>
    </row>
    <row r="282" spans="4:29" ht="15" x14ac:dyDescent="0.25">
      <c r="D282" s="132">
        <v>0</v>
      </c>
      <c r="G282" s="211">
        <v>17</v>
      </c>
      <c r="H282" s="6"/>
      <c r="I282" s="15"/>
      <c r="J282" s="15"/>
      <c r="K282" s="15"/>
      <c r="L282" s="15"/>
      <c r="M282" s="15"/>
      <c r="N282" s="15"/>
      <c r="O282" s="15"/>
      <c r="P282" s="15"/>
      <c r="R282" s="5"/>
      <c r="AA282" s="5"/>
      <c r="AB282" s="5"/>
      <c r="AC282" s="5"/>
    </row>
    <row r="283" spans="4:29" ht="15.75" thickBot="1" x14ac:dyDescent="0.3">
      <c r="D283" s="132">
        <v>0</v>
      </c>
      <c r="H283" s="6"/>
      <c r="I283" s="6"/>
      <c r="J283" s="6"/>
      <c r="K283" s="6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</row>
    <row r="284" spans="4:29" ht="13.5" thickBot="1" x14ac:dyDescent="0.25">
      <c r="G284" s="212" t="s">
        <v>114</v>
      </c>
      <c r="H284" s="213"/>
      <c r="I284" s="213"/>
      <c r="J284" s="213"/>
      <c r="K284" s="213"/>
      <c r="L284" s="213"/>
      <c r="M284" s="213"/>
      <c r="N284" s="214"/>
      <c r="O284" s="215" t="s">
        <v>114</v>
      </c>
      <c r="P284" s="35"/>
      <c r="Q284" s="35"/>
      <c r="R284" s="35"/>
      <c r="S284" s="35"/>
      <c r="T284" s="35"/>
      <c r="U284" s="35"/>
      <c r="V284" s="36"/>
      <c r="W284" s="5"/>
      <c r="X284" s="5"/>
      <c r="Y284" s="5"/>
      <c r="Z284" s="5"/>
      <c r="AA284" s="5"/>
      <c r="AB284" s="5"/>
      <c r="AC284" s="5"/>
    </row>
    <row r="285" spans="4:29" x14ac:dyDescent="0.2">
      <c r="H285" s="76">
        <f t="shared" ref="H285:Z285" si="64">+H19</f>
        <v>2013</v>
      </c>
      <c r="I285" s="76">
        <f t="shared" si="64"/>
        <v>2014</v>
      </c>
      <c r="J285" s="76">
        <f t="shared" si="64"/>
        <v>2015</v>
      </c>
      <c r="K285" s="76">
        <f t="shared" si="64"/>
        <v>2016</v>
      </c>
      <c r="L285" s="76">
        <f t="shared" si="64"/>
        <v>2017</v>
      </c>
      <c r="M285" s="76">
        <f t="shared" si="64"/>
        <v>2018</v>
      </c>
      <c r="N285" s="216">
        <f t="shared" si="64"/>
        <v>2019</v>
      </c>
      <c r="O285" s="216">
        <f t="shared" si="64"/>
        <v>2020</v>
      </c>
      <c r="P285" s="76">
        <f t="shared" si="64"/>
        <v>2021</v>
      </c>
      <c r="Q285" s="76">
        <f t="shared" si="64"/>
        <v>2022</v>
      </c>
      <c r="R285" s="76">
        <f t="shared" si="64"/>
        <v>2023</v>
      </c>
      <c r="S285" s="76">
        <f t="shared" si="64"/>
        <v>2024</v>
      </c>
      <c r="T285" s="76">
        <f t="shared" si="64"/>
        <v>2025</v>
      </c>
      <c r="U285" s="76">
        <f t="shared" si="64"/>
        <v>2026</v>
      </c>
      <c r="V285" s="76">
        <f t="shared" si="64"/>
        <v>2027</v>
      </c>
      <c r="W285" s="76">
        <f t="shared" si="64"/>
        <v>2028</v>
      </c>
      <c r="X285" s="76">
        <f t="shared" si="64"/>
        <v>2029</v>
      </c>
      <c r="Y285" s="76">
        <f t="shared" si="64"/>
        <v>2030</v>
      </c>
      <c r="Z285" s="76">
        <f t="shared" si="64"/>
        <v>2031</v>
      </c>
      <c r="AA285" s="76">
        <f t="shared" ref="AA285" si="65">+Z285+1</f>
        <v>2032</v>
      </c>
    </row>
    <row r="286" spans="4:29" x14ac:dyDescent="0.2">
      <c r="H286" s="76"/>
      <c r="I286" s="76"/>
      <c r="J286" s="76"/>
      <c r="K286" s="76"/>
      <c r="L286" s="76"/>
      <c r="M286" s="76"/>
      <c r="N286" s="76"/>
      <c r="O286" s="76"/>
      <c r="P286" s="76"/>
      <c r="Q286" s="76"/>
      <c r="R286" s="76"/>
      <c r="S286" s="76"/>
      <c r="T286" s="76"/>
      <c r="U286" s="76"/>
      <c r="V286" s="76"/>
      <c r="W286" s="76"/>
      <c r="X286" s="76"/>
      <c r="Y286" s="76"/>
      <c r="Z286" s="76"/>
      <c r="AA286" s="76"/>
    </row>
    <row r="287" spans="4:29" x14ac:dyDescent="0.2">
      <c r="G287" s="2" t="s">
        <v>115</v>
      </c>
      <c r="H287" s="217">
        <f>+H449</f>
        <v>0</v>
      </c>
      <c r="I287" s="217">
        <f t="shared" ref="I287:J287" si="66">+I449</f>
        <v>0</v>
      </c>
      <c r="J287" s="217">
        <f t="shared" si="66"/>
        <v>0</v>
      </c>
      <c r="K287" s="217"/>
      <c r="L287" s="217">
        <v>5294272</v>
      </c>
      <c r="M287" s="217">
        <f>+L287+M304-M309</f>
        <v>5294272</v>
      </c>
      <c r="N287" s="217">
        <f>+M287+N304-N309</f>
        <v>5367804</v>
      </c>
      <c r="O287" s="217">
        <f>+N287+O304-O309</f>
        <v>5441757</v>
      </c>
      <c r="P287" s="217">
        <f>+O287+P304-P309</f>
        <v>5516733</v>
      </c>
      <c r="Q287" s="217">
        <f>+P287+Q304-Q309</f>
        <v>5592743</v>
      </c>
      <c r="R287" s="217">
        <f>+Q287+R304-R309</f>
        <v>5669800</v>
      </c>
      <c r="S287" s="217">
        <f>+R287+S304-S309</f>
        <v>5747918</v>
      </c>
      <c r="T287" s="217">
        <f>+S287+T304-T309</f>
        <v>5827112</v>
      </c>
      <c r="U287" s="217">
        <f>+T287+U304-U309</f>
        <v>5905865</v>
      </c>
      <c r="V287" s="217">
        <f>+U287+V304-V309</f>
        <v>5985683</v>
      </c>
      <c r="W287" s="217">
        <f>+V287+W304-W309</f>
        <v>6066579</v>
      </c>
      <c r="X287" s="217">
        <f>+W287+X304-X309</f>
        <v>6148569</v>
      </c>
      <c r="Y287" s="217">
        <f>+X287+Y304-Y309</f>
        <v>6231667</v>
      </c>
      <c r="Z287" s="217">
        <f>+Y287+Z304-Z309</f>
        <v>6315888</v>
      </c>
      <c r="AA287" s="76"/>
    </row>
    <row r="288" spans="4:29" x14ac:dyDescent="0.2">
      <c r="G288" s="2" t="s">
        <v>116</v>
      </c>
      <c r="H288" s="217">
        <f t="shared" ref="H288:J288" si="67">+H450</f>
        <v>0</v>
      </c>
      <c r="I288" s="217">
        <f t="shared" si="67"/>
        <v>0</v>
      </c>
      <c r="J288" s="217">
        <f t="shared" si="67"/>
        <v>0</v>
      </c>
      <c r="K288" s="217"/>
      <c r="L288" s="217">
        <v>1787134</v>
      </c>
      <c r="M288" s="217">
        <f>+L288+M312-M309</f>
        <v>1878195.4783999999</v>
      </c>
      <c r="N288" s="217">
        <f>+M288+N312-N309</f>
        <v>1956801.7696</v>
      </c>
      <c r="O288" s="217">
        <f>+N288+O312-O309</f>
        <v>2036601.5384</v>
      </c>
      <c r="P288" s="217">
        <f>+O288+P312-P309</f>
        <v>2117500.1856</v>
      </c>
      <c r="Q288" s="217">
        <f>+P288+Q312-Q309</f>
        <v>2199513.2895999998</v>
      </c>
      <c r="R288" s="217">
        <f>+Q288+R312-R309</f>
        <v>2282656.5836</v>
      </c>
      <c r="S288" s="217">
        <f>+R288+S312-S309</f>
        <v>2366944.0244</v>
      </c>
      <c r="T288" s="217">
        <f>+S288+T312-T309</f>
        <v>2452392.8267999999</v>
      </c>
      <c r="U288" s="217">
        <f>+T288+U312-U309</f>
        <v>2539279.1075999998</v>
      </c>
      <c r="V288" s="217">
        <f>+U288+V312-V309</f>
        <v>2627340.7235999997</v>
      </c>
      <c r="W288" s="217">
        <f>+V288+W312-W309</f>
        <v>2716590.9239999996</v>
      </c>
      <c r="X288" s="217">
        <f>+W288+X312-X309</f>
        <v>2807048.2159999995</v>
      </c>
      <c r="Y288" s="217">
        <f>+X288+Y312-Y309</f>
        <v>2898728.3819999998</v>
      </c>
      <c r="Z288" s="217">
        <f>+Y288+Z312-Z309</f>
        <v>2991646.4107999997</v>
      </c>
      <c r="AA288" s="76"/>
    </row>
    <row r="289" spans="4:27" ht="13.5" thickBot="1" x14ac:dyDescent="0.25">
      <c r="G289" s="218" t="s">
        <v>117</v>
      </c>
      <c r="H289" s="219">
        <f>+H287-H288</f>
        <v>0</v>
      </c>
      <c r="I289" s="219">
        <f t="shared" ref="I289:Z289" si="68">+I287-I288</f>
        <v>0</v>
      </c>
      <c r="J289" s="219">
        <f t="shared" si="68"/>
        <v>0</v>
      </c>
      <c r="K289" s="219"/>
      <c r="L289" s="219">
        <v>3507138</v>
      </c>
      <c r="M289" s="219">
        <f t="shared" si="68"/>
        <v>3416076.5216000001</v>
      </c>
      <c r="N289" s="219">
        <f t="shared" si="68"/>
        <v>3411002.2303999998</v>
      </c>
      <c r="O289" s="219">
        <f t="shared" si="68"/>
        <v>3405155.4616</v>
      </c>
      <c r="P289" s="219">
        <f t="shared" si="68"/>
        <v>3399232.8144</v>
      </c>
      <c r="Q289" s="219">
        <f t="shared" si="68"/>
        <v>3393229.7104000002</v>
      </c>
      <c r="R289" s="219">
        <f t="shared" si="68"/>
        <v>3387143.4164</v>
      </c>
      <c r="S289" s="219">
        <f t="shared" si="68"/>
        <v>3380973.9756</v>
      </c>
      <c r="T289" s="219">
        <f t="shared" si="68"/>
        <v>3374719.1732000001</v>
      </c>
      <c r="U289" s="219">
        <f t="shared" si="68"/>
        <v>3366585.8924000002</v>
      </c>
      <c r="V289" s="219">
        <f t="shared" si="68"/>
        <v>3358342.2764000003</v>
      </c>
      <c r="W289" s="219">
        <f t="shared" si="68"/>
        <v>3349988.0760000004</v>
      </c>
      <c r="X289" s="219">
        <f t="shared" si="68"/>
        <v>3341520.7840000005</v>
      </c>
      <c r="Y289" s="219">
        <f t="shared" si="68"/>
        <v>3332938.6180000002</v>
      </c>
      <c r="Z289" s="219">
        <f t="shared" si="68"/>
        <v>3324241.5892000003</v>
      </c>
      <c r="AA289" s="76"/>
    </row>
    <row r="290" spans="4:27" ht="13.5" thickTop="1" x14ac:dyDescent="0.2">
      <c r="H290" s="76"/>
      <c r="I290" s="76"/>
      <c r="J290" s="76"/>
      <c r="K290" s="76"/>
      <c r="L290" s="220"/>
      <c r="M290" s="76"/>
      <c r="N290" s="76"/>
      <c r="O290" s="76"/>
      <c r="P290" s="76"/>
      <c r="Q290" s="76"/>
      <c r="R290" s="76"/>
      <c r="S290" s="76"/>
      <c r="T290" s="76"/>
      <c r="U290" s="76"/>
      <c r="V290" s="76"/>
      <c r="W290" s="76"/>
      <c r="X290" s="76"/>
      <c r="Y290" s="76"/>
      <c r="Z290" s="220"/>
      <c r="AA290" s="76"/>
    </row>
    <row r="291" spans="4:27" ht="15" x14ac:dyDescent="0.25">
      <c r="G291" s="69" t="s">
        <v>118</v>
      </c>
      <c r="H291" s="217">
        <f>+H453</f>
        <v>0</v>
      </c>
      <c r="I291" s="217">
        <f t="shared" ref="I291:K292" si="69">+I453</f>
        <v>0</v>
      </c>
      <c r="J291" s="217">
        <f t="shared" si="69"/>
        <v>0</v>
      </c>
      <c r="K291" s="217">
        <f t="shared" si="69"/>
        <v>0</v>
      </c>
      <c r="L291" s="221">
        <f>+K291</f>
        <v>0</v>
      </c>
      <c r="M291" s="222">
        <f>+L291</f>
        <v>0</v>
      </c>
      <c r="N291" s="222">
        <f>+M291</f>
        <v>0</v>
      </c>
      <c r="O291" s="223"/>
      <c r="P291" s="223"/>
      <c r="Q291" s="223"/>
      <c r="R291" s="223"/>
      <c r="S291" s="223"/>
      <c r="T291" s="223"/>
      <c r="U291" s="223"/>
      <c r="V291" s="223"/>
      <c r="W291" s="223"/>
      <c r="X291" s="223"/>
      <c r="Y291" s="223"/>
      <c r="Z291" s="223"/>
      <c r="AA291" s="76"/>
    </row>
    <row r="292" spans="4:27" ht="15" x14ac:dyDescent="0.25">
      <c r="D292" s="224"/>
      <c r="G292" s="69" t="s">
        <v>119</v>
      </c>
      <c r="H292" s="217">
        <f>+H454</f>
        <v>0</v>
      </c>
      <c r="I292" s="217">
        <f t="shared" si="69"/>
        <v>0</v>
      </c>
      <c r="J292" s="217">
        <f t="shared" si="69"/>
        <v>0</v>
      </c>
      <c r="K292" s="217">
        <f t="shared" si="69"/>
        <v>2952333</v>
      </c>
      <c r="L292" s="221">
        <f>+K292</f>
        <v>2952333</v>
      </c>
      <c r="M292" s="221">
        <f t="shared" ref="M292:N292" si="70">+L292</f>
        <v>2952333</v>
      </c>
      <c r="N292" s="221">
        <f t="shared" si="70"/>
        <v>2952333</v>
      </c>
      <c r="O292" s="223"/>
      <c r="P292" s="223"/>
      <c r="Q292" s="223"/>
      <c r="R292" s="223"/>
      <c r="S292" s="223"/>
      <c r="T292" s="223"/>
      <c r="U292" s="223"/>
      <c r="V292" s="223"/>
      <c r="W292" s="223"/>
      <c r="X292" s="223"/>
      <c r="Y292" s="223"/>
      <c r="Z292" s="223"/>
      <c r="AA292" s="76"/>
    </row>
    <row r="293" spans="4:27" ht="13.5" thickBot="1" x14ac:dyDescent="0.25">
      <c r="G293" s="218" t="s">
        <v>120</v>
      </c>
      <c r="H293" s="219">
        <f>SUM(H291:H292)</f>
        <v>0</v>
      </c>
      <c r="I293" s="219">
        <f t="shared" ref="I293:L293" si="71">SUM(I291:I292)</f>
        <v>0</v>
      </c>
      <c r="J293" s="219">
        <f t="shared" si="71"/>
        <v>0</v>
      </c>
      <c r="K293" s="219">
        <f t="shared" si="71"/>
        <v>2952333</v>
      </c>
      <c r="L293" s="219">
        <f t="shared" si="71"/>
        <v>2952333</v>
      </c>
      <c r="M293" s="225">
        <f>SUM(M291:M292)</f>
        <v>2952333</v>
      </c>
      <c r="N293" s="225">
        <f>SUM(N291:N292)</f>
        <v>2952333</v>
      </c>
      <c r="O293" s="219"/>
      <c r="P293" s="219"/>
      <c r="Q293" s="219"/>
      <c r="R293" s="219"/>
      <c r="S293" s="219"/>
      <c r="T293" s="219"/>
      <c r="U293" s="219"/>
      <c r="V293" s="219"/>
      <c r="W293" s="219"/>
      <c r="X293" s="219"/>
      <c r="Y293" s="219"/>
      <c r="Z293" s="219"/>
      <c r="AA293" s="76"/>
    </row>
    <row r="294" spans="4:27" ht="13.5" thickTop="1" x14ac:dyDescent="0.2">
      <c r="H294" s="76"/>
      <c r="I294" s="76"/>
      <c r="J294" s="76"/>
      <c r="K294" s="76"/>
      <c r="L294" s="76"/>
      <c r="M294" s="76"/>
      <c r="N294" s="76"/>
      <c r="O294" s="76"/>
      <c r="P294" s="76"/>
      <c r="Q294" s="76"/>
      <c r="R294" s="76"/>
      <c r="S294" s="76"/>
      <c r="T294" s="76"/>
      <c r="U294" s="76"/>
      <c r="V294" s="76"/>
      <c r="W294" s="76"/>
      <c r="X294" s="76"/>
      <c r="Y294" s="76"/>
      <c r="Z294" s="76"/>
      <c r="AA294" s="76"/>
    </row>
    <row r="295" spans="4:27" x14ac:dyDescent="0.2">
      <c r="H295" s="76"/>
      <c r="I295" s="76"/>
      <c r="J295" s="76"/>
      <c r="K295" s="76"/>
      <c r="L295" s="76"/>
      <c r="M295" s="76"/>
      <c r="O295" s="216"/>
      <c r="P295" s="76"/>
      <c r="Q295" s="76"/>
      <c r="R295" s="76"/>
      <c r="S295" s="76"/>
      <c r="T295" s="76"/>
      <c r="U295" s="76"/>
      <c r="V295" s="76"/>
      <c r="W295" s="76"/>
      <c r="X295" s="76"/>
      <c r="Y295" s="76"/>
      <c r="Z295" s="76"/>
      <c r="AA295" s="76"/>
    </row>
    <row r="296" spans="4:27" x14ac:dyDescent="0.2">
      <c r="G296" s="2" t="s">
        <v>121</v>
      </c>
      <c r="H296" s="71" t="e">
        <f>+H48/H287</f>
        <v>#DIV/0!</v>
      </c>
      <c r="I296" s="71" t="e">
        <f>+I48/I287</f>
        <v>#DIV/0!</v>
      </c>
      <c r="J296" s="71" t="e">
        <f>+J48/J287</f>
        <v>#DIV/0!</v>
      </c>
      <c r="K296" s="71">
        <f>+L296</f>
        <v>1.72E-2</v>
      </c>
      <c r="L296" s="71">
        <v>1.72E-2</v>
      </c>
      <c r="M296" s="71">
        <v>1.72E-2</v>
      </c>
      <c r="O296" s="216"/>
      <c r="P296" s="76"/>
      <c r="Q296" s="76"/>
      <c r="R296" s="76"/>
      <c r="S296" s="76"/>
      <c r="T296" s="76"/>
      <c r="U296" s="76"/>
      <c r="V296" s="76"/>
      <c r="W296" s="76"/>
      <c r="X296" s="76"/>
      <c r="Y296" s="76"/>
      <c r="Z296" s="76"/>
      <c r="AA296" s="76"/>
    </row>
    <row r="297" spans="4:27" x14ac:dyDescent="0.2">
      <c r="H297" s="76"/>
      <c r="I297" s="76"/>
      <c r="J297" s="76"/>
      <c r="K297" s="76"/>
      <c r="L297" s="76"/>
      <c r="M297" s="76"/>
      <c r="N297" s="76"/>
      <c r="O297" s="76"/>
      <c r="P297" s="76"/>
      <c r="Q297" s="76"/>
      <c r="R297" s="76"/>
      <c r="S297" s="76"/>
      <c r="T297" s="76"/>
      <c r="U297" s="76"/>
      <c r="V297" s="76"/>
      <c r="W297" s="76"/>
      <c r="X297" s="76"/>
      <c r="Y297" s="76"/>
      <c r="Z297" s="76"/>
      <c r="AA297" s="76"/>
    </row>
    <row r="298" spans="4:27" x14ac:dyDescent="0.2">
      <c r="H298" s="76"/>
      <c r="I298" s="76"/>
      <c r="J298" s="76"/>
      <c r="K298" s="76"/>
      <c r="L298" s="76"/>
      <c r="M298" s="76"/>
      <c r="N298" s="76"/>
      <c r="O298" s="76"/>
      <c r="P298" s="76"/>
      <c r="Q298" s="76"/>
      <c r="R298" s="76"/>
      <c r="S298" s="76"/>
      <c r="T298" s="76"/>
      <c r="U298" s="76"/>
      <c r="V298" s="76"/>
      <c r="W298" s="76"/>
      <c r="X298" s="76"/>
      <c r="Y298" s="76"/>
      <c r="Z298" s="76"/>
      <c r="AA298" s="76"/>
    </row>
    <row r="299" spans="4:27" x14ac:dyDescent="0.2">
      <c r="H299" s="76"/>
      <c r="I299" s="76"/>
      <c r="J299" s="76"/>
      <c r="K299" s="76"/>
      <c r="L299" s="76"/>
      <c r="M299" s="76"/>
      <c r="N299" s="76"/>
      <c r="O299" s="76"/>
      <c r="P299" s="76"/>
      <c r="Q299" s="76"/>
      <c r="R299" s="76"/>
      <c r="S299" s="76"/>
      <c r="T299" s="76"/>
      <c r="U299" s="76"/>
      <c r="V299" s="76"/>
      <c r="W299" s="76"/>
      <c r="X299" s="76"/>
      <c r="Y299" s="76"/>
      <c r="Z299" s="76"/>
      <c r="AA299" s="76"/>
    </row>
    <row r="300" spans="4:27" ht="13.5" thickBot="1" x14ac:dyDescent="0.25">
      <c r="H300" s="76"/>
      <c r="I300" s="76"/>
      <c r="J300" s="76"/>
      <c r="K300" s="123" t="s">
        <v>122</v>
      </c>
      <c r="L300" s="204">
        <f>+L323</f>
        <v>0</v>
      </c>
      <c r="M300" s="204">
        <f t="shared" ref="M300:T300" si="72">+M323</f>
        <v>0</v>
      </c>
      <c r="N300" s="204">
        <f t="shared" si="72"/>
        <v>86508.404479999997</v>
      </c>
      <c r="O300" s="204">
        <f t="shared" si="72"/>
        <v>87003.176640000005</v>
      </c>
      <c r="P300" s="204">
        <f t="shared" si="72"/>
        <v>88207.28035999999</v>
      </c>
      <c r="Q300" s="204">
        <f t="shared" si="72"/>
        <v>89423.164839999998</v>
      </c>
      <c r="R300" s="204">
        <f t="shared" si="72"/>
        <v>90654.798800000004</v>
      </c>
      <c r="S300" s="204">
        <f t="shared" si="72"/>
        <v>91904.229300000006</v>
      </c>
      <c r="T300" s="204">
        <f t="shared" si="72"/>
        <v>93169.768759999992</v>
      </c>
      <c r="U300" s="76"/>
      <c r="V300" s="76"/>
      <c r="W300" s="76"/>
      <c r="X300" s="76"/>
      <c r="Y300" s="76"/>
      <c r="Z300" s="76"/>
      <c r="AA300" s="76"/>
    </row>
    <row r="301" spans="4:27" ht="13.5" thickBot="1" x14ac:dyDescent="0.25">
      <c r="H301" s="76"/>
      <c r="I301" s="76"/>
      <c r="J301" s="2" t="s">
        <v>123</v>
      </c>
      <c r="K301" s="226">
        <v>0</v>
      </c>
      <c r="L301" s="76"/>
      <c r="M301" s="76"/>
      <c r="N301" s="117">
        <f t="shared" ref="N301:T301" si="73">IF($C$10="IOU",1-$K301,1)</f>
        <v>1</v>
      </c>
      <c r="O301" s="117">
        <f t="shared" si="73"/>
        <v>1</v>
      </c>
      <c r="P301" s="117">
        <f t="shared" si="73"/>
        <v>1</v>
      </c>
      <c r="Q301" s="117">
        <f t="shared" si="73"/>
        <v>1</v>
      </c>
      <c r="R301" s="117">
        <f t="shared" si="73"/>
        <v>1</v>
      </c>
      <c r="S301" s="117">
        <f t="shared" si="73"/>
        <v>1</v>
      </c>
      <c r="T301" s="117">
        <f t="shared" si="73"/>
        <v>1</v>
      </c>
      <c r="U301" s="76"/>
      <c r="V301" s="76"/>
      <c r="W301" s="76"/>
      <c r="X301" s="76"/>
      <c r="Y301" s="76"/>
      <c r="Z301" s="76"/>
      <c r="AA301" s="76"/>
    </row>
    <row r="302" spans="4:27" x14ac:dyDescent="0.2">
      <c r="H302" s="76"/>
      <c r="I302" s="76"/>
      <c r="J302" s="76"/>
      <c r="K302" s="76"/>
      <c r="L302" s="76"/>
      <c r="M302" s="76"/>
      <c r="N302" s="76"/>
      <c r="O302" s="76"/>
      <c r="P302" s="76"/>
      <c r="Q302" s="76"/>
      <c r="R302" s="76"/>
      <c r="S302" s="76"/>
      <c r="T302" s="76"/>
      <c r="U302" s="76"/>
      <c r="V302" s="76"/>
      <c r="W302" s="76"/>
      <c r="X302" s="76"/>
      <c r="Y302" s="76"/>
      <c r="Z302" s="76"/>
      <c r="AA302" s="76"/>
    </row>
    <row r="303" spans="4:27" ht="18.75" x14ac:dyDescent="0.3">
      <c r="H303" s="76"/>
      <c r="I303" s="76"/>
      <c r="J303" s="76"/>
      <c r="K303" s="123" t="s">
        <v>124</v>
      </c>
      <c r="M303" s="71"/>
      <c r="N303" s="71"/>
      <c r="O303" s="71"/>
      <c r="P303" s="71"/>
      <c r="Q303" s="227">
        <v>1.5900000000000001E-2</v>
      </c>
      <c r="R303" s="71">
        <f t="shared" ref="R303:Z303" si="74">+Q303</f>
        <v>1.5900000000000001E-2</v>
      </c>
      <c r="S303" s="71">
        <f t="shared" si="74"/>
        <v>1.5900000000000001E-2</v>
      </c>
      <c r="T303" s="71">
        <f t="shared" si="74"/>
        <v>1.5900000000000001E-2</v>
      </c>
      <c r="U303" s="71">
        <f t="shared" si="74"/>
        <v>1.5900000000000001E-2</v>
      </c>
      <c r="V303" s="71">
        <f t="shared" si="74"/>
        <v>1.5900000000000001E-2</v>
      </c>
      <c r="W303" s="71">
        <f t="shared" si="74"/>
        <v>1.5900000000000001E-2</v>
      </c>
      <c r="X303" s="71">
        <f t="shared" si="74"/>
        <v>1.5900000000000001E-2</v>
      </c>
      <c r="Y303" s="71">
        <f t="shared" si="74"/>
        <v>1.5900000000000001E-2</v>
      </c>
      <c r="Z303" s="71">
        <f t="shared" si="74"/>
        <v>1.5900000000000001E-2</v>
      </c>
      <c r="AA303" s="76"/>
    </row>
    <row r="304" spans="4:27" x14ac:dyDescent="0.2">
      <c r="H304" s="76"/>
      <c r="I304" s="76"/>
      <c r="J304" s="76"/>
      <c r="K304" s="123" t="s">
        <v>125</v>
      </c>
      <c r="L304" s="204">
        <f>+L323</f>
        <v>0</v>
      </c>
      <c r="M304" s="204">
        <f t="shared" ref="M304" si="75">+M323</f>
        <v>0</v>
      </c>
      <c r="N304" s="204">
        <f>+ROUND(+N301*N300,0)</f>
        <v>86508</v>
      </c>
      <c r="O304" s="204">
        <f t="shared" ref="O304:T304" si="76">+ROUND(+O301*O300,0)</f>
        <v>87003</v>
      </c>
      <c r="P304" s="204">
        <f t="shared" si="76"/>
        <v>88207</v>
      </c>
      <c r="Q304" s="204">
        <f t="shared" si="76"/>
        <v>89423</v>
      </c>
      <c r="R304" s="204">
        <f t="shared" si="76"/>
        <v>90655</v>
      </c>
      <c r="S304" s="204">
        <f t="shared" si="76"/>
        <v>91904</v>
      </c>
      <c r="T304" s="204">
        <f t="shared" si="76"/>
        <v>93170</v>
      </c>
      <c r="U304" s="72">
        <f>ROUND(+U303*T287,0)</f>
        <v>92651</v>
      </c>
      <c r="V304" s="72">
        <f>ROUND(+V303*U287,0)</f>
        <v>93903</v>
      </c>
      <c r="W304" s="72">
        <f>ROUND(+W303*V287,0)</f>
        <v>95172</v>
      </c>
      <c r="X304" s="72">
        <f>ROUND(+X303*W287,0)</f>
        <v>96459</v>
      </c>
      <c r="Y304" s="72">
        <f>ROUND(+Y303*X287,0)</f>
        <v>97762</v>
      </c>
      <c r="Z304" s="72">
        <f>ROUND(+Z303*Y287,0)</f>
        <v>99084</v>
      </c>
      <c r="AA304" s="76"/>
    </row>
    <row r="305" spans="7:27" x14ac:dyDescent="0.2">
      <c r="H305" s="76"/>
      <c r="I305" s="76"/>
      <c r="J305" s="76"/>
      <c r="K305" s="123" t="s">
        <v>126</v>
      </c>
      <c r="L305" s="228">
        <f>+K296</f>
        <v>1.72E-2</v>
      </c>
      <c r="M305" s="228">
        <f>+M296</f>
        <v>1.72E-2</v>
      </c>
      <c r="N305" s="228">
        <f>+M296</f>
        <v>1.72E-2</v>
      </c>
      <c r="O305" s="228">
        <f t="shared" ref="O305:Z305" si="77">+N305</f>
        <v>1.72E-2</v>
      </c>
      <c r="P305" s="228">
        <f t="shared" si="77"/>
        <v>1.72E-2</v>
      </c>
      <c r="Q305" s="228">
        <f t="shared" si="77"/>
        <v>1.72E-2</v>
      </c>
      <c r="R305" s="228">
        <f t="shared" si="77"/>
        <v>1.72E-2</v>
      </c>
      <c r="S305" s="228">
        <f t="shared" si="77"/>
        <v>1.72E-2</v>
      </c>
      <c r="T305" s="228">
        <f t="shared" si="77"/>
        <v>1.72E-2</v>
      </c>
      <c r="U305" s="228">
        <f t="shared" si="77"/>
        <v>1.72E-2</v>
      </c>
      <c r="V305" s="228">
        <f t="shared" si="77"/>
        <v>1.72E-2</v>
      </c>
      <c r="W305" s="228">
        <f t="shared" si="77"/>
        <v>1.72E-2</v>
      </c>
      <c r="X305" s="228">
        <f t="shared" si="77"/>
        <v>1.72E-2</v>
      </c>
      <c r="Y305" s="228">
        <f t="shared" si="77"/>
        <v>1.72E-2</v>
      </c>
      <c r="Z305" s="228">
        <f t="shared" si="77"/>
        <v>1.72E-2</v>
      </c>
      <c r="AA305" s="76"/>
    </row>
    <row r="306" spans="7:27" x14ac:dyDescent="0.2">
      <c r="H306" s="76"/>
      <c r="I306" s="76"/>
      <c r="J306" s="76"/>
      <c r="K306" s="123" t="s">
        <v>127</v>
      </c>
      <c r="L306" s="71">
        <f>+L305*0.5</f>
        <v>8.6E-3</v>
      </c>
      <c r="M306" s="71">
        <f>+M305*0.5</f>
        <v>8.6E-3</v>
      </c>
      <c r="N306" s="71">
        <f>+N305*0.5</f>
        <v>8.6E-3</v>
      </c>
      <c r="O306" s="71">
        <f t="shared" ref="O306:Z306" si="78">+O305*0.5</f>
        <v>8.6E-3</v>
      </c>
      <c r="P306" s="71">
        <f t="shared" si="78"/>
        <v>8.6E-3</v>
      </c>
      <c r="Q306" s="71">
        <f t="shared" si="78"/>
        <v>8.6E-3</v>
      </c>
      <c r="R306" s="71">
        <f t="shared" si="78"/>
        <v>8.6E-3</v>
      </c>
      <c r="S306" s="71">
        <f t="shared" si="78"/>
        <v>8.6E-3</v>
      </c>
      <c r="T306" s="71">
        <f t="shared" si="78"/>
        <v>8.6E-3</v>
      </c>
      <c r="U306" s="71">
        <f t="shared" si="78"/>
        <v>8.6E-3</v>
      </c>
      <c r="V306" s="71">
        <f t="shared" si="78"/>
        <v>8.6E-3</v>
      </c>
      <c r="W306" s="71">
        <f t="shared" si="78"/>
        <v>8.6E-3</v>
      </c>
      <c r="X306" s="71">
        <f t="shared" si="78"/>
        <v>8.6E-3</v>
      </c>
      <c r="Y306" s="71">
        <f t="shared" si="78"/>
        <v>8.6E-3</v>
      </c>
      <c r="Z306" s="71">
        <f t="shared" si="78"/>
        <v>8.6E-3</v>
      </c>
      <c r="AA306" s="76"/>
    </row>
    <row r="307" spans="7:27" x14ac:dyDescent="0.2">
      <c r="H307" s="76"/>
      <c r="K307" s="123" t="s">
        <v>128</v>
      </c>
      <c r="L307" s="72">
        <f>ROUND(+L306*L304,0)</f>
        <v>0</v>
      </c>
      <c r="M307" s="72">
        <f>ROUND(+M306*M304,0)</f>
        <v>0</v>
      </c>
      <c r="N307" s="72">
        <f>ROUND(+N306*N304,0)</f>
        <v>744</v>
      </c>
      <c r="O307" s="72">
        <f t="shared" ref="O307:Z307" si="79">ROUND(+O306*O304,0)</f>
        <v>748</v>
      </c>
      <c r="P307" s="72">
        <f t="shared" si="79"/>
        <v>759</v>
      </c>
      <c r="Q307" s="72">
        <f t="shared" si="79"/>
        <v>769</v>
      </c>
      <c r="R307" s="72">
        <f t="shared" si="79"/>
        <v>780</v>
      </c>
      <c r="S307" s="72">
        <f t="shared" si="79"/>
        <v>790</v>
      </c>
      <c r="T307" s="72">
        <f t="shared" si="79"/>
        <v>801</v>
      </c>
      <c r="U307" s="72">
        <f t="shared" si="79"/>
        <v>797</v>
      </c>
      <c r="V307" s="72">
        <f t="shared" si="79"/>
        <v>808</v>
      </c>
      <c r="W307" s="72">
        <f t="shared" si="79"/>
        <v>818</v>
      </c>
      <c r="X307" s="72">
        <f t="shared" si="79"/>
        <v>830</v>
      </c>
      <c r="Y307" s="72">
        <f t="shared" si="79"/>
        <v>841</v>
      </c>
      <c r="Z307" s="72">
        <f t="shared" si="79"/>
        <v>852</v>
      </c>
      <c r="AA307" s="76"/>
    </row>
    <row r="308" spans="7:27" x14ac:dyDescent="0.2">
      <c r="H308" s="76"/>
      <c r="K308" s="123" t="s">
        <v>129</v>
      </c>
      <c r="L308" s="73">
        <v>0.15</v>
      </c>
      <c r="M308" s="73">
        <v>0.15</v>
      </c>
      <c r="N308" s="73">
        <f>+M308</f>
        <v>0.15</v>
      </c>
      <c r="O308" s="73">
        <f t="shared" ref="O308:Z308" si="80">+N308</f>
        <v>0.15</v>
      </c>
      <c r="P308" s="73">
        <f t="shared" si="80"/>
        <v>0.15</v>
      </c>
      <c r="Q308" s="73">
        <f t="shared" si="80"/>
        <v>0.15</v>
      </c>
      <c r="R308" s="73">
        <f t="shared" si="80"/>
        <v>0.15</v>
      </c>
      <c r="S308" s="73">
        <f t="shared" si="80"/>
        <v>0.15</v>
      </c>
      <c r="T308" s="73">
        <f t="shared" si="80"/>
        <v>0.15</v>
      </c>
      <c r="U308" s="73">
        <f t="shared" si="80"/>
        <v>0.15</v>
      </c>
      <c r="V308" s="73">
        <f t="shared" si="80"/>
        <v>0.15</v>
      </c>
      <c r="W308" s="73">
        <f t="shared" si="80"/>
        <v>0.15</v>
      </c>
      <c r="X308" s="73">
        <f t="shared" si="80"/>
        <v>0.15</v>
      </c>
      <c r="Y308" s="73">
        <f t="shared" si="80"/>
        <v>0.15</v>
      </c>
      <c r="Z308" s="73">
        <f t="shared" si="80"/>
        <v>0.15</v>
      </c>
      <c r="AA308" s="76"/>
    </row>
    <row r="309" spans="7:27" x14ac:dyDescent="0.2">
      <c r="H309" s="76"/>
      <c r="K309" s="123" t="s">
        <v>130</v>
      </c>
      <c r="L309" s="72">
        <f>ROUND(+L308*L304,0)</f>
        <v>0</v>
      </c>
      <c r="M309" s="72">
        <f>ROUND(+M308*M304,0)</f>
        <v>0</v>
      </c>
      <c r="N309" s="72">
        <f t="shared" ref="N309:Z309" si="81">ROUND(+N308*N304,0)</f>
        <v>12976</v>
      </c>
      <c r="O309" s="72">
        <f t="shared" si="81"/>
        <v>13050</v>
      </c>
      <c r="P309" s="72">
        <f t="shared" si="81"/>
        <v>13231</v>
      </c>
      <c r="Q309" s="72">
        <f t="shared" si="81"/>
        <v>13413</v>
      </c>
      <c r="R309" s="72">
        <f t="shared" si="81"/>
        <v>13598</v>
      </c>
      <c r="S309" s="72">
        <f t="shared" si="81"/>
        <v>13786</v>
      </c>
      <c r="T309" s="72">
        <f t="shared" si="81"/>
        <v>13976</v>
      </c>
      <c r="U309" s="72">
        <f t="shared" si="81"/>
        <v>13898</v>
      </c>
      <c r="V309" s="72">
        <f t="shared" si="81"/>
        <v>14085</v>
      </c>
      <c r="W309" s="72">
        <f t="shared" si="81"/>
        <v>14276</v>
      </c>
      <c r="X309" s="72">
        <f t="shared" si="81"/>
        <v>14469</v>
      </c>
      <c r="Y309" s="72">
        <f t="shared" si="81"/>
        <v>14664</v>
      </c>
      <c r="Z309" s="72">
        <f t="shared" si="81"/>
        <v>14863</v>
      </c>
      <c r="AA309" s="76"/>
    </row>
    <row r="310" spans="7:27" x14ac:dyDescent="0.2">
      <c r="H310" s="76"/>
      <c r="K310" s="123" t="s">
        <v>131</v>
      </c>
      <c r="L310" s="72">
        <f>+L309*L305</f>
        <v>0</v>
      </c>
      <c r="M310" s="72">
        <f t="shared" ref="M310:Z310" si="82">+M309*M305</f>
        <v>0</v>
      </c>
      <c r="N310" s="72">
        <f t="shared" si="82"/>
        <v>223.18719999999999</v>
      </c>
      <c r="O310" s="72">
        <f t="shared" si="82"/>
        <v>224.46</v>
      </c>
      <c r="P310" s="72">
        <f t="shared" si="82"/>
        <v>227.57320000000001</v>
      </c>
      <c r="Q310" s="72">
        <f t="shared" si="82"/>
        <v>230.70359999999999</v>
      </c>
      <c r="R310" s="72">
        <f t="shared" si="82"/>
        <v>233.88560000000001</v>
      </c>
      <c r="S310" s="72">
        <f t="shared" si="82"/>
        <v>237.11920000000001</v>
      </c>
      <c r="T310" s="72">
        <f t="shared" si="82"/>
        <v>240.38720000000001</v>
      </c>
      <c r="U310" s="72">
        <f t="shared" si="82"/>
        <v>239.04560000000001</v>
      </c>
      <c r="V310" s="72">
        <f t="shared" si="82"/>
        <v>242.262</v>
      </c>
      <c r="W310" s="72">
        <f t="shared" si="82"/>
        <v>245.5472</v>
      </c>
      <c r="X310" s="72">
        <f t="shared" si="82"/>
        <v>248.86680000000001</v>
      </c>
      <c r="Y310" s="72">
        <f t="shared" si="82"/>
        <v>252.2208</v>
      </c>
      <c r="Z310" s="72">
        <f t="shared" si="82"/>
        <v>255.64359999999999</v>
      </c>
      <c r="AA310" s="76"/>
    </row>
    <row r="311" spans="7:27" x14ac:dyDescent="0.2">
      <c r="H311" s="76"/>
      <c r="K311" s="123" t="s">
        <v>132</v>
      </c>
      <c r="L311" s="72">
        <f>+K314</f>
        <v>60448</v>
      </c>
      <c r="M311" s="72">
        <f>+M305*L287</f>
        <v>91061.478400000007</v>
      </c>
      <c r="N311" s="72">
        <f>+N305*M287</f>
        <v>91061.478400000007</v>
      </c>
      <c r="O311" s="72">
        <f>+O305*N287</f>
        <v>92326.228799999997</v>
      </c>
      <c r="P311" s="72">
        <f>+P305*O287</f>
        <v>93598.220400000006</v>
      </c>
      <c r="Q311" s="72">
        <f>+Q305*P287</f>
        <v>94887.8076</v>
      </c>
      <c r="R311" s="72">
        <f>+R305*Q287</f>
        <v>96195.179600000003</v>
      </c>
      <c r="S311" s="72">
        <f>+S305*R287</f>
        <v>97520.56</v>
      </c>
      <c r="T311" s="72">
        <f>+T305*S287</f>
        <v>98864.189599999998</v>
      </c>
      <c r="U311" s="72">
        <f>+U305*T287</f>
        <v>100226.32640000001</v>
      </c>
      <c r="V311" s="72">
        <f>+V305*U287</f>
        <v>101580.878</v>
      </c>
      <c r="W311" s="72">
        <f>+W305*V287</f>
        <v>102953.7476</v>
      </c>
      <c r="X311" s="72">
        <f>+X305*W287</f>
        <v>104345.1588</v>
      </c>
      <c r="Y311" s="72">
        <f>+Y305*X287</f>
        <v>105755.38679999999</v>
      </c>
      <c r="Z311" s="72">
        <f>+Z305*Y287</f>
        <v>107184.6724</v>
      </c>
      <c r="AA311" s="76"/>
    </row>
    <row r="312" spans="7:27" ht="13.5" thickBot="1" x14ac:dyDescent="0.25">
      <c r="H312" s="76"/>
      <c r="I312" s="76"/>
      <c r="J312" s="76"/>
      <c r="K312" s="123" t="s">
        <v>133</v>
      </c>
      <c r="L312" s="219">
        <f>+L311+L307-L310</f>
        <v>60448</v>
      </c>
      <c r="M312" s="219">
        <f t="shared" ref="M312:Z312" si="83">+M311+M307-M310</f>
        <v>91061.478400000007</v>
      </c>
      <c r="N312" s="219">
        <f t="shared" si="83"/>
        <v>91582.291200000007</v>
      </c>
      <c r="O312" s="219">
        <f t="shared" si="83"/>
        <v>92849.768799999991</v>
      </c>
      <c r="P312" s="219">
        <f t="shared" si="83"/>
        <v>94129.647200000007</v>
      </c>
      <c r="Q312" s="219">
        <f t="shared" si="83"/>
        <v>95426.104000000007</v>
      </c>
      <c r="R312" s="219">
        <f t="shared" si="83"/>
        <v>96741.294000000009</v>
      </c>
      <c r="S312" s="219">
        <f t="shared" si="83"/>
        <v>98073.440799999997</v>
      </c>
      <c r="T312" s="219">
        <f t="shared" si="83"/>
        <v>99424.8024</v>
      </c>
      <c r="U312" s="219">
        <f t="shared" si="83"/>
        <v>100784.28080000001</v>
      </c>
      <c r="V312" s="219">
        <f t="shared" si="83"/>
        <v>102146.61599999999</v>
      </c>
      <c r="W312" s="219">
        <f t="shared" si="83"/>
        <v>103526.2004</v>
      </c>
      <c r="X312" s="219">
        <f t="shared" si="83"/>
        <v>104926.292</v>
      </c>
      <c r="Y312" s="219">
        <f t="shared" si="83"/>
        <v>106344.166</v>
      </c>
      <c r="Z312" s="219">
        <f t="shared" si="83"/>
        <v>107781.0288</v>
      </c>
      <c r="AA312" s="76"/>
    </row>
    <row r="313" spans="7:27" ht="13.5" thickTop="1" x14ac:dyDescent="0.2">
      <c r="H313" s="76"/>
      <c r="I313" s="76"/>
      <c r="J313" s="76"/>
      <c r="K313" s="123"/>
      <c r="M313" s="123"/>
      <c r="N313" s="123"/>
      <c r="O313" s="123"/>
      <c r="P313" s="123"/>
      <c r="Q313" s="123"/>
      <c r="R313" s="123"/>
      <c r="S313" s="123"/>
      <c r="T313" s="123"/>
      <c r="U313" s="123"/>
      <c r="V313" s="123"/>
      <c r="W313" s="123"/>
      <c r="X313" s="123"/>
      <c r="Y313" s="123"/>
      <c r="Z313" s="123"/>
      <c r="AA313" s="76"/>
    </row>
    <row r="314" spans="7:27" x14ac:dyDescent="0.2">
      <c r="G314" s="74" t="s">
        <v>134</v>
      </c>
      <c r="H314" s="74">
        <v>0</v>
      </c>
      <c r="I314" s="74">
        <v>0</v>
      </c>
      <c r="J314" s="74">
        <v>0</v>
      </c>
      <c r="K314" s="74">
        <f>+K459</f>
        <v>60448</v>
      </c>
      <c r="L314" s="74">
        <f>+L312</f>
        <v>60448</v>
      </c>
      <c r="R314" s="76"/>
      <c r="S314" s="76"/>
      <c r="T314" s="76"/>
      <c r="U314" s="76"/>
      <c r="V314" s="76"/>
      <c r="W314" s="76"/>
      <c r="X314" s="76"/>
      <c r="Y314" s="76"/>
      <c r="Z314" s="76"/>
      <c r="AA314" s="76"/>
    </row>
    <row r="315" spans="7:27" x14ac:dyDescent="0.2">
      <c r="H315" s="76"/>
      <c r="I315" s="76"/>
      <c r="J315" s="76"/>
      <c r="K315" s="76"/>
      <c r="L315" s="123"/>
      <c r="M315" s="76"/>
      <c r="N315" s="76"/>
      <c r="O315" s="76"/>
      <c r="P315" s="76"/>
      <c r="Q315" s="76"/>
      <c r="R315" s="76"/>
      <c r="S315" s="76"/>
      <c r="T315" s="76"/>
      <c r="U315" s="76"/>
      <c r="V315" s="76"/>
      <c r="W315" s="76"/>
      <c r="X315" s="76"/>
      <c r="Y315" s="76"/>
      <c r="Z315" s="76"/>
      <c r="AA315" s="76"/>
    </row>
    <row r="316" spans="7:27" x14ac:dyDescent="0.2">
      <c r="H316" s="76"/>
      <c r="I316" s="76"/>
      <c r="J316" s="76"/>
      <c r="K316" s="76"/>
      <c r="L316" s="123"/>
      <c r="M316" s="76"/>
      <c r="N316" s="76"/>
      <c r="O316" s="76"/>
      <c r="P316" s="76"/>
      <c r="Q316" s="76"/>
      <c r="R316" s="76"/>
      <c r="S316" s="76"/>
      <c r="T316" s="76"/>
      <c r="U316" s="76"/>
      <c r="V316" s="76"/>
      <c r="W316" s="76"/>
      <c r="X316" s="76"/>
      <c r="Y316" s="76"/>
      <c r="Z316" s="76"/>
      <c r="AA316" s="76"/>
    </row>
    <row r="317" spans="7:27" x14ac:dyDescent="0.2">
      <c r="H317" s="76"/>
      <c r="I317" s="76"/>
      <c r="J317" s="76"/>
      <c r="K317" s="2" t="s">
        <v>117</v>
      </c>
      <c r="M317" s="123" t="s">
        <v>135</v>
      </c>
      <c r="N317" s="25">
        <v>1.5277653962955469E-3</v>
      </c>
      <c r="O317" s="76"/>
      <c r="P317" s="76"/>
      <c r="Q317" s="76"/>
      <c r="R317" s="76"/>
      <c r="S317" s="76"/>
      <c r="T317" s="76"/>
      <c r="U317" s="76"/>
      <c r="V317" s="76"/>
      <c r="W317" s="76"/>
      <c r="X317" s="76"/>
      <c r="Y317" s="76"/>
      <c r="Z317" s="76"/>
      <c r="AA317" s="76"/>
    </row>
    <row r="318" spans="7:27" x14ac:dyDescent="0.2">
      <c r="H318" s="76"/>
      <c r="I318" s="76"/>
      <c r="J318" s="76"/>
      <c r="K318" s="2" t="s">
        <v>136</v>
      </c>
      <c r="M318" s="123" t="s">
        <v>137</v>
      </c>
      <c r="N318" s="25">
        <v>5.6525344234822491E-3</v>
      </c>
      <c r="O318" s="76"/>
      <c r="P318" s="76"/>
      <c r="Q318" s="76"/>
      <c r="R318" s="76"/>
      <c r="S318" s="76"/>
      <c r="T318" s="76"/>
      <c r="U318" s="76"/>
      <c r="V318" s="76"/>
      <c r="W318" s="76"/>
      <c r="X318" s="76"/>
      <c r="Y318" s="76"/>
      <c r="Z318" s="76"/>
      <c r="AA318" s="76"/>
    </row>
    <row r="319" spans="7:27" x14ac:dyDescent="0.2">
      <c r="H319" s="76"/>
      <c r="I319" s="76"/>
      <c r="J319" s="76"/>
      <c r="K319" s="76"/>
      <c r="L319" s="123"/>
      <c r="M319" s="76"/>
      <c r="N319" s="76"/>
      <c r="O319" s="76"/>
      <c r="P319" s="76"/>
      <c r="Q319" s="76"/>
      <c r="R319" s="76"/>
      <c r="S319" s="76"/>
      <c r="T319" s="76"/>
      <c r="U319" s="76"/>
      <c r="V319" s="76"/>
      <c r="W319" s="76"/>
      <c r="X319" s="76"/>
      <c r="Y319" s="76"/>
      <c r="Z319" s="76"/>
      <c r="AA319" s="76"/>
    </row>
    <row r="320" spans="7:27" x14ac:dyDescent="0.2">
      <c r="H320" s="76"/>
      <c r="I320" s="76"/>
      <c r="J320" s="76"/>
      <c r="K320" s="76"/>
      <c r="L320" s="123"/>
      <c r="M320" s="76"/>
      <c r="N320" s="76"/>
      <c r="O320" s="76"/>
      <c r="P320" s="76"/>
      <c r="Q320" s="76"/>
      <c r="R320" s="76"/>
      <c r="S320" s="76"/>
      <c r="T320" s="76"/>
      <c r="U320" s="76"/>
      <c r="V320" s="76"/>
      <c r="W320" s="76"/>
      <c r="X320" s="76"/>
      <c r="Y320" s="76"/>
      <c r="Z320" s="76"/>
      <c r="AA320" s="76"/>
    </row>
    <row r="321" spans="7:27" x14ac:dyDescent="0.2">
      <c r="H321" s="76"/>
      <c r="I321" s="76"/>
      <c r="J321" s="76"/>
      <c r="K321" s="76"/>
      <c r="L321" s="123"/>
      <c r="M321" s="76"/>
      <c r="N321" s="76"/>
      <c r="O321" s="76"/>
      <c r="P321" s="76"/>
      <c r="Q321" s="76"/>
      <c r="R321" s="76"/>
      <c r="S321" s="76"/>
      <c r="T321" s="76"/>
      <c r="U321" s="76"/>
      <c r="V321" s="76"/>
      <c r="W321" s="76"/>
      <c r="X321" s="76"/>
      <c r="Y321" s="76"/>
      <c r="Z321" s="76"/>
      <c r="AA321" s="76"/>
    </row>
    <row r="322" spans="7:27" x14ac:dyDescent="0.2">
      <c r="H322" s="76"/>
      <c r="I322" s="76"/>
      <c r="J322" s="76"/>
      <c r="K322" s="76"/>
      <c r="L322" s="229"/>
      <c r="M322" s="229"/>
      <c r="N322" s="230"/>
      <c r="O322" s="230"/>
      <c r="P322" s="230"/>
      <c r="Q322" s="230"/>
      <c r="R322" s="230"/>
      <c r="S322" s="230"/>
      <c r="T322" s="230"/>
      <c r="U322" s="76"/>
      <c r="V322" s="76"/>
      <c r="W322" s="76"/>
      <c r="X322" s="76"/>
      <c r="Y322" s="76"/>
      <c r="Z322" s="76"/>
      <c r="AA322" s="76"/>
    </row>
    <row r="323" spans="7:27" x14ac:dyDescent="0.2">
      <c r="H323" s="76"/>
      <c r="I323" s="76"/>
      <c r="J323" s="76"/>
      <c r="K323" s="66" t="s">
        <v>138</v>
      </c>
      <c r="L323" s="5">
        <v>0</v>
      </c>
      <c r="M323" s="2">
        <f>+L323</f>
        <v>0</v>
      </c>
      <c r="N323" s="72">
        <f>+M312*0.95</f>
        <v>86508.404479999997</v>
      </c>
      <c r="O323" s="72">
        <f>+N312*0.95</f>
        <v>87003.176640000005</v>
      </c>
      <c r="P323" s="72">
        <f>+O312*0.95</f>
        <v>88207.28035999999</v>
      </c>
      <c r="Q323" s="72">
        <f>+P312*0.95</f>
        <v>89423.164839999998</v>
      </c>
      <c r="R323" s="72">
        <f t="shared" ref="R323:T323" si="84">+Q312*0.95</f>
        <v>90654.798800000004</v>
      </c>
      <c r="S323" s="72">
        <f t="shared" si="84"/>
        <v>91904.229300000006</v>
      </c>
      <c r="T323" s="72">
        <f t="shared" si="84"/>
        <v>93169.768759999992</v>
      </c>
      <c r="U323" s="76"/>
      <c r="V323" s="76"/>
      <c r="W323" s="76"/>
      <c r="X323" s="76"/>
      <c r="Y323" s="76"/>
      <c r="Z323" s="76"/>
      <c r="AA323" s="76"/>
    </row>
    <row r="324" spans="7:27" x14ac:dyDescent="0.2">
      <c r="H324" s="76"/>
      <c r="I324" s="76"/>
      <c r="J324" s="76"/>
      <c r="K324" s="76"/>
      <c r="L324" s="123"/>
      <c r="M324" s="76"/>
      <c r="N324" s="76"/>
      <c r="O324" s="76"/>
      <c r="P324" s="76"/>
      <c r="Q324" s="76"/>
      <c r="R324" s="76"/>
      <c r="S324" s="76"/>
      <c r="T324" s="76"/>
      <c r="U324" s="76"/>
      <c r="V324" s="76"/>
      <c r="W324" s="76"/>
      <c r="X324" s="76"/>
      <c r="Y324" s="76"/>
      <c r="Z324" s="76"/>
      <c r="AA324" s="76"/>
    </row>
    <row r="325" spans="7:27" x14ac:dyDescent="0.2">
      <c r="H325" s="76"/>
      <c r="I325" s="76"/>
      <c r="J325" s="76"/>
      <c r="K325" s="76"/>
      <c r="L325" s="5" t="s">
        <v>139</v>
      </c>
      <c r="M325" s="76"/>
      <c r="N325" s="76"/>
      <c r="O325" s="76"/>
      <c r="P325" s="76"/>
      <c r="Q325" s="76"/>
      <c r="R325" s="76"/>
      <c r="S325" s="76"/>
      <c r="T325" s="76"/>
      <c r="U325" s="76"/>
      <c r="V325" s="76"/>
      <c r="W325" s="76"/>
      <c r="X325" s="76"/>
      <c r="Y325" s="76"/>
      <c r="Z325" s="76"/>
      <c r="AA325" s="76"/>
    </row>
    <row r="326" spans="7:27" x14ac:dyDescent="0.2">
      <c r="H326" s="76"/>
      <c r="I326" s="76"/>
      <c r="J326" s="76"/>
      <c r="K326" s="76"/>
      <c r="L326" s="2" t="s">
        <v>140</v>
      </c>
      <c r="M326" s="76"/>
      <c r="N326" s="76"/>
      <c r="O326" s="76"/>
      <c r="P326" s="76"/>
      <c r="Q326" s="76"/>
      <c r="R326" s="76"/>
      <c r="S326" s="76"/>
      <c r="T326" s="76"/>
      <c r="U326" s="76"/>
      <c r="V326" s="76"/>
      <c r="W326" s="76"/>
      <c r="X326" s="76"/>
      <c r="Y326" s="76"/>
      <c r="Z326" s="76"/>
      <c r="AA326" s="76"/>
    </row>
    <row r="327" spans="7:27" x14ac:dyDescent="0.2">
      <c r="H327" s="76"/>
      <c r="I327" s="76"/>
      <c r="J327" s="76"/>
      <c r="K327" s="76"/>
      <c r="L327" s="123"/>
      <c r="M327" s="76"/>
      <c r="N327" s="76"/>
      <c r="O327" s="76"/>
      <c r="P327" s="76"/>
      <c r="Q327" s="76"/>
      <c r="R327" s="76"/>
      <c r="S327" s="76"/>
      <c r="T327" s="76"/>
      <c r="U327" s="76"/>
      <c r="V327" s="76"/>
      <c r="W327" s="76"/>
      <c r="X327" s="76"/>
      <c r="Y327" s="76"/>
      <c r="Z327" s="76"/>
      <c r="AA327" s="76"/>
    </row>
    <row r="328" spans="7:27" x14ac:dyDescent="0.2">
      <c r="H328" s="76"/>
      <c r="I328" s="76"/>
      <c r="J328" s="76"/>
      <c r="K328" s="76"/>
      <c r="L328" s="123"/>
      <c r="M328" s="76"/>
      <c r="N328" s="76"/>
      <c r="O328" s="76"/>
      <c r="P328" s="76"/>
      <c r="Q328" s="76"/>
      <c r="R328" s="76"/>
      <c r="S328" s="76"/>
      <c r="T328" s="76"/>
      <c r="U328" s="76"/>
      <c r="V328" s="76"/>
      <c r="W328" s="76"/>
      <c r="X328" s="76"/>
      <c r="Y328" s="76"/>
      <c r="Z328" s="76"/>
      <c r="AA328" s="76"/>
    </row>
    <row r="329" spans="7:27" ht="13.5" thickBot="1" x14ac:dyDescent="0.25">
      <c r="H329" s="76"/>
      <c r="I329" s="76"/>
      <c r="J329" s="76"/>
      <c r="K329" s="76"/>
      <c r="L329" s="216">
        <f>+L285</f>
        <v>2017</v>
      </c>
      <c r="M329" s="216">
        <f>+M285</f>
        <v>2018</v>
      </c>
      <c r="N329" s="76"/>
      <c r="O329" s="76"/>
      <c r="P329" s="76"/>
      <c r="Q329" s="76"/>
      <c r="R329" s="76"/>
      <c r="S329" s="76"/>
      <c r="T329" s="76"/>
      <c r="U329" s="76"/>
      <c r="V329" s="76"/>
      <c r="W329" s="76"/>
      <c r="X329" s="76"/>
      <c r="Y329" s="76"/>
      <c r="Z329" s="76"/>
      <c r="AA329" s="76"/>
    </row>
    <row r="330" spans="7:27" ht="13.5" thickBot="1" x14ac:dyDescent="0.25">
      <c r="H330" s="76"/>
      <c r="I330" s="76"/>
      <c r="J330" s="76"/>
      <c r="K330" s="76"/>
      <c r="L330" s="123"/>
      <c r="M330" s="231">
        <f>4750*M334</f>
        <v>28500</v>
      </c>
      <c r="N330" s="231">
        <f t="shared" ref="N330:Q330" si="85">4750*N334</f>
        <v>28500</v>
      </c>
      <c r="O330" s="231">
        <f t="shared" si="85"/>
        <v>28500</v>
      </c>
      <c r="P330" s="231">
        <f t="shared" si="85"/>
        <v>28500</v>
      </c>
      <c r="Q330" s="231">
        <f t="shared" si="85"/>
        <v>28500</v>
      </c>
      <c r="R330" s="232">
        <f>4750*R334</f>
        <v>28500</v>
      </c>
      <c r="S330" s="232">
        <f t="shared" ref="S330:Z330" si="86">4750*S334</f>
        <v>28500</v>
      </c>
      <c r="T330" s="232">
        <f t="shared" si="86"/>
        <v>28500</v>
      </c>
      <c r="U330" s="232">
        <f t="shared" si="86"/>
        <v>28500</v>
      </c>
      <c r="V330" s="232">
        <f t="shared" si="86"/>
        <v>28500</v>
      </c>
      <c r="W330" s="232">
        <f t="shared" si="86"/>
        <v>28500</v>
      </c>
      <c r="X330" s="232">
        <f t="shared" si="86"/>
        <v>28500</v>
      </c>
      <c r="Y330" s="232">
        <f t="shared" si="86"/>
        <v>28500</v>
      </c>
      <c r="Z330" s="232">
        <f t="shared" si="86"/>
        <v>28500</v>
      </c>
      <c r="AA330" s="76"/>
    </row>
    <row r="331" spans="7:27" x14ac:dyDescent="0.2">
      <c r="R331" s="76"/>
      <c r="S331" s="76"/>
      <c r="T331" s="76"/>
      <c r="U331" s="76"/>
      <c r="V331" s="76"/>
      <c r="W331" s="76"/>
      <c r="X331" s="76"/>
      <c r="Y331" s="76"/>
      <c r="Z331" s="76"/>
      <c r="AA331" s="76"/>
    </row>
    <row r="332" spans="7:27" x14ac:dyDescent="0.2">
      <c r="G332" s="145" t="s">
        <v>141</v>
      </c>
      <c r="H332" s="6">
        <f>+H21</f>
        <v>0</v>
      </c>
      <c r="I332" s="6">
        <f>+I21</f>
        <v>0</v>
      </c>
      <c r="J332" s="6">
        <f>+J21</f>
        <v>0</v>
      </c>
      <c r="K332" s="6">
        <f>+K21</f>
        <v>713319</v>
      </c>
      <c r="L332" s="6">
        <f>+L21</f>
        <v>731151.97499999998</v>
      </c>
      <c r="M332" s="6">
        <f>+M21</f>
        <v>784650.9</v>
      </c>
      <c r="N332" s="6">
        <f>ROUND(+N335*N337,0)</f>
        <v>549700</v>
      </c>
      <c r="O332" s="6">
        <f>ROUND(+O335*O337,0)</f>
        <v>552460</v>
      </c>
      <c r="P332" s="6">
        <f>ROUND(+P335*P337,0)</f>
        <v>555220</v>
      </c>
      <c r="Q332" s="5">
        <f>ROUND(+Q335*Q337,0)</f>
        <v>557980</v>
      </c>
      <c r="R332" s="76"/>
      <c r="S332" s="76"/>
      <c r="T332" s="76"/>
      <c r="U332" s="76"/>
      <c r="V332" s="76"/>
      <c r="W332" s="76"/>
      <c r="X332" s="76"/>
      <c r="Y332" s="76"/>
      <c r="Z332" s="76"/>
      <c r="AA332" s="76"/>
    </row>
    <row r="333" spans="7:27" ht="13.5" thickBot="1" x14ac:dyDescent="0.25">
      <c r="G333" s="2" t="s">
        <v>142</v>
      </c>
      <c r="H333" s="2">
        <v>0</v>
      </c>
      <c r="I333" s="2">
        <v>0</v>
      </c>
      <c r="J333" s="2">
        <v>0</v>
      </c>
      <c r="K333" s="2">
        <f>+L333</f>
        <v>1186</v>
      </c>
      <c r="L333" s="2">
        <v>1186</v>
      </c>
      <c r="M333" s="2">
        <f t="shared" ref="M333:Z333" si="87">+L333+M334</f>
        <v>1192</v>
      </c>
      <c r="N333" s="2">
        <f t="shared" si="87"/>
        <v>1198</v>
      </c>
      <c r="O333" s="2">
        <f t="shared" si="87"/>
        <v>1204</v>
      </c>
      <c r="P333" s="2">
        <f t="shared" si="87"/>
        <v>1210</v>
      </c>
      <c r="Q333" s="2">
        <f t="shared" si="87"/>
        <v>1216</v>
      </c>
      <c r="R333" s="2">
        <f t="shared" si="87"/>
        <v>1222</v>
      </c>
      <c r="S333" s="2">
        <f t="shared" si="87"/>
        <v>1228</v>
      </c>
      <c r="T333" s="2">
        <f t="shared" si="87"/>
        <v>1234</v>
      </c>
      <c r="U333" s="2">
        <f t="shared" si="87"/>
        <v>1240</v>
      </c>
      <c r="V333" s="2">
        <f t="shared" si="87"/>
        <v>1246</v>
      </c>
      <c r="W333" s="2">
        <f t="shared" si="87"/>
        <v>1252</v>
      </c>
      <c r="X333" s="2">
        <f t="shared" si="87"/>
        <v>1258</v>
      </c>
      <c r="Y333" s="2">
        <f t="shared" si="87"/>
        <v>1264</v>
      </c>
      <c r="Z333" s="2">
        <f t="shared" si="87"/>
        <v>1270</v>
      </c>
      <c r="AA333" s="76"/>
    </row>
    <row r="334" spans="7:27" ht="13.5" thickBot="1" x14ac:dyDescent="0.25">
      <c r="L334" s="233">
        <v>0</v>
      </c>
      <c r="M334" s="234">
        <f>ROUND(0.005*L333,0)</f>
        <v>6</v>
      </c>
      <c r="N334" s="234">
        <f t="shared" ref="N334:Q334" si="88">ROUND(0.005*M333,0)</f>
        <v>6</v>
      </c>
      <c r="O334" s="234">
        <f t="shared" si="88"/>
        <v>6</v>
      </c>
      <c r="P334" s="234">
        <f t="shared" si="88"/>
        <v>6</v>
      </c>
      <c r="Q334" s="234">
        <f t="shared" si="88"/>
        <v>6</v>
      </c>
      <c r="R334" s="123">
        <f>ROUND(+Q333*(R344),0)</f>
        <v>6</v>
      </c>
      <c r="S334" s="123">
        <f t="shared" ref="S334:Z334" si="89">ROUND(+R333*(S344),0)</f>
        <v>6</v>
      </c>
      <c r="T334" s="123">
        <f t="shared" si="89"/>
        <v>6</v>
      </c>
      <c r="U334" s="123">
        <f t="shared" si="89"/>
        <v>6</v>
      </c>
      <c r="V334" s="123">
        <f t="shared" si="89"/>
        <v>6</v>
      </c>
      <c r="W334" s="123">
        <f t="shared" si="89"/>
        <v>6</v>
      </c>
      <c r="X334" s="123">
        <f t="shared" si="89"/>
        <v>6</v>
      </c>
      <c r="Y334" s="123">
        <f t="shared" si="89"/>
        <v>6</v>
      </c>
      <c r="Z334" s="123">
        <f t="shared" si="89"/>
        <v>6</v>
      </c>
      <c r="AA334" s="76"/>
    </row>
    <row r="335" spans="7:27" x14ac:dyDescent="0.2">
      <c r="I335" s="2">
        <f t="shared" ref="I335:Q335" si="90">AVERAGE(H333:I333)</f>
        <v>0</v>
      </c>
      <c r="J335" s="2">
        <f t="shared" si="90"/>
        <v>0</v>
      </c>
      <c r="K335" s="2">
        <f t="shared" si="90"/>
        <v>593</v>
      </c>
      <c r="L335" s="2">
        <f t="shared" si="90"/>
        <v>1186</v>
      </c>
      <c r="M335" s="2">
        <f t="shared" si="90"/>
        <v>1189</v>
      </c>
      <c r="N335" s="2">
        <f t="shared" si="90"/>
        <v>1195</v>
      </c>
      <c r="O335" s="2">
        <f t="shared" si="90"/>
        <v>1201</v>
      </c>
      <c r="P335" s="2">
        <f t="shared" si="90"/>
        <v>1207</v>
      </c>
      <c r="Q335" s="2">
        <f t="shared" si="90"/>
        <v>1213</v>
      </c>
      <c r="R335" s="76"/>
      <c r="S335" s="76"/>
      <c r="T335" s="76"/>
      <c r="U335" s="76"/>
      <c r="V335" s="76"/>
      <c r="W335" s="76"/>
      <c r="X335" s="76"/>
      <c r="Y335" s="76"/>
      <c r="Z335" s="76"/>
      <c r="AA335" s="76"/>
    </row>
    <row r="336" spans="7:27" x14ac:dyDescent="0.2">
      <c r="H336" s="2" t="e">
        <f>+H332/H333</f>
        <v>#DIV/0!</v>
      </c>
      <c r="I336" s="2" t="e">
        <f>+I332/I333</f>
        <v>#DIV/0!</v>
      </c>
      <c r="J336" s="2" t="e">
        <f>+J332/J333</f>
        <v>#DIV/0!</v>
      </c>
      <c r="K336" s="2">
        <f>+K332/K333</f>
        <v>601.44940978077568</v>
      </c>
      <c r="L336" s="2">
        <f>+L332/L333</f>
        <v>616.48564502529507</v>
      </c>
      <c r="R336" s="76"/>
      <c r="S336" s="76"/>
      <c r="T336" s="76"/>
      <c r="U336" s="76"/>
      <c r="V336" s="76"/>
      <c r="W336" s="76"/>
      <c r="X336" s="76"/>
      <c r="Y336" s="76"/>
      <c r="Z336" s="76"/>
      <c r="AA336" s="76"/>
    </row>
    <row r="337" spans="8:29" x14ac:dyDescent="0.2">
      <c r="M337" s="235">
        <v>460</v>
      </c>
      <c r="N337" s="235">
        <v>460</v>
      </c>
      <c r="O337" s="235">
        <v>460</v>
      </c>
      <c r="P337" s="235">
        <v>460</v>
      </c>
      <c r="Q337" s="235">
        <v>460</v>
      </c>
      <c r="R337" s="76"/>
      <c r="S337" s="76"/>
      <c r="T337" s="76"/>
      <c r="U337" s="76"/>
      <c r="V337" s="76"/>
      <c r="W337" s="76"/>
      <c r="X337" s="76"/>
      <c r="Y337" s="76"/>
      <c r="Z337" s="76"/>
      <c r="AA337" s="76"/>
    </row>
    <row r="338" spans="8:29" x14ac:dyDescent="0.2">
      <c r="I338" s="2" t="e">
        <f t="shared" ref="I338:M338" si="91">+I332/I335</f>
        <v>#DIV/0!</v>
      </c>
      <c r="J338" s="2" t="e">
        <f t="shared" si="91"/>
        <v>#DIV/0!</v>
      </c>
      <c r="K338" s="2">
        <f t="shared" si="91"/>
        <v>1202.8988195615514</v>
      </c>
      <c r="L338" s="2">
        <f t="shared" si="91"/>
        <v>616.48564502529507</v>
      </c>
      <c r="M338" s="2">
        <f t="shared" si="91"/>
        <v>659.92506307821702</v>
      </c>
      <c r="R338" s="76"/>
      <c r="S338" s="76"/>
      <c r="T338" s="76"/>
      <c r="U338" s="76"/>
      <c r="V338" s="76"/>
      <c r="W338" s="76"/>
      <c r="X338" s="76"/>
      <c r="Y338" s="76"/>
      <c r="Z338" s="76"/>
      <c r="AA338" s="76"/>
    </row>
    <row r="339" spans="8:29" x14ac:dyDescent="0.2">
      <c r="H339" s="76"/>
      <c r="I339" s="76"/>
      <c r="J339" s="76"/>
      <c r="K339" s="76"/>
      <c r="L339" s="123"/>
      <c r="M339" s="76"/>
      <c r="N339" s="76"/>
      <c r="O339" s="76"/>
      <c r="P339" s="76"/>
      <c r="Q339" s="76"/>
      <c r="R339" s="76"/>
      <c r="S339" s="76"/>
      <c r="T339" s="76"/>
      <c r="U339" s="76"/>
      <c r="V339" s="76"/>
      <c r="W339" s="76"/>
      <c r="X339" s="76"/>
      <c r="Y339" s="76"/>
      <c r="Z339" s="76"/>
      <c r="AA339" s="76"/>
    </row>
    <row r="340" spans="8:29" x14ac:dyDescent="0.2">
      <c r="H340" s="76"/>
      <c r="I340" s="76"/>
      <c r="J340" s="76"/>
      <c r="K340" s="76"/>
      <c r="L340" s="25" t="s">
        <v>143</v>
      </c>
      <c r="M340" s="75">
        <v>1186</v>
      </c>
      <c r="N340" s="76"/>
      <c r="O340" s="76"/>
      <c r="P340" s="76"/>
      <c r="Q340" s="76"/>
      <c r="R340" s="76"/>
      <c r="S340" s="76"/>
      <c r="T340" s="76"/>
      <c r="U340" s="76"/>
      <c r="V340" s="76"/>
      <c r="W340" s="76"/>
      <c r="X340" s="76"/>
      <c r="Y340" s="76"/>
      <c r="Z340" s="76"/>
      <c r="AA340" s="76"/>
    </row>
    <row r="341" spans="8:29" x14ac:dyDescent="0.2">
      <c r="H341" s="76"/>
      <c r="I341" s="76"/>
      <c r="J341" s="76"/>
      <c r="K341" s="76"/>
      <c r="L341" s="25" t="s">
        <v>144</v>
      </c>
      <c r="M341" s="75">
        <v>1186</v>
      </c>
      <c r="N341" s="76"/>
      <c r="O341" s="76"/>
      <c r="P341" s="76"/>
      <c r="Q341" s="76"/>
      <c r="R341" s="76"/>
      <c r="S341" s="76"/>
      <c r="T341" s="76"/>
      <c r="U341" s="76"/>
      <c r="V341" s="76"/>
      <c r="W341" s="76"/>
      <c r="X341" s="76"/>
      <c r="Y341" s="76"/>
      <c r="Z341" s="76"/>
      <c r="AA341" s="76"/>
    </row>
    <row r="342" spans="8:29" x14ac:dyDescent="0.2">
      <c r="H342" s="76"/>
      <c r="I342" s="76"/>
      <c r="J342" s="76"/>
      <c r="K342" s="76"/>
      <c r="L342" s="76"/>
      <c r="M342" s="77">
        <f>+M340/M341</f>
        <v>1</v>
      </c>
      <c r="N342" s="76"/>
      <c r="O342" s="76"/>
      <c r="P342" s="76"/>
      <c r="Q342" s="76"/>
      <c r="R342" s="76"/>
      <c r="S342" s="76"/>
      <c r="T342" s="76"/>
      <c r="U342" s="76"/>
      <c r="V342" s="76"/>
      <c r="W342" s="76"/>
      <c r="X342" s="76"/>
      <c r="Y342" s="76"/>
      <c r="Z342" s="76"/>
      <c r="AA342" s="76"/>
    </row>
    <row r="343" spans="8:29" ht="13.5" thickBot="1" x14ac:dyDescent="0.25">
      <c r="H343" s="76"/>
      <c r="I343" s="76"/>
      <c r="J343" s="76"/>
      <c r="K343" s="25">
        <f>1.742*1000000</f>
        <v>1742000</v>
      </c>
      <c r="L343" s="76"/>
      <c r="M343" s="76"/>
      <c r="N343" s="76"/>
      <c r="O343" s="76"/>
      <c r="P343" s="76"/>
      <c r="Q343" s="76"/>
      <c r="R343" s="76"/>
      <c r="S343" s="76"/>
      <c r="T343" s="76"/>
      <c r="U343" s="76"/>
      <c r="V343" s="76"/>
      <c r="W343" s="76"/>
      <c r="X343" s="76"/>
      <c r="Y343" s="76"/>
      <c r="Z343" s="220"/>
      <c r="AA343" s="76"/>
    </row>
    <row r="344" spans="8:29" ht="13.5" thickBot="1" x14ac:dyDescent="0.25">
      <c r="H344" s="76"/>
      <c r="I344" s="25" t="s">
        <v>145</v>
      </c>
      <c r="J344" s="76"/>
      <c r="L344" s="123"/>
      <c r="M344" s="78">
        <f t="shared" ref="M344:Q344" si="92">+M334</f>
        <v>6</v>
      </c>
      <c r="N344" s="78">
        <f t="shared" si="92"/>
        <v>6</v>
      </c>
      <c r="O344" s="78">
        <f t="shared" si="92"/>
        <v>6</v>
      </c>
      <c r="P344" s="78">
        <f t="shared" si="92"/>
        <v>6</v>
      </c>
      <c r="Q344" s="78">
        <f t="shared" si="92"/>
        <v>6</v>
      </c>
      <c r="R344" s="71">
        <v>5.0000000000000001E-3</v>
      </c>
      <c r="S344" s="71">
        <f t="shared" ref="S344:Z344" si="93">+R344</f>
        <v>5.0000000000000001E-3</v>
      </c>
      <c r="T344" s="71">
        <f t="shared" si="93"/>
        <v>5.0000000000000001E-3</v>
      </c>
      <c r="U344" s="71">
        <f t="shared" si="93"/>
        <v>5.0000000000000001E-3</v>
      </c>
      <c r="V344" s="71">
        <f t="shared" si="93"/>
        <v>5.0000000000000001E-3</v>
      </c>
      <c r="W344" s="71">
        <f t="shared" si="93"/>
        <v>5.0000000000000001E-3</v>
      </c>
      <c r="X344" s="71">
        <f t="shared" si="93"/>
        <v>5.0000000000000001E-3</v>
      </c>
      <c r="Y344" s="71">
        <f t="shared" si="93"/>
        <v>5.0000000000000001E-3</v>
      </c>
      <c r="Z344" s="71">
        <f t="shared" si="93"/>
        <v>5.0000000000000001E-3</v>
      </c>
      <c r="AA344" s="76"/>
    </row>
    <row r="345" spans="8:29" ht="13.5" thickBot="1" x14ac:dyDescent="0.25">
      <c r="H345" s="76"/>
      <c r="I345" s="123" t="s">
        <v>146</v>
      </c>
      <c r="J345" s="82">
        <v>0</v>
      </c>
      <c r="K345" s="81">
        <f>(100000*2343)/K346</f>
        <v>197554.80607082631</v>
      </c>
      <c r="L345" s="79">
        <f>+L346*K350</f>
        <v>197554.80607082631</v>
      </c>
      <c r="M345" s="79">
        <f>+M346*L350</f>
        <v>198554.2401656197</v>
      </c>
      <c r="N345" s="79">
        <f t="shared" ref="N345:Z345" si="94">+N346*M350</f>
        <v>199553.6742604131</v>
      </c>
      <c r="O345" s="79">
        <f t="shared" si="94"/>
        <v>200553.10835520647</v>
      </c>
      <c r="P345" s="79">
        <f t="shared" si="94"/>
        <v>201552.54244999986</v>
      </c>
      <c r="Q345" s="79">
        <f t="shared" si="94"/>
        <v>202551.97654479326</v>
      </c>
      <c r="R345" s="79">
        <f t="shared" si="94"/>
        <v>203564.7364275172</v>
      </c>
      <c r="S345" s="79">
        <f t="shared" si="94"/>
        <v>204582.56010965476</v>
      </c>
      <c r="T345" s="79">
        <f t="shared" si="94"/>
        <v>205605.47291020304</v>
      </c>
      <c r="U345" s="79">
        <f t="shared" si="94"/>
        <v>206633.50027475404</v>
      </c>
      <c r="V345" s="79">
        <f t="shared" si="94"/>
        <v>207666.66777612778</v>
      </c>
      <c r="W345" s="79">
        <f t="shared" si="94"/>
        <v>208705.00111500837</v>
      </c>
      <c r="X345" s="79">
        <f t="shared" si="94"/>
        <v>209748.52612058341</v>
      </c>
      <c r="Y345" s="79">
        <f t="shared" si="94"/>
        <v>210797.26875118629</v>
      </c>
      <c r="Z345" s="79">
        <f t="shared" si="94"/>
        <v>211851.25509494223</v>
      </c>
      <c r="AA345" s="76"/>
    </row>
    <row r="346" spans="8:29" ht="13.5" thickBot="1" x14ac:dyDescent="0.25">
      <c r="H346" s="76"/>
      <c r="I346" s="25" t="s">
        <v>147</v>
      </c>
      <c r="J346" s="79">
        <v>1186</v>
      </c>
      <c r="K346" s="79">
        <v>1186</v>
      </c>
      <c r="L346" s="79">
        <v>1186</v>
      </c>
      <c r="M346" s="80">
        <f>+L346+($M342*M344)</f>
        <v>1192</v>
      </c>
      <c r="N346" s="80">
        <f t="shared" ref="N346:P346" si="95">+M346+($M342*N344)</f>
        <v>1198</v>
      </c>
      <c r="O346" s="80">
        <f t="shared" si="95"/>
        <v>1204</v>
      </c>
      <c r="P346" s="80">
        <f t="shared" si="95"/>
        <v>1210</v>
      </c>
      <c r="Q346" s="80">
        <f>+P346+($M342*Q344)</f>
        <v>1216</v>
      </c>
      <c r="R346" s="79">
        <f t="shared" ref="R346:Z346" si="96">+Q346*(1+R344)</f>
        <v>1222.08</v>
      </c>
      <c r="S346" s="79">
        <f t="shared" si="96"/>
        <v>1228.1903999999997</v>
      </c>
      <c r="T346" s="79">
        <f t="shared" si="96"/>
        <v>1234.3313519999997</v>
      </c>
      <c r="U346" s="79">
        <f t="shared" si="96"/>
        <v>1240.5030087599996</v>
      </c>
      <c r="V346" s="79">
        <f t="shared" si="96"/>
        <v>1246.7055238037995</v>
      </c>
      <c r="W346" s="79">
        <f t="shared" si="96"/>
        <v>1252.9390514228182</v>
      </c>
      <c r="X346" s="79">
        <f t="shared" si="96"/>
        <v>1259.2037466799322</v>
      </c>
      <c r="Y346" s="79">
        <f t="shared" si="96"/>
        <v>1265.4997654133317</v>
      </c>
      <c r="Z346" s="79">
        <f t="shared" si="96"/>
        <v>1271.8272642403983</v>
      </c>
      <c r="AA346" s="76"/>
    </row>
    <row r="347" spans="8:29" x14ac:dyDescent="0.2">
      <c r="H347" s="76"/>
      <c r="I347" s="198" t="s">
        <v>148</v>
      </c>
      <c r="J347" s="6">
        <f>+J24-0</f>
        <v>0</v>
      </c>
      <c r="K347" s="6">
        <f>+K24-0</f>
        <v>736024</v>
      </c>
      <c r="L347" s="6">
        <f>+L24-0</f>
        <v>753856.97499999998</v>
      </c>
      <c r="M347" s="6">
        <f>+M24-0</f>
        <v>807355.9</v>
      </c>
      <c r="N347" s="6">
        <f>+N24-0</f>
        <v>832093</v>
      </c>
      <c r="O347" s="6">
        <f>+O24-0</f>
        <v>856882</v>
      </c>
      <c r="P347" s="6">
        <f>+P24-0</f>
        <v>861049</v>
      </c>
      <c r="Q347" s="6">
        <f>+Q24-0</f>
        <v>865217</v>
      </c>
      <c r="R347" s="6">
        <f>+R24-0</f>
        <v>869412</v>
      </c>
      <c r="S347" s="6">
        <f>+S24-0</f>
        <v>902577</v>
      </c>
      <c r="T347" s="6">
        <f>+T24-0</f>
        <v>906977</v>
      </c>
      <c r="U347" s="6">
        <f>+U24-0</f>
        <v>911398</v>
      </c>
      <c r="V347" s="6">
        <f>+V24-0</f>
        <v>944421</v>
      </c>
      <c r="W347" s="6">
        <f>+W24-0</f>
        <v>949030</v>
      </c>
      <c r="X347" s="6">
        <f>+X24-0</f>
        <v>953662</v>
      </c>
      <c r="Y347" s="6">
        <f>+Y24-0</f>
        <v>988257</v>
      </c>
      <c r="Z347" s="6">
        <f>+Z24-0</f>
        <v>993084</v>
      </c>
      <c r="AA347" s="76"/>
    </row>
    <row r="348" spans="8:29" x14ac:dyDescent="0.2">
      <c r="H348" s="76"/>
      <c r="I348" s="76"/>
      <c r="J348" s="76"/>
      <c r="K348" s="25"/>
      <c r="L348" s="123"/>
      <c r="M348" s="76"/>
      <c r="N348" s="76"/>
      <c r="O348" s="76"/>
      <c r="P348" s="76"/>
      <c r="Q348" s="236">
        <f>+Q349/P349</f>
        <v>0.99988251211145074</v>
      </c>
      <c r="R348" s="76"/>
      <c r="S348" s="76"/>
      <c r="T348" s="236">
        <f>+T349/S349</f>
        <v>0.999875552575476</v>
      </c>
      <c r="U348" s="76"/>
      <c r="V348" s="76"/>
      <c r="W348" s="76"/>
      <c r="X348" s="76"/>
      <c r="Y348" s="76"/>
      <c r="Z348" s="76"/>
      <c r="AA348" s="76"/>
    </row>
    <row r="349" spans="8:29" x14ac:dyDescent="0.2">
      <c r="H349" s="76"/>
      <c r="I349" s="25" t="s">
        <v>149</v>
      </c>
      <c r="J349" s="81">
        <f>+J347/J346</f>
        <v>0</v>
      </c>
      <c r="K349" s="81">
        <f>+K347/K346</f>
        <v>620.59359190556495</v>
      </c>
      <c r="L349" s="81">
        <f>+L347/L346</f>
        <v>635.62982715008434</v>
      </c>
      <c r="M349" s="81">
        <f>+M347/M346</f>
        <v>677.31199664429528</v>
      </c>
      <c r="N349" s="81">
        <f t="shared" ref="N349:Z349" si="97">+N347/N346</f>
        <v>694.56844741235398</v>
      </c>
      <c r="O349" s="81">
        <f t="shared" si="97"/>
        <v>711.6960132890365</v>
      </c>
      <c r="P349" s="81">
        <f t="shared" si="97"/>
        <v>711.61074380165292</v>
      </c>
      <c r="Q349" s="81">
        <f t="shared" si="97"/>
        <v>711.52713815789468</v>
      </c>
      <c r="R349" s="81">
        <f t="shared" si="97"/>
        <v>711.41987431264738</v>
      </c>
      <c r="S349" s="81">
        <f t="shared" si="97"/>
        <v>734.88361413670077</v>
      </c>
      <c r="T349" s="81">
        <f t="shared" si="97"/>
        <v>734.7921597635966</v>
      </c>
      <c r="U349" s="81">
        <f t="shared" si="97"/>
        <v>734.70035426276695</v>
      </c>
      <c r="V349" s="81">
        <f t="shared" si="97"/>
        <v>757.533340446343</v>
      </c>
      <c r="W349" s="81">
        <f t="shared" si="97"/>
        <v>757.44306869699381</v>
      </c>
      <c r="X349" s="81">
        <f t="shared" si="97"/>
        <v>757.35321032395586</v>
      </c>
      <c r="Y349" s="81">
        <f t="shared" si="97"/>
        <v>780.92230991225824</v>
      </c>
      <c r="Z349" s="81">
        <f t="shared" si="97"/>
        <v>780.83245101143643</v>
      </c>
      <c r="AA349" s="76"/>
    </row>
    <row r="350" spans="8:29" x14ac:dyDescent="0.2">
      <c r="H350" s="76"/>
      <c r="I350" s="25" t="s">
        <v>150</v>
      </c>
      <c r="J350" s="82">
        <f>+J345/J346</f>
        <v>0</v>
      </c>
      <c r="K350" s="82">
        <f>+K345/K346</f>
        <v>166.5723491322313</v>
      </c>
      <c r="L350" s="82">
        <f>+L345/L346</f>
        <v>166.5723491322313</v>
      </c>
      <c r="M350" s="82">
        <f>+M345/M346</f>
        <v>166.5723491322313</v>
      </c>
      <c r="N350" s="82">
        <f t="shared" ref="N350:Z350" si="98">+N345/N346</f>
        <v>166.5723491322313</v>
      </c>
      <c r="O350" s="82">
        <f t="shared" si="98"/>
        <v>166.5723491322313</v>
      </c>
      <c r="P350" s="82">
        <f t="shared" si="98"/>
        <v>166.5723491322313</v>
      </c>
      <c r="Q350" s="82">
        <f t="shared" si="98"/>
        <v>166.5723491322313</v>
      </c>
      <c r="R350" s="82">
        <f t="shared" si="98"/>
        <v>166.5723491322313</v>
      </c>
      <c r="S350" s="82">
        <f t="shared" si="98"/>
        <v>166.5723491322313</v>
      </c>
      <c r="T350" s="82">
        <f t="shared" si="98"/>
        <v>166.5723491322313</v>
      </c>
      <c r="U350" s="82">
        <f t="shared" si="98"/>
        <v>166.5723491322313</v>
      </c>
      <c r="V350" s="82">
        <f t="shared" si="98"/>
        <v>166.5723491322313</v>
      </c>
      <c r="W350" s="82">
        <f t="shared" si="98"/>
        <v>166.5723491322313</v>
      </c>
      <c r="X350" s="82">
        <f t="shared" si="98"/>
        <v>166.5723491322313</v>
      </c>
      <c r="Y350" s="82">
        <f t="shared" si="98"/>
        <v>166.5723491322313</v>
      </c>
      <c r="Z350" s="82">
        <f t="shared" si="98"/>
        <v>166.5723491322313</v>
      </c>
      <c r="AA350" s="76"/>
      <c r="AC350" s="237"/>
    </row>
    <row r="351" spans="8:29" x14ac:dyDescent="0.2">
      <c r="H351" s="76"/>
      <c r="I351" s="25"/>
      <c r="J351" s="76"/>
      <c r="L351" s="123"/>
      <c r="M351" s="76"/>
      <c r="N351" s="76"/>
      <c r="O351" s="76"/>
      <c r="P351" s="76"/>
      <c r="Q351" s="76"/>
      <c r="R351" s="76"/>
      <c r="S351" s="76"/>
      <c r="T351" s="76"/>
      <c r="U351" s="76"/>
      <c r="V351" s="76"/>
      <c r="W351" s="76"/>
      <c r="X351" s="76"/>
      <c r="Y351" s="76"/>
      <c r="Z351" s="76"/>
      <c r="AA351" s="76"/>
    </row>
    <row r="352" spans="8:29" x14ac:dyDescent="0.2">
      <c r="H352" s="76"/>
      <c r="I352" s="25" t="s">
        <v>151</v>
      </c>
      <c r="J352" s="81" t="e">
        <f>+J347/J333</f>
        <v>#DIV/0!</v>
      </c>
      <c r="K352" s="81">
        <f t="shared" ref="K352:Z352" si="99">+K347/K333</f>
        <v>620.59359190556495</v>
      </c>
      <c r="L352" s="81">
        <f t="shared" si="99"/>
        <v>635.62982715008434</v>
      </c>
      <c r="M352" s="81">
        <f t="shared" si="99"/>
        <v>677.31199664429528</v>
      </c>
      <c r="N352" s="81">
        <f t="shared" si="99"/>
        <v>694.56844741235398</v>
      </c>
      <c r="O352" s="81">
        <f t="shared" si="99"/>
        <v>711.6960132890365</v>
      </c>
      <c r="P352" s="81">
        <f t="shared" si="99"/>
        <v>711.61074380165292</v>
      </c>
      <c r="Q352" s="81">
        <f t="shared" si="99"/>
        <v>711.52713815789468</v>
      </c>
      <c r="R352" s="81">
        <f t="shared" si="99"/>
        <v>711.46644844517186</v>
      </c>
      <c r="S352" s="81">
        <f t="shared" si="99"/>
        <v>734.99755700325738</v>
      </c>
      <c r="T352" s="81">
        <f t="shared" si="99"/>
        <v>734.98946515397085</v>
      </c>
      <c r="U352" s="81">
        <f t="shared" si="99"/>
        <v>734.9983870967742</v>
      </c>
      <c r="V352" s="81">
        <f t="shared" si="99"/>
        <v>757.96227929373993</v>
      </c>
      <c r="W352" s="81">
        <f t="shared" si="99"/>
        <v>758.01118210862614</v>
      </c>
      <c r="X352" s="81">
        <f t="shared" si="99"/>
        <v>758.07790143084264</v>
      </c>
      <c r="Y352" s="81">
        <f t="shared" si="99"/>
        <v>781.84889240506334</v>
      </c>
      <c r="Z352" s="81">
        <f t="shared" si="99"/>
        <v>781.95590551181101</v>
      </c>
      <c r="AA352" s="76"/>
    </row>
    <row r="353" spans="7:29" x14ac:dyDescent="0.2">
      <c r="H353" s="76"/>
      <c r="I353" s="25" t="s">
        <v>152</v>
      </c>
      <c r="J353" s="82" t="e">
        <f>+J345/J333</f>
        <v>#DIV/0!</v>
      </c>
      <c r="K353" s="82">
        <f t="shared" ref="K353:Z353" si="100">+K345/K333</f>
        <v>166.5723491322313</v>
      </c>
      <c r="L353" s="82">
        <f t="shared" si="100"/>
        <v>166.5723491322313</v>
      </c>
      <c r="M353" s="82">
        <f t="shared" si="100"/>
        <v>166.5723491322313</v>
      </c>
      <c r="N353" s="82">
        <f t="shared" si="100"/>
        <v>166.5723491322313</v>
      </c>
      <c r="O353" s="82">
        <f t="shared" si="100"/>
        <v>166.5723491322313</v>
      </c>
      <c r="P353" s="82">
        <f t="shared" si="100"/>
        <v>166.5723491322313</v>
      </c>
      <c r="Q353" s="82">
        <f t="shared" si="100"/>
        <v>166.5723491322313</v>
      </c>
      <c r="R353" s="82">
        <f t="shared" si="100"/>
        <v>166.58325403233815</v>
      </c>
      <c r="S353" s="82">
        <f t="shared" si="100"/>
        <v>166.59817598506089</v>
      </c>
      <c r="T353" s="82">
        <f t="shared" si="100"/>
        <v>166.61707691264428</v>
      </c>
      <c r="U353" s="82">
        <f t="shared" si="100"/>
        <v>166.63991957641454</v>
      </c>
      <c r="V353" s="82">
        <f t="shared" si="100"/>
        <v>166.66666755708491</v>
      </c>
      <c r="W353" s="82">
        <f t="shared" si="100"/>
        <v>166.69728523562969</v>
      </c>
      <c r="X353" s="82">
        <f t="shared" si="100"/>
        <v>166.73173777470859</v>
      </c>
      <c r="Y353" s="82">
        <f t="shared" si="100"/>
        <v>166.76999110062206</v>
      </c>
      <c r="Z353" s="82">
        <f t="shared" si="100"/>
        <v>166.81201188578129</v>
      </c>
      <c r="AA353" s="76"/>
    </row>
    <row r="354" spans="7:29" x14ac:dyDescent="0.2">
      <c r="H354" s="76"/>
      <c r="I354" s="25"/>
      <c r="J354" s="76"/>
      <c r="L354" s="123"/>
      <c r="M354" s="76"/>
      <c r="N354" s="76"/>
      <c r="O354" s="76"/>
      <c r="P354" s="76"/>
      <c r="Q354" s="76"/>
      <c r="R354" s="76"/>
      <c r="S354" s="76"/>
      <c r="T354" s="76"/>
      <c r="U354" s="76"/>
      <c r="V354" s="76"/>
      <c r="W354" s="76"/>
      <c r="X354" s="76"/>
      <c r="Y354" s="76"/>
      <c r="Z354" s="76"/>
      <c r="AA354" s="76"/>
    </row>
    <row r="355" spans="7:29" x14ac:dyDescent="0.2">
      <c r="H355" s="76"/>
      <c r="I355" s="25" t="s">
        <v>153</v>
      </c>
      <c r="J355" s="76"/>
      <c r="L355" s="123"/>
      <c r="M355" s="72">
        <f>+M346*L349</f>
        <v>757670.75396290049</v>
      </c>
      <c r="N355" s="72">
        <f>AVERAGE(M346:N346)*M349</f>
        <v>809387.83598993288</v>
      </c>
      <c r="O355" s="72">
        <f t="shared" ref="O355:Z355" si="101">AVERAGE(N346:O346)*N349</f>
        <v>834176.70534223714</v>
      </c>
      <c r="P355" s="72">
        <f t="shared" si="101"/>
        <v>859017.088039867</v>
      </c>
      <c r="Q355" s="72">
        <f t="shared" si="101"/>
        <v>863183.83223140496</v>
      </c>
      <c r="R355" s="72">
        <f t="shared" si="101"/>
        <v>867380.04249999986</v>
      </c>
      <c r="S355" s="72">
        <f t="shared" si="101"/>
        <v>871585.52999999991</v>
      </c>
      <c r="T355" s="72">
        <f t="shared" si="101"/>
        <v>904833.4425</v>
      </c>
      <c r="U355" s="72">
        <f t="shared" si="101"/>
        <v>909244.44249999989</v>
      </c>
      <c r="V355" s="72">
        <f t="shared" si="101"/>
        <v>913676.495</v>
      </c>
      <c r="W355" s="72">
        <f t="shared" si="101"/>
        <v>946782.05249999987</v>
      </c>
      <c r="X355" s="72">
        <f t="shared" si="101"/>
        <v>951402.57499999995</v>
      </c>
      <c r="Y355" s="72">
        <f t="shared" si="101"/>
        <v>956046.15500000003</v>
      </c>
      <c r="Z355" s="72">
        <f t="shared" si="101"/>
        <v>990727.64249999996</v>
      </c>
      <c r="AA355" s="76"/>
    </row>
    <row r="356" spans="7:29" x14ac:dyDescent="0.2">
      <c r="H356" s="76"/>
      <c r="I356" s="25"/>
      <c r="J356" s="76"/>
      <c r="L356" s="238"/>
      <c r="M356" s="72"/>
      <c r="N356" s="72"/>
      <c r="O356" s="72"/>
      <c r="P356" s="72"/>
      <c r="Q356" s="72"/>
      <c r="R356" s="72"/>
      <c r="S356" s="72"/>
      <c r="T356" s="72"/>
      <c r="U356" s="72"/>
      <c r="V356" s="72"/>
      <c r="W356" s="72"/>
      <c r="X356" s="72"/>
      <c r="Y356" s="72"/>
      <c r="Z356" s="72"/>
      <c r="AA356" s="76"/>
    </row>
    <row r="357" spans="7:29" x14ac:dyDescent="0.2">
      <c r="H357" s="76"/>
      <c r="I357" s="25"/>
      <c r="J357" s="76"/>
      <c r="L357" s="123"/>
      <c r="M357" s="72"/>
      <c r="N357" s="72"/>
      <c r="O357" s="72"/>
      <c r="P357" s="72"/>
      <c r="Q357" s="74" t="s">
        <v>155</v>
      </c>
      <c r="R357" s="72"/>
      <c r="S357" s="72"/>
      <c r="T357" s="72"/>
      <c r="U357" s="72"/>
      <c r="V357" s="72"/>
      <c r="W357" s="72"/>
      <c r="X357" s="72"/>
      <c r="Y357" s="72"/>
      <c r="Z357" s="72"/>
      <c r="AA357" s="76"/>
    </row>
    <row r="358" spans="7:29" x14ac:dyDescent="0.2">
      <c r="H358" s="76"/>
      <c r="I358" s="76"/>
      <c r="J358" s="76"/>
      <c r="K358" s="25"/>
      <c r="L358" s="123"/>
      <c r="M358" s="239">
        <f>+M285</f>
        <v>2018</v>
      </c>
      <c r="N358" s="239">
        <f>+N285</f>
        <v>2019</v>
      </c>
      <c r="O358" s="239">
        <f>+O285</f>
        <v>2020</v>
      </c>
      <c r="P358" s="239">
        <f>+P285</f>
        <v>2021</v>
      </c>
      <c r="Q358" s="239">
        <f>+Q285</f>
        <v>2022</v>
      </c>
      <c r="R358" s="239">
        <f>+R285</f>
        <v>2023</v>
      </c>
      <c r="S358" s="239">
        <f>+S285</f>
        <v>2024</v>
      </c>
      <c r="T358" s="239">
        <f>+T285</f>
        <v>2025</v>
      </c>
      <c r="U358" s="239">
        <f>+U285</f>
        <v>2026</v>
      </c>
      <c r="V358" s="239">
        <f>+V285</f>
        <v>2027</v>
      </c>
      <c r="W358" s="239">
        <f>+W285</f>
        <v>2028</v>
      </c>
      <c r="X358" s="239">
        <f>+X285</f>
        <v>2029</v>
      </c>
      <c r="Y358" s="239">
        <f>+Y285</f>
        <v>2030</v>
      </c>
      <c r="Z358" s="239">
        <f>+Z285</f>
        <v>2031</v>
      </c>
      <c r="AA358" s="76"/>
    </row>
    <row r="359" spans="7:29" ht="13.5" thickBot="1" x14ac:dyDescent="0.25">
      <c r="H359" s="76"/>
      <c r="I359" s="76"/>
      <c r="J359" s="76"/>
      <c r="K359" s="25"/>
      <c r="M359" s="2" t="s">
        <v>154</v>
      </c>
      <c r="N359" s="240"/>
      <c r="O359" s="240"/>
      <c r="P359" s="171"/>
      <c r="Q359" s="171"/>
      <c r="R359" s="171"/>
      <c r="S359" s="171">
        <v>3.4000000000000002E-2</v>
      </c>
      <c r="T359" s="171"/>
      <c r="U359" s="171"/>
      <c r="V359" s="171">
        <v>3.2000000000000001E-2</v>
      </c>
      <c r="W359" s="171"/>
      <c r="X359" s="171"/>
      <c r="Y359" s="171">
        <v>3.2000000000000001E-2</v>
      </c>
      <c r="Z359" s="240"/>
    </row>
    <row r="360" spans="7:29" ht="13.5" thickBot="1" x14ac:dyDescent="0.25">
      <c r="H360" s="76"/>
      <c r="I360" s="76"/>
      <c r="J360" s="76"/>
      <c r="K360" s="76"/>
      <c r="L360" s="241">
        <f>+L349</f>
        <v>635.62982715008434</v>
      </c>
      <c r="M360" s="241">
        <f>+M349</f>
        <v>677.31199664429528</v>
      </c>
      <c r="N360" s="241">
        <f>+N349</f>
        <v>694.56844741235398</v>
      </c>
      <c r="O360" s="242">
        <f>N360*(1+O359)</f>
        <v>694.56844741235398</v>
      </c>
      <c r="P360" s="243">
        <f t="shared" ref="P360:Z360" si="102">O360*(1+P359)</f>
        <v>694.56844741235398</v>
      </c>
      <c r="Q360" s="243">
        <f t="shared" si="102"/>
        <v>694.56844741235398</v>
      </c>
      <c r="R360" s="243">
        <f t="shared" si="102"/>
        <v>694.56844741235398</v>
      </c>
      <c r="S360" s="243">
        <f t="shared" si="102"/>
        <v>718.183774624374</v>
      </c>
      <c r="T360" s="243">
        <f t="shared" si="102"/>
        <v>718.183774624374</v>
      </c>
      <c r="U360" s="243">
        <f t="shared" si="102"/>
        <v>718.183774624374</v>
      </c>
      <c r="V360" s="243">
        <f t="shared" si="102"/>
        <v>741.165655412354</v>
      </c>
      <c r="W360" s="243">
        <f t="shared" si="102"/>
        <v>741.165655412354</v>
      </c>
      <c r="X360" s="244">
        <f t="shared" si="102"/>
        <v>741.165655412354</v>
      </c>
      <c r="Y360" s="245">
        <f t="shared" si="102"/>
        <v>764.88295638554939</v>
      </c>
      <c r="Z360" s="245">
        <f t="shared" si="102"/>
        <v>764.88295638554939</v>
      </c>
      <c r="AA360" s="83">
        <f>1.04^10</f>
        <v>1.4802442849183446</v>
      </c>
      <c r="AB360" s="241">
        <f>+AA360*M360</f>
        <v>1002.5872121393511</v>
      </c>
      <c r="AC360" s="246">
        <f>+AB360-X360</f>
        <v>261.4215567269971</v>
      </c>
    </row>
    <row r="361" spans="7:29" x14ac:dyDescent="0.2">
      <c r="H361" s="76"/>
      <c r="I361" s="76"/>
      <c r="J361" s="76"/>
      <c r="K361" s="76"/>
      <c r="L361" s="123"/>
      <c r="M361" s="76"/>
      <c r="N361" s="76"/>
      <c r="O361" s="247">
        <f>+O360-N360</f>
        <v>0</v>
      </c>
      <c r="P361" s="247">
        <f>+P360-O360</f>
        <v>0</v>
      </c>
      <c r="Q361" s="247">
        <f>+Q360-P360</f>
        <v>0</v>
      </c>
      <c r="R361" s="247">
        <f t="shared" ref="R361:Z361" si="103">+R360-Q360</f>
        <v>0</v>
      </c>
      <c r="S361" s="247">
        <f t="shared" si="103"/>
        <v>23.61532721202002</v>
      </c>
      <c r="T361" s="247">
        <f t="shared" si="103"/>
        <v>0</v>
      </c>
      <c r="U361" s="247">
        <f t="shared" si="103"/>
        <v>0</v>
      </c>
      <c r="V361" s="247">
        <f t="shared" si="103"/>
        <v>22.981880787980003</v>
      </c>
      <c r="W361" s="247">
        <f t="shared" si="103"/>
        <v>0</v>
      </c>
      <c r="X361" s="247">
        <f t="shared" si="103"/>
        <v>0</v>
      </c>
      <c r="Y361" s="247">
        <f t="shared" si="103"/>
        <v>23.717300973195393</v>
      </c>
      <c r="Z361" s="247">
        <f t="shared" si="103"/>
        <v>0</v>
      </c>
      <c r="AA361" s="76"/>
    </row>
    <row r="362" spans="7:29" x14ac:dyDescent="0.2">
      <c r="H362" s="76"/>
      <c r="I362" s="76"/>
      <c r="J362" s="76"/>
      <c r="K362" s="76"/>
      <c r="L362" s="123"/>
      <c r="M362" s="76"/>
      <c r="N362" s="76"/>
      <c r="O362" s="76"/>
      <c r="P362" s="76"/>
      <c r="Q362" s="76"/>
      <c r="R362" s="76"/>
      <c r="S362" s="76"/>
      <c r="T362" s="76"/>
      <c r="U362" s="76"/>
      <c r="V362" s="76"/>
      <c r="W362" s="76"/>
      <c r="X362" s="76"/>
      <c r="Y362" s="76"/>
      <c r="Z362" s="76"/>
      <c r="AA362" s="76"/>
    </row>
    <row r="363" spans="7:29" ht="15" x14ac:dyDescent="0.25">
      <c r="G363" s="84"/>
      <c r="H363" s="85"/>
      <c r="J363" s="85"/>
      <c r="K363" s="85"/>
      <c r="L363" s="248"/>
      <c r="M363" s="248">
        <f>(((+M346-L346)/2)*L349)</f>
        <v>1906.889481450253</v>
      </c>
      <c r="N363" s="248">
        <f>(((+N346-M346)/2)*M349)</f>
        <v>2031.9359899328858</v>
      </c>
      <c r="O363" s="248">
        <f>(((+O346-N346)/2)*N349)</f>
        <v>2083.7053422370618</v>
      </c>
      <c r="P363" s="248">
        <f>(((+P346-O346)/2)*P360)+(O346*P360)</f>
        <v>838344.11602671118</v>
      </c>
      <c r="Q363" s="248">
        <f>(((+Q346-P346)/2)*P349)</f>
        <v>2134.8322314049587</v>
      </c>
      <c r="R363" s="248">
        <f>(((+R346-Q346)/2)*Q349)</f>
        <v>2163.0424999999741</v>
      </c>
      <c r="S363" s="248">
        <f>(((+S346-R346)/2)*R349)</f>
        <v>2173.5299999999288</v>
      </c>
      <c r="T363" s="248">
        <f>(((+T346-S346)/2)*S349)</f>
        <v>2256.4424999999896</v>
      </c>
      <c r="U363" s="248">
        <f>(((+U346-T346)/2)*T349)</f>
        <v>2267.4424999999655</v>
      </c>
      <c r="V363" s="248">
        <f>(((+V346-U346)/2)*U349)</f>
        <v>2278.4949999999453</v>
      </c>
      <c r="W363" s="248">
        <f>(((+W346-V346)/2)*V349)</f>
        <v>2361.0524999999202</v>
      </c>
      <c r="X363" s="248">
        <f>(((+X346-W346)/2)*W349)</f>
        <v>2372.5749999999653</v>
      </c>
      <c r="Y363" s="248">
        <f>(((+Y346-X346)/2)*X349)</f>
        <v>2384.1549999999306</v>
      </c>
      <c r="Z363" s="248">
        <f>(((+Z346-Y346)/2)*Y349)</f>
        <v>2470.6424999999849</v>
      </c>
      <c r="AA363" s="76"/>
    </row>
    <row r="364" spans="7:29" ht="15" x14ac:dyDescent="0.25">
      <c r="G364" s="84"/>
      <c r="H364" s="85"/>
      <c r="J364" s="85"/>
      <c r="K364" s="85"/>
      <c r="L364" s="248"/>
      <c r="M364" s="248"/>
      <c r="N364" s="248"/>
      <c r="O364" s="248"/>
      <c r="P364" s="248"/>
      <c r="Q364" s="248"/>
      <c r="R364" s="248"/>
      <c r="S364" s="248"/>
      <c r="T364" s="248"/>
      <c r="U364" s="248"/>
      <c r="V364" s="248"/>
      <c r="W364" s="248"/>
      <c r="X364" s="248"/>
      <c r="Y364" s="248"/>
      <c r="Z364" s="248"/>
      <c r="AA364" s="76"/>
    </row>
    <row r="365" spans="7:29" ht="15" x14ac:dyDescent="0.25">
      <c r="G365" s="84"/>
      <c r="H365" s="85"/>
      <c r="J365" s="85"/>
      <c r="K365" s="85"/>
      <c r="L365" s="248"/>
      <c r="M365" s="248">
        <f>+ROUND((L360*(L346+((M346-L346)/2))),0)</f>
        <v>755764</v>
      </c>
      <c r="N365" s="248">
        <f>+ROUND((M360*(M346+((N346-M346)/2))),0)</f>
        <v>809388</v>
      </c>
      <c r="O365" s="248">
        <f>+ROUND((N360*(N346+((O346-N346)/2))),0)</f>
        <v>834177</v>
      </c>
      <c r="P365" s="248">
        <f>+ROUND((O360*(O346+((P346-O346)/2))),0)</f>
        <v>838344</v>
      </c>
      <c r="Q365" s="248">
        <f>+ROUND((P360*(P346+((Q346-P346)/2))),0)</f>
        <v>842512</v>
      </c>
      <c r="R365" s="248">
        <f>+ROUND((Q360*(Q346+((R346-Q346)/2))),0)</f>
        <v>846707</v>
      </c>
      <c r="S365" s="248">
        <f>+ROUND((R360*(R346+((S346-R346)/2))),0)</f>
        <v>850940</v>
      </c>
      <c r="T365" s="248">
        <f>+ROUND((S360*(S346+((T346-S346)/2))),0)</f>
        <v>884272</v>
      </c>
      <c r="U365" s="248">
        <f>+ROUND((T360*(T346+((U346-T346)/2))),0)</f>
        <v>888693</v>
      </c>
      <c r="V365" s="248">
        <f>+ROUND((U360*(U346+((V346-U346)/2))),0)</f>
        <v>893136</v>
      </c>
      <c r="W365" s="248">
        <f>+ROUND((V360*(V346+((W346-V346)/2))),0)</f>
        <v>926325</v>
      </c>
      <c r="X365" s="248">
        <f>+ROUND((W360*(W346+((X346-W346)/2))),0)</f>
        <v>930957</v>
      </c>
      <c r="Y365" s="248">
        <f>+ROUND((X360*(X346+((Y346-X346)/2))),0)</f>
        <v>935612</v>
      </c>
      <c r="Z365" s="248">
        <f>+ROUND((Y360*(Y346+((Z346-Y346)/2))),0)</f>
        <v>970379</v>
      </c>
      <c r="AA365" s="76"/>
    </row>
    <row r="366" spans="7:29" ht="15" x14ac:dyDescent="0.25">
      <c r="G366" s="84"/>
      <c r="H366" s="85"/>
      <c r="J366" s="85"/>
      <c r="K366" s="85"/>
      <c r="L366" s="248"/>
      <c r="M366" s="248">
        <f>+ROUND((+M361*(L346+((M346-L346)/2))),0)</f>
        <v>0</v>
      </c>
      <c r="N366" s="248">
        <f>+ROUND((+N361*(M346+((N346-M346)/2))),0)</f>
        <v>0</v>
      </c>
      <c r="O366" s="248">
        <f>+ROUND((+O361*(N346+((O346-N346)/2))),0)</f>
        <v>0</v>
      </c>
      <c r="P366" s="248">
        <f>+ROUND((+P361*(O346+((P346-O346)/2))),0)</f>
        <v>0</v>
      </c>
      <c r="Q366" s="248">
        <f>+ROUND((+Q361*(P346+((Q346-P346)/2))),0)</f>
        <v>0</v>
      </c>
      <c r="R366" s="248">
        <f>+ROUND((+R361*(Q346+((R346-Q346)/2))),0)</f>
        <v>0</v>
      </c>
      <c r="S366" s="248">
        <f>+ROUND((+S361*(R346+((S346-R346)/2))),0)</f>
        <v>28932</v>
      </c>
      <c r="T366" s="248">
        <f>+ROUND((+T361*(S346+((T346-S346)/2))),0)</f>
        <v>0</v>
      </c>
      <c r="U366" s="248">
        <f>+ROUND((+U361*(T346+((U346-T346)/2))),0)</f>
        <v>0</v>
      </c>
      <c r="V366" s="248">
        <f>+ROUND((+V361*(U346+((V346-U346)/2))),0)</f>
        <v>28580</v>
      </c>
      <c r="W366" s="248">
        <f>+ROUND((+W361*(V346+((W346-V346)/2))),0)</f>
        <v>0</v>
      </c>
      <c r="X366" s="248">
        <f>+ROUND((+X361*(W346+((X346-W346)/2))),0)</f>
        <v>0</v>
      </c>
      <c r="Y366" s="248">
        <f>+ROUND((+Y361*(X346+((Y346-X346)/2))),0)</f>
        <v>29940</v>
      </c>
      <c r="Z366" s="248">
        <f>+ROUND((+Z361*(Y346+((Z346-Y346)/2))),0)</f>
        <v>0</v>
      </c>
      <c r="AA366" s="76"/>
    </row>
    <row r="367" spans="7:29" ht="15" x14ac:dyDescent="0.25">
      <c r="G367" s="84"/>
      <c r="H367" s="85"/>
      <c r="J367" s="85"/>
      <c r="K367" s="85"/>
      <c r="L367" s="85"/>
      <c r="M367" s="85"/>
      <c r="R367" s="76"/>
      <c r="S367" s="76"/>
      <c r="T367" s="76"/>
      <c r="U367" s="76"/>
      <c r="V367" s="76"/>
      <c r="W367" s="76"/>
      <c r="X367" s="76"/>
      <c r="Y367" s="76"/>
      <c r="Z367" s="76"/>
      <c r="AA367" s="76"/>
    </row>
    <row r="368" spans="7:29" ht="15.75" thickBot="1" x14ac:dyDescent="0.3">
      <c r="G368" s="85"/>
      <c r="H368" s="85"/>
      <c r="I368" s="85"/>
      <c r="J368" s="85"/>
      <c r="K368" s="85"/>
      <c r="L368" s="248"/>
      <c r="M368" s="248"/>
      <c r="R368" s="76"/>
      <c r="S368" s="76"/>
      <c r="T368" s="76"/>
      <c r="U368" s="76"/>
      <c r="V368" s="76"/>
      <c r="W368" s="76"/>
      <c r="X368" s="76"/>
      <c r="Y368" s="76"/>
      <c r="Z368" s="76"/>
      <c r="AA368" s="76"/>
    </row>
    <row r="369" spans="8:27" ht="15" x14ac:dyDescent="0.25">
      <c r="H369" s="249"/>
      <c r="I369" s="250"/>
      <c r="J369" s="251"/>
      <c r="K369" s="251"/>
      <c r="L369" s="251"/>
      <c r="M369" s="250"/>
      <c r="N369" s="250"/>
      <c r="O369" s="250"/>
      <c r="P369" s="250"/>
      <c r="Q369" s="250"/>
      <c r="R369" s="252"/>
      <c r="S369" s="252"/>
      <c r="T369" s="252"/>
      <c r="U369" s="252"/>
      <c r="V369" s="252"/>
      <c r="W369" s="252"/>
      <c r="X369" s="252"/>
      <c r="Y369" s="252"/>
      <c r="Z369" s="253"/>
      <c r="AA369" s="76"/>
    </row>
    <row r="370" spans="8:27" ht="15" x14ac:dyDescent="0.25">
      <c r="H370" s="86" t="s">
        <v>156</v>
      </c>
      <c r="I370" s="4"/>
      <c r="J370" s="4"/>
      <c r="K370" s="254"/>
      <c r="L370" s="254"/>
      <c r="M370" s="4"/>
      <c r="N370" s="4"/>
      <c r="O370" s="4"/>
      <c r="P370" s="4"/>
      <c r="Q370" s="4"/>
      <c r="R370" s="255"/>
      <c r="S370" s="255"/>
      <c r="T370" s="255"/>
      <c r="U370" s="255"/>
      <c r="V370" s="255"/>
      <c r="W370" s="255"/>
      <c r="X370" s="255"/>
      <c r="Y370" s="255"/>
      <c r="Z370" s="256"/>
      <c r="AA370" s="76"/>
    </row>
    <row r="371" spans="8:27" ht="15" x14ac:dyDescent="0.25">
      <c r="H371" s="86" t="s">
        <v>157</v>
      </c>
      <c r="I371" s="87" t="s">
        <v>135</v>
      </c>
      <c r="J371" s="257">
        <v>1.4319999999999999E-3</v>
      </c>
      <c r="K371" s="255"/>
      <c r="L371" s="258"/>
      <c r="M371" s="259">
        <f>ROUND(+$J371*L289,0)</f>
        <v>5022</v>
      </c>
      <c r="N371" s="259">
        <f>ROUND(+$J371*M289,0)</f>
        <v>4892</v>
      </c>
      <c r="O371" s="259">
        <f>ROUND(+$J371*N289,0)</f>
        <v>4885</v>
      </c>
      <c r="P371" s="259">
        <f>ROUND(+$J371*O289,0)</f>
        <v>4876</v>
      </c>
      <c r="Q371" s="259">
        <f>ROUND(+$J371*P289,0)</f>
        <v>4868</v>
      </c>
      <c r="R371" s="259">
        <f>ROUND(+$J371*Q289,0)</f>
        <v>4859</v>
      </c>
      <c r="S371" s="259">
        <f>ROUND(+$J371*R289,0)</f>
        <v>4850</v>
      </c>
      <c r="T371" s="259">
        <f>ROUND(+$J371*S289,0)</f>
        <v>4842</v>
      </c>
      <c r="U371" s="259">
        <f>ROUND(+$J371*T289,0)</f>
        <v>4833</v>
      </c>
      <c r="V371" s="259">
        <f>ROUND(+$J371*U289,0)</f>
        <v>4821</v>
      </c>
      <c r="W371" s="259">
        <f>ROUND(+$J371*V289,0)</f>
        <v>4809</v>
      </c>
      <c r="X371" s="259">
        <f>ROUND(+$J371*W289,0)</f>
        <v>4797</v>
      </c>
      <c r="Y371" s="259">
        <f>ROUND(+$J371*X289,0)</f>
        <v>4785</v>
      </c>
      <c r="Z371" s="260">
        <f>ROUND(+$J371*Y289,0)</f>
        <v>4773</v>
      </c>
      <c r="AA371" s="76"/>
    </row>
    <row r="372" spans="8:27" ht="15" x14ac:dyDescent="0.25">
      <c r="H372" s="86" t="s">
        <v>158</v>
      </c>
      <c r="I372" s="87" t="s">
        <v>159</v>
      </c>
      <c r="J372" s="257">
        <v>5.6899999999999997E-3</v>
      </c>
      <c r="K372" s="255"/>
      <c r="L372" s="258"/>
      <c r="M372" s="259">
        <f>ROUND(+$J372*L24,0)</f>
        <v>4289</v>
      </c>
      <c r="N372" s="259">
        <f>ROUND(+$J372*M24,0)</f>
        <v>4594</v>
      </c>
      <c r="O372" s="259">
        <f>ROUND(+$J372*N24,0)</f>
        <v>4735</v>
      </c>
      <c r="P372" s="259">
        <f>ROUND(+$J372*O24,0)</f>
        <v>4876</v>
      </c>
      <c r="Q372" s="259">
        <f>ROUND(+$J372*P24,0)</f>
        <v>4899</v>
      </c>
      <c r="R372" s="259">
        <f>ROUND(+$J372*Q24,0)</f>
        <v>4923</v>
      </c>
      <c r="S372" s="259">
        <f>ROUND(+$J372*R24,0)</f>
        <v>4947</v>
      </c>
      <c r="T372" s="259">
        <f>ROUND(+$J372*S24,0)</f>
        <v>5136</v>
      </c>
      <c r="U372" s="259">
        <f>ROUND(+$J372*T24,0)</f>
        <v>5161</v>
      </c>
      <c r="V372" s="259">
        <f>ROUND(+$J372*U24,0)</f>
        <v>5186</v>
      </c>
      <c r="W372" s="259">
        <f>ROUND(+$J372*V24,0)</f>
        <v>5374</v>
      </c>
      <c r="X372" s="259">
        <f>ROUND(+$J372*W24,0)</f>
        <v>5400</v>
      </c>
      <c r="Y372" s="259">
        <f>ROUND(+$J372*X24,0)</f>
        <v>5426</v>
      </c>
      <c r="Z372" s="260">
        <f>ROUND(+$J372*Y24,0)</f>
        <v>5623</v>
      </c>
      <c r="AA372" s="76"/>
    </row>
    <row r="373" spans="8:27" ht="15.75" thickBot="1" x14ac:dyDescent="0.3">
      <c r="H373" s="261"/>
      <c r="I373" s="255"/>
      <c r="J373" s="255"/>
      <c r="K373" s="255"/>
      <c r="L373" s="258"/>
      <c r="M373" s="262">
        <f>SUM(M371:M372)</f>
        <v>9311</v>
      </c>
      <c r="N373" s="262">
        <f t="shared" ref="N373:Z373" si="104">SUM(N371:N372)</f>
        <v>9486</v>
      </c>
      <c r="O373" s="262">
        <f t="shared" si="104"/>
        <v>9620</v>
      </c>
      <c r="P373" s="262">
        <f t="shared" si="104"/>
        <v>9752</v>
      </c>
      <c r="Q373" s="262">
        <f t="shared" si="104"/>
        <v>9767</v>
      </c>
      <c r="R373" s="262">
        <f t="shared" si="104"/>
        <v>9782</v>
      </c>
      <c r="S373" s="262">
        <f t="shared" si="104"/>
        <v>9797</v>
      </c>
      <c r="T373" s="262">
        <f t="shared" si="104"/>
        <v>9978</v>
      </c>
      <c r="U373" s="262">
        <f t="shared" si="104"/>
        <v>9994</v>
      </c>
      <c r="V373" s="262">
        <f t="shared" si="104"/>
        <v>10007</v>
      </c>
      <c r="W373" s="262">
        <f t="shared" si="104"/>
        <v>10183</v>
      </c>
      <c r="X373" s="262">
        <f t="shared" si="104"/>
        <v>10197</v>
      </c>
      <c r="Y373" s="262">
        <f t="shared" si="104"/>
        <v>10211</v>
      </c>
      <c r="Z373" s="263">
        <f t="shared" si="104"/>
        <v>10396</v>
      </c>
      <c r="AA373" s="76"/>
    </row>
    <row r="374" spans="8:27" ht="13.5" thickTop="1" x14ac:dyDescent="0.2">
      <c r="H374" s="261"/>
      <c r="I374" s="255"/>
      <c r="J374" s="255"/>
      <c r="K374" s="255"/>
      <c r="L374" s="258"/>
      <c r="M374" s="255"/>
      <c r="N374" s="255"/>
      <c r="O374" s="255"/>
      <c r="P374" s="255"/>
      <c r="Q374" s="255"/>
      <c r="R374" s="255"/>
      <c r="S374" s="255"/>
      <c r="T374" s="255"/>
      <c r="U374" s="255"/>
      <c r="V374" s="255"/>
      <c r="W374" s="255"/>
      <c r="X374" s="255"/>
      <c r="Y374" s="255"/>
      <c r="Z374" s="256"/>
      <c r="AA374" s="76"/>
    </row>
    <row r="375" spans="8:27" ht="13.5" thickBot="1" x14ac:dyDescent="0.25">
      <c r="H375" s="264"/>
      <c r="I375" s="265"/>
      <c r="J375" s="265"/>
      <c r="K375" s="265"/>
      <c r="L375" s="266"/>
      <c r="M375" s="265"/>
      <c r="N375" s="265"/>
      <c r="O375" s="265"/>
      <c r="P375" s="265"/>
      <c r="Q375" s="265"/>
      <c r="R375" s="265"/>
      <c r="S375" s="265"/>
      <c r="T375" s="265"/>
      <c r="U375" s="265"/>
      <c r="V375" s="265"/>
      <c r="W375" s="265"/>
      <c r="X375" s="265"/>
      <c r="Y375" s="265"/>
      <c r="Z375" s="267"/>
      <c r="AA375" s="76"/>
    </row>
    <row r="376" spans="8:27" ht="15" x14ac:dyDescent="0.25">
      <c r="H376" s="76"/>
      <c r="I376" s="76"/>
      <c r="J376" s="85"/>
      <c r="K376" s="76"/>
      <c r="L376" s="123"/>
      <c r="M376" s="76"/>
      <c r="N376" s="76"/>
      <c r="O376" s="76"/>
      <c r="P376" s="76"/>
      <c r="Q376" s="76"/>
      <c r="R376" s="76"/>
      <c r="S376" s="76"/>
      <c r="T376" s="76"/>
      <c r="U376" s="76"/>
      <c r="V376" s="76"/>
      <c r="W376" s="76"/>
      <c r="X376" s="76"/>
      <c r="Y376" s="76"/>
      <c r="Z376" s="76"/>
      <c r="AA376" s="76"/>
    </row>
    <row r="377" spans="8:27" ht="15" x14ac:dyDescent="0.25">
      <c r="H377" s="76"/>
      <c r="I377" s="76"/>
      <c r="J377" s="85"/>
      <c r="K377" s="76"/>
      <c r="L377" s="123"/>
      <c r="M377" s="76"/>
      <c r="N377" s="76"/>
      <c r="O377" s="76"/>
      <c r="P377" s="76"/>
      <c r="Q377" s="76"/>
      <c r="R377" s="76"/>
      <c r="S377" s="76"/>
      <c r="T377" s="76"/>
      <c r="U377" s="76"/>
      <c r="V377" s="76"/>
      <c r="W377" s="76"/>
      <c r="X377" s="76"/>
      <c r="Y377" s="76"/>
      <c r="Z377" s="76"/>
      <c r="AA377" s="76"/>
    </row>
    <row r="378" spans="8:27" ht="15" x14ac:dyDescent="0.25">
      <c r="H378" s="76"/>
      <c r="I378" s="76"/>
      <c r="J378" s="85"/>
      <c r="K378" s="76"/>
      <c r="L378" s="123"/>
      <c r="M378" s="76"/>
      <c r="N378" s="76"/>
      <c r="O378" s="76"/>
      <c r="P378" s="76"/>
      <c r="Q378" s="76"/>
      <c r="R378" s="76"/>
      <c r="S378" s="76"/>
      <c r="T378" s="76"/>
      <c r="U378" s="76"/>
      <c r="V378" s="76"/>
      <c r="W378" s="76"/>
      <c r="X378" s="76"/>
      <c r="Y378" s="76"/>
      <c r="Z378" s="76"/>
      <c r="AA378" s="76"/>
    </row>
    <row r="379" spans="8:27" ht="15" x14ac:dyDescent="0.25">
      <c r="H379" s="76"/>
      <c r="I379" s="76"/>
      <c r="J379" s="85"/>
      <c r="K379" s="76"/>
      <c r="L379" s="123"/>
      <c r="M379" s="76"/>
      <c r="N379" s="76"/>
      <c r="O379" s="76"/>
      <c r="P379" s="76"/>
      <c r="Q379" s="76"/>
      <c r="R379" s="76"/>
      <c r="S379" s="76"/>
      <c r="T379" s="76"/>
      <c r="U379" s="76"/>
      <c r="V379" s="76"/>
      <c r="W379" s="76"/>
      <c r="X379" s="76"/>
      <c r="Y379" s="76"/>
      <c r="Z379" s="76"/>
      <c r="AA379" s="76"/>
    </row>
    <row r="380" spans="8:27" x14ac:dyDescent="0.2">
      <c r="H380" s="76"/>
      <c r="I380" s="76"/>
      <c r="J380" s="87"/>
      <c r="K380" s="76"/>
      <c r="L380" s="123"/>
      <c r="M380" s="76"/>
      <c r="N380" s="76"/>
      <c r="O380" s="76"/>
      <c r="P380" s="76"/>
      <c r="Q380" s="76"/>
      <c r="R380" s="76"/>
      <c r="S380" s="76"/>
      <c r="T380" s="76"/>
      <c r="U380" s="76"/>
      <c r="V380" s="76"/>
      <c r="W380" s="76"/>
      <c r="X380" s="76"/>
      <c r="Y380" s="76"/>
      <c r="Z380" s="76"/>
      <c r="AA380" s="76"/>
    </row>
    <row r="381" spans="8:27" x14ac:dyDescent="0.2">
      <c r="H381" s="76"/>
      <c r="I381" s="76"/>
      <c r="J381" s="76"/>
      <c r="K381" s="76"/>
      <c r="L381" s="123"/>
      <c r="M381" s="76"/>
      <c r="N381" s="76"/>
      <c r="O381" s="76"/>
      <c r="P381" s="76"/>
      <c r="Q381" s="76"/>
      <c r="R381" s="76"/>
      <c r="S381" s="76"/>
      <c r="T381" s="76"/>
      <c r="U381" s="76"/>
      <c r="V381" s="76"/>
      <c r="W381" s="76"/>
      <c r="X381" s="76"/>
      <c r="Y381" s="76"/>
      <c r="Z381" s="76"/>
      <c r="AA381" s="76"/>
    </row>
    <row r="382" spans="8:27" x14ac:dyDescent="0.2">
      <c r="H382" s="76"/>
      <c r="I382" s="76"/>
      <c r="J382" s="76"/>
      <c r="K382" s="76"/>
      <c r="L382" s="123"/>
      <c r="M382" s="76"/>
      <c r="N382" s="76"/>
      <c r="O382" s="76"/>
      <c r="P382" s="76"/>
      <c r="Q382" s="76"/>
      <c r="R382" s="76"/>
      <c r="S382" s="76"/>
      <c r="T382" s="76"/>
      <c r="U382" s="76"/>
      <c r="V382" s="76"/>
      <c r="W382" s="76"/>
      <c r="X382" s="76"/>
      <c r="Y382" s="76"/>
      <c r="Z382" s="76"/>
      <c r="AA382" s="76"/>
    </row>
    <row r="383" spans="8:27" x14ac:dyDescent="0.2">
      <c r="H383" s="76"/>
      <c r="I383" s="76"/>
      <c r="J383" s="76"/>
      <c r="K383" s="2" t="s">
        <v>183</v>
      </c>
      <c r="O383" s="76"/>
      <c r="P383" s="76"/>
      <c r="Q383" s="76"/>
      <c r="R383" s="76"/>
      <c r="S383" s="76"/>
      <c r="T383" s="76"/>
      <c r="U383" s="76"/>
      <c r="V383" s="76"/>
      <c r="W383" s="76"/>
      <c r="X383" s="76"/>
      <c r="Y383" s="76"/>
      <c r="Z383" s="76"/>
      <c r="AA383" s="76"/>
    </row>
    <row r="384" spans="8:27" ht="15" x14ac:dyDescent="0.25">
      <c r="H384" s="76"/>
      <c r="I384" s="76"/>
      <c r="J384" s="76"/>
      <c r="K384" s="69" t="s">
        <v>160</v>
      </c>
      <c r="L384" s="224">
        <f>+L293</f>
        <v>2952333</v>
      </c>
      <c r="M384" s="76"/>
      <c r="O384" s="76"/>
      <c r="P384" s="76"/>
      <c r="Q384" s="76"/>
      <c r="R384" s="76"/>
      <c r="S384" s="76"/>
      <c r="T384" s="76"/>
      <c r="U384" s="76"/>
      <c r="V384" s="76"/>
      <c r="W384" s="76"/>
      <c r="X384" s="76"/>
      <c r="Y384" s="76"/>
      <c r="Z384" s="76"/>
      <c r="AA384" s="76"/>
    </row>
    <row r="385" spans="8:27" ht="15" x14ac:dyDescent="0.25">
      <c r="H385" s="76"/>
      <c r="I385" s="76"/>
      <c r="J385" s="76"/>
      <c r="K385" s="69" t="s">
        <v>161</v>
      </c>
      <c r="L385" s="5">
        <f>+L287</f>
        <v>5294272</v>
      </c>
      <c r="M385" s="76"/>
      <c r="N385" s="5"/>
      <c r="O385" s="76"/>
      <c r="P385" s="76"/>
      <c r="Q385" s="76"/>
      <c r="R385" s="76"/>
      <c r="S385" s="76"/>
      <c r="T385" s="76"/>
      <c r="U385" s="76"/>
      <c r="V385" s="76"/>
      <c r="W385" s="76"/>
      <c r="X385" s="76"/>
      <c r="Y385" s="76"/>
      <c r="Z385" s="76"/>
      <c r="AA385" s="76"/>
    </row>
    <row r="386" spans="8:27" ht="15" x14ac:dyDescent="0.25">
      <c r="H386" s="76"/>
      <c r="I386" s="76"/>
      <c r="J386" s="76"/>
      <c r="K386" s="69" t="s">
        <v>162</v>
      </c>
      <c r="L386" s="5">
        <f>+L289</f>
        <v>3507138</v>
      </c>
      <c r="M386" s="76"/>
      <c r="N386" s="5"/>
      <c r="O386" s="76"/>
      <c r="P386" s="76"/>
      <c r="Q386" s="76"/>
      <c r="R386" s="76"/>
      <c r="S386" s="76"/>
      <c r="T386" s="76"/>
      <c r="U386" s="76"/>
      <c r="V386" s="76"/>
      <c r="W386" s="76"/>
      <c r="X386" s="76"/>
      <c r="Y386" s="76"/>
      <c r="Z386" s="76"/>
      <c r="AA386" s="76"/>
    </row>
    <row r="387" spans="8:27" ht="15" x14ac:dyDescent="0.25">
      <c r="H387" s="76"/>
      <c r="I387" s="76"/>
      <c r="J387" s="76"/>
      <c r="K387" s="69" t="s">
        <v>46</v>
      </c>
      <c r="L387" s="5">
        <f>+L40</f>
        <v>753856.97499999998</v>
      </c>
      <c r="M387" s="76"/>
      <c r="O387" s="76"/>
      <c r="P387" s="76"/>
      <c r="Q387" s="76"/>
      <c r="R387" s="76"/>
      <c r="S387" s="76"/>
      <c r="T387" s="76"/>
      <c r="U387" s="76"/>
      <c r="V387" s="76"/>
      <c r="W387" s="76"/>
      <c r="X387" s="76"/>
      <c r="Y387" s="76"/>
      <c r="Z387" s="76"/>
      <c r="AA387" s="76"/>
    </row>
    <row r="388" spans="8:27" ht="15" x14ac:dyDescent="0.25">
      <c r="H388" s="76"/>
      <c r="I388" s="76"/>
      <c r="J388" s="76"/>
      <c r="K388" s="69" t="s">
        <v>7</v>
      </c>
      <c r="L388" s="5">
        <f>+L41</f>
        <v>151916.21499999997</v>
      </c>
      <c r="M388" s="76"/>
      <c r="O388" s="76"/>
      <c r="P388" s="76"/>
      <c r="Q388" s="76"/>
      <c r="R388" s="76"/>
      <c r="S388" s="76"/>
      <c r="T388" s="76"/>
      <c r="U388" s="76"/>
      <c r="V388" s="76"/>
      <c r="W388" s="76"/>
      <c r="X388" s="76"/>
      <c r="Y388" s="76"/>
      <c r="Z388" s="76"/>
      <c r="AA388" s="76"/>
    </row>
    <row r="389" spans="8:27" ht="15" x14ac:dyDescent="0.25">
      <c r="H389" s="76"/>
      <c r="I389" s="76"/>
      <c r="J389" s="76"/>
      <c r="K389" s="69" t="s">
        <v>4</v>
      </c>
      <c r="L389" s="5">
        <f>+L42</f>
        <v>91468.214999999967</v>
      </c>
      <c r="M389" s="76"/>
      <c r="O389" s="76"/>
      <c r="P389" s="76"/>
      <c r="Q389" s="76"/>
      <c r="R389" s="76"/>
      <c r="S389" s="76"/>
      <c r="T389" s="76"/>
      <c r="U389" s="76"/>
      <c r="V389" s="76"/>
      <c r="W389" s="76"/>
      <c r="X389" s="76"/>
      <c r="Y389" s="76"/>
      <c r="Z389" s="76"/>
      <c r="AA389" s="76"/>
    </row>
    <row r="390" spans="8:27" ht="15" x14ac:dyDescent="0.25">
      <c r="H390" s="76"/>
      <c r="I390" s="76"/>
      <c r="J390" s="76"/>
      <c r="K390" s="69" t="s">
        <v>147</v>
      </c>
      <c r="L390" s="224">
        <f>+L346</f>
        <v>1186</v>
      </c>
      <c r="M390" s="76"/>
      <c r="O390" s="76"/>
      <c r="P390" s="76"/>
      <c r="Q390" s="76"/>
      <c r="R390" s="76"/>
      <c r="S390" s="76"/>
      <c r="T390" s="76"/>
      <c r="U390" s="76"/>
      <c r="V390" s="76"/>
      <c r="W390" s="76"/>
      <c r="X390" s="76"/>
      <c r="Y390" s="76"/>
      <c r="Z390" s="76"/>
      <c r="AA390" s="76"/>
    </row>
    <row r="391" spans="8:27" ht="15" x14ac:dyDescent="0.25">
      <c r="H391" s="76"/>
      <c r="I391" s="76"/>
      <c r="J391" s="76"/>
      <c r="K391" s="69" t="s">
        <v>163</v>
      </c>
      <c r="L391" s="224">
        <v>4218</v>
      </c>
      <c r="M391" s="76"/>
      <c r="O391" s="76"/>
      <c r="P391" s="76"/>
      <c r="Q391" s="76"/>
      <c r="R391" s="76"/>
      <c r="S391" s="76"/>
      <c r="T391" s="76"/>
      <c r="U391" s="76"/>
      <c r="V391" s="76"/>
      <c r="W391" s="76"/>
      <c r="X391" s="76"/>
      <c r="Y391" s="76"/>
      <c r="Z391" s="76"/>
      <c r="AA391" s="76"/>
    </row>
    <row r="392" spans="8:27" x14ac:dyDescent="0.2">
      <c r="H392" s="76"/>
      <c r="I392" s="76"/>
      <c r="J392" s="76"/>
      <c r="K392" s="76"/>
      <c r="L392" s="123"/>
      <c r="M392" s="76"/>
      <c r="N392" s="76"/>
      <c r="O392" s="76"/>
      <c r="P392" s="76"/>
      <c r="Q392" s="76"/>
      <c r="R392" s="76"/>
      <c r="S392" s="76"/>
      <c r="T392" s="76"/>
      <c r="U392" s="76"/>
      <c r="V392" s="76"/>
      <c r="W392" s="76"/>
      <c r="X392" s="76"/>
      <c r="Y392" s="76"/>
      <c r="Z392" s="76"/>
      <c r="AA392" s="76"/>
    </row>
    <row r="393" spans="8:27" x14ac:dyDescent="0.2">
      <c r="H393" s="76"/>
      <c r="I393" s="76"/>
      <c r="J393" s="76"/>
      <c r="K393" s="76"/>
      <c r="L393" s="123"/>
      <c r="M393" s="76"/>
      <c r="N393" s="76"/>
      <c r="O393" s="76"/>
      <c r="P393" s="76"/>
      <c r="Q393" s="76"/>
      <c r="R393" s="76"/>
      <c r="S393" s="76"/>
      <c r="T393" s="76"/>
      <c r="U393" s="76"/>
      <c r="V393" s="76"/>
      <c r="W393" s="76"/>
      <c r="X393" s="76"/>
      <c r="Y393" s="76"/>
      <c r="Z393" s="76"/>
      <c r="AA393" s="76"/>
    </row>
    <row r="394" spans="8:27" x14ac:dyDescent="0.2">
      <c r="H394" s="76"/>
      <c r="I394" s="76"/>
      <c r="J394" s="76"/>
      <c r="K394" s="76"/>
      <c r="L394" s="123"/>
      <c r="M394" s="76"/>
      <c r="N394" s="76"/>
      <c r="O394" s="76"/>
      <c r="P394" s="76"/>
      <c r="Q394" s="76"/>
      <c r="R394" s="76"/>
      <c r="S394" s="76"/>
      <c r="T394" s="76"/>
      <c r="U394" s="76"/>
      <c r="V394" s="76"/>
      <c r="W394" s="76"/>
      <c r="X394" s="76"/>
      <c r="Y394" s="76"/>
      <c r="Z394" s="76"/>
      <c r="AA394" s="76"/>
    </row>
    <row r="395" spans="8:27" x14ac:dyDescent="0.2">
      <c r="H395" s="76"/>
      <c r="I395" s="76"/>
      <c r="J395" s="76"/>
      <c r="K395" s="76"/>
      <c r="L395" s="123"/>
      <c r="M395" s="76"/>
      <c r="N395" s="76"/>
      <c r="O395" s="76"/>
      <c r="P395" s="76"/>
      <c r="Q395" s="76"/>
      <c r="R395" s="76"/>
      <c r="S395" s="76"/>
      <c r="T395" s="76"/>
      <c r="U395" s="76"/>
      <c r="V395" s="76"/>
      <c r="W395" s="76"/>
      <c r="X395" s="76"/>
      <c r="Y395" s="76"/>
      <c r="Z395" s="76"/>
      <c r="AA395" s="76"/>
    </row>
    <row r="396" spans="8:27" x14ac:dyDescent="0.2">
      <c r="H396" s="76"/>
      <c r="I396" s="76"/>
      <c r="J396" s="76"/>
      <c r="K396" s="76"/>
      <c r="L396" s="123"/>
      <c r="M396" s="76"/>
      <c r="N396" s="76"/>
      <c r="O396" s="76"/>
      <c r="P396" s="76"/>
      <c r="Q396" s="76"/>
      <c r="R396" s="76"/>
      <c r="S396" s="76"/>
      <c r="T396" s="76"/>
      <c r="U396" s="76"/>
      <c r="V396" s="76"/>
      <c r="W396" s="76"/>
      <c r="X396" s="76"/>
      <c r="Y396" s="76"/>
      <c r="Z396" s="76"/>
      <c r="AA396" s="76"/>
    </row>
    <row r="397" spans="8:27" x14ac:dyDescent="0.2">
      <c r="H397" s="76"/>
      <c r="I397" s="2" t="s">
        <v>164</v>
      </c>
      <c r="J397" s="224">
        <f>+J287</f>
        <v>0</v>
      </c>
      <c r="K397" s="224">
        <f>+K287</f>
        <v>0</v>
      </c>
      <c r="L397" s="224">
        <f>+L287</f>
        <v>5294272</v>
      </c>
      <c r="M397" s="224">
        <f>+M287</f>
        <v>5294272</v>
      </c>
      <c r="N397" s="76"/>
      <c r="O397" s="76"/>
      <c r="P397" s="76"/>
      <c r="Q397" s="76"/>
      <c r="R397" s="76"/>
      <c r="S397" s="76"/>
      <c r="T397" s="76"/>
      <c r="U397" s="76"/>
      <c r="V397" s="76"/>
      <c r="W397" s="76"/>
      <c r="X397" s="76"/>
      <c r="Y397" s="76"/>
      <c r="Z397" s="76"/>
      <c r="AA397" s="76"/>
    </row>
    <row r="398" spans="8:27" x14ac:dyDescent="0.2">
      <c r="H398" s="76"/>
      <c r="I398" s="2" t="s">
        <v>165</v>
      </c>
      <c r="J398" s="224">
        <f>+J289</f>
        <v>0</v>
      </c>
      <c r="K398" s="224">
        <f>+K289</f>
        <v>0</v>
      </c>
      <c r="L398" s="224">
        <f>+L289</f>
        <v>3507138</v>
      </c>
      <c r="M398" s="224">
        <f>+M289</f>
        <v>3416076.5216000001</v>
      </c>
      <c r="N398" s="76"/>
      <c r="O398" s="76"/>
      <c r="P398" s="76"/>
      <c r="Q398" s="76"/>
      <c r="R398" s="76"/>
      <c r="S398" s="76"/>
      <c r="T398" s="76"/>
      <c r="U398" s="76"/>
      <c r="V398" s="76"/>
      <c r="W398" s="76"/>
      <c r="X398" s="76"/>
      <c r="Y398" s="76"/>
      <c r="Z398" s="76"/>
      <c r="AA398" s="76"/>
    </row>
    <row r="399" spans="8:27" x14ac:dyDescent="0.2">
      <c r="H399" s="76"/>
      <c r="I399" s="76"/>
      <c r="N399" s="76"/>
      <c r="O399" s="76"/>
      <c r="P399" s="76"/>
      <c r="Q399" s="76"/>
      <c r="R399" s="76"/>
      <c r="S399" s="76"/>
      <c r="T399" s="76"/>
      <c r="U399" s="76"/>
      <c r="V399" s="76"/>
      <c r="W399" s="76"/>
      <c r="X399" s="76"/>
      <c r="Y399" s="76"/>
      <c r="Z399" s="76"/>
      <c r="AA399" s="76"/>
    </row>
    <row r="400" spans="8:27" x14ac:dyDescent="0.2">
      <c r="I400" s="2" t="s">
        <v>166</v>
      </c>
      <c r="J400" s="224">
        <f>+J346</f>
        <v>1186</v>
      </c>
      <c r="K400" s="224">
        <f>+K346</f>
        <v>1186</v>
      </c>
      <c r="L400" s="224">
        <f>+L346</f>
        <v>1186</v>
      </c>
      <c r="M400" s="224">
        <f>+M346</f>
        <v>1192</v>
      </c>
      <c r="R400" s="76"/>
      <c r="S400" s="76"/>
      <c r="T400" s="76"/>
      <c r="U400" s="76"/>
      <c r="V400" s="76"/>
      <c r="W400" s="76"/>
      <c r="X400" s="76"/>
      <c r="Y400" s="76"/>
      <c r="Z400" s="76"/>
      <c r="AA400" s="76"/>
    </row>
    <row r="401" spans="5:27" x14ac:dyDescent="0.2">
      <c r="W401" s="76"/>
      <c r="X401" s="76"/>
      <c r="Y401" s="76"/>
      <c r="Z401" s="76"/>
      <c r="AA401" s="76"/>
    </row>
    <row r="402" spans="5:27" x14ac:dyDescent="0.2">
      <c r="W402" s="76"/>
      <c r="X402" s="76"/>
      <c r="Y402" s="76"/>
      <c r="Z402" s="76"/>
      <c r="AA402" s="76"/>
    </row>
    <row r="403" spans="5:27" ht="15" x14ac:dyDescent="0.25">
      <c r="E403" s="13"/>
      <c r="F403" s="13"/>
      <c r="G403" s="13"/>
      <c r="H403" s="88">
        <f>+H19</f>
        <v>2013</v>
      </c>
      <c r="I403" s="88">
        <f>+I19</f>
        <v>2014</v>
      </c>
      <c r="J403" s="88">
        <f>+J19</f>
        <v>2015</v>
      </c>
      <c r="K403" s="88">
        <f>+K19</f>
        <v>2016</v>
      </c>
      <c r="L403" s="88">
        <f>+L19</f>
        <v>2017</v>
      </c>
      <c r="M403" s="88">
        <f>+M19</f>
        <v>2018</v>
      </c>
      <c r="N403" s="13"/>
      <c r="O403" s="13"/>
      <c r="P403" s="13"/>
      <c r="Q403" s="13"/>
      <c r="R403" s="13"/>
      <c r="S403" s="13"/>
      <c r="T403" s="13"/>
      <c r="U403" s="13"/>
      <c r="V403" s="13"/>
      <c r="W403" s="76"/>
      <c r="X403" s="76"/>
      <c r="Y403" s="76"/>
      <c r="Z403" s="76"/>
      <c r="AA403" s="76"/>
    </row>
    <row r="404" spans="5:27" ht="15" x14ac:dyDescent="0.25">
      <c r="E404" s="13"/>
      <c r="F404" s="13"/>
      <c r="G404" s="13"/>
      <c r="J404" s="13"/>
      <c r="K404" s="13"/>
      <c r="L404" s="13"/>
      <c r="M404" s="13"/>
      <c r="N404" s="13"/>
      <c r="O404" s="89"/>
      <c r="P404" s="13"/>
      <c r="Q404" s="13"/>
      <c r="R404" s="13"/>
      <c r="S404" s="13"/>
      <c r="T404" s="13"/>
      <c r="U404" s="13"/>
      <c r="V404" s="13"/>
      <c r="W404" s="76"/>
      <c r="X404" s="76"/>
      <c r="Y404" s="76"/>
      <c r="Z404" s="76"/>
      <c r="AA404" s="76"/>
    </row>
    <row r="405" spans="5:27" ht="15" x14ac:dyDescent="0.25">
      <c r="E405" s="13"/>
      <c r="F405" s="13"/>
      <c r="G405" s="13"/>
      <c r="J405" s="13"/>
      <c r="K405" s="13"/>
      <c r="L405" s="13"/>
      <c r="M405" s="13"/>
      <c r="N405" s="13"/>
      <c r="O405" s="89"/>
      <c r="P405" s="13"/>
      <c r="Q405" s="13"/>
      <c r="R405" s="13"/>
      <c r="S405" s="13"/>
      <c r="T405" s="13"/>
      <c r="U405" s="13"/>
      <c r="V405" s="13"/>
      <c r="W405" s="76"/>
      <c r="X405" s="76"/>
      <c r="Y405" s="76"/>
      <c r="Z405" s="76"/>
      <c r="AA405" s="76"/>
    </row>
    <row r="406" spans="5:27" ht="15" x14ac:dyDescent="0.25">
      <c r="E406" s="13"/>
      <c r="F406" s="13"/>
      <c r="G406" s="13" t="s">
        <v>32</v>
      </c>
      <c r="H406" s="2">
        <v>0</v>
      </c>
      <c r="I406" s="2">
        <v>0</v>
      </c>
      <c r="J406" s="2">
        <v>0</v>
      </c>
      <c r="K406" s="268">
        <f>+K415</f>
        <v>72772</v>
      </c>
      <c r="L406" s="268">
        <f>+K406*(1+$AC$28)</f>
        <v>74227.44</v>
      </c>
      <c r="M406" s="268">
        <f t="shared" ref="M406:M408" si="105">+L406*(1+$AC$28)</f>
        <v>75711.988800000006</v>
      </c>
      <c r="N406" s="13"/>
      <c r="O406" s="90"/>
      <c r="P406" s="13">
        <v>0.15</v>
      </c>
      <c r="Q406" s="13"/>
      <c r="R406" s="13" t="s">
        <v>32</v>
      </c>
      <c r="S406" s="151" t="s">
        <v>33</v>
      </c>
      <c r="T406" s="152"/>
      <c r="U406" s="153" t="s">
        <v>34</v>
      </c>
      <c r="V406" s="154">
        <v>0.15</v>
      </c>
      <c r="W406" s="13">
        <v>0.15</v>
      </c>
      <c r="X406" s="76"/>
      <c r="Y406" s="76"/>
      <c r="Z406" s="76"/>
      <c r="AA406" s="76"/>
    </row>
    <row r="407" spans="5:27" ht="15" x14ac:dyDescent="0.25">
      <c r="E407" s="13"/>
      <c r="F407" s="13"/>
      <c r="G407" s="13" t="s">
        <v>35</v>
      </c>
      <c r="H407" s="2">
        <v>0</v>
      </c>
      <c r="I407" s="2">
        <v>0</v>
      </c>
      <c r="J407" s="2">
        <v>0</v>
      </c>
      <c r="K407" s="268">
        <f>+K424</f>
        <v>83870</v>
      </c>
      <c r="L407" s="268">
        <f t="shared" ref="L407:L408" si="106">+K407*(1+$AC$28)</f>
        <v>85547.400000000009</v>
      </c>
      <c r="M407" s="268">
        <f t="shared" si="105"/>
        <v>87258.348000000013</v>
      </c>
      <c r="N407" s="13"/>
      <c r="O407" s="90"/>
      <c r="P407" s="13">
        <v>0.5</v>
      </c>
      <c r="Q407" s="91"/>
      <c r="R407" s="13" t="s">
        <v>35</v>
      </c>
      <c r="S407" s="151" t="s">
        <v>36</v>
      </c>
      <c r="T407" s="152"/>
      <c r="U407" s="153" t="s">
        <v>37</v>
      </c>
      <c r="V407" s="154">
        <v>0.5</v>
      </c>
      <c r="W407" s="13">
        <v>0.5</v>
      </c>
      <c r="X407" s="76"/>
      <c r="Y407" s="76"/>
      <c r="Z407" s="76"/>
      <c r="AA407" s="76"/>
    </row>
    <row r="408" spans="5:27" ht="15" x14ac:dyDescent="0.25">
      <c r="G408" s="13" t="s">
        <v>38</v>
      </c>
      <c r="H408" s="2">
        <v>0</v>
      </c>
      <c r="I408" s="2">
        <v>0</v>
      </c>
      <c r="J408" s="2">
        <v>0</v>
      </c>
      <c r="K408" s="268">
        <f>+K419</f>
        <v>13844</v>
      </c>
      <c r="L408" s="268">
        <f t="shared" si="106"/>
        <v>14120.880000000001</v>
      </c>
      <c r="M408" s="268">
        <f t="shared" si="105"/>
        <v>14403.297600000002</v>
      </c>
      <c r="Q408" s="13"/>
      <c r="R408" s="13" t="s">
        <v>38</v>
      </c>
      <c r="S408" s="151" t="s">
        <v>39</v>
      </c>
      <c r="T408" s="152"/>
      <c r="U408" s="153" t="s">
        <v>40</v>
      </c>
      <c r="V408" s="154">
        <v>0.1</v>
      </c>
      <c r="W408" s="13">
        <v>0.1</v>
      </c>
      <c r="X408" s="76"/>
      <c r="Y408" s="76"/>
      <c r="Z408" s="76"/>
      <c r="AA408" s="76"/>
    </row>
    <row r="409" spans="5:27" ht="15" x14ac:dyDescent="0.25">
      <c r="G409" s="13"/>
      <c r="H409" s="13"/>
      <c r="I409" s="13"/>
      <c r="J409" s="13"/>
      <c r="K409" s="13"/>
      <c r="M409" s="13"/>
      <c r="P409" s="15"/>
      <c r="Q409" s="13"/>
      <c r="R409" s="13"/>
      <c r="S409" s="13"/>
      <c r="T409" s="13"/>
      <c r="U409" s="13"/>
      <c r="V409" s="13"/>
      <c r="W409" s="76"/>
      <c r="X409" s="76"/>
      <c r="Y409" s="76"/>
      <c r="Z409" s="76"/>
      <c r="AA409" s="76"/>
    </row>
    <row r="410" spans="5:27" ht="15" x14ac:dyDescent="0.25">
      <c r="G410" s="13"/>
      <c r="H410" s="13"/>
      <c r="I410" s="13"/>
      <c r="J410" s="13"/>
      <c r="K410" s="13"/>
      <c r="M410" s="13"/>
      <c r="P410" s="15"/>
      <c r="Q410" s="13"/>
      <c r="R410" s="13"/>
      <c r="S410" s="13"/>
      <c r="T410" s="13"/>
      <c r="U410" s="13"/>
      <c r="V410" s="13"/>
      <c r="W410" s="76"/>
      <c r="X410" s="76"/>
      <c r="Y410" s="76"/>
      <c r="Z410" s="76"/>
      <c r="AA410" s="76"/>
    </row>
    <row r="411" spans="5:27" ht="15" x14ac:dyDescent="0.25">
      <c r="G411" s="13"/>
      <c r="H411" s="13"/>
      <c r="I411" s="13"/>
      <c r="J411" s="13"/>
      <c r="K411" s="13"/>
      <c r="L411" s="13"/>
      <c r="M411" s="13"/>
      <c r="P411" s="15"/>
      <c r="Q411" s="13"/>
      <c r="R411" s="13"/>
      <c r="S411" s="13"/>
      <c r="T411" s="13"/>
      <c r="U411" s="13"/>
      <c r="V411" s="13"/>
      <c r="W411" s="76"/>
      <c r="X411" s="76"/>
      <c r="Y411" s="76"/>
      <c r="Z411" s="76"/>
      <c r="AA411" s="76"/>
    </row>
    <row r="412" spans="5:27" ht="15" x14ac:dyDescent="0.25">
      <c r="G412" s="92" t="s">
        <v>167</v>
      </c>
      <c r="H412" s="93"/>
      <c r="I412" s="93"/>
      <c r="J412" s="93"/>
      <c r="K412" s="93"/>
      <c r="L412" s="269"/>
      <c r="M412" s="93"/>
      <c r="N412" s="270"/>
      <c r="P412" s="15"/>
      <c r="Q412" s="13"/>
      <c r="R412" s="13"/>
      <c r="S412" s="13"/>
      <c r="T412" s="13"/>
      <c r="U412" s="13"/>
      <c r="V412" s="13"/>
      <c r="W412" s="76"/>
      <c r="X412" s="76"/>
      <c r="Y412" s="76"/>
      <c r="Z412" s="76"/>
      <c r="AA412" s="76"/>
    </row>
    <row r="413" spans="5:27" ht="15" x14ac:dyDescent="0.25">
      <c r="G413" s="94"/>
      <c r="H413" s="13"/>
      <c r="I413" s="13"/>
      <c r="J413" s="13"/>
      <c r="K413" s="13"/>
      <c r="L413" s="13"/>
      <c r="M413" s="13"/>
      <c r="N413" s="271"/>
      <c r="P413" s="15"/>
      <c r="Q413" s="13"/>
      <c r="R413" s="13"/>
      <c r="S413" s="13"/>
      <c r="T413" s="13"/>
      <c r="U413" s="13"/>
      <c r="V413" s="13"/>
      <c r="W413" s="76"/>
      <c r="X413" s="76"/>
      <c r="Y413" s="76"/>
      <c r="Z413" s="76"/>
      <c r="AA413" s="76"/>
    </row>
    <row r="414" spans="5:27" ht="15" x14ac:dyDescent="0.25">
      <c r="G414" s="272"/>
      <c r="H414" s="4"/>
      <c r="I414" s="4"/>
      <c r="J414" s="4"/>
      <c r="K414" s="4"/>
      <c r="L414" s="4"/>
      <c r="M414" s="4"/>
      <c r="N414" s="271"/>
      <c r="P414" s="15"/>
      <c r="Q414" s="13"/>
      <c r="R414" s="13"/>
      <c r="S414" s="13"/>
      <c r="T414" s="13"/>
      <c r="U414" s="13"/>
      <c r="V414" s="13"/>
      <c r="W414" s="76"/>
      <c r="X414" s="76"/>
      <c r="Y414" s="76"/>
      <c r="Z414" s="76"/>
      <c r="AA414" s="76"/>
    </row>
    <row r="415" spans="5:27" ht="15" x14ac:dyDescent="0.25">
      <c r="G415" s="95" t="s">
        <v>168</v>
      </c>
      <c r="H415" s="96" t="s">
        <v>169</v>
      </c>
      <c r="I415" s="4"/>
      <c r="J415" s="96"/>
      <c r="K415" s="97">
        <v>72772</v>
      </c>
      <c r="L415" s="4"/>
      <c r="M415" s="4"/>
      <c r="N415" s="271"/>
      <c r="P415" s="15"/>
      <c r="Q415" s="13"/>
      <c r="R415" s="13"/>
      <c r="S415" s="13"/>
      <c r="T415" s="13"/>
      <c r="U415" s="13"/>
      <c r="V415" s="13"/>
      <c r="W415" s="76"/>
      <c r="X415" s="76"/>
      <c r="Y415" s="76"/>
      <c r="Z415" s="76"/>
      <c r="AA415" s="76"/>
    </row>
    <row r="416" spans="5:27" ht="15" x14ac:dyDescent="0.25">
      <c r="G416" s="95"/>
      <c r="H416" s="96"/>
      <c r="I416" s="4"/>
      <c r="J416" s="96"/>
      <c r="K416" s="97"/>
      <c r="L416" s="4"/>
      <c r="M416" s="4"/>
      <c r="N416" s="271"/>
      <c r="P416" s="15"/>
      <c r="Q416" s="13"/>
      <c r="R416" s="13"/>
      <c r="S416" s="13"/>
      <c r="T416" s="13"/>
      <c r="U416" s="13"/>
      <c r="V416" s="13"/>
      <c r="W416" s="76"/>
      <c r="X416" s="76"/>
      <c r="Y416" s="76"/>
      <c r="Z416" s="76"/>
      <c r="AA416" s="76"/>
    </row>
    <row r="417" spans="7:27" ht="15" x14ac:dyDescent="0.25">
      <c r="G417" s="95" t="s">
        <v>170</v>
      </c>
      <c r="H417" s="96" t="s">
        <v>171</v>
      </c>
      <c r="I417" s="4"/>
      <c r="J417" s="96"/>
      <c r="K417" s="97">
        <v>4364</v>
      </c>
      <c r="L417" s="4"/>
      <c r="M417" s="4"/>
      <c r="N417" s="271"/>
      <c r="P417" s="15"/>
      <c r="Q417" s="13"/>
      <c r="R417" s="13"/>
      <c r="S417" s="13"/>
      <c r="T417" s="13"/>
      <c r="U417" s="13"/>
      <c r="V417" s="13"/>
      <c r="W417" s="76"/>
      <c r="X417" s="76"/>
      <c r="Y417" s="76"/>
      <c r="Z417" s="76"/>
      <c r="AA417" s="76"/>
    </row>
    <row r="418" spans="7:27" ht="15" x14ac:dyDescent="0.25">
      <c r="G418" s="95" t="s">
        <v>170</v>
      </c>
      <c r="H418" s="96" t="s">
        <v>39</v>
      </c>
      <c r="I418" s="4"/>
      <c r="J418" s="96"/>
      <c r="K418" s="97">
        <v>9480</v>
      </c>
      <c r="L418" s="4"/>
      <c r="M418" s="4"/>
      <c r="N418" s="271"/>
      <c r="P418" s="15"/>
      <c r="Q418" s="13"/>
      <c r="R418" s="13"/>
      <c r="S418" s="13"/>
      <c r="T418" s="13"/>
      <c r="U418" s="13"/>
      <c r="V418" s="13"/>
      <c r="W418" s="76"/>
      <c r="X418" s="76"/>
      <c r="Y418" s="76"/>
      <c r="Z418" s="76"/>
      <c r="AA418" s="76"/>
    </row>
    <row r="419" spans="7:27" ht="15.75" thickBot="1" x14ac:dyDescent="0.3">
      <c r="G419" s="95"/>
      <c r="H419" s="96"/>
      <c r="I419" s="4"/>
      <c r="J419" s="96"/>
      <c r="K419" s="98">
        <v>13844</v>
      </c>
      <c r="L419" s="4"/>
      <c r="M419" s="4"/>
      <c r="N419" s="271"/>
      <c r="P419" s="15"/>
      <c r="Q419" s="13"/>
      <c r="R419" s="13"/>
      <c r="S419" s="13"/>
      <c r="T419" s="13"/>
      <c r="U419" s="13"/>
      <c r="V419" s="13"/>
      <c r="W419" s="76"/>
      <c r="X419" s="76"/>
      <c r="Y419" s="76"/>
      <c r="Z419" s="76"/>
      <c r="AA419" s="76"/>
    </row>
    <row r="420" spans="7:27" ht="15.75" thickTop="1" x14ac:dyDescent="0.25">
      <c r="G420" s="95"/>
      <c r="H420" s="96"/>
      <c r="I420" s="4"/>
      <c r="J420" s="96"/>
      <c r="K420" s="97"/>
      <c r="L420" s="4"/>
      <c r="M420" s="4"/>
      <c r="N420" s="271"/>
      <c r="P420" s="15"/>
      <c r="Q420" s="13"/>
      <c r="R420" s="13"/>
      <c r="S420" s="13"/>
      <c r="T420" s="13"/>
      <c r="U420" s="13"/>
      <c r="V420" s="13"/>
      <c r="W420" s="76"/>
      <c r="X420" s="76"/>
      <c r="Y420" s="76"/>
      <c r="Z420" s="76"/>
      <c r="AA420" s="76"/>
    </row>
    <row r="421" spans="7:27" ht="15" x14ac:dyDescent="0.25">
      <c r="G421" s="95" t="s">
        <v>172</v>
      </c>
      <c r="H421" s="96" t="s">
        <v>173</v>
      </c>
      <c r="I421" s="4"/>
      <c r="J421" s="96"/>
      <c r="K421" s="97">
        <v>69837</v>
      </c>
      <c r="L421" s="4"/>
      <c r="M421" s="4"/>
      <c r="N421" s="271"/>
      <c r="P421" s="15"/>
      <c r="Q421" s="13"/>
      <c r="R421" s="13"/>
      <c r="S421" s="13"/>
      <c r="T421" s="13"/>
      <c r="U421" s="13"/>
      <c r="V421" s="13"/>
      <c r="W421" s="76"/>
      <c r="X421" s="76"/>
      <c r="Y421" s="76"/>
      <c r="Z421" s="76"/>
      <c r="AA421" s="76"/>
    </row>
    <row r="422" spans="7:27" ht="15" x14ac:dyDescent="0.25">
      <c r="G422" s="95" t="s">
        <v>172</v>
      </c>
      <c r="H422" s="96" t="s">
        <v>174</v>
      </c>
      <c r="I422" s="4"/>
      <c r="J422" s="96"/>
      <c r="K422" s="97">
        <v>7002</v>
      </c>
      <c r="L422" s="4"/>
      <c r="M422" s="4"/>
      <c r="N422" s="271"/>
      <c r="P422" s="15"/>
      <c r="Q422" s="13"/>
      <c r="R422" s="13"/>
      <c r="S422" s="13"/>
      <c r="T422" s="13"/>
      <c r="U422" s="13"/>
      <c r="V422" s="13"/>
      <c r="W422" s="76"/>
      <c r="X422" s="76"/>
      <c r="Y422" s="76"/>
      <c r="Z422" s="76"/>
      <c r="AA422" s="76"/>
    </row>
    <row r="423" spans="7:27" ht="15" x14ac:dyDescent="0.25">
      <c r="G423" s="95" t="s">
        <v>172</v>
      </c>
      <c r="H423" s="96" t="s">
        <v>175</v>
      </c>
      <c r="I423" s="4"/>
      <c r="J423" s="96"/>
      <c r="K423" s="97">
        <v>7031</v>
      </c>
      <c r="L423" s="4"/>
      <c r="M423" s="4"/>
      <c r="N423" s="271"/>
      <c r="P423" s="15"/>
      <c r="Q423" s="13"/>
      <c r="R423" s="13"/>
      <c r="S423" s="13"/>
      <c r="T423" s="13"/>
      <c r="U423" s="13"/>
      <c r="V423" s="13"/>
      <c r="W423" s="76"/>
      <c r="X423" s="76"/>
      <c r="Y423" s="76"/>
      <c r="Z423" s="76"/>
      <c r="AA423" s="76"/>
    </row>
    <row r="424" spans="7:27" ht="15.75" thickBot="1" x14ac:dyDescent="0.3">
      <c r="G424" s="95"/>
      <c r="H424" s="96"/>
      <c r="I424" s="4"/>
      <c r="J424" s="4"/>
      <c r="K424" s="273">
        <v>83870</v>
      </c>
      <c r="L424" s="4"/>
      <c r="M424" s="4"/>
      <c r="N424" s="271"/>
      <c r="P424" s="15"/>
      <c r="Q424" s="13"/>
      <c r="R424" s="13"/>
      <c r="S424" s="13"/>
      <c r="T424" s="13"/>
      <c r="U424" s="13"/>
      <c r="V424" s="13"/>
      <c r="W424" s="76"/>
      <c r="X424" s="76"/>
      <c r="Y424" s="76"/>
      <c r="Z424" s="76"/>
      <c r="AA424" s="76"/>
    </row>
    <row r="425" spans="7:27" ht="15.75" thickTop="1" x14ac:dyDescent="0.25">
      <c r="G425" s="274"/>
      <c r="H425" s="275"/>
      <c r="I425" s="275"/>
      <c r="J425" s="275"/>
      <c r="K425" s="275"/>
      <c r="L425" s="275"/>
      <c r="M425" s="275"/>
      <c r="N425" s="276"/>
      <c r="P425" s="15"/>
      <c r="Q425" s="13"/>
      <c r="R425" s="13"/>
      <c r="S425" s="13"/>
      <c r="T425" s="13"/>
      <c r="U425" s="13"/>
      <c r="V425" s="13"/>
      <c r="W425" s="76"/>
      <c r="X425" s="76"/>
      <c r="Y425" s="76"/>
      <c r="Z425" s="76"/>
      <c r="AA425" s="76"/>
    </row>
    <row r="426" spans="7:27" ht="15" x14ac:dyDescent="0.25">
      <c r="P426" s="15"/>
      <c r="Q426" s="13"/>
      <c r="R426" s="13"/>
      <c r="S426" s="13"/>
      <c r="T426" s="13"/>
      <c r="U426" s="13"/>
      <c r="V426" s="13"/>
      <c r="W426" s="76"/>
      <c r="X426" s="76"/>
      <c r="Y426" s="76"/>
      <c r="Z426" s="76"/>
      <c r="AA426" s="76"/>
    </row>
    <row r="427" spans="7:27" ht="15" x14ac:dyDescent="0.25">
      <c r="P427" s="15"/>
      <c r="Q427" s="13"/>
      <c r="R427" s="13"/>
      <c r="S427" s="13"/>
      <c r="T427" s="13"/>
      <c r="U427" s="13"/>
      <c r="V427" s="13"/>
      <c r="W427" s="76"/>
      <c r="X427" s="76"/>
      <c r="Y427" s="76"/>
      <c r="Z427" s="76"/>
      <c r="AA427" s="76"/>
    </row>
    <row r="428" spans="7:27" ht="15" x14ac:dyDescent="0.25">
      <c r="P428" s="15"/>
      <c r="Q428" s="13"/>
      <c r="R428" s="13"/>
      <c r="S428" s="13"/>
      <c r="T428" s="13"/>
      <c r="U428" s="13"/>
      <c r="V428" s="13"/>
      <c r="W428" s="76"/>
      <c r="X428" s="76"/>
      <c r="Y428" s="76"/>
      <c r="Z428" s="76"/>
      <c r="AA428" s="76"/>
    </row>
    <row r="429" spans="7:27" ht="15" x14ac:dyDescent="0.25">
      <c r="P429" s="15"/>
      <c r="Q429" s="13"/>
      <c r="R429" s="13"/>
      <c r="S429" s="13"/>
      <c r="T429" s="13"/>
      <c r="U429" s="13"/>
      <c r="V429" s="13"/>
      <c r="W429" s="76"/>
      <c r="X429" s="76"/>
      <c r="Y429" s="76"/>
      <c r="Z429" s="76"/>
      <c r="AA429" s="76"/>
    </row>
    <row r="430" spans="7:27" ht="15" x14ac:dyDescent="0.25">
      <c r="P430" s="15"/>
      <c r="Q430" s="13"/>
      <c r="R430" s="13"/>
      <c r="S430" s="13"/>
      <c r="T430" s="13"/>
      <c r="U430" s="13"/>
      <c r="V430" s="13"/>
      <c r="W430" s="76"/>
      <c r="X430" s="76"/>
      <c r="Y430" s="76"/>
      <c r="Z430" s="76"/>
      <c r="AA430" s="76"/>
    </row>
    <row r="431" spans="7:27" ht="15" x14ac:dyDescent="0.25">
      <c r="P431" s="15"/>
      <c r="Q431" s="13"/>
      <c r="R431" s="13"/>
      <c r="S431" s="13"/>
      <c r="T431" s="13"/>
      <c r="U431" s="13"/>
      <c r="V431" s="13"/>
      <c r="W431" s="76"/>
      <c r="X431" s="76"/>
      <c r="Y431" s="76"/>
      <c r="Z431" s="76"/>
      <c r="AA431" s="76"/>
    </row>
    <row r="432" spans="7:27" ht="15" x14ac:dyDescent="0.25">
      <c r="P432" s="15"/>
      <c r="Q432" s="13"/>
      <c r="R432" s="13"/>
      <c r="S432" s="13"/>
      <c r="T432" s="13"/>
      <c r="U432" s="13"/>
      <c r="V432" s="13"/>
      <c r="W432" s="76"/>
      <c r="X432" s="76"/>
      <c r="Y432" s="76"/>
      <c r="Z432" s="76"/>
      <c r="AA432" s="76"/>
    </row>
    <row r="433" spans="5:27" ht="15" x14ac:dyDescent="0.25">
      <c r="P433" s="15"/>
      <c r="Q433" s="13"/>
      <c r="R433" s="13"/>
      <c r="S433" s="13"/>
      <c r="T433" s="13"/>
      <c r="U433" s="13"/>
      <c r="V433" s="13"/>
      <c r="W433" s="76"/>
      <c r="X433" s="76"/>
      <c r="Y433" s="76"/>
      <c r="Z433" s="76"/>
      <c r="AA433" s="76"/>
    </row>
    <row r="434" spans="5:27" ht="15" x14ac:dyDescent="0.25">
      <c r="P434" s="15"/>
      <c r="Q434" s="13"/>
      <c r="R434" s="13"/>
      <c r="S434" s="13"/>
      <c r="T434" s="13"/>
      <c r="U434" s="13"/>
      <c r="V434" s="13"/>
      <c r="W434" s="76"/>
      <c r="X434" s="76"/>
      <c r="Y434" s="76"/>
      <c r="Z434" s="76"/>
      <c r="AA434" s="76"/>
    </row>
    <row r="435" spans="5:27" ht="15" x14ac:dyDescent="0.25">
      <c r="P435" s="15"/>
      <c r="Q435" s="13"/>
      <c r="R435" s="13"/>
      <c r="S435" s="13"/>
      <c r="T435" s="13"/>
      <c r="U435" s="13"/>
      <c r="V435" s="13"/>
      <c r="W435" s="76"/>
      <c r="X435" s="76"/>
      <c r="Y435" s="76"/>
      <c r="Z435" s="76"/>
      <c r="AA435" s="76"/>
    </row>
    <row r="436" spans="5:27" ht="15" x14ac:dyDescent="0.25">
      <c r="P436" s="15"/>
      <c r="Q436" s="13"/>
      <c r="R436" s="13"/>
      <c r="S436" s="13"/>
      <c r="T436" s="13"/>
      <c r="U436" s="13"/>
      <c r="V436" s="13"/>
      <c r="W436" s="76"/>
      <c r="X436" s="76"/>
      <c r="Y436" s="76"/>
      <c r="Z436" s="76"/>
      <c r="AA436" s="76"/>
    </row>
    <row r="437" spans="5:27" ht="15" x14ac:dyDescent="0.25">
      <c r="P437" s="15"/>
      <c r="Q437" s="13"/>
      <c r="R437" s="13"/>
      <c r="S437" s="13"/>
      <c r="T437" s="13"/>
      <c r="U437" s="13"/>
      <c r="V437" s="13"/>
      <c r="W437" s="76"/>
      <c r="X437" s="76"/>
      <c r="Y437" s="76"/>
      <c r="Z437" s="76"/>
      <c r="AA437" s="76"/>
    </row>
    <row r="438" spans="5:27" ht="15" x14ac:dyDescent="0.25">
      <c r="J438" s="96"/>
      <c r="P438" s="15"/>
      <c r="Q438" s="13"/>
      <c r="R438" s="13"/>
      <c r="S438" s="13"/>
      <c r="T438" s="13"/>
      <c r="U438" s="13"/>
      <c r="V438" s="13"/>
      <c r="W438" s="76"/>
      <c r="X438" s="76"/>
      <c r="Y438" s="76"/>
      <c r="Z438" s="76"/>
      <c r="AA438" s="76"/>
    </row>
    <row r="439" spans="5:27" ht="15" x14ac:dyDescent="0.25">
      <c r="J439" s="96"/>
      <c r="P439" s="15"/>
      <c r="Q439" s="13"/>
      <c r="R439" s="13"/>
      <c r="S439" s="13"/>
      <c r="T439" s="13"/>
      <c r="U439" s="13"/>
      <c r="V439" s="13"/>
      <c r="W439" s="76"/>
      <c r="X439" s="76"/>
      <c r="Y439" s="76"/>
      <c r="Z439" s="76"/>
      <c r="AA439" s="76"/>
    </row>
    <row r="440" spans="5:27" ht="15" x14ac:dyDescent="0.25">
      <c r="F440" s="13"/>
      <c r="M440" s="13"/>
      <c r="N440" s="13"/>
      <c r="O440" s="13"/>
      <c r="P440" s="13"/>
      <c r="Q440" s="13"/>
      <c r="R440" s="13"/>
      <c r="S440" s="13"/>
      <c r="T440" s="13"/>
      <c r="U440" s="13"/>
      <c r="V440" s="13"/>
      <c r="W440" s="76"/>
      <c r="X440" s="76"/>
      <c r="Y440" s="76"/>
      <c r="Z440" s="76"/>
      <c r="AA440" s="76"/>
    </row>
    <row r="441" spans="5:27" ht="15" x14ac:dyDescent="0.25">
      <c r="F441" s="13"/>
      <c r="M441" s="13"/>
      <c r="N441" s="13"/>
      <c r="O441" s="13"/>
      <c r="P441" s="13"/>
      <c r="Q441" s="13"/>
      <c r="R441" s="13"/>
      <c r="S441" s="13"/>
      <c r="T441" s="13"/>
      <c r="U441" s="13"/>
      <c r="V441" s="13"/>
      <c r="W441" s="76"/>
      <c r="X441" s="76"/>
      <c r="Y441" s="76"/>
      <c r="Z441" s="76"/>
      <c r="AA441" s="76"/>
    </row>
    <row r="442" spans="5:27" ht="15" x14ac:dyDescent="0.25">
      <c r="F442" s="13"/>
      <c r="M442" s="13"/>
      <c r="N442" s="13"/>
      <c r="O442" s="13"/>
      <c r="P442" s="13"/>
      <c r="Q442" s="13"/>
      <c r="R442" s="13"/>
      <c r="S442" s="13"/>
      <c r="T442" s="13"/>
      <c r="U442" s="13"/>
      <c r="V442" s="13"/>
      <c r="W442" s="76"/>
      <c r="X442" s="76"/>
      <c r="Y442" s="76"/>
      <c r="Z442" s="76"/>
      <c r="AA442" s="76"/>
    </row>
    <row r="443" spans="5:27" ht="15" x14ac:dyDescent="0.25">
      <c r="E443" s="13"/>
      <c r="F443" s="13"/>
      <c r="G443" s="13"/>
      <c r="J443" s="13"/>
      <c r="K443" s="99"/>
      <c r="L443" s="13"/>
      <c r="M443" s="13"/>
      <c r="N443" s="13"/>
      <c r="O443" s="13"/>
      <c r="P443" s="13"/>
      <c r="Q443" s="13"/>
      <c r="R443" s="13"/>
      <c r="S443" s="13"/>
      <c r="T443" s="13"/>
      <c r="U443" s="13"/>
      <c r="V443" s="13"/>
      <c r="W443" s="76"/>
      <c r="X443" s="76"/>
      <c r="Y443" s="76"/>
      <c r="Z443" s="76"/>
      <c r="AA443" s="76"/>
    </row>
    <row r="444" spans="5:27" x14ac:dyDescent="0.2">
      <c r="G444" s="2" t="s">
        <v>176</v>
      </c>
      <c r="H444" s="2">
        <v>0</v>
      </c>
      <c r="I444" s="2">
        <v>0</v>
      </c>
      <c r="J444" s="2">
        <v>0</v>
      </c>
      <c r="K444" s="2">
        <v>70364</v>
      </c>
      <c r="L444" s="123"/>
      <c r="M444" s="76"/>
      <c r="N444" s="76"/>
      <c r="O444" s="76"/>
      <c r="P444" s="76"/>
      <c r="Q444" s="76"/>
      <c r="W444" s="76"/>
      <c r="X444" s="76"/>
      <c r="Y444" s="76"/>
      <c r="Z444" s="76"/>
      <c r="AA444" s="76"/>
    </row>
    <row r="445" spans="5:27" ht="15" x14ac:dyDescent="0.2">
      <c r="E445" s="100" t="s">
        <v>177</v>
      </c>
      <c r="F445" s="100"/>
      <c r="G445" s="100"/>
      <c r="H445" s="100"/>
      <c r="I445" s="100"/>
      <c r="J445" s="100"/>
      <c r="K445" s="100"/>
      <c r="L445" s="101">
        <v>6842383</v>
      </c>
      <c r="M445" s="101">
        <v>4742081</v>
      </c>
      <c r="N445" s="101">
        <v>11782781</v>
      </c>
      <c r="O445" s="101">
        <v>6795581</v>
      </c>
      <c r="P445" s="101">
        <v>4482781</v>
      </c>
      <c r="Q445" s="101">
        <v>4482781</v>
      </c>
      <c r="R445" s="101">
        <v>4482781</v>
      </c>
      <c r="S445" s="101">
        <v>4482781</v>
      </c>
      <c r="T445" s="101">
        <v>4482783</v>
      </c>
      <c r="U445" s="102"/>
      <c r="W445" s="76"/>
      <c r="X445" s="76"/>
      <c r="Y445" s="76"/>
      <c r="Z445" s="76"/>
      <c r="AA445" s="76"/>
    </row>
    <row r="446" spans="5:27" ht="15.75" thickBot="1" x14ac:dyDescent="0.25">
      <c r="E446" s="96"/>
      <c r="F446" s="96"/>
      <c r="G446" s="96"/>
      <c r="H446" s="96"/>
      <c r="I446" s="96"/>
      <c r="J446" s="96"/>
      <c r="K446" s="96"/>
      <c r="L446" s="96"/>
      <c r="M446" s="96"/>
      <c r="N446" s="96"/>
      <c r="O446" s="96"/>
      <c r="P446" s="76"/>
      <c r="Q446" s="76"/>
      <c r="W446" s="76"/>
      <c r="X446" s="76"/>
      <c r="Y446" s="76"/>
      <c r="Z446" s="76"/>
      <c r="AA446" s="76"/>
    </row>
    <row r="447" spans="5:27" ht="15" x14ac:dyDescent="0.25">
      <c r="E447" s="96"/>
      <c r="F447" s="96"/>
      <c r="H447" s="103">
        <v>2013</v>
      </c>
      <c r="I447" s="103">
        <v>2014</v>
      </c>
      <c r="J447" s="103">
        <v>2015</v>
      </c>
      <c r="K447" s="277">
        <v>2016</v>
      </c>
      <c r="L447" s="277">
        <v>2017</v>
      </c>
      <c r="M447" s="96"/>
      <c r="N447" s="96"/>
      <c r="O447" s="104" t="s">
        <v>178</v>
      </c>
      <c r="P447" s="76" t="s">
        <v>179</v>
      </c>
      <c r="Q447" s="76" t="s">
        <v>180</v>
      </c>
      <c r="W447" s="76"/>
      <c r="X447" s="76"/>
      <c r="Y447" s="76"/>
      <c r="Z447" s="76"/>
      <c r="AA447" s="76"/>
    </row>
    <row r="448" spans="5:27" ht="15" x14ac:dyDescent="0.2">
      <c r="E448" s="96"/>
      <c r="F448" s="96"/>
      <c r="H448" s="76"/>
      <c r="I448" s="76"/>
      <c r="J448" s="76"/>
      <c r="K448" s="76"/>
      <c r="L448" s="96"/>
      <c r="M448" s="96"/>
      <c r="N448" s="96"/>
      <c r="O448" s="105"/>
      <c r="P448" s="76"/>
      <c r="Q448" s="76"/>
      <c r="W448" s="76"/>
      <c r="X448" s="76"/>
      <c r="Y448" s="76"/>
      <c r="Z448" s="76"/>
      <c r="AA448" s="76"/>
    </row>
    <row r="449" spans="5:27" ht="15" x14ac:dyDescent="0.2">
      <c r="E449" s="96"/>
      <c r="F449" s="96"/>
      <c r="G449" s="2" t="s">
        <v>115</v>
      </c>
      <c r="H449" s="217">
        <v>0</v>
      </c>
      <c r="I449" s="217">
        <v>0</v>
      </c>
      <c r="J449" s="217">
        <v>0</v>
      </c>
      <c r="K449" s="108">
        <v>2866444</v>
      </c>
      <c r="L449" s="108">
        <f>+O449</f>
        <v>5294272</v>
      </c>
      <c r="M449" s="96"/>
      <c r="N449" s="96"/>
      <c r="O449" s="278">
        <v>5294272</v>
      </c>
      <c r="P449" s="108">
        <v>0</v>
      </c>
      <c r="Q449" s="76"/>
      <c r="W449" s="76"/>
      <c r="X449" s="76"/>
      <c r="Y449" s="76"/>
      <c r="Z449" s="76"/>
      <c r="AA449" s="76"/>
    </row>
    <row r="450" spans="5:27" ht="15" x14ac:dyDescent="0.2">
      <c r="E450" s="96"/>
      <c r="F450" s="96"/>
      <c r="G450" s="2" t="s">
        <v>116</v>
      </c>
      <c r="H450" s="217">
        <v>0</v>
      </c>
      <c r="I450" s="217">
        <v>0</v>
      </c>
      <c r="J450" s="217">
        <v>0</v>
      </c>
      <c r="K450" s="108">
        <v>1326291</v>
      </c>
      <c r="L450" s="108">
        <f>+O450</f>
        <v>1787134</v>
      </c>
      <c r="M450" s="96"/>
      <c r="N450" s="96"/>
      <c r="O450" s="278">
        <v>1787134</v>
      </c>
      <c r="P450" s="108">
        <v>0</v>
      </c>
      <c r="Q450" s="76"/>
      <c r="W450" s="76"/>
      <c r="X450" s="76"/>
      <c r="Y450" s="76"/>
      <c r="Z450" s="76"/>
      <c r="AA450" s="76"/>
    </row>
    <row r="451" spans="5:27" ht="15.75" thickBot="1" x14ac:dyDescent="0.4">
      <c r="E451" s="96"/>
      <c r="F451" s="96"/>
      <c r="G451" s="218" t="s">
        <v>117</v>
      </c>
      <c r="H451" s="219">
        <v>0</v>
      </c>
      <c r="I451" s="219">
        <v>0</v>
      </c>
      <c r="J451" s="219">
        <v>0</v>
      </c>
      <c r="K451" s="219">
        <f>+K449-K450</f>
        <v>1540153</v>
      </c>
      <c r="L451" s="219">
        <f>+L449-L450</f>
        <v>3507138</v>
      </c>
      <c r="M451" s="96"/>
      <c r="N451" s="96"/>
      <c r="O451" s="279">
        <f>+O449-O450</f>
        <v>3507138</v>
      </c>
      <c r="P451" s="219">
        <f>+P449-P450</f>
        <v>0</v>
      </c>
      <c r="Q451" s="280">
        <f>+O451-P451</f>
        <v>3507138</v>
      </c>
      <c r="W451" s="76"/>
      <c r="X451" s="76"/>
      <c r="Y451" s="76"/>
      <c r="Z451" s="76"/>
      <c r="AA451" s="76"/>
    </row>
    <row r="452" spans="5:27" ht="15.75" thickTop="1" x14ac:dyDescent="0.2">
      <c r="E452" s="96"/>
      <c r="F452" s="96"/>
      <c r="H452" s="76"/>
      <c r="I452" s="76"/>
      <c r="J452" s="76"/>
      <c r="K452" s="76"/>
      <c r="L452" s="76"/>
      <c r="M452" s="96"/>
      <c r="N452" s="96"/>
      <c r="O452" s="281"/>
      <c r="P452" s="76"/>
      <c r="Q452" s="76"/>
      <c r="W452" s="76"/>
      <c r="X452" s="76"/>
      <c r="Y452" s="76"/>
      <c r="Z452" s="76"/>
      <c r="AA452" s="76"/>
    </row>
    <row r="453" spans="5:27" ht="15" x14ac:dyDescent="0.25">
      <c r="E453" s="96"/>
      <c r="F453" s="96"/>
      <c r="G453" s="69" t="s">
        <v>118</v>
      </c>
      <c r="H453" s="217">
        <v>0</v>
      </c>
      <c r="I453" s="217">
        <v>0</v>
      </c>
      <c r="J453" s="217">
        <v>0</v>
      </c>
      <c r="K453" s="217">
        <v>0</v>
      </c>
      <c r="L453" s="217">
        <f>+K453</f>
        <v>0</v>
      </c>
      <c r="M453" s="96"/>
      <c r="N453" s="96"/>
      <c r="O453" s="278">
        <v>90876</v>
      </c>
      <c r="P453" s="76"/>
      <c r="Q453" s="76"/>
      <c r="W453" s="76"/>
      <c r="X453" s="76"/>
      <c r="Y453" s="76"/>
      <c r="Z453" s="76"/>
      <c r="AA453" s="76"/>
    </row>
    <row r="454" spans="5:27" ht="15.75" thickBot="1" x14ac:dyDescent="0.3">
      <c r="E454" s="96"/>
      <c r="F454" s="96"/>
      <c r="G454" s="69" t="s">
        <v>119</v>
      </c>
      <c r="H454" s="217">
        <v>0</v>
      </c>
      <c r="I454" s="217">
        <v>0</v>
      </c>
      <c r="J454" s="217">
        <v>0</v>
      </c>
      <c r="K454" s="217">
        <v>2952333</v>
      </c>
      <c r="L454" s="217">
        <v>0</v>
      </c>
      <c r="M454" s="96"/>
      <c r="N454" s="96"/>
      <c r="O454" s="106"/>
      <c r="P454" s="76"/>
      <c r="Q454" s="76"/>
      <c r="W454" s="76"/>
      <c r="X454" s="76"/>
      <c r="Y454" s="76"/>
      <c r="Z454" s="76"/>
      <c r="AA454" s="76"/>
    </row>
    <row r="455" spans="5:27" ht="15.75" thickBot="1" x14ac:dyDescent="0.25">
      <c r="E455" s="96"/>
      <c r="F455" s="96"/>
      <c r="G455" s="218" t="s">
        <v>120</v>
      </c>
      <c r="H455" s="219">
        <v>0</v>
      </c>
      <c r="I455" s="219">
        <v>0</v>
      </c>
      <c r="J455" s="219">
        <v>0</v>
      </c>
      <c r="K455" s="219">
        <f>SUM(K453:K454)</f>
        <v>2952333</v>
      </c>
      <c r="L455" s="219">
        <f>SUM(L453:L454)</f>
        <v>0</v>
      </c>
      <c r="M455" s="96"/>
      <c r="N455" s="96"/>
      <c r="O455" s="96"/>
      <c r="P455" s="76"/>
      <c r="Q455" s="76"/>
      <c r="W455" s="76"/>
      <c r="X455" s="76"/>
      <c r="Y455" s="76"/>
      <c r="Z455" s="76"/>
      <c r="AA455" s="76"/>
    </row>
    <row r="456" spans="5:27" ht="15.75" thickTop="1" x14ac:dyDescent="0.2">
      <c r="E456" s="96"/>
      <c r="F456" s="96"/>
      <c r="G456" s="96"/>
      <c r="H456" s="96"/>
      <c r="I456" s="96"/>
      <c r="J456" s="96"/>
      <c r="K456" s="96"/>
      <c r="L456" s="96"/>
      <c r="M456" s="96"/>
      <c r="N456" s="96"/>
      <c r="O456" s="96"/>
      <c r="P456" s="76"/>
      <c r="Q456" s="76"/>
      <c r="W456" s="76"/>
      <c r="X456" s="76"/>
      <c r="Y456" s="76"/>
      <c r="Z456" s="76"/>
      <c r="AA456" s="76"/>
    </row>
    <row r="457" spans="5:27" ht="15" x14ac:dyDescent="0.2">
      <c r="E457" s="87" t="s">
        <v>181</v>
      </c>
      <c r="F457" s="96"/>
      <c r="G457" s="96"/>
      <c r="H457" s="107">
        <v>0</v>
      </c>
      <c r="I457" s="107">
        <v>0</v>
      </c>
      <c r="J457" s="107">
        <v>0</v>
      </c>
      <c r="K457" s="107">
        <f>+K459/K449</f>
        <v>2.1088149637669532E-2</v>
      </c>
      <c r="L457" s="107">
        <f>+O453/O449</f>
        <v>1.7164966212540649E-2</v>
      </c>
      <c r="M457" s="96"/>
      <c r="N457" s="96"/>
      <c r="O457" s="96"/>
      <c r="P457" s="76"/>
      <c r="Q457" s="76"/>
      <c r="W457" s="76"/>
      <c r="X457" s="76"/>
      <c r="Y457" s="76"/>
      <c r="Z457" s="76"/>
      <c r="AA457" s="76"/>
    </row>
    <row r="458" spans="5:27" ht="15" x14ac:dyDescent="0.2">
      <c r="E458" s="96"/>
      <c r="F458" s="96"/>
      <c r="G458" s="96"/>
      <c r="H458" s="96"/>
      <c r="I458" s="96"/>
      <c r="J458" s="96"/>
      <c r="K458" s="96"/>
      <c r="L458" s="96"/>
      <c r="M458" s="96"/>
      <c r="N458" s="96"/>
      <c r="O458" s="96"/>
      <c r="P458" s="76"/>
      <c r="Q458" s="76"/>
      <c r="W458" s="76"/>
      <c r="X458" s="76"/>
      <c r="Y458" s="76"/>
      <c r="Z458" s="76"/>
      <c r="AA458" s="76"/>
    </row>
    <row r="459" spans="5:27" ht="15" x14ac:dyDescent="0.2">
      <c r="E459" s="96" t="s">
        <v>134</v>
      </c>
      <c r="F459" s="96"/>
      <c r="G459" s="96"/>
      <c r="H459" s="102">
        <v>0</v>
      </c>
      <c r="I459" s="102">
        <v>0</v>
      </c>
      <c r="J459" s="102">
        <v>0</v>
      </c>
      <c r="K459" s="102">
        <v>60448</v>
      </c>
      <c r="L459" s="282">
        <f>+O453</f>
        <v>90876</v>
      </c>
      <c r="M459" s="96"/>
      <c r="N459" s="96"/>
      <c r="O459" s="96"/>
      <c r="P459" s="76"/>
      <c r="Q459" s="76"/>
      <c r="W459" s="76"/>
      <c r="X459" s="76"/>
      <c r="Y459" s="76"/>
      <c r="Z459" s="76"/>
      <c r="AA459" s="76"/>
    </row>
    <row r="460" spans="5:27" ht="15" x14ac:dyDescent="0.2">
      <c r="E460" s="96"/>
      <c r="F460" s="96"/>
      <c r="G460" s="96"/>
      <c r="H460" s="96"/>
      <c r="I460" s="96"/>
      <c r="J460" s="96"/>
      <c r="K460" s="96"/>
      <c r="L460" s="96"/>
      <c r="M460" s="96"/>
      <c r="N460" s="96"/>
      <c r="O460" s="96"/>
      <c r="P460" s="76"/>
      <c r="Q460" s="76"/>
      <c r="W460" s="76"/>
      <c r="X460" s="76"/>
      <c r="Y460" s="76"/>
      <c r="Z460" s="76"/>
      <c r="AA460" s="76"/>
    </row>
    <row r="461" spans="5:27" ht="15" x14ac:dyDescent="0.2">
      <c r="E461" s="96"/>
      <c r="F461" s="96"/>
      <c r="G461" s="96"/>
      <c r="H461" s="96"/>
      <c r="I461" s="96"/>
      <c r="J461" s="96"/>
      <c r="K461" s="96"/>
      <c r="L461" s="96"/>
      <c r="M461" s="108"/>
      <c r="N461" s="96"/>
      <c r="O461" s="96"/>
      <c r="P461" s="76"/>
      <c r="Q461" s="76"/>
      <c r="W461" s="76"/>
      <c r="X461" s="76"/>
      <c r="Y461" s="76"/>
      <c r="Z461" s="76"/>
      <c r="AA461" s="76"/>
    </row>
  </sheetData>
  <mergeCells count="19">
    <mergeCell ref="H259:M259"/>
    <mergeCell ref="H251:M251"/>
    <mergeCell ref="H252:Q252"/>
    <mergeCell ref="H254:L254"/>
    <mergeCell ref="H256:M256"/>
    <mergeCell ref="H257:M257"/>
    <mergeCell ref="H258:M258"/>
    <mergeCell ref="H250:M250"/>
    <mergeCell ref="H204:M204"/>
    <mergeCell ref="H209:M209"/>
    <mergeCell ref="H213:M213"/>
    <mergeCell ref="H216:M216"/>
    <mergeCell ref="H218:M218"/>
    <mergeCell ref="H220:M220"/>
    <mergeCell ref="H222:M222"/>
    <mergeCell ref="H224:M224"/>
    <mergeCell ref="H225:M225"/>
    <mergeCell ref="H240:L240"/>
    <mergeCell ref="H246:M246"/>
  </mergeCells>
  <printOptions horizontalCentered="1"/>
  <pageMargins left="0.45" right="0.45" top="0.75" bottom="0.75" header="0.3" footer="0.3"/>
  <pageSetup scale="68" pageOrder="overThenDown" orientation="landscape" horizontalDpi="1200" verticalDpi="1200" r:id="rId1"/>
  <colBreaks count="1" manualBreakCount="1">
    <brk id="17" min="285" max="458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461"/>
  <sheetViews>
    <sheetView view="pageBreakPreview" topLeftCell="A287" zoomScale="60" zoomScaleNormal="100" workbookViewId="0">
      <selection activeCell="C307" sqref="C307"/>
    </sheetView>
  </sheetViews>
  <sheetFormatPr defaultColWidth="8.85546875" defaultRowHeight="12.75" x14ac:dyDescent="0.2"/>
  <cols>
    <col min="1" max="1" width="21.42578125" style="2" customWidth="1"/>
    <col min="2" max="2" width="8.85546875" style="25"/>
    <col min="3" max="3" width="22.7109375" style="2" customWidth="1"/>
    <col min="4" max="5" width="8.85546875" style="2"/>
    <col min="6" max="6" width="4.140625" style="2" customWidth="1"/>
    <col min="7" max="7" width="34.28515625" style="2" customWidth="1"/>
    <col min="8" max="14" width="13.7109375" style="2" customWidth="1"/>
    <col min="15" max="15" width="13.140625" style="2" customWidth="1"/>
    <col min="16" max="16" width="12.7109375" style="2" customWidth="1"/>
    <col min="17" max="17" width="14.140625" style="2" customWidth="1"/>
    <col min="18" max="18" width="16.28515625" style="2" customWidth="1"/>
    <col min="19" max="26" width="12.7109375" style="2" customWidth="1"/>
    <col min="27" max="27" width="10.140625" style="2" customWidth="1"/>
    <col min="28" max="28" width="11.7109375" style="2" customWidth="1"/>
    <col min="29" max="29" width="10.7109375" style="2" customWidth="1"/>
    <col min="30" max="30" width="12.28515625" style="2" customWidth="1"/>
    <col min="31" max="31" width="9.140625" style="2" customWidth="1"/>
    <col min="32" max="32" width="8.85546875" style="2"/>
    <col min="33" max="33" width="10.7109375" style="2" customWidth="1"/>
    <col min="34" max="34" width="8.85546875" style="2"/>
    <col min="35" max="35" width="12.7109375" style="2" customWidth="1"/>
    <col min="36" max="36" width="10.140625" style="2" bestFit="1" customWidth="1"/>
    <col min="37" max="37" width="10.140625" style="2" customWidth="1"/>
    <col min="38" max="38" width="10.28515625" style="2" customWidth="1"/>
    <col min="39" max="40" width="12.7109375" style="2" customWidth="1"/>
    <col min="41" max="41" width="9" style="2" customWidth="1"/>
    <col min="42" max="16384" width="8.85546875" style="2"/>
  </cols>
  <sheetData>
    <row r="1" spans="2:26" ht="15.75" x14ac:dyDescent="0.25">
      <c r="B1" s="2"/>
      <c r="G1" s="2" t="s">
        <v>0</v>
      </c>
      <c r="H1" s="118">
        <v>3.8399999999999997E-2</v>
      </c>
      <c r="I1" s="119">
        <v>43220</v>
      </c>
    </row>
    <row r="2" spans="2:26" ht="15.75" x14ac:dyDescent="0.25">
      <c r="B2" s="2"/>
      <c r="G2" s="120" t="s">
        <v>1</v>
      </c>
      <c r="H2" s="118">
        <v>7.1199999999999999E-2</v>
      </c>
      <c r="I2" s="119">
        <v>43220</v>
      </c>
    </row>
    <row r="3" spans="2:26" ht="15.75" x14ac:dyDescent="0.25">
      <c r="B3" s="2"/>
      <c r="G3" s="120" t="s">
        <v>3</v>
      </c>
      <c r="H3" s="118">
        <v>8.48E-2</v>
      </c>
      <c r="I3" s="119">
        <v>43220</v>
      </c>
    </row>
    <row r="4" spans="2:26" ht="15.75" x14ac:dyDescent="0.25">
      <c r="B4" s="2"/>
      <c r="G4" s="121" t="s">
        <v>4</v>
      </c>
      <c r="H4" s="2">
        <v>20.78</v>
      </c>
      <c r="I4" s="122" t="s">
        <v>5</v>
      </c>
      <c r="L4" s="123" t="str">
        <f>+C5&amp;" GROWTH:"</f>
        <v xml:space="preserve"> GROWTH:</v>
      </c>
      <c r="M4" s="124">
        <v>1E-3</v>
      </c>
      <c r="N4" s="125"/>
    </row>
    <row r="5" spans="2:26" ht="15.75" x14ac:dyDescent="0.25">
      <c r="B5" s="2"/>
      <c r="G5" s="121" t="s">
        <v>7</v>
      </c>
      <c r="H5" s="2">
        <v>14.48</v>
      </c>
      <c r="I5" s="122" t="s">
        <v>5</v>
      </c>
      <c r="L5" s="123" t="str">
        <f>+C6&amp;" GROWTH:"</f>
        <v xml:space="preserve"> GROWTH:</v>
      </c>
      <c r="M5" s="124">
        <v>5.0000000000000001E-3</v>
      </c>
      <c r="N5" s="126"/>
    </row>
    <row r="6" spans="2:26" x14ac:dyDescent="0.2">
      <c r="B6" s="2"/>
      <c r="G6" s="2" t="s">
        <v>9</v>
      </c>
      <c r="H6" s="2">
        <v>0.7</v>
      </c>
      <c r="I6" s="122" t="s">
        <v>5</v>
      </c>
      <c r="L6" s="123" t="str">
        <f>+C7&amp;" GROWTH:"</f>
        <v xml:space="preserve"> GROWTH:</v>
      </c>
      <c r="M6" s="124">
        <v>0</v>
      </c>
      <c r="N6" s="126"/>
    </row>
    <row r="7" spans="2:26" ht="15.75" x14ac:dyDescent="0.25">
      <c r="B7" s="2"/>
      <c r="G7" s="121" t="s">
        <v>10</v>
      </c>
      <c r="H7" s="127">
        <v>14.6</v>
      </c>
      <c r="N7" s="1"/>
    </row>
    <row r="8" spans="2:26" ht="15.75" x14ac:dyDescent="0.25">
      <c r="B8" s="2"/>
      <c r="G8" s="121" t="s">
        <v>11</v>
      </c>
      <c r="H8" s="127">
        <v>10.1</v>
      </c>
      <c r="N8" s="128"/>
    </row>
    <row r="9" spans="2:26" ht="13.5" x14ac:dyDescent="0.25">
      <c r="C9" s="129" t="s">
        <v>12</v>
      </c>
      <c r="G9" s="2" t="s">
        <v>13</v>
      </c>
      <c r="H9" s="130">
        <f>IF(C10="IOU",M4,IF(C10="MUNI",M5,M6))</f>
        <v>1E-3</v>
      </c>
    </row>
    <row r="10" spans="2:26" x14ac:dyDescent="0.2">
      <c r="C10" s="131" t="s">
        <v>6</v>
      </c>
      <c r="D10" s="66" t="s">
        <v>14</v>
      </c>
      <c r="G10" s="3"/>
      <c r="H10" s="3"/>
      <c r="I10" s="3"/>
      <c r="J10" s="3"/>
      <c r="K10" s="3"/>
      <c r="L10" s="3"/>
      <c r="M10" s="76" t="s">
        <v>15</v>
      </c>
      <c r="N10" s="3"/>
      <c r="O10" s="3"/>
      <c r="P10" s="3"/>
      <c r="Q10" s="3"/>
      <c r="R10" s="3"/>
      <c r="U10" s="76" t="str">
        <f>+M10</f>
        <v>Income Approach</v>
      </c>
    </row>
    <row r="11" spans="2:26" ht="15" x14ac:dyDescent="0.25">
      <c r="D11" s="132">
        <v>1</v>
      </c>
      <c r="G11" s="3"/>
      <c r="H11" s="3"/>
      <c r="I11" s="3"/>
      <c r="J11" s="3"/>
      <c r="K11" s="3"/>
      <c r="L11" s="3"/>
      <c r="M11" s="25" t="s">
        <v>183</v>
      </c>
      <c r="N11" s="3"/>
      <c r="O11" s="3"/>
      <c r="P11" s="3"/>
      <c r="Q11" s="3"/>
      <c r="R11" s="3"/>
      <c r="U11" s="25" t="str">
        <f t="shared" ref="U11:U14" si="0">+M11</f>
        <v>Township of Mahoning Water System Assets</v>
      </c>
    </row>
    <row r="12" spans="2:26" ht="15" x14ac:dyDescent="0.25">
      <c r="D12" s="132">
        <v>1</v>
      </c>
      <c r="G12" s="3"/>
      <c r="H12" s="3"/>
      <c r="I12" s="3"/>
      <c r="J12" s="3"/>
      <c r="K12" s="3"/>
      <c r="L12" s="3"/>
      <c r="M12" s="25" t="str">
        <f>IF($C$10="SUBJECT","Pro Forma Operations",IF($C$10="MUNI","Pro Forma and Estimted Operations With MUNI Ownership","Pro Forma and Estimted Operations With IOU Ownership"))</f>
        <v>Pro Forma and Estimted Operations With IOU Ownership</v>
      </c>
      <c r="N12" s="3"/>
      <c r="O12" s="3"/>
      <c r="P12" s="3"/>
      <c r="Q12" s="3"/>
      <c r="R12" s="3"/>
      <c r="U12" s="25" t="str">
        <f t="shared" si="0"/>
        <v>Pro Forma and Estimted Operations With IOU Ownership</v>
      </c>
    </row>
    <row r="13" spans="2:26" ht="15" x14ac:dyDescent="0.25">
      <c r="D13" s="132">
        <f>IF($C$10="SUBJECT",0,1)</f>
        <v>1</v>
      </c>
      <c r="G13" s="3"/>
      <c r="H13" s="3"/>
      <c r="I13" s="3"/>
      <c r="J13" s="3"/>
      <c r="K13" s="3"/>
      <c r="L13" s="3"/>
      <c r="M13" s="25" t="s">
        <v>16</v>
      </c>
      <c r="N13" s="3"/>
      <c r="O13" s="3"/>
      <c r="P13" s="3"/>
      <c r="Q13" s="3"/>
      <c r="R13" s="3"/>
      <c r="U13" s="25" t="str">
        <f t="shared" si="0"/>
        <v>DCF With Capitalization of Terminal Value Model and</v>
      </c>
    </row>
    <row r="14" spans="2:26" ht="15" x14ac:dyDescent="0.25">
      <c r="D14" s="132">
        <v>1</v>
      </c>
      <c r="G14" s="3"/>
      <c r="H14" s="3"/>
      <c r="I14" s="3"/>
      <c r="J14" s="3"/>
      <c r="K14" s="3"/>
      <c r="L14" s="3"/>
      <c r="M14" s="44" t="str">
        <f>IF($C$10="SUBJECT","Earnings Capitalization Model","DCF With EBIT &amp; EBITDA Terminal Value Model")</f>
        <v>DCF With EBIT &amp; EBITDA Terminal Value Model</v>
      </c>
      <c r="N14" s="3"/>
      <c r="O14" s="3"/>
      <c r="P14" s="3"/>
      <c r="Q14" s="3"/>
      <c r="R14" s="3"/>
      <c r="U14" s="44" t="str">
        <f t="shared" si="0"/>
        <v>DCF With EBIT &amp; EBITDA Terminal Value Model</v>
      </c>
    </row>
    <row r="15" spans="2:26" ht="15" x14ac:dyDescent="0.25">
      <c r="D15" s="132">
        <v>1</v>
      </c>
      <c r="F15" s="133"/>
      <c r="G15" s="3"/>
      <c r="H15" s="3"/>
      <c r="I15" s="3"/>
      <c r="J15" s="3"/>
      <c r="K15" s="3"/>
      <c r="L15" s="3"/>
      <c r="M15" s="134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</row>
    <row r="16" spans="2:26" ht="15.75" thickBot="1" x14ac:dyDescent="0.3">
      <c r="D16" s="132">
        <v>1</v>
      </c>
      <c r="E16" s="135" t="s">
        <v>17</v>
      </c>
      <c r="N16" s="4"/>
      <c r="O16" s="136"/>
      <c r="P16" s="136"/>
      <c r="Q16" s="136"/>
      <c r="R16" s="136"/>
    </row>
    <row r="17" spans="1:35" ht="15.75" thickBot="1" x14ac:dyDescent="0.3">
      <c r="B17" s="66" t="s">
        <v>18</v>
      </c>
      <c r="D17" s="132">
        <v>1</v>
      </c>
      <c r="M17" s="137" t="s">
        <v>19</v>
      </c>
      <c r="N17" s="137" t="s">
        <v>19</v>
      </c>
      <c r="O17" s="137" t="s">
        <v>19</v>
      </c>
      <c r="P17" s="137" t="s">
        <v>19</v>
      </c>
      <c r="Q17" s="137" t="s">
        <v>19</v>
      </c>
      <c r="R17" s="137" t="s">
        <v>19</v>
      </c>
      <c r="S17" s="137" t="s">
        <v>19</v>
      </c>
      <c r="T17" s="137" t="s">
        <v>19</v>
      </c>
      <c r="U17" s="137" t="s">
        <v>19</v>
      </c>
      <c r="V17" s="137" t="s">
        <v>19</v>
      </c>
      <c r="W17" s="137" t="s">
        <v>19</v>
      </c>
      <c r="X17" s="137" t="s">
        <v>19</v>
      </c>
      <c r="Y17" s="137" t="s">
        <v>19</v>
      </c>
      <c r="Z17" s="137" t="s">
        <v>19</v>
      </c>
      <c r="AA17" s="69"/>
      <c r="AB17" s="69"/>
    </row>
    <row r="18" spans="1:35" ht="15.75" thickBot="1" x14ac:dyDescent="0.3">
      <c r="C18" s="138">
        <f>IF(D18=0,F17,IF(ISBLANK(G18),F17,1+F17))</f>
        <v>0</v>
      </c>
      <c r="D18" s="132">
        <v>1</v>
      </c>
      <c r="E18" s="138"/>
      <c r="F18" s="139" t="str">
        <f>IF(ISBLANK(G18),"",C18)</f>
        <v/>
      </c>
      <c r="H18" s="140"/>
      <c r="I18" s="140" t="s">
        <v>20</v>
      </c>
      <c r="J18" s="141"/>
      <c r="K18" s="140" t="s">
        <v>20</v>
      </c>
      <c r="L18" s="142"/>
      <c r="M18" s="143" t="str">
        <f t="shared" ref="M18:Z18" si="1">"Year "&amp;M53+0.5</f>
        <v>Year 0</v>
      </c>
      <c r="N18" s="143" t="str">
        <f t="shared" si="1"/>
        <v>Year 1</v>
      </c>
      <c r="O18" s="143" t="str">
        <f t="shared" si="1"/>
        <v>Year 2</v>
      </c>
      <c r="P18" s="143" t="str">
        <f t="shared" si="1"/>
        <v>Year 3</v>
      </c>
      <c r="Q18" s="143" t="str">
        <f t="shared" si="1"/>
        <v>Year 4</v>
      </c>
      <c r="R18" s="143" t="str">
        <f t="shared" si="1"/>
        <v>Year 5</v>
      </c>
      <c r="S18" s="143" t="str">
        <f t="shared" si="1"/>
        <v>Year 6</v>
      </c>
      <c r="T18" s="143" t="str">
        <f t="shared" si="1"/>
        <v>Year 7</v>
      </c>
      <c r="U18" s="143" t="str">
        <f t="shared" si="1"/>
        <v>Year 8</v>
      </c>
      <c r="V18" s="143" t="str">
        <f t="shared" si="1"/>
        <v>Year 9</v>
      </c>
      <c r="W18" s="143" t="str">
        <f t="shared" si="1"/>
        <v>Year 10</v>
      </c>
      <c r="X18" s="143" t="str">
        <f t="shared" si="1"/>
        <v>Year 11</v>
      </c>
      <c r="Y18" s="143" t="str">
        <f t="shared" si="1"/>
        <v>Year 12</v>
      </c>
      <c r="Z18" s="143" t="str">
        <f t="shared" si="1"/>
        <v>Year 13</v>
      </c>
      <c r="AA18" s="69" t="s">
        <v>21</v>
      </c>
      <c r="AB18" s="69"/>
    </row>
    <row r="19" spans="1:35" ht="15" x14ac:dyDescent="0.25">
      <c r="C19" s="138">
        <f>IF(D19=0,C18,IF(ISBLANK(G19),C18,1+MAX(C$5:C18)))</f>
        <v>0</v>
      </c>
      <c r="D19" s="132">
        <v>1</v>
      </c>
      <c r="E19" s="138"/>
      <c r="F19" s="139" t="str">
        <f t="shared" ref="F19:F76" si="2">IF(ISBLANK(G19),"",C19)</f>
        <v/>
      </c>
      <c r="H19" s="76">
        <v>2013</v>
      </c>
      <c r="I19" s="76">
        <f t="shared" ref="I19:AA19" si="3">+H19+1</f>
        <v>2014</v>
      </c>
      <c r="J19" s="76">
        <f t="shared" si="3"/>
        <v>2015</v>
      </c>
      <c r="K19" s="76">
        <f t="shared" si="3"/>
        <v>2016</v>
      </c>
      <c r="L19" s="76">
        <f t="shared" si="3"/>
        <v>2017</v>
      </c>
      <c r="M19" s="76">
        <f t="shared" si="3"/>
        <v>2018</v>
      </c>
      <c r="N19" s="76">
        <f t="shared" si="3"/>
        <v>2019</v>
      </c>
      <c r="O19" s="76">
        <f t="shared" si="3"/>
        <v>2020</v>
      </c>
      <c r="P19" s="76">
        <f t="shared" si="3"/>
        <v>2021</v>
      </c>
      <c r="Q19" s="76">
        <f t="shared" si="3"/>
        <v>2022</v>
      </c>
      <c r="R19" s="76">
        <f t="shared" si="3"/>
        <v>2023</v>
      </c>
      <c r="S19" s="76">
        <f t="shared" si="3"/>
        <v>2024</v>
      </c>
      <c r="T19" s="76">
        <f t="shared" si="3"/>
        <v>2025</v>
      </c>
      <c r="U19" s="76">
        <f t="shared" si="3"/>
        <v>2026</v>
      </c>
      <c r="V19" s="76">
        <f t="shared" si="3"/>
        <v>2027</v>
      </c>
      <c r="W19" s="76">
        <f t="shared" si="3"/>
        <v>2028</v>
      </c>
      <c r="X19" s="76">
        <f t="shared" si="3"/>
        <v>2029</v>
      </c>
      <c r="Y19" s="76">
        <f t="shared" si="3"/>
        <v>2030</v>
      </c>
      <c r="Z19" s="76">
        <f t="shared" si="3"/>
        <v>2031</v>
      </c>
      <c r="AA19" s="76">
        <f t="shared" si="3"/>
        <v>2032</v>
      </c>
      <c r="AB19" s="69"/>
    </row>
    <row r="20" spans="1:35" ht="15" x14ac:dyDescent="0.25">
      <c r="A20" s="144" t="s">
        <v>22</v>
      </c>
      <c r="B20" s="66">
        <v>1</v>
      </c>
      <c r="C20" s="138">
        <f>IF(D20=0,C19,IF(ISBLANK(G20),C19,1+MAX(C$18:C19)))</f>
        <v>1</v>
      </c>
      <c r="D20" s="132">
        <v>1</v>
      </c>
      <c r="E20" s="138"/>
      <c r="F20" s="139">
        <v>1</v>
      </c>
      <c r="G20" s="144" t="str">
        <f>+A20&amp;" ("&amp;B20&amp;")"</f>
        <v>OPERATING REVENUES (1)</v>
      </c>
      <c r="AB20" s="69"/>
    </row>
    <row r="21" spans="1:35" ht="15" x14ac:dyDescent="0.25">
      <c r="C21" s="138">
        <f>IF(D21=0,C20,IF(ISBLANK(G21),C20,1+MAX(C$18:C20)))</f>
        <v>2</v>
      </c>
      <c r="D21" s="132">
        <v>1</v>
      </c>
      <c r="F21" s="139">
        <f t="shared" si="2"/>
        <v>2</v>
      </c>
      <c r="G21" s="145" t="s">
        <v>23</v>
      </c>
      <c r="H21" s="6">
        <v>0</v>
      </c>
      <c r="I21" s="6">
        <v>0</v>
      </c>
      <c r="J21" s="6">
        <v>0</v>
      </c>
      <c r="K21" s="6">
        <v>713319</v>
      </c>
      <c r="L21" s="6">
        <f>$K21*(1+(((1*0.1)+(0*0.15))*(3/12)))</f>
        <v>731151.97499999998</v>
      </c>
      <c r="M21" s="5">
        <f>$K21*(1+(((1*0.1)+(0*0.15))*(12/12)))</f>
        <v>784650.9</v>
      </c>
      <c r="N21" s="5">
        <f t="shared" ref="N21:O21" si="4">+N365</f>
        <v>809388</v>
      </c>
      <c r="O21" s="5">
        <f t="shared" si="4"/>
        <v>834177</v>
      </c>
      <c r="P21" s="5">
        <f>+P365</f>
        <v>838344</v>
      </c>
      <c r="Q21" s="5">
        <f t="shared" ref="Q21:Z21" si="5">+Q365</f>
        <v>1023652</v>
      </c>
      <c r="R21" s="5">
        <f t="shared" si="5"/>
        <v>1028749</v>
      </c>
      <c r="S21" s="5">
        <f t="shared" si="5"/>
        <v>1033892</v>
      </c>
      <c r="T21" s="5">
        <f t="shared" si="5"/>
        <v>1063999</v>
      </c>
      <c r="U21" s="5">
        <f t="shared" si="5"/>
        <v>1069319</v>
      </c>
      <c r="V21" s="5">
        <f t="shared" si="5"/>
        <v>1074666</v>
      </c>
      <c r="W21" s="5">
        <f t="shared" si="5"/>
        <v>1105960</v>
      </c>
      <c r="X21" s="5">
        <f t="shared" si="5"/>
        <v>1111490</v>
      </c>
      <c r="Y21" s="5">
        <f t="shared" si="5"/>
        <v>1117047</v>
      </c>
      <c r="Z21" s="5">
        <f t="shared" si="5"/>
        <v>1149576</v>
      </c>
      <c r="AA21" s="5">
        <v>0</v>
      </c>
      <c r="AB21" s="69"/>
    </row>
    <row r="22" spans="1:35" ht="15" x14ac:dyDescent="0.25">
      <c r="C22" s="138">
        <f>IF(D22=0,C21,IF(ISBLANK(G22),C21,1+MAX(C$18:C21)))</f>
        <v>3</v>
      </c>
      <c r="D22" s="132">
        <v>1</v>
      </c>
      <c r="F22" s="139">
        <f t="shared" si="2"/>
        <v>3</v>
      </c>
      <c r="G22" s="145" t="s">
        <v>24</v>
      </c>
      <c r="H22" s="6">
        <v>0</v>
      </c>
      <c r="I22" s="6">
        <v>0</v>
      </c>
      <c r="J22" s="6">
        <v>0</v>
      </c>
      <c r="K22" s="6">
        <v>22705</v>
      </c>
      <c r="L22" s="6">
        <f>+K22</f>
        <v>22705</v>
      </c>
      <c r="M22" s="6">
        <f>+L22</f>
        <v>22705</v>
      </c>
      <c r="N22" s="6">
        <f t="shared" ref="N22:Z22" si="6">+M22</f>
        <v>22705</v>
      </c>
      <c r="O22" s="6">
        <f t="shared" si="6"/>
        <v>22705</v>
      </c>
      <c r="P22" s="6">
        <f t="shared" si="6"/>
        <v>22705</v>
      </c>
      <c r="Q22" s="6">
        <f t="shared" si="6"/>
        <v>22705</v>
      </c>
      <c r="R22" s="6">
        <f t="shared" si="6"/>
        <v>22705</v>
      </c>
      <c r="S22" s="6">
        <f t="shared" si="6"/>
        <v>22705</v>
      </c>
      <c r="T22" s="6">
        <f t="shared" si="6"/>
        <v>22705</v>
      </c>
      <c r="U22" s="6">
        <f t="shared" si="6"/>
        <v>22705</v>
      </c>
      <c r="V22" s="6">
        <f t="shared" si="6"/>
        <v>22705</v>
      </c>
      <c r="W22" s="6">
        <f t="shared" si="6"/>
        <v>22705</v>
      </c>
      <c r="X22" s="6">
        <f t="shared" si="6"/>
        <v>22705</v>
      </c>
      <c r="Y22" s="6">
        <f t="shared" si="6"/>
        <v>22705</v>
      </c>
      <c r="Z22" s="6">
        <f t="shared" si="6"/>
        <v>22705</v>
      </c>
      <c r="AA22" s="5"/>
      <c r="AB22" s="69"/>
    </row>
    <row r="23" spans="1:35" ht="15" x14ac:dyDescent="0.25">
      <c r="C23" s="138">
        <f>IF(D23=0,C22,IF(ISBLANK(G23),C22,1+MAX(C$18:C22)))</f>
        <v>4</v>
      </c>
      <c r="D23" s="132">
        <f>IF($C$10="SUBJECT",0,1)</f>
        <v>1</v>
      </c>
      <c r="F23" s="139">
        <f t="shared" si="2"/>
        <v>4</v>
      </c>
      <c r="G23" s="145" t="s">
        <v>25</v>
      </c>
      <c r="H23" s="6">
        <v>0</v>
      </c>
      <c r="I23" s="6">
        <v>0</v>
      </c>
      <c r="J23" s="6">
        <v>0</v>
      </c>
      <c r="K23" s="6">
        <v>0</v>
      </c>
      <c r="L23" s="6">
        <v>0</v>
      </c>
      <c r="M23" s="6">
        <v>0</v>
      </c>
      <c r="N23" s="6">
        <f t="shared" ref="N23:O23" si="7">+N366</f>
        <v>0</v>
      </c>
      <c r="O23" s="6">
        <f t="shared" si="7"/>
        <v>0</v>
      </c>
      <c r="P23" s="6">
        <f>+P366</f>
        <v>180244</v>
      </c>
      <c r="Q23" s="6">
        <f t="shared" ref="Q23:Z23" si="8">+Q366</f>
        <v>0</v>
      </c>
      <c r="R23" s="6">
        <f t="shared" si="8"/>
        <v>0</v>
      </c>
      <c r="S23" s="6">
        <f t="shared" si="8"/>
        <v>24813</v>
      </c>
      <c r="T23" s="6">
        <f t="shared" si="8"/>
        <v>0</v>
      </c>
      <c r="U23" s="6">
        <f t="shared" si="8"/>
        <v>0</v>
      </c>
      <c r="V23" s="6">
        <f t="shared" si="8"/>
        <v>25792</v>
      </c>
      <c r="W23" s="6">
        <f t="shared" si="8"/>
        <v>0</v>
      </c>
      <c r="X23" s="6">
        <f t="shared" si="8"/>
        <v>0</v>
      </c>
      <c r="Y23" s="6">
        <f t="shared" si="8"/>
        <v>26809</v>
      </c>
      <c r="Z23" s="6">
        <f t="shared" si="8"/>
        <v>0</v>
      </c>
      <c r="AA23" s="6">
        <v>0</v>
      </c>
      <c r="AB23" s="69"/>
    </row>
    <row r="24" spans="1:35" ht="15.75" thickBot="1" x14ac:dyDescent="0.3">
      <c r="C24" s="138">
        <f>IF(D24=0,C23,IF(ISBLANK(G24),C23,1+MAX(C$18:C23)))</f>
        <v>5</v>
      </c>
      <c r="D24" s="132">
        <v>1</v>
      </c>
      <c r="F24" s="139">
        <f t="shared" si="2"/>
        <v>5</v>
      </c>
      <c r="G24" s="146" t="s">
        <v>26</v>
      </c>
      <c r="H24" s="7">
        <f t="shared" ref="H24:Z24" si="9">SUM(H21:H23)</f>
        <v>0</v>
      </c>
      <c r="I24" s="7">
        <f t="shared" si="9"/>
        <v>0</v>
      </c>
      <c r="J24" s="7">
        <f t="shared" si="9"/>
        <v>0</v>
      </c>
      <c r="K24" s="7">
        <f t="shared" si="9"/>
        <v>736024</v>
      </c>
      <c r="L24" s="7">
        <f t="shared" si="9"/>
        <v>753856.97499999998</v>
      </c>
      <c r="M24" s="7">
        <f t="shared" si="9"/>
        <v>807355.9</v>
      </c>
      <c r="N24" s="7">
        <f t="shared" si="9"/>
        <v>832093</v>
      </c>
      <c r="O24" s="7">
        <f t="shared" si="9"/>
        <v>856882</v>
      </c>
      <c r="P24" s="7">
        <f t="shared" si="9"/>
        <v>1041293</v>
      </c>
      <c r="Q24" s="7">
        <f t="shared" si="9"/>
        <v>1046357</v>
      </c>
      <c r="R24" s="7">
        <f t="shared" si="9"/>
        <v>1051454</v>
      </c>
      <c r="S24" s="7">
        <f t="shared" si="9"/>
        <v>1081410</v>
      </c>
      <c r="T24" s="7">
        <f t="shared" si="9"/>
        <v>1086704</v>
      </c>
      <c r="U24" s="7">
        <f t="shared" si="9"/>
        <v>1092024</v>
      </c>
      <c r="V24" s="7">
        <f t="shared" si="9"/>
        <v>1123163</v>
      </c>
      <c r="W24" s="7">
        <f t="shared" si="9"/>
        <v>1128665</v>
      </c>
      <c r="X24" s="7">
        <f t="shared" si="9"/>
        <v>1134195</v>
      </c>
      <c r="Y24" s="7">
        <f t="shared" si="9"/>
        <v>1166561</v>
      </c>
      <c r="Z24" s="7">
        <f t="shared" si="9"/>
        <v>1172281</v>
      </c>
      <c r="AA24" s="7">
        <f t="shared" ref="AA24" si="10">SUM(AA21:AA23)</f>
        <v>0</v>
      </c>
      <c r="AB24" s="69"/>
    </row>
    <row r="25" spans="1:35" ht="15.75" thickTop="1" x14ac:dyDescent="0.25">
      <c r="C25" s="138">
        <f>IF(D25=0,C24,IF(ISBLANK(G25),C24,1+MAX(C$18:C24)))</f>
        <v>6</v>
      </c>
      <c r="D25" s="132">
        <v>1</v>
      </c>
      <c r="F25" s="139">
        <f t="shared" si="2"/>
        <v>6</v>
      </c>
      <c r="G25" s="147" t="s">
        <v>27</v>
      </c>
      <c r="H25" s="8"/>
      <c r="I25" s="8"/>
      <c r="J25" s="8"/>
      <c r="K25" s="8"/>
      <c r="L25" s="9"/>
      <c r="M25" s="9"/>
      <c r="N25" s="10" t="str">
        <f t="shared" ref="N25:Z25" si="11">IF(N23&gt;0,+N23/N21,"")</f>
        <v/>
      </c>
      <c r="O25" s="10" t="str">
        <f t="shared" si="11"/>
        <v/>
      </c>
      <c r="P25" s="10">
        <f t="shared" si="11"/>
        <v>0.2150000477131106</v>
      </c>
      <c r="Q25" s="10" t="str">
        <f t="shared" si="11"/>
        <v/>
      </c>
      <c r="R25" s="10" t="str">
        <f t="shared" si="11"/>
        <v/>
      </c>
      <c r="S25" s="10">
        <f t="shared" si="11"/>
        <v>2.3999605374642612E-2</v>
      </c>
      <c r="T25" s="10" t="str">
        <f t="shared" si="11"/>
        <v/>
      </c>
      <c r="U25" s="10" t="str">
        <f t="shared" si="11"/>
        <v/>
      </c>
      <c r="V25" s="10">
        <f t="shared" si="11"/>
        <v>2.4000014888346705E-2</v>
      </c>
      <c r="W25" s="10" t="str">
        <f t="shared" si="11"/>
        <v/>
      </c>
      <c r="X25" s="10" t="str">
        <f t="shared" si="11"/>
        <v/>
      </c>
      <c r="Y25" s="10">
        <f t="shared" si="11"/>
        <v>2.3999885412162605E-2</v>
      </c>
      <c r="Z25" s="10" t="str">
        <f t="shared" si="11"/>
        <v/>
      </c>
      <c r="AA25" s="10"/>
      <c r="AB25" s="69"/>
      <c r="AE25" s="148"/>
      <c r="AF25" s="148"/>
      <c r="AG25" s="148"/>
    </row>
    <row r="26" spans="1:35" ht="15" x14ac:dyDescent="0.25">
      <c r="C26" s="138">
        <f>IF(D26=0,C25,IF(ISBLANK(G26),C25,1+MAX(C$18:C25)))</f>
        <v>6</v>
      </c>
      <c r="D26" s="132">
        <v>1</v>
      </c>
      <c r="F26" s="139" t="str">
        <f t="shared" si="2"/>
        <v/>
      </c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69"/>
      <c r="AE26" s="148"/>
      <c r="AF26" s="148"/>
      <c r="AG26" s="148"/>
    </row>
    <row r="27" spans="1:35" ht="15" x14ac:dyDescent="0.25">
      <c r="A27" s="144" t="s">
        <v>28</v>
      </c>
      <c r="B27" s="25">
        <v>1</v>
      </c>
      <c r="C27" s="138">
        <f>IF(D27=0,C26,IF(ISBLANK(G27),C26,1+MAX(C$18:C26)))</f>
        <v>7</v>
      </c>
      <c r="D27" s="132">
        <v>1</v>
      </c>
      <c r="F27" s="139">
        <f t="shared" si="2"/>
        <v>7</v>
      </c>
      <c r="G27" s="144" t="str">
        <f>+A27&amp;" ("&amp;B27&amp;")"</f>
        <v>OPERATING EXPENSES (1)</v>
      </c>
      <c r="H27" s="6"/>
      <c r="I27" s="6"/>
      <c r="J27" s="6"/>
      <c r="K27" s="6"/>
      <c r="L27" s="5"/>
      <c r="M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69"/>
      <c r="AB27" s="69"/>
      <c r="AC27" s="2" t="s">
        <v>29</v>
      </c>
    </row>
    <row r="28" spans="1:35" ht="15" x14ac:dyDescent="0.25">
      <c r="C28" s="138">
        <f>IF(D28=0,C27,IF(ISBLANK(G28),C27,1+MAX(C$18:C27)))</f>
        <v>8</v>
      </c>
      <c r="D28" s="132">
        <v>1</v>
      </c>
      <c r="F28" s="139">
        <f t="shared" si="2"/>
        <v>8</v>
      </c>
      <c r="G28" s="149" t="s">
        <v>30</v>
      </c>
      <c r="H28" s="6">
        <v>0</v>
      </c>
      <c r="I28" s="6">
        <v>0</v>
      </c>
      <c r="J28" s="6">
        <v>0</v>
      </c>
      <c r="K28" s="5">
        <v>590138</v>
      </c>
      <c r="L28" s="6">
        <f t="shared" ref="L28:Z28" si="12">+K28*(1+$AC28)</f>
        <v>601940.76</v>
      </c>
      <c r="M28" s="6">
        <f t="shared" si="12"/>
        <v>613979.57519999996</v>
      </c>
      <c r="N28" s="6">
        <f t="shared" si="12"/>
        <v>626259.16670399997</v>
      </c>
      <c r="O28" s="6">
        <f t="shared" si="12"/>
        <v>638784.35003808001</v>
      </c>
      <c r="P28" s="6">
        <f t="shared" si="12"/>
        <v>651560.03703884163</v>
      </c>
      <c r="Q28" s="6">
        <f t="shared" si="12"/>
        <v>664591.23777961847</v>
      </c>
      <c r="R28" s="6">
        <f t="shared" si="12"/>
        <v>677883.06253521086</v>
      </c>
      <c r="S28" s="6">
        <f t="shared" si="12"/>
        <v>691440.72378591506</v>
      </c>
      <c r="T28" s="6">
        <f t="shared" si="12"/>
        <v>705269.53826163337</v>
      </c>
      <c r="U28" s="6">
        <f t="shared" si="12"/>
        <v>719374.9290268661</v>
      </c>
      <c r="V28" s="6">
        <f t="shared" si="12"/>
        <v>733762.42760740349</v>
      </c>
      <c r="W28" s="6">
        <f t="shared" si="12"/>
        <v>748437.6761595516</v>
      </c>
      <c r="X28" s="6">
        <f t="shared" si="12"/>
        <v>763406.42968274269</v>
      </c>
      <c r="Y28" s="6">
        <f t="shared" si="12"/>
        <v>778674.55827639753</v>
      </c>
      <c r="Z28" s="6">
        <f t="shared" si="12"/>
        <v>794248.04944192548</v>
      </c>
      <c r="AA28" s="69"/>
      <c r="AB28" s="69"/>
      <c r="AC28" s="150">
        <v>0.02</v>
      </c>
    </row>
    <row r="29" spans="1:35" ht="15" x14ac:dyDescent="0.25">
      <c r="C29" s="138">
        <f>IF(D29=0,C28,IF(ISBLANK(G29),C28,1+MAX(C$18:C28)))</f>
        <v>9</v>
      </c>
      <c r="D29" s="132">
        <f>IF($C$10="SUBJECT",0,1)</f>
        <v>1</v>
      </c>
      <c r="F29" s="139">
        <f t="shared" si="2"/>
        <v>9</v>
      </c>
      <c r="G29" s="149" t="s">
        <v>31</v>
      </c>
      <c r="H29" s="11"/>
      <c r="I29" s="11"/>
      <c r="J29" s="11"/>
      <c r="K29" s="11"/>
      <c r="L29" s="11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9"/>
      <c r="AB29" s="69"/>
    </row>
    <row r="30" spans="1:35" ht="15" x14ac:dyDescent="0.25">
      <c r="C30" s="138">
        <f>IF(D30=0,C29,IF(ISBLANK(G30),C29,1+MAX(C$18:C29)))</f>
        <v>10</v>
      </c>
      <c r="D30" s="132">
        <f>IF($C$10="SUBJECT",0,1)</f>
        <v>1</v>
      </c>
      <c r="F30" s="139">
        <f t="shared" si="2"/>
        <v>10</v>
      </c>
      <c r="G30" s="12" t="s">
        <v>32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6">
        <f>+M406*(1+$AC30)*AH30*-1</f>
        <v>-11583.934286400001</v>
      </c>
      <c r="O30" s="6">
        <f t="shared" ref="O30:Z32" si="13">+N30*(1+$AC30)</f>
        <v>-11815.612972128001</v>
      </c>
      <c r="P30" s="6">
        <f t="shared" si="13"/>
        <v>-12051.925231570562</v>
      </c>
      <c r="Q30" s="6">
        <f t="shared" si="13"/>
        <v>-12292.963736201973</v>
      </c>
      <c r="R30" s="6">
        <f t="shared" si="13"/>
        <v>-12538.823010926013</v>
      </c>
      <c r="S30" s="6">
        <f t="shared" si="13"/>
        <v>-12789.599471144533</v>
      </c>
      <c r="T30" s="6">
        <f t="shared" si="13"/>
        <v>-13045.391460567424</v>
      </c>
      <c r="U30" s="6">
        <f t="shared" si="13"/>
        <v>-13306.299289778772</v>
      </c>
      <c r="V30" s="6">
        <f t="shared" si="13"/>
        <v>-13572.425275574347</v>
      </c>
      <c r="W30" s="6">
        <f t="shared" si="13"/>
        <v>-13843.873781085835</v>
      </c>
      <c r="X30" s="6">
        <f t="shared" si="13"/>
        <v>-14120.751256707552</v>
      </c>
      <c r="Y30" s="6">
        <f t="shared" si="13"/>
        <v>-14403.166281841703</v>
      </c>
      <c r="Z30" s="6">
        <f t="shared" si="13"/>
        <v>-14691.229607478537</v>
      </c>
      <c r="AA30" s="69"/>
      <c r="AB30" s="69"/>
      <c r="AC30" s="2">
        <f>+AC28</f>
        <v>0.02</v>
      </c>
      <c r="AE30" s="151" t="s">
        <v>33</v>
      </c>
      <c r="AF30" s="152"/>
      <c r="AG30" s="153" t="s">
        <v>34</v>
      </c>
      <c r="AH30" s="154">
        <v>0.15</v>
      </c>
      <c r="AI30" s="13">
        <v>0.15</v>
      </c>
    </row>
    <row r="31" spans="1:35" ht="15" x14ac:dyDescent="0.25">
      <c r="C31" s="138">
        <f>IF(D31=0,C30,IF(ISBLANK(G31),C30,1+MAX(C$18:C30)))</f>
        <v>11</v>
      </c>
      <c r="D31" s="132">
        <f t="shared" ref="D31:D32" si="14">IF($C$10="SUBJECT",0,1)</f>
        <v>1</v>
      </c>
      <c r="F31" s="139">
        <f t="shared" si="2"/>
        <v>11</v>
      </c>
      <c r="G31" s="12" t="s">
        <v>35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6">
        <f>+M407*(1+$AC31)*AH31*-1</f>
        <v>-44501.757480000007</v>
      </c>
      <c r="O31" s="6">
        <f t="shared" si="13"/>
        <v>-45391.792629600008</v>
      </c>
      <c r="P31" s="6">
        <f t="shared" si="13"/>
        <v>-46299.628482192005</v>
      </c>
      <c r="Q31" s="6">
        <f t="shared" si="13"/>
        <v>-47225.621051835849</v>
      </c>
      <c r="R31" s="6">
        <f t="shared" si="13"/>
        <v>-48170.133472872571</v>
      </c>
      <c r="S31" s="6">
        <f t="shared" si="13"/>
        <v>-49133.53614233002</v>
      </c>
      <c r="T31" s="6">
        <f t="shared" si="13"/>
        <v>-50116.206865176624</v>
      </c>
      <c r="U31" s="6">
        <f t="shared" si="13"/>
        <v>-51118.531002480158</v>
      </c>
      <c r="V31" s="6">
        <f t="shared" si="13"/>
        <v>-52140.90162252976</v>
      </c>
      <c r="W31" s="6">
        <f t="shared" si="13"/>
        <v>-53183.719654980356</v>
      </c>
      <c r="X31" s="6">
        <f t="shared" si="13"/>
        <v>-54247.394048079965</v>
      </c>
      <c r="Y31" s="6">
        <f t="shared" si="13"/>
        <v>-55332.341929041562</v>
      </c>
      <c r="Z31" s="6">
        <f t="shared" si="13"/>
        <v>-56438.988767622395</v>
      </c>
      <c r="AA31" s="69"/>
      <c r="AB31" s="69"/>
      <c r="AC31" s="2">
        <f>+AC30</f>
        <v>0.02</v>
      </c>
      <c r="AE31" s="151" t="s">
        <v>36</v>
      </c>
      <c r="AF31" s="152"/>
      <c r="AG31" s="153" t="s">
        <v>37</v>
      </c>
      <c r="AH31" s="154">
        <v>0.5</v>
      </c>
      <c r="AI31" s="13">
        <v>0.5</v>
      </c>
    </row>
    <row r="32" spans="1:35" ht="15" x14ac:dyDescent="0.25">
      <c r="C32" s="138">
        <f>IF(D32=0,C31,IF(ISBLANK(G32),C31,1+MAX(C$18:C31)))</f>
        <v>12</v>
      </c>
      <c r="D32" s="132">
        <f t="shared" si="14"/>
        <v>1</v>
      </c>
      <c r="F32" s="139">
        <f t="shared" si="2"/>
        <v>12</v>
      </c>
      <c r="G32" s="12" t="s">
        <v>38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6">
        <f>+M408*(1+$AC32)*AH32*-1</f>
        <v>-1469.1363552000003</v>
      </c>
      <c r="O32" s="6">
        <f t="shared" si="13"/>
        <v>-1498.5190823040002</v>
      </c>
      <c r="P32" s="6">
        <f t="shared" si="13"/>
        <v>-1528.4894639500803</v>
      </c>
      <c r="Q32" s="6">
        <f t="shared" si="13"/>
        <v>-1559.0592532290821</v>
      </c>
      <c r="R32" s="6">
        <f t="shared" si="13"/>
        <v>-1590.2404382936638</v>
      </c>
      <c r="S32" s="6">
        <f t="shared" si="13"/>
        <v>-1622.0452470595371</v>
      </c>
      <c r="T32" s="6">
        <f t="shared" si="13"/>
        <v>-1654.486152000728</v>
      </c>
      <c r="U32" s="6">
        <f t="shared" si="13"/>
        <v>-1687.5758750407426</v>
      </c>
      <c r="V32" s="6">
        <f t="shared" si="13"/>
        <v>-1721.3273925415574</v>
      </c>
      <c r="W32" s="6">
        <f t="shared" si="13"/>
        <v>-1755.7539403923886</v>
      </c>
      <c r="X32" s="6">
        <f t="shared" si="13"/>
        <v>-1790.8690192002364</v>
      </c>
      <c r="Y32" s="6">
        <f t="shared" si="13"/>
        <v>-1826.6863995842411</v>
      </c>
      <c r="Z32" s="6">
        <f t="shared" si="13"/>
        <v>-1863.220127575926</v>
      </c>
      <c r="AA32" s="69"/>
      <c r="AB32" s="69"/>
      <c r="AC32" s="2">
        <f t="shared" ref="AC32" si="15">+AC31</f>
        <v>0.02</v>
      </c>
      <c r="AE32" s="151" t="s">
        <v>39</v>
      </c>
      <c r="AF32" s="152"/>
      <c r="AG32" s="153" t="s">
        <v>40</v>
      </c>
      <c r="AH32" s="154">
        <v>0.1</v>
      </c>
      <c r="AI32" s="13">
        <v>0.1</v>
      </c>
    </row>
    <row r="33" spans="1:28" ht="15" x14ac:dyDescent="0.25">
      <c r="C33" s="138">
        <f>IF(D33=0,C32,IF(ISBLANK(G33),C32,1+MAX(C$18:C32)))</f>
        <v>13</v>
      </c>
      <c r="D33" s="132">
        <f>IF($C$10="IOU",1,0)</f>
        <v>1</v>
      </c>
      <c r="F33" s="139">
        <f t="shared" si="2"/>
        <v>13</v>
      </c>
      <c r="G33" s="12" t="s">
        <v>41</v>
      </c>
      <c r="H33" s="6"/>
      <c r="I33" s="6"/>
      <c r="J33" s="6"/>
      <c r="K33" s="6"/>
      <c r="L33" s="6"/>
      <c r="M33" s="6"/>
      <c r="N33" s="6">
        <f>IF($C$10="IOU",+N373,0)</f>
        <v>9486</v>
      </c>
      <c r="O33" s="6">
        <f>IF($C$10="IOU",+O373,0)</f>
        <v>9620</v>
      </c>
      <c r="P33" s="6">
        <f>IF($C$10="IOU",+P373,0)</f>
        <v>9752</v>
      </c>
      <c r="Q33" s="6">
        <f>IF($C$10="IOU",+Q373,0)</f>
        <v>10793</v>
      </c>
      <c r="R33" s="6">
        <f>IF($C$10="IOU",+R373,0)</f>
        <v>10813</v>
      </c>
      <c r="S33" s="6">
        <f>IF($C$10="IOU",+S373,0)</f>
        <v>10833</v>
      </c>
      <c r="T33" s="6">
        <f>IF($C$10="IOU",+T373,0)</f>
        <v>10995</v>
      </c>
      <c r="U33" s="6">
        <f>IF($C$10="IOU",+U373,0)</f>
        <v>11016</v>
      </c>
      <c r="V33" s="6">
        <f>IF($C$10="IOU",+V373,0)</f>
        <v>11035</v>
      </c>
      <c r="W33" s="6">
        <f>IF($C$10="IOU",+W373,0)</f>
        <v>11200</v>
      </c>
      <c r="X33" s="6">
        <f>IF($C$10="IOU",+X373,0)</f>
        <v>11219</v>
      </c>
      <c r="Y33" s="6">
        <f>IF($C$10="IOU",+Y373,0)</f>
        <v>11239</v>
      </c>
      <c r="Z33" s="6">
        <f>IF($C$10="IOU",+Z373,0)</f>
        <v>11411</v>
      </c>
      <c r="AA33" s="69"/>
      <c r="AB33" s="69"/>
    </row>
    <row r="34" spans="1:28" ht="15" x14ac:dyDescent="0.25">
      <c r="C34" s="138">
        <f>IF(D34=0,C33,IF(ISBLANK(G34),C33,1+MAX(C$18:C33)))</f>
        <v>14</v>
      </c>
      <c r="D34" s="132">
        <v>1</v>
      </c>
      <c r="F34" s="139">
        <f t="shared" si="2"/>
        <v>14</v>
      </c>
      <c r="G34" s="155" t="s">
        <v>42</v>
      </c>
      <c r="H34" s="14">
        <f t="shared" ref="H34:Z34" si="16">SUM(H28:H33)</f>
        <v>0</v>
      </c>
      <c r="I34" s="14">
        <f t="shared" si="16"/>
        <v>0</v>
      </c>
      <c r="J34" s="14">
        <f t="shared" si="16"/>
        <v>0</v>
      </c>
      <c r="K34" s="14">
        <f t="shared" si="16"/>
        <v>590138</v>
      </c>
      <c r="L34" s="14">
        <f t="shared" si="16"/>
        <v>601940.76</v>
      </c>
      <c r="M34" s="14">
        <f t="shared" si="16"/>
        <v>613979.57519999996</v>
      </c>
      <c r="N34" s="14">
        <f t="shared" si="16"/>
        <v>578190.3385824</v>
      </c>
      <c r="O34" s="14">
        <f t="shared" si="16"/>
        <v>589698.42535404803</v>
      </c>
      <c r="P34" s="14">
        <f t="shared" si="16"/>
        <v>601431.99386112893</v>
      </c>
      <c r="Q34" s="14">
        <f t="shared" si="16"/>
        <v>614306.5937383516</v>
      </c>
      <c r="R34" s="14">
        <f t="shared" si="16"/>
        <v>626396.86561311863</v>
      </c>
      <c r="S34" s="14">
        <f t="shared" si="16"/>
        <v>638728.54292538099</v>
      </c>
      <c r="T34" s="14">
        <f t="shared" si="16"/>
        <v>651448.45378388849</v>
      </c>
      <c r="U34" s="14">
        <f t="shared" si="16"/>
        <v>664278.52285956638</v>
      </c>
      <c r="V34" s="14">
        <f t="shared" si="16"/>
        <v>677362.77331675787</v>
      </c>
      <c r="W34" s="14">
        <f t="shared" si="16"/>
        <v>690854.32878309302</v>
      </c>
      <c r="X34" s="14">
        <f t="shared" si="16"/>
        <v>704466.41535875492</v>
      </c>
      <c r="Y34" s="14">
        <f t="shared" si="16"/>
        <v>718351.36366593</v>
      </c>
      <c r="Z34" s="14">
        <f t="shared" si="16"/>
        <v>732665.6109392487</v>
      </c>
      <c r="AA34" s="69"/>
      <c r="AB34" s="69"/>
    </row>
    <row r="35" spans="1:28" ht="15" x14ac:dyDescent="0.25">
      <c r="A35" s="145" t="s">
        <v>43</v>
      </c>
      <c r="B35" s="25">
        <f>MAX(B$20:B34)+1</f>
        <v>2</v>
      </c>
      <c r="C35" s="138">
        <f>IF(D35=0,C34,IF(ISBLANK(G35),C34,1+MAX(C$18:C34)))</f>
        <v>15</v>
      </c>
      <c r="D35" s="132">
        <v>1</v>
      </c>
      <c r="F35" s="139">
        <f t="shared" si="2"/>
        <v>15</v>
      </c>
      <c r="G35" s="4" t="str">
        <f>+A35&amp;" ("&amp;B35&amp;")"</f>
        <v>Depreciation (2)</v>
      </c>
      <c r="H35" s="5">
        <f>+H314</f>
        <v>0</v>
      </c>
      <c r="I35" s="5">
        <f t="shared" ref="I35:J35" si="17">+I314</f>
        <v>0</v>
      </c>
      <c r="J35" s="5">
        <f t="shared" si="17"/>
        <v>0</v>
      </c>
      <c r="K35" s="5">
        <f>+K459</f>
        <v>60448</v>
      </c>
      <c r="L35" s="5">
        <f>+L312</f>
        <v>60448</v>
      </c>
      <c r="M35" s="5">
        <f>+M312</f>
        <v>91061.478400000007</v>
      </c>
      <c r="N35" s="5">
        <f>+N312</f>
        <v>91582.291200000007</v>
      </c>
      <c r="O35" s="5">
        <f t="shared" ref="O35:Z35" si="18">+O312</f>
        <v>92849.768799999991</v>
      </c>
      <c r="P35" s="5">
        <f t="shared" si="18"/>
        <v>94129.647200000007</v>
      </c>
      <c r="Q35" s="5">
        <f t="shared" si="18"/>
        <v>95426.104000000007</v>
      </c>
      <c r="R35" s="5">
        <f t="shared" si="18"/>
        <v>96741.294000000009</v>
      </c>
      <c r="S35" s="5">
        <f t="shared" si="18"/>
        <v>98073.440799999997</v>
      </c>
      <c r="T35" s="5">
        <f t="shared" si="18"/>
        <v>99424.8024</v>
      </c>
      <c r="U35" s="5">
        <f t="shared" si="18"/>
        <v>100784.28080000001</v>
      </c>
      <c r="V35" s="5">
        <f t="shared" si="18"/>
        <v>102146.61599999999</v>
      </c>
      <c r="W35" s="5">
        <f t="shared" si="18"/>
        <v>103526.2004</v>
      </c>
      <c r="X35" s="5">
        <f t="shared" si="18"/>
        <v>104926.292</v>
      </c>
      <c r="Y35" s="5">
        <f t="shared" si="18"/>
        <v>106344.166</v>
      </c>
      <c r="Z35" s="5">
        <f t="shared" si="18"/>
        <v>107781.0288</v>
      </c>
      <c r="AA35" s="69"/>
      <c r="AB35" s="69"/>
    </row>
    <row r="36" spans="1:28" ht="15.75" thickBot="1" x14ac:dyDescent="0.3">
      <c r="C36" s="138">
        <f>IF(D36=0,C35,IF(ISBLANK(G36),C35,1+MAX(C$18:C35)))</f>
        <v>16</v>
      </c>
      <c r="D36" s="132">
        <v>1</v>
      </c>
      <c r="F36" s="139">
        <f t="shared" si="2"/>
        <v>16</v>
      </c>
      <c r="G36" s="155" t="s">
        <v>44</v>
      </c>
      <c r="H36" s="7">
        <f t="shared" ref="H36:Z36" si="19">+H35+H34</f>
        <v>0</v>
      </c>
      <c r="I36" s="7">
        <f t="shared" si="19"/>
        <v>0</v>
      </c>
      <c r="J36" s="7">
        <f t="shared" si="19"/>
        <v>0</v>
      </c>
      <c r="K36" s="7">
        <f t="shared" si="19"/>
        <v>650586</v>
      </c>
      <c r="L36" s="7">
        <f t="shared" si="19"/>
        <v>662388.76</v>
      </c>
      <c r="M36" s="7">
        <f t="shared" si="19"/>
        <v>705041.05359999998</v>
      </c>
      <c r="N36" s="7">
        <f t="shared" si="19"/>
        <v>669772.62978239998</v>
      </c>
      <c r="O36" s="7">
        <f t="shared" si="19"/>
        <v>682548.19415404799</v>
      </c>
      <c r="P36" s="7">
        <f t="shared" si="19"/>
        <v>695561.64106112893</v>
      </c>
      <c r="Q36" s="7">
        <f t="shared" si="19"/>
        <v>709732.69773835165</v>
      </c>
      <c r="R36" s="7">
        <f t="shared" si="19"/>
        <v>723138.15961311862</v>
      </c>
      <c r="S36" s="7">
        <f t="shared" si="19"/>
        <v>736801.98372538097</v>
      </c>
      <c r="T36" s="7">
        <f t="shared" si="19"/>
        <v>750873.25618388853</v>
      </c>
      <c r="U36" s="7">
        <f t="shared" si="19"/>
        <v>765062.80365956645</v>
      </c>
      <c r="V36" s="7">
        <f t="shared" si="19"/>
        <v>779509.38931675791</v>
      </c>
      <c r="W36" s="7">
        <f t="shared" si="19"/>
        <v>794380.52918309299</v>
      </c>
      <c r="X36" s="7">
        <f t="shared" si="19"/>
        <v>809392.70735875494</v>
      </c>
      <c r="Y36" s="7">
        <f t="shared" si="19"/>
        <v>824695.52966592996</v>
      </c>
      <c r="Z36" s="7">
        <f t="shared" si="19"/>
        <v>840446.63973924867</v>
      </c>
      <c r="AA36" s="69"/>
      <c r="AB36" s="69"/>
    </row>
    <row r="37" spans="1:28" ht="15.75" thickTop="1" x14ac:dyDescent="0.25">
      <c r="C37" s="138">
        <f>IF(D37=0,C36,IF(ISBLANK(G37),C36,1+MAX(C$18:C36)))</f>
        <v>16</v>
      </c>
      <c r="D37" s="132">
        <v>1</v>
      </c>
      <c r="F37" s="139" t="str">
        <f t="shared" si="2"/>
        <v/>
      </c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69"/>
      <c r="AB37" s="69"/>
    </row>
    <row r="38" spans="1:28" ht="15.75" thickBot="1" x14ac:dyDescent="0.3">
      <c r="C38" s="138">
        <f>IF(D38=0,C37,IF(ISBLANK(G38),C37,1+MAX(C$18:C37)))</f>
        <v>17</v>
      </c>
      <c r="D38" s="132">
        <v>1</v>
      </c>
      <c r="F38" s="139">
        <f t="shared" si="2"/>
        <v>17</v>
      </c>
      <c r="G38" s="146" t="s">
        <v>45</v>
      </c>
      <c r="H38" s="7">
        <f t="shared" ref="H38:Z38" si="20">+H24-H36</f>
        <v>0</v>
      </c>
      <c r="I38" s="7">
        <f t="shared" si="20"/>
        <v>0</v>
      </c>
      <c r="J38" s="7">
        <f t="shared" si="20"/>
        <v>0</v>
      </c>
      <c r="K38" s="7">
        <f t="shared" si="20"/>
        <v>85438</v>
      </c>
      <c r="L38" s="7">
        <f t="shared" si="20"/>
        <v>91468.214999999967</v>
      </c>
      <c r="M38" s="7">
        <f t="shared" si="20"/>
        <v>102314.84640000004</v>
      </c>
      <c r="N38" s="7">
        <f t="shared" si="20"/>
        <v>162320.37021760002</v>
      </c>
      <c r="O38" s="7">
        <f t="shared" si="20"/>
        <v>174333.80584595201</v>
      </c>
      <c r="P38" s="7">
        <f t="shared" si="20"/>
        <v>345731.35893887107</v>
      </c>
      <c r="Q38" s="7">
        <f t="shared" si="20"/>
        <v>336624.30226164835</v>
      </c>
      <c r="R38" s="7">
        <f t="shared" si="20"/>
        <v>328315.84038688138</v>
      </c>
      <c r="S38" s="7">
        <f t="shared" si="20"/>
        <v>344608.01627461903</v>
      </c>
      <c r="T38" s="7">
        <f t="shared" si="20"/>
        <v>335830.74381611147</v>
      </c>
      <c r="U38" s="7">
        <f t="shared" si="20"/>
        <v>326961.19634043355</v>
      </c>
      <c r="V38" s="7">
        <f t="shared" si="20"/>
        <v>343653.61068324209</v>
      </c>
      <c r="W38" s="7">
        <f t="shared" si="20"/>
        <v>334284.47081690701</v>
      </c>
      <c r="X38" s="7">
        <f t="shared" si="20"/>
        <v>324802.29264124506</v>
      </c>
      <c r="Y38" s="7">
        <f t="shared" si="20"/>
        <v>341865.47033407004</v>
      </c>
      <c r="Z38" s="7">
        <f t="shared" si="20"/>
        <v>331834.36026075133</v>
      </c>
      <c r="AA38" s="69"/>
      <c r="AB38" s="69"/>
    </row>
    <row r="39" spans="1:28" ht="15.75" thickTop="1" x14ac:dyDescent="0.25">
      <c r="C39" s="138">
        <f>IF(D39=0,C38,IF(ISBLANK(G39),C38,1+MAX(C$18:C38)))</f>
        <v>17</v>
      </c>
      <c r="D39" s="132">
        <v>1</v>
      </c>
      <c r="F39" s="139" t="str">
        <f t="shared" si="2"/>
        <v/>
      </c>
      <c r="H39" s="6"/>
      <c r="I39" s="6"/>
      <c r="J39" s="6"/>
      <c r="K39" s="6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69"/>
    </row>
    <row r="40" spans="1:28" ht="15" x14ac:dyDescent="0.25">
      <c r="A40" s="4" t="s">
        <v>46</v>
      </c>
      <c r="B40" s="25">
        <f>MAX(B$20:B39)+1</f>
        <v>3</v>
      </c>
      <c r="C40" s="138">
        <f>IF(D40=0,C39,IF(ISBLANK(G40),C39,1+MAX(C$18:C39)))</f>
        <v>18</v>
      </c>
      <c r="D40" s="132">
        <v>1</v>
      </c>
      <c r="F40" s="139">
        <f t="shared" si="2"/>
        <v>18</v>
      </c>
      <c r="G40" s="4" t="str">
        <f t="shared" ref="G40:G42" si="21">+A40&amp;" ("&amp;B40&amp;")"</f>
        <v>Revenues (3)</v>
      </c>
      <c r="H40" s="6">
        <f t="shared" ref="H40:Z40" si="22">+H24</f>
        <v>0</v>
      </c>
      <c r="I40" s="6">
        <f t="shared" si="22"/>
        <v>0</v>
      </c>
      <c r="J40" s="6">
        <f t="shared" si="22"/>
        <v>0</v>
      </c>
      <c r="K40" s="6">
        <f t="shared" si="22"/>
        <v>736024</v>
      </c>
      <c r="L40" s="6">
        <f t="shared" si="22"/>
        <v>753856.97499999998</v>
      </c>
      <c r="M40" s="6">
        <f t="shared" si="22"/>
        <v>807355.9</v>
      </c>
      <c r="N40" s="6">
        <f t="shared" si="22"/>
        <v>832093</v>
      </c>
      <c r="O40" s="6">
        <f t="shared" si="22"/>
        <v>856882</v>
      </c>
      <c r="P40" s="6">
        <f t="shared" si="22"/>
        <v>1041293</v>
      </c>
      <c r="Q40" s="6">
        <f t="shared" si="22"/>
        <v>1046357</v>
      </c>
      <c r="R40" s="6">
        <f t="shared" si="22"/>
        <v>1051454</v>
      </c>
      <c r="S40" s="6">
        <f t="shared" si="22"/>
        <v>1081410</v>
      </c>
      <c r="T40" s="6">
        <f t="shared" si="22"/>
        <v>1086704</v>
      </c>
      <c r="U40" s="6">
        <f t="shared" si="22"/>
        <v>1092024</v>
      </c>
      <c r="V40" s="6">
        <f t="shared" si="22"/>
        <v>1123163</v>
      </c>
      <c r="W40" s="6">
        <f t="shared" si="22"/>
        <v>1128665</v>
      </c>
      <c r="X40" s="6">
        <f t="shared" si="22"/>
        <v>1134195</v>
      </c>
      <c r="Y40" s="6">
        <f t="shared" si="22"/>
        <v>1166561</v>
      </c>
      <c r="Z40" s="6">
        <f t="shared" si="22"/>
        <v>1172281</v>
      </c>
      <c r="AA40" s="69"/>
      <c r="AB40" s="69"/>
    </row>
    <row r="41" spans="1:28" ht="15" x14ac:dyDescent="0.25">
      <c r="A41" s="4" t="s">
        <v>7</v>
      </c>
      <c r="B41" s="25">
        <f>MAX(B$20:B40)+1</f>
        <v>4</v>
      </c>
      <c r="C41" s="138">
        <f>IF(D41=0,C40,IF(ISBLANK(G41),C40,1+MAX(C$18:C40)))</f>
        <v>19</v>
      </c>
      <c r="D41" s="132">
        <v>1</v>
      </c>
      <c r="F41" s="139">
        <f t="shared" si="2"/>
        <v>19</v>
      </c>
      <c r="G41" s="4" t="str">
        <f t="shared" si="21"/>
        <v>EBITDA (4)</v>
      </c>
      <c r="H41" s="6">
        <f t="shared" ref="H41:Z41" si="23">+H38+H35</f>
        <v>0</v>
      </c>
      <c r="I41" s="6">
        <f t="shared" si="23"/>
        <v>0</v>
      </c>
      <c r="J41" s="6">
        <f t="shared" si="23"/>
        <v>0</v>
      </c>
      <c r="K41" s="6">
        <f t="shared" si="23"/>
        <v>145886</v>
      </c>
      <c r="L41" s="6">
        <f t="shared" si="23"/>
        <v>151916.21499999997</v>
      </c>
      <c r="M41" s="6">
        <f t="shared" si="23"/>
        <v>193376.32480000006</v>
      </c>
      <c r="N41" s="6">
        <f t="shared" si="23"/>
        <v>253902.66141760003</v>
      </c>
      <c r="O41" s="6">
        <f t="shared" si="23"/>
        <v>267183.57464595197</v>
      </c>
      <c r="P41" s="6">
        <f t="shared" si="23"/>
        <v>439861.00613887107</v>
      </c>
      <c r="Q41" s="6">
        <f t="shared" si="23"/>
        <v>432050.40626164834</v>
      </c>
      <c r="R41" s="6">
        <f t="shared" si="23"/>
        <v>425057.13438688137</v>
      </c>
      <c r="S41" s="6">
        <f t="shared" si="23"/>
        <v>442681.45707461901</v>
      </c>
      <c r="T41" s="6">
        <f t="shared" si="23"/>
        <v>435255.54621611146</v>
      </c>
      <c r="U41" s="6">
        <f t="shared" si="23"/>
        <v>427745.47714043356</v>
      </c>
      <c r="V41" s="6">
        <f t="shared" si="23"/>
        <v>445800.22668324207</v>
      </c>
      <c r="W41" s="6">
        <f t="shared" si="23"/>
        <v>437810.67121690698</v>
      </c>
      <c r="X41" s="6">
        <f t="shared" si="23"/>
        <v>429728.58464124508</v>
      </c>
      <c r="Y41" s="6">
        <f t="shared" si="23"/>
        <v>448209.63633407</v>
      </c>
      <c r="Z41" s="6">
        <f t="shared" si="23"/>
        <v>439615.3890607513</v>
      </c>
      <c r="AA41" s="69"/>
      <c r="AB41" s="69"/>
    </row>
    <row r="42" spans="1:28" ht="15" x14ac:dyDescent="0.25">
      <c r="A42" s="4" t="s">
        <v>4</v>
      </c>
      <c r="B42" s="25">
        <f>MAX(B$20:B41)+1</f>
        <v>5</v>
      </c>
      <c r="C42" s="138">
        <f>IF(D42=0,C41,IF(ISBLANK(G42),C41,1+MAX(C$18:C41)))</f>
        <v>20</v>
      </c>
      <c r="D42" s="132">
        <v>1</v>
      </c>
      <c r="F42" s="139">
        <f t="shared" si="2"/>
        <v>20</v>
      </c>
      <c r="G42" s="4" t="str">
        <f t="shared" si="21"/>
        <v>EBIT (5)</v>
      </c>
      <c r="H42" s="6">
        <f t="shared" ref="H42:Z42" si="24">+H38</f>
        <v>0</v>
      </c>
      <c r="I42" s="6">
        <f t="shared" si="24"/>
        <v>0</v>
      </c>
      <c r="J42" s="6">
        <f t="shared" si="24"/>
        <v>0</v>
      </c>
      <c r="K42" s="6">
        <f t="shared" si="24"/>
        <v>85438</v>
      </c>
      <c r="L42" s="6">
        <f t="shared" si="24"/>
        <v>91468.214999999967</v>
      </c>
      <c r="M42" s="6">
        <f t="shared" si="24"/>
        <v>102314.84640000004</v>
      </c>
      <c r="N42" s="6">
        <f t="shared" si="24"/>
        <v>162320.37021760002</v>
      </c>
      <c r="O42" s="6">
        <f t="shared" si="24"/>
        <v>174333.80584595201</v>
      </c>
      <c r="P42" s="6">
        <f t="shared" si="24"/>
        <v>345731.35893887107</v>
      </c>
      <c r="Q42" s="6">
        <f t="shared" si="24"/>
        <v>336624.30226164835</v>
      </c>
      <c r="R42" s="6">
        <f t="shared" si="24"/>
        <v>328315.84038688138</v>
      </c>
      <c r="S42" s="6">
        <f t="shared" si="24"/>
        <v>344608.01627461903</v>
      </c>
      <c r="T42" s="6">
        <f t="shared" si="24"/>
        <v>335830.74381611147</v>
      </c>
      <c r="U42" s="6">
        <f t="shared" si="24"/>
        <v>326961.19634043355</v>
      </c>
      <c r="V42" s="6">
        <f t="shared" si="24"/>
        <v>343653.61068324209</v>
      </c>
      <c r="W42" s="6">
        <f t="shared" si="24"/>
        <v>334284.47081690701</v>
      </c>
      <c r="X42" s="6">
        <f t="shared" si="24"/>
        <v>324802.29264124506</v>
      </c>
      <c r="Y42" s="6">
        <f t="shared" si="24"/>
        <v>341865.47033407004</v>
      </c>
      <c r="Z42" s="6">
        <f t="shared" si="24"/>
        <v>331834.36026075133</v>
      </c>
      <c r="AA42" s="69"/>
      <c r="AB42" s="69"/>
    </row>
    <row r="43" spans="1:28" ht="15" x14ac:dyDescent="0.25">
      <c r="C43" s="138">
        <f>IF(D43=0,C42,IF(ISBLANK(G43),C42,1+MAX(C$18:C42)))</f>
        <v>20</v>
      </c>
      <c r="D43" s="132">
        <v>1</v>
      </c>
      <c r="F43" s="139" t="str">
        <f t="shared" si="2"/>
        <v/>
      </c>
      <c r="G43" s="4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9"/>
    </row>
    <row r="44" spans="1:28" ht="15" x14ac:dyDescent="0.25">
      <c r="C44" s="138">
        <f>IF(D44=0,C43,IF(ISBLANK(G44),C43,1+MAX(C$18:C43)))</f>
        <v>21</v>
      </c>
      <c r="D44" s="132">
        <v>1</v>
      </c>
      <c r="F44" s="139">
        <f t="shared" si="2"/>
        <v>21</v>
      </c>
      <c r="G44" s="156" t="s">
        <v>4</v>
      </c>
      <c r="H44" s="17">
        <f t="shared" ref="H44:Z44" si="25">+H42</f>
        <v>0</v>
      </c>
      <c r="I44" s="17">
        <f t="shared" si="25"/>
        <v>0</v>
      </c>
      <c r="J44" s="17">
        <f t="shared" si="25"/>
        <v>0</v>
      </c>
      <c r="K44" s="17">
        <f t="shared" si="25"/>
        <v>85438</v>
      </c>
      <c r="L44" s="17">
        <f t="shared" si="25"/>
        <v>91468.214999999967</v>
      </c>
      <c r="M44" s="17">
        <f t="shared" si="25"/>
        <v>102314.84640000004</v>
      </c>
      <c r="N44" s="17">
        <f t="shared" si="25"/>
        <v>162320.37021760002</v>
      </c>
      <c r="O44" s="17">
        <f t="shared" si="25"/>
        <v>174333.80584595201</v>
      </c>
      <c r="P44" s="17">
        <f t="shared" si="25"/>
        <v>345731.35893887107</v>
      </c>
      <c r="Q44" s="17">
        <f t="shared" si="25"/>
        <v>336624.30226164835</v>
      </c>
      <c r="R44" s="17">
        <f t="shared" si="25"/>
        <v>328315.84038688138</v>
      </c>
      <c r="S44" s="17">
        <f t="shared" si="25"/>
        <v>344608.01627461903</v>
      </c>
      <c r="T44" s="17">
        <f t="shared" si="25"/>
        <v>335830.74381611147</v>
      </c>
      <c r="U44" s="17">
        <f t="shared" si="25"/>
        <v>326961.19634043355</v>
      </c>
      <c r="V44" s="17">
        <f t="shared" si="25"/>
        <v>343653.61068324209</v>
      </c>
      <c r="W44" s="17">
        <f t="shared" si="25"/>
        <v>334284.47081690701</v>
      </c>
      <c r="X44" s="17">
        <f t="shared" si="25"/>
        <v>324802.29264124506</v>
      </c>
      <c r="Y44" s="17">
        <f t="shared" si="25"/>
        <v>341865.47033407004</v>
      </c>
      <c r="Z44" s="17">
        <f t="shared" si="25"/>
        <v>331834.36026075133</v>
      </c>
      <c r="AA44" s="69"/>
    </row>
    <row r="45" spans="1:28" ht="15" x14ac:dyDescent="0.25">
      <c r="C45" s="138">
        <f>IF(D45=0,C44,IF(ISBLANK(G45),C44,1+MAX(C$18:C44)))</f>
        <v>22</v>
      </c>
      <c r="D45" s="132">
        <v>1</v>
      </c>
      <c r="F45" s="139">
        <f t="shared" si="2"/>
        <v>22</v>
      </c>
      <c r="G45" s="17" t="s">
        <v>47</v>
      </c>
      <c r="H45" s="18">
        <v>0</v>
      </c>
      <c r="I45" s="18">
        <v>0</v>
      </c>
      <c r="J45" s="18">
        <v>0</v>
      </c>
      <c r="K45" s="18">
        <v>0</v>
      </c>
      <c r="L45" s="18">
        <v>0</v>
      </c>
      <c r="M45" s="18">
        <v>0</v>
      </c>
      <c r="N45" s="18">
        <f t="shared" ref="N45:Z45" si="26">IF($C$10="IOU",ROUND(+N44*$AB45,0),0)</f>
        <v>46894</v>
      </c>
      <c r="O45" s="18">
        <f t="shared" si="26"/>
        <v>50365</v>
      </c>
      <c r="P45" s="18">
        <f t="shared" si="26"/>
        <v>99882</v>
      </c>
      <c r="Q45" s="18">
        <f t="shared" si="26"/>
        <v>97251</v>
      </c>
      <c r="R45" s="18">
        <f t="shared" si="26"/>
        <v>94850</v>
      </c>
      <c r="S45" s="18">
        <f t="shared" si="26"/>
        <v>99557</v>
      </c>
      <c r="T45" s="18">
        <f t="shared" si="26"/>
        <v>97022</v>
      </c>
      <c r="U45" s="18">
        <f t="shared" si="26"/>
        <v>94459</v>
      </c>
      <c r="V45" s="18">
        <f t="shared" si="26"/>
        <v>99282</v>
      </c>
      <c r="W45" s="18">
        <f t="shared" si="26"/>
        <v>96575</v>
      </c>
      <c r="X45" s="18">
        <f t="shared" si="26"/>
        <v>93835</v>
      </c>
      <c r="Y45" s="18">
        <f t="shared" si="26"/>
        <v>98765</v>
      </c>
      <c r="Z45" s="18">
        <f t="shared" si="26"/>
        <v>95867</v>
      </c>
      <c r="AA45" s="69"/>
      <c r="AB45" s="157">
        <v>0.28889999999999999</v>
      </c>
    </row>
    <row r="46" spans="1:28" ht="15" x14ac:dyDescent="0.25">
      <c r="C46" s="138">
        <f>IF(D46=0,C45,IF(ISBLANK(G46),C45,1+MAX(C$18:C45)))</f>
        <v>22</v>
      </c>
      <c r="D46" s="132">
        <v>1</v>
      </c>
      <c r="F46" s="139" t="str">
        <f t="shared" si="2"/>
        <v/>
      </c>
      <c r="G46" s="17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69"/>
      <c r="AB46" s="69"/>
    </row>
    <row r="47" spans="1:28" ht="15" x14ac:dyDescent="0.25">
      <c r="C47" s="138">
        <f>IF(D47=0,C46,IF(ISBLANK(G47),C46,1+MAX(C$18:C46)))</f>
        <v>23</v>
      </c>
      <c r="D47" s="132">
        <v>1</v>
      </c>
      <c r="F47" s="139">
        <f t="shared" si="2"/>
        <v>23</v>
      </c>
      <c r="G47" s="158" t="s">
        <v>48</v>
      </c>
      <c r="H47" s="17">
        <f t="shared" ref="H47:Z47" si="27">+H44-H45</f>
        <v>0</v>
      </c>
      <c r="I47" s="17">
        <f t="shared" si="27"/>
        <v>0</v>
      </c>
      <c r="J47" s="17">
        <f t="shared" si="27"/>
        <v>0</v>
      </c>
      <c r="K47" s="17">
        <f t="shared" si="27"/>
        <v>85438</v>
      </c>
      <c r="L47" s="17">
        <f t="shared" si="27"/>
        <v>91468.214999999967</v>
      </c>
      <c r="M47" s="17">
        <f t="shared" si="27"/>
        <v>102314.84640000004</v>
      </c>
      <c r="N47" s="17">
        <f t="shared" si="27"/>
        <v>115426.37021760002</v>
      </c>
      <c r="O47" s="17">
        <f t="shared" si="27"/>
        <v>123968.80584595201</v>
      </c>
      <c r="P47" s="17">
        <f t="shared" si="27"/>
        <v>245849.35893887107</v>
      </c>
      <c r="Q47" s="17">
        <f t="shared" si="27"/>
        <v>239373.30226164835</v>
      </c>
      <c r="R47" s="17">
        <f t="shared" si="27"/>
        <v>233465.84038688138</v>
      </c>
      <c r="S47" s="17">
        <f t="shared" si="27"/>
        <v>245051.01627461903</v>
      </c>
      <c r="T47" s="17">
        <f t="shared" si="27"/>
        <v>238808.74381611147</v>
      </c>
      <c r="U47" s="17">
        <f t="shared" si="27"/>
        <v>232502.19634043355</v>
      </c>
      <c r="V47" s="17">
        <f t="shared" si="27"/>
        <v>244371.61068324209</v>
      </c>
      <c r="W47" s="17">
        <f t="shared" si="27"/>
        <v>237709.47081690701</v>
      </c>
      <c r="X47" s="17">
        <f t="shared" si="27"/>
        <v>230967.29264124506</v>
      </c>
      <c r="Y47" s="17">
        <f t="shared" si="27"/>
        <v>243100.47033407004</v>
      </c>
      <c r="Z47" s="17">
        <f t="shared" si="27"/>
        <v>235967.36026075133</v>
      </c>
      <c r="AA47" s="69"/>
      <c r="AB47" s="69"/>
    </row>
    <row r="48" spans="1:28" ht="15" x14ac:dyDescent="0.25">
      <c r="C48" s="138">
        <f>IF(D48=0,C47,IF(ISBLANK(G48),C47,1+MAX(C$18:C47)))</f>
        <v>24</v>
      </c>
      <c r="D48" s="132">
        <v>1</v>
      </c>
      <c r="F48" s="139">
        <f t="shared" si="2"/>
        <v>24</v>
      </c>
      <c r="G48" s="17" t="s">
        <v>49</v>
      </c>
      <c r="H48" s="17">
        <f t="shared" ref="H48:Z48" si="28">+H35</f>
        <v>0</v>
      </c>
      <c r="I48" s="17">
        <f t="shared" si="28"/>
        <v>0</v>
      </c>
      <c r="J48" s="17">
        <f t="shared" si="28"/>
        <v>0</v>
      </c>
      <c r="K48" s="17">
        <f t="shared" si="28"/>
        <v>60448</v>
      </c>
      <c r="L48" s="17">
        <f t="shared" si="28"/>
        <v>60448</v>
      </c>
      <c r="M48" s="17">
        <f t="shared" si="28"/>
        <v>91061.478400000007</v>
      </c>
      <c r="N48" s="17">
        <f t="shared" si="28"/>
        <v>91582.291200000007</v>
      </c>
      <c r="O48" s="17">
        <f t="shared" si="28"/>
        <v>92849.768799999991</v>
      </c>
      <c r="P48" s="17">
        <f t="shared" si="28"/>
        <v>94129.647200000007</v>
      </c>
      <c r="Q48" s="17">
        <f t="shared" si="28"/>
        <v>95426.104000000007</v>
      </c>
      <c r="R48" s="17">
        <f t="shared" si="28"/>
        <v>96741.294000000009</v>
      </c>
      <c r="S48" s="17">
        <f t="shared" si="28"/>
        <v>98073.440799999997</v>
      </c>
      <c r="T48" s="17">
        <f t="shared" si="28"/>
        <v>99424.8024</v>
      </c>
      <c r="U48" s="17">
        <f t="shared" si="28"/>
        <v>100784.28080000001</v>
      </c>
      <c r="V48" s="17">
        <f t="shared" si="28"/>
        <v>102146.61599999999</v>
      </c>
      <c r="W48" s="17">
        <f t="shared" si="28"/>
        <v>103526.2004</v>
      </c>
      <c r="X48" s="17">
        <f t="shared" si="28"/>
        <v>104926.292</v>
      </c>
      <c r="Y48" s="17">
        <f t="shared" si="28"/>
        <v>106344.166</v>
      </c>
      <c r="Z48" s="17">
        <f t="shared" si="28"/>
        <v>107781.0288</v>
      </c>
      <c r="AA48" s="69"/>
      <c r="AB48" s="69"/>
    </row>
    <row r="49" spans="1:34" ht="15" x14ac:dyDescent="0.25">
      <c r="A49" s="17" t="s">
        <v>50</v>
      </c>
      <c r="B49" s="25">
        <f>MAX(B$20:B48)+1</f>
        <v>6</v>
      </c>
      <c r="C49" s="138">
        <f>IF(D49=0,C48,IF(ISBLANK(G49),C48,1+MAX(C$18:C48)))</f>
        <v>25</v>
      </c>
      <c r="D49" s="132">
        <v>1</v>
      </c>
      <c r="F49" s="139">
        <f t="shared" si="2"/>
        <v>25</v>
      </c>
      <c r="G49" s="4" t="str">
        <f t="shared" ref="G49:G50" si="29">+A49&amp;" ("&amp;B49&amp;")"</f>
        <v>(-)  Capital Expenditures (6)</v>
      </c>
      <c r="H49" s="17">
        <f>+H444</f>
        <v>0</v>
      </c>
      <c r="I49" s="17">
        <f t="shared" ref="I49:K49" si="30">+I444</f>
        <v>0</v>
      </c>
      <c r="J49" s="17">
        <f t="shared" si="30"/>
        <v>0</v>
      </c>
      <c r="K49" s="17">
        <f t="shared" si="30"/>
        <v>70364</v>
      </c>
      <c r="L49" s="17">
        <f>+L304</f>
        <v>0</v>
      </c>
      <c r="M49" s="17">
        <f t="shared" ref="M49:Z49" si="31">+M304</f>
        <v>0</v>
      </c>
      <c r="N49" s="17">
        <f t="shared" si="31"/>
        <v>86508</v>
      </c>
      <c r="O49" s="17">
        <f t="shared" si="31"/>
        <v>87003</v>
      </c>
      <c r="P49" s="17">
        <f t="shared" si="31"/>
        <v>88207</v>
      </c>
      <c r="Q49" s="17">
        <f t="shared" si="31"/>
        <v>89423</v>
      </c>
      <c r="R49" s="17">
        <f t="shared" si="31"/>
        <v>90655</v>
      </c>
      <c r="S49" s="17">
        <f t="shared" si="31"/>
        <v>91904</v>
      </c>
      <c r="T49" s="17">
        <f t="shared" si="31"/>
        <v>93170</v>
      </c>
      <c r="U49" s="17">
        <f t="shared" si="31"/>
        <v>92651</v>
      </c>
      <c r="V49" s="17">
        <f t="shared" si="31"/>
        <v>93903</v>
      </c>
      <c r="W49" s="17">
        <f t="shared" si="31"/>
        <v>95172</v>
      </c>
      <c r="X49" s="17">
        <f t="shared" si="31"/>
        <v>96459</v>
      </c>
      <c r="Y49" s="17">
        <f t="shared" si="31"/>
        <v>97762</v>
      </c>
      <c r="Z49" s="17">
        <f t="shared" si="31"/>
        <v>99084</v>
      </c>
      <c r="AA49" s="69"/>
      <c r="AB49" s="69"/>
      <c r="AC49" s="69"/>
      <c r="AE49" s="69"/>
    </row>
    <row r="50" spans="1:34" ht="15" x14ac:dyDescent="0.25">
      <c r="A50" s="17" t="s">
        <v>51</v>
      </c>
      <c r="B50" s="25">
        <f>MAX(B$20:B49)+1</f>
        <v>7</v>
      </c>
      <c r="C50" s="138">
        <f>IF(D50=0,C49,IF(ISBLANK(G50),C49,1+MAX(C$18:C49)))</f>
        <v>26</v>
      </c>
      <c r="D50" s="132">
        <v>1</v>
      </c>
      <c r="F50" s="139">
        <f t="shared" si="2"/>
        <v>26</v>
      </c>
      <c r="G50" s="4" t="str">
        <f t="shared" si="29"/>
        <v>(-)  Changes in Working Capital (7)</v>
      </c>
      <c r="H50" s="18">
        <f t="shared" ref="H50:J50" si="32">0.0024*H40</f>
        <v>0</v>
      </c>
      <c r="I50" s="18">
        <f t="shared" si="32"/>
        <v>0</v>
      </c>
      <c r="J50" s="18">
        <f t="shared" si="32"/>
        <v>0</v>
      </c>
      <c r="K50" s="18">
        <f>-0.0119*K40</f>
        <v>-8758.6856000000007</v>
      </c>
      <c r="L50" s="18">
        <f t="shared" ref="L50:Z50" si="33">-0.0119*L40</f>
        <v>-8970.8980025000001</v>
      </c>
      <c r="M50" s="18">
        <f t="shared" si="33"/>
        <v>-9607.5352100000018</v>
      </c>
      <c r="N50" s="18">
        <f t="shared" si="33"/>
        <v>-9901.9067000000014</v>
      </c>
      <c r="O50" s="18">
        <f t="shared" si="33"/>
        <v>-10196.8958</v>
      </c>
      <c r="P50" s="18">
        <f t="shared" si="33"/>
        <v>-12391.386700000001</v>
      </c>
      <c r="Q50" s="18">
        <f t="shared" si="33"/>
        <v>-12451.648300000001</v>
      </c>
      <c r="R50" s="18">
        <f t="shared" si="33"/>
        <v>-12512.302600000001</v>
      </c>
      <c r="S50" s="18">
        <f t="shared" si="33"/>
        <v>-12868.779</v>
      </c>
      <c r="T50" s="18">
        <f t="shared" si="33"/>
        <v>-12931.777600000001</v>
      </c>
      <c r="U50" s="18">
        <f t="shared" si="33"/>
        <v>-12995.0856</v>
      </c>
      <c r="V50" s="18">
        <f t="shared" si="33"/>
        <v>-13365.639700000002</v>
      </c>
      <c r="W50" s="18">
        <f t="shared" si="33"/>
        <v>-13431.113500000001</v>
      </c>
      <c r="X50" s="18">
        <f t="shared" si="33"/>
        <v>-13496.9205</v>
      </c>
      <c r="Y50" s="18">
        <f t="shared" si="33"/>
        <v>-13882.075900000002</v>
      </c>
      <c r="Z50" s="18">
        <f t="shared" si="33"/>
        <v>-13950.143900000001</v>
      </c>
      <c r="AA50" s="69"/>
      <c r="AB50" s="69"/>
      <c r="AC50" s="69"/>
      <c r="AE50" s="69"/>
    </row>
    <row r="51" spans="1:34" ht="15" x14ac:dyDescent="0.25">
      <c r="C51" s="138">
        <f>IF(D51=0,C50,IF(ISBLANK(G51),C50,1+MAX(C$18:C50)))</f>
        <v>26</v>
      </c>
      <c r="D51" s="132">
        <v>1</v>
      </c>
      <c r="F51" s="139" t="str">
        <f t="shared" si="2"/>
        <v/>
      </c>
      <c r="G51" s="17"/>
      <c r="H51" s="16"/>
      <c r="I51" s="16"/>
      <c r="J51" s="16"/>
      <c r="K51" s="16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</row>
    <row r="52" spans="1:34" ht="15.75" thickBot="1" x14ac:dyDescent="0.3">
      <c r="C52" s="138">
        <f>IF(D52=0,C51,IF(ISBLANK(G52),C51,1+MAX(C$18:C51)))</f>
        <v>27</v>
      </c>
      <c r="D52" s="132">
        <v>1</v>
      </c>
      <c r="F52" s="139">
        <f t="shared" si="2"/>
        <v>27</v>
      </c>
      <c r="G52" s="158" t="s">
        <v>52</v>
      </c>
      <c r="H52" s="20">
        <f>+H47+H48-H49-H50</f>
        <v>0</v>
      </c>
      <c r="I52" s="20">
        <f t="shared" ref="I52:Z52" si="34">+I47+I48-I49-I50</f>
        <v>0</v>
      </c>
      <c r="J52" s="20">
        <f t="shared" si="34"/>
        <v>0</v>
      </c>
      <c r="K52" s="20">
        <f t="shared" si="34"/>
        <v>84280.685599999997</v>
      </c>
      <c r="L52" s="20">
        <f t="shared" si="34"/>
        <v>160887.11300249997</v>
      </c>
      <c r="M52" s="20">
        <f t="shared" si="34"/>
        <v>202983.86001000006</v>
      </c>
      <c r="N52" s="20">
        <f t="shared" si="34"/>
        <v>130402.56811760004</v>
      </c>
      <c r="O52" s="20">
        <f t="shared" si="34"/>
        <v>140012.470445952</v>
      </c>
      <c r="P52" s="20">
        <f t="shared" si="34"/>
        <v>264163.39283887105</v>
      </c>
      <c r="Q52" s="20">
        <f t="shared" si="34"/>
        <v>257828.05456164834</v>
      </c>
      <c r="R52" s="20">
        <f t="shared" si="34"/>
        <v>252064.43698688137</v>
      </c>
      <c r="S52" s="20">
        <f t="shared" si="34"/>
        <v>264089.236074619</v>
      </c>
      <c r="T52" s="20">
        <f t="shared" si="34"/>
        <v>257995.32381611146</v>
      </c>
      <c r="U52" s="20">
        <f t="shared" si="34"/>
        <v>253630.56274043355</v>
      </c>
      <c r="V52" s="20">
        <f t="shared" si="34"/>
        <v>265980.86638324207</v>
      </c>
      <c r="W52" s="20">
        <f t="shared" si="34"/>
        <v>259494.78471690699</v>
      </c>
      <c r="X52" s="20">
        <f t="shared" si="34"/>
        <v>252931.50514124508</v>
      </c>
      <c r="Y52" s="20">
        <f t="shared" si="34"/>
        <v>265564.71223407</v>
      </c>
      <c r="Z52" s="20">
        <f t="shared" si="34"/>
        <v>258614.5329607513</v>
      </c>
      <c r="AA52" s="5"/>
      <c r="AB52" s="5">
        <f>+Z52</f>
        <v>258614.5329607513</v>
      </c>
      <c r="AC52" s="5"/>
      <c r="AE52" s="159"/>
    </row>
    <row r="53" spans="1:34" ht="15.75" thickTop="1" x14ac:dyDescent="0.25">
      <c r="C53" s="138">
        <f>IF(D53=0,C52,IF(ISBLANK(G53),C52,1+MAX(C$18:C52)))</f>
        <v>28</v>
      </c>
      <c r="D53" s="132">
        <f>IF($C$10="SUBJECT",0,1)</f>
        <v>1</v>
      </c>
      <c r="F53" s="139">
        <f t="shared" si="2"/>
        <v>28</v>
      </c>
      <c r="G53" s="160" t="s">
        <v>53</v>
      </c>
      <c r="H53" s="21"/>
      <c r="I53" s="22"/>
      <c r="J53" s="22"/>
      <c r="K53" s="22"/>
      <c r="L53" s="22"/>
      <c r="M53" s="23">
        <v>-0.5</v>
      </c>
      <c r="N53" s="24">
        <f t="shared" ref="N53:R53" si="35">+M53+1</f>
        <v>0.5</v>
      </c>
      <c r="O53" s="24">
        <f t="shared" si="35"/>
        <v>1.5</v>
      </c>
      <c r="P53" s="24">
        <f t="shared" si="35"/>
        <v>2.5</v>
      </c>
      <c r="Q53" s="24">
        <f t="shared" si="35"/>
        <v>3.5</v>
      </c>
      <c r="R53" s="24">
        <f t="shared" si="35"/>
        <v>4.5</v>
      </c>
      <c r="S53" s="24">
        <f>+R53+1</f>
        <v>5.5</v>
      </c>
      <c r="T53" s="24">
        <f>+S53+1</f>
        <v>6.5</v>
      </c>
      <c r="U53" s="24">
        <f>+T53+1</f>
        <v>7.5</v>
      </c>
      <c r="V53" s="24">
        <f>+U53+1</f>
        <v>8.5</v>
      </c>
      <c r="W53" s="24">
        <f t="shared" ref="W53:Z53" si="36">+V53+1</f>
        <v>9.5</v>
      </c>
      <c r="X53" s="24">
        <f t="shared" si="36"/>
        <v>10.5</v>
      </c>
      <c r="Y53" s="24">
        <f t="shared" si="36"/>
        <v>11.5</v>
      </c>
      <c r="Z53" s="24">
        <f t="shared" si="36"/>
        <v>12.5</v>
      </c>
      <c r="AA53" s="5"/>
      <c r="AB53" s="5"/>
      <c r="AC53" s="5"/>
    </row>
    <row r="54" spans="1:34" ht="15" x14ac:dyDescent="0.25">
      <c r="B54" s="25">
        <f>MAX(B$20:B53)+1</f>
        <v>8</v>
      </c>
      <c r="C54" s="138">
        <f>IF(D54=0,C53,IF(ISBLANK(G54),C53,1+MAX(C$18:C53)))</f>
        <v>29</v>
      </c>
      <c r="D54" s="132">
        <f t="shared" ref="D54:D68" si="37">IF($C$10="IOU",1,0)</f>
        <v>1</v>
      </c>
      <c r="F54" s="139">
        <f t="shared" si="2"/>
        <v>29</v>
      </c>
      <c r="G54" s="120" t="str">
        <f>+"Present Value Factor:   "&amp;TEXT(AC54,"0.00%")&amp;"  ("&amp;B54&amp;")"</f>
        <v>Present Value Factor:   7.12%  (8)</v>
      </c>
      <c r="J54" s="6"/>
      <c r="K54" s="6"/>
      <c r="L54" s="6"/>
      <c r="M54" s="6"/>
      <c r="N54" s="161">
        <f t="shared" ref="N54:Z54" si="38">ROUND((1/((1+$AC54)^N53)),4)</f>
        <v>0.96619999999999995</v>
      </c>
      <c r="O54" s="161">
        <f t="shared" si="38"/>
        <v>0.90200000000000002</v>
      </c>
      <c r="P54" s="161">
        <f t="shared" si="38"/>
        <v>0.84199999999999997</v>
      </c>
      <c r="Q54" s="161">
        <f t="shared" si="38"/>
        <v>0.78610000000000002</v>
      </c>
      <c r="R54" s="161">
        <f t="shared" si="38"/>
        <v>0.73380000000000001</v>
      </c>
      <c r="S54" s="161">
        <f t="shared" si="38"/>
        <v>0.68500000000000005</v>
      </c>
      <c r="T54" s="161">
        <f t="shared" si="38"/>
        <v>0.63949999999999996</v>
      </c>
      <c r="U54" s="161">
        <f t="shared" si="38"/>
        <v>0.59699999999999998</v>
      </c>
      <c r="V54" s="161">
        <f t="shared" si="38"/>
        <v>0.55730000000000002</v>
      </c>
      <c r="W54" s="161">
        <f t="shared" si="38"/>
        <v>0.52029999999999998</v>
      </c>
      <c r="X54" s="161">
        <f t="shared" si="38"/>
        <v>0.48570000000000002</v>
      </c>
      <c r="Y54" s="161">
        <f t="shared" si="38"/>
        <v>0.45340000000000003</v>
      </c>
      <c r="Z54" s="161">
        <f t="shared" si="38"/>
        <v>0.42330000000000001</v>
      </c>
      <c r="AC54" s="162">
        <f>+H2</f>
        <v>7.1199999999999999E-2</v>
      </c>
      <c r="AD54" s="163" t="s">
        <v>54</v>
      </c>
      <c r="AE54" s="5"/>
      <c r="AF54" s="5"/>
      <c r="AG54" s="5"/>
      <c r="AH54" s="5"/>
    </row>
    <row r="55" spans="1:34" ht="15" x14ac:dyDescent="0.25">
      <c r="C55" s="138">
        <f>IF(D55=0,C54,IF(ISBLANK(G55),C54,1+MAX(C$18:C54)))</f>
        <v>29</v>
      </c>
      <c r="D55" s="132">
        <f t="shared" si="37"/>
        <v>1</v>
      </c>
      <c r="F55" s="139" t="str">
        <f t="shared" si="2"/>
        <v/>
      </c>
      <c r="G55" s="120"/>
      <c r="H55" s="120"/>
      <c r="I55" s="164"/>
      <c r="J55" s="6"/>
      <c r="K55" s="6"/>
      <c r="L55" s="6"/>
      <c r="M55" s="6"/>
      <c r="N55" s="165"/>
      <c r="O55" s="165"/>
      <c r="P55" s="165"/>
      <c r="Q55" s="165"/>
      <c r="R55" s="165"/>
      <c r="S55" s="165"/>
      <c r="T55" s="165"/>
      <c r="U55" s="165"/>
      <c r="V55" s="165"/>
      <c r="W55" s="165"/>
      <c r="X55" s="165"/>
      <c r="Y55" s="165"/>
      <c r="Z55" s="165"/>
      <c r="AB55" s="5"/>
      <c r="AC55" s="5"/>
      <c r="AD55" s="5"/>
      <c r="AE55" s="5"/>
      <c r="AF55" s="5"/>
      <c r="AG55" s="5"/>
      <c r="AH55" s="5"/>
    </row>
    <row r="56" spans="1:34" ht="15.75" thickBot="1" x14ac:dyDescent="0.3">
      <c r="C56" s="138">
        <f>IF(D56=0,C55,IF(ISBLANK(G56),C55,1+MAX(C$18:C55)))</f>
        <v>30</v>
      </c>
      <c r="D56" s="132">
        <f t="shared" si="37"/>
        <v>1</v>
      </c>
      <c r="F56" s="139">
        <f t="shared" si="2"/>
        <v>30</v>
      </c>
      <c r="G56" s="120" t="s">
        <v>55</v>
      </c>
      <c r="H56" s="120"/>
      <c r="I56" s="33"/>
      <c r="J56" s="6"/>
      <c r="K56" s="6"/>
      <c r="L56" s="6"/>
      <c r="M56" s="6"/>
      <c r="N56" s="20">
        <f t="shared" ref="N56:R56" si="39">+N52*N54</f>
        <v>125994.96131522515</v>
      </c>
      <c r="O56" s="20">
        <f t="shared" si="39"/>
        <v>126291.24834224871</v>
      </c>
      <c r="P56" s="20">
        <f t="shared" si="39"/>
        <v>222425.57677032941</v>
      </c>
      <c r="Q56" s="20">
        <f t="shared" si="39"/>
        <v>202678.63369091178</v>
      </c>
      <c r="R56" s="20">
        <f t="shared" si="39"/>
        <v>184964.88386097355</v>
      </c>
      <c r="S56" s="20">
        <f>+S52*S54</f>
        <v>180901.12671111402</v>
      </c>
      <c r="T56" s="20">
        <f>+T52*T54</f>
        <v>164988.00958040328</v>
      </c>
      <c r="U56" s="20">
        <f>+U52*U54</f>
        <v>151417.44595603883</v>
      </c>
      <c r="V56" s="20">
        <f>+V52*V54</f>
        <v>148231.13683538081</v>
      </c>
      <c r="W56" s="20">
        <f t="shared" ref="W56:Z56" si="40">+W52*W54</f>
        <v>135015.13648820671</v>
      </c>
      <c r="X56" s="20">
        <f t="shared" si="40"/>
        <v>122848.83204710274</v>
      </c>
      <c r="Y56" s="20">
        <f t="shared" si="40"/>
        <v>120407.04052692735</v>
      </c>
      <c r="Z56" s="20">
        <f t="shared" si="40"/>
        <v>109471.53180228603</v>
      </c>
      <c r="AB56" s="17">
        <f>SUM(M56:Z56)</f>
        <v>1995635.5639271482</v>
      </c>
      <c r="AC56" s="5"/>
      <c r="AD56" s="5"/>
      <c r="AE56" s="5"/>
      <c r="AF56" s="5"/>
      <c r="AG56" s="5"/>
      <c r="AH56" s="5"/>
    </row>
    <row r="57" spans="1:34" ht="15.75" thickTop="1" x14ac:dyDescent="0.25">
      <c r="C57" s="138">
        <f>IF(D57=0,C56,IF(ISBLANK(G57),C56,1+MAX(C$18:C56)))</f>
        <v>30</v>
      </c>
      <c r="D57" s="132">
        <f t="shared" si="37"/>
        <v>1</v>
      </c>
      <c r="F57" s="139" t="str">
        <f t="shared" si="2"/>
        <v/>
      </c>
      <c r="I57" s="6"/>
      <c r="J57" s="6"/>
      <c r="K57" s="6"/>
      <c r="L57" s="6"/>
      <c r="M57" s="6"/>
      <c r="N57" s="166">
        <f t="shared" ref="N57:R57" si="41">+N53</f>
        <v>0.5</v>
      </c>
      <c r="O57" s="166">
        <f t="shared" si="41"/>
        <v>1.5</v>
      </c>
      <c r="P57" s="166">
        <f t="shared" si="41"/>
        <v>2.5</v>
      </c>
      <c r="Q57" s="166">
        <f t="shared" si="41"/>
        <v>3.5</v>
      </c>
      <c r="R57" s="166">
        <f t="shared" si="41"/>
        <v>4.5</v>
      </c>
      <c r="S57" s="166">
        <f>+S53</f>
        <v>5.5</v>
      </c>
      <c r="T57" s="166">
        <f>+T53</f>
        <v>6.5</v>
      </c>
      <c r="U57" s="166">
        <f>+U53</f>
        <v>7.5</v>
      </c>
      <c r="V57" s="166">
        <f>+V53</f>
        <v>8.5</v>
      </c>
      <c r="W57" s="166">
        <f t="shared" ref="W57:Z57" si="42">+W53</f>
        <v>9.5</v>
      </c>
      <c r="X57" s="166">
        <f t="shared" si="42"/>
        <v>10.5</v>
      </c>
      <c r="Y57" s="166">
        <f t="shared" si="42"/>
        <v>11.5</v>
      </c>
      <c r="Z57" s="166">
        <f t="shared" si="42"/>
        <v>12.5</v>
      </c>
      <c r="AB57" s="5"/>
      <c r="AC57" s="5"/>
      <c r="AD57" s="5"/>
      <c r="AE57" s="5"/>
      <c r="AF57" s="5"/>
      <c r="AG57" s="5"/>
      <c r="AH57" s="5"/>
    </row>
    <row r="58" spans="1:34" ht="15" x14ac:dyDescent="0.25">
      <c r="B58" s="25">
        <f>MAX(B$20:B57)+1</f>
        <v>9</v>
      </c>
      <c r="C58" s="138">
        <f>IF(D58=0,C57,IF(ISBLANK(G58),C57,1+MAX(C$18:C57)))</f>
        <v>31</v>
      </c>
      <c r="D58" s="132">
        <f t="shared" si="37"/>
        <v>1</v>
      </c>
      <c r="F58" s="139">
        <f t="shared" si="2"/>
        <v>31</v>
      </c>
      <c r="G58" s="120" t="str">
        <f>+"Present Value Factor:   "&amp;TEXT(AC58,"0.00%")&amp;"  ("&amp;B58&amp;")"</f>
        <v>Present Value Factor:   8.48%  (9)</v>
      </c>
      <c r="J58" s="6"/>
      <c r="K58" s="6"/>
      <c r="L58" s="6"/>
      <c r="M58" s="6"/>
      <c r="N58" s="161">
        <f t="shared" ref="N58:Z58" si="43">ROUND((1/((1+$AC58)^N57)),4)</f>
        <v>0.96009999999999995</v>
      </c>
      <c r="O58" s="161">
        <f t="shared" si="43"/>
        <v>0.8851</v>
      </c>
      <c r="P58" s="161">
        <f t="shared" si="43"/>
        <v>0.81589999999999996</v>
      </c>
      <c r="Q58" s="161">
        <f t="shared" si="43"/>
        <v>0.75209999999999999</v>
      </c>
      <c r="R58" s="161">
        <f t="shared" si="43"/>
        <v>0.69330000000000003</v>
      </c>
      <c r="S58" s="161">
        <f t="shared" si="43"/>
        <v>0.6391</v>
      </c>
      <c r="T58" s="161">
        <f t="shared" si="43"/>
        <v>0.58919999999999995</v>
      </c>
      <c r="U58" s="161">
        <f t="shared" si="43"/>
        <v>0.54310000000000003</v>
      </c>
      <c r="V58" s="161">
        <f t="shared" si="43"/>
        <v>0.50060000000000004</v>
      </c>
      <c r="W58" s="161">
        <f t="shared" si="43"/>
        <v>0.46150000000000002</v>
      </c>
      <c r="X58" s="161">
        <f t="shared" si="43"/>
        <v>0.4254</v>
      </c>
      <c r="Y58" s="161">
        <f t="shared" si="43"/>
        <v>0.39219999999999999</v>
      </c>
      <c r="Z58" s="161">
        <f t="shared" si="43"/>
        <v>0.36149999999999999</v>
      </c>
      <c r="AB58" s="5"/>
      <c r="AC58" s="162">
        <f>+H3</f>
        <v>8.48E-2</v>
      </c>
      <c r="AD58" s="163" t="s">
        <v>56</v>
      </c>
      <c r="AE58" s="5"/>
      <c r="AF58" s="5"/>
      <c r="AG58" s="5"/>
      <c r="AH58" s="5"/>
    </row>
    <row r="59" spans="1:34" ht="15" x14ac:dyDescent="0.25">
      <c r="C59" s="138">
        <f>IF(D59=0,C58,IF(ISBLANK(G59),C58,1+MAX(C$18:C58)))</f>
        <v>31</v>
      </c>
      <c r="D59" s="132">
        <f t="shared" si="37"/>
        <v>1</v>
      </c>
      <c r="F59" s="139" t="str">
        <f t="shared" si="2"/>
        <v/>
      </c>
      <c r="G59" s="120"/>
      <c r="H59" s="120"/>
      <c r="I59" s="164"/>
      <c r="J59" s="6"/>
      <c r="K59" s="6"/>
      <c r="L59" s="6"/>
      <c r="M59" s="6"/>
      <c r="N59" s="165"/>
      <c r="O59" s="165"/>
      <c r="P59" s="165"/>
      <c r="Q59" s="165"/>
      <c r="R59" s="165"/>
      <c r="S59" s="165"/>
      <c r="T59" s="165"/>
      <c r="U59" s="165"/>
      <c r="V59" s="165"/>
      <c r="W59" s="165"/>
      <c r="X59" s="165"/>
      <c r="Y59" s="165"/>
      <c r="Z59" s="165"/>
      <c r="AB59" s="5"/>
      <c r="AC59" s="5"/>
      <c r="AD59" s="5"/>
      <c r="AE59" s="5"/>
      <c r="AF59" s="5"/>
      <c r="AG59" s="5"/>
      <c r="AH59" s="5"/>
    </row>
    <row r="60" spans="1:34" ht="15.75" thickBot="1" x14ac:dyDescent="0.3">
      <c r="C60" s="138">
        <f>IF(D60=0,C59,IF(ISBLANK(G60),C59,1+MAX(C$18:C59)))</f>
        <v>32</v>
      </c>
      <c r="D60" s="132">
        <f t="shared" si="37"/>
        <v>1</v>
      </c>
      <c r="F60" s="139">
        <f t="shared" si="2"/>
        <v>32</v>
      </c>
      <c r="G60" s="120" t="s">
        <v>55</v>
      </c>
      <c r="H60" s="120"/>
      <c r="I60" s="33"/>
      <c r="J60" s="6"/>
      <c r="K60" s="6"/>
      <c r="L60" s="6"/>
      <c r="M60" s="6"/>
      <c r="N60" s="20">
        <f t="shared" ref="N60:Z60" si="44">+N52*N58</f>
        <v>125199.50564970779</v>
      </c>
      <c r="O60" s="20">
        <f t="shared" si="44"/>
        <v>123925.03759171211</v>
      </c>
      <c r="P60" s="20">
        <f t="shared" si="44"/>
        <v>215530.91221723487</v>
      </c>
      <c r="Q60" s="20">
        <f t="shared" si="44"/>
        <v>193912.47983581573</v>
      </c>
      <c r="R60" s="20">
        <f t="shared" si="44"/>
        <v>174756.27416300485</v>
      </c>
      <c r="S60" s="20">
        <f t="shared" si="44"/>
        <v>168779.43077528899</v>
      </c>
      <c r="T60" s="20">
        <f t="shared" si="44"/>
        <v>152010.84479245284</v>
      </c>
      <c r="U60" s="20">
        <f t="shared" si="44"/>
        <v>137746.75862432946</v>
      </c>
      <c r="V60" s="20">
        <f t="shared" si="44"/>
        <v>133150.021711451</v>
      </c>
      <c r="W60" s="20">
        <f t="shared" si="44"/>
        <v>119756.84314685258</v>
      </c>
      <c r="X60" s="20">
        <f t="shared" si="44"/>
        <v>107597.06228708566</v>
      </c>
      <c r="Y60" s="20">
        <f t="shared" si="44"/>
        <v>104154.48013820226</v>
      </c>
      <c r="Z60" s="20">
        <f t="shared" si="44"/>
        <v>93489.153665311591</v>
      </c>
      <c r="AB60" s="17">
        <f>SUM(M60:Z60)</f>
        <v>1850008.8045984497</v>
      </c>
      <c r="AC60" s="5"/>
      <c r="AD60" s="5"/>
      <c r="AE60" s="5"/>
      <c r="AF60" s="5"/>
      <c r="AG60" s="5"/>
      <c r="AH60" s="5"/>
    </row>
    <row r="61" spans="1:34" ht="15.75" thickTop="1" x14ac:dyDescent="0.25">
      <c r="C61" s="138">
        <f>IF(D61=0,C60,IF(ISBLANK(G61),C60,1+MAX(C$18:C60)))</f>
        <v>32</v>
      </c>
      <c r="D61" s="132">
        <f t="shared" si="37"/>
        <v>1</v>
      </c>
      <c r="F61" s="139" t="str">
        <f t="shared" si="2"/>
        <v/>
      </c>
      <c r="I61" s="6"/>
      <c r="J61" s="6"/>
      <c r="K61" s="6"/>
      <c r="L61" s="6"/>
      <c r="M61" s="6"/>
      <c r="N61" s="167">
        <f t="shared" ref="N61:Z61" si="45">+N57</f>
        <v>0.5</v>
      </c>
      <c r="O61" s="167">
        <f t="shared" si="45"/>
        <v>1.5</v>
      </c>
      <c r="P61" s="167">
        <f t="shared" si="45"/>
        <v>2.5</v>
      </c>
      <c r="Q61" s="167">
        <f t="shared" si="45"/>
        <v>3.5</v>
      </c>
      <c r="R61" s="167">
        <f t="shared" si="45"/>
        <v>4.5</v>
      </c>
      <c r="S61" s="167">
        <f t="shared" si="45"/>
        <v>5.5</v>
      </c>
      <c r="T61" s="167">
        <f t="shared" si="45"/>
        <v>6.5</v>
      </c>
      <c r="U61" s="167">
        <f t="shared" si="45"/>
        <v>7.5</v>
      </c>
      <c r="V61" s="167">
        <f t="shared" si="45"/>
        <v>8.5</v>
      </c>
      <c r="W61" s="167">
        <f t="shared" si="45"/>
        <v>9.5</v>
      </c>
      <c r="X61" s="167">
        <f t="shared" si="45"/>
        <v>10.5</v>
      </c>
      <c r="Y61" s="167">
        <f t="shared" si="45"/>
        <v>11.5</v>
      </c>
      <c r="Z61" s="167">
        <f t="shared" si="45"/>
        <v>12.5</v>
      </c>
      <c r="AB61" s="5"/>
      <c r="AC61" s="5"/>
      <c r="AD61" s="5"/>
      <c r="AE61" s="5"/>
      <c r="AF61" s="5"/>
      <c r="AG61" s="5"/>
      <c r="AH61" s="5"/>
    </row>
    <row r="62" spans="1:34" ht="15" x14ac:dyDescent="0.25">
      <c r="B62" s="25">
        <f>+B$54</f>
        <v>8</v>
      </c>
      <c r="C62" s="138">
        <f>IF(D62=0,C61,IF(ISBLANK(G62),C61,1+MAX(C$18:C61)))</f>
        <v>33</v>
      </c>
      <c r="D62" s="132">
        <f t="shared" si="37"/>
        <v>1</v>
      </c>
      <c r="F62" s="139">
        <f t="shared" si="2"/>
        <v>33</v>
      </c>
      <c r="G62" s="120" t="str">
        <f>+"Present Value Factor:   "&amp;TEXT(AC62,"0.00%")&amp;"  ("&amp;B62&amp;")"</f>
        <v>Present Value Factor:   7.02%  (8)</v>
      </c>
      <c r="J62" s="6"/>
      <c r="K62" s="6"/>
      <c r="L62" s="6"/>
      <c r="M62" s="6"/>
      <c r="N62" s="161">
        <f t="shared" ref="N62:Z62" si="46">ROUND((1/((1+$AC62)^N61)),4)</f>
        <v>0.96660000000000001</v>
      </c>
      <c r="O62" s="161">
        <f t="shared" si="46"/>
        <v>0.9032</v>
      </c>
      <c r="P62" s="161">
        <f t="shared" si="46"/>
        <v>0.84399999999999997</v>
      </c>
      <c r="Q62" s="161">
        <f t="shared" si="46"/>
        <v>0.78859999999999997</v>
      </c>
      <c r="R62" s="161">
        <f t="shared" si="46"/>
        <v>0.7369</v>
      </c>
      <c r="S62" s="161">
        <f t="shared" si="46"/>
        <v>0.68859999999999999</v>
      </c>
      <c r="T62" s="161">
        <f t="shared" si="46"/>
        <v>0.64339999999999997</v>
      </c>
      <c r="U62" s="161">
        <f t="shared" si="46"/>
        <v>0.60119999999999996</v>
      </c>
      <c r="V62" s="161">
        <f t="shared" si="46"/>
        <v>0.56179999999999997</v>
      </c>
      <c r="W62" s="161">
        <f t="shared" si="46"/>
        <v>0.52490000000000003</v>
      </c>
      <c r="X62" s="161">
        <f t="shared" si="46"/>
        <v>0.49049999999999999</v>
      </c>
      <c r="Y62" s="161">
        <f t="shared" si="46"/>
        <v>0.45829999999999999</v>
      </c>
      <c r="Z62" s="161">
        <f t="shared" si="46"/>
        <v>0.42820000000000003</v>
      </c>
      <c r="AC62" s="162">
        <f>+AC54-H9</f>
        <v>7.0199999999999999E-2</v>
      </c>
      <c r="AD62" s="163" t="s">
        <v>54</v>
      </c>
      <c r="AE62" s="5"/>
      <c r="AF62" s="5"/>
      <c r="AG62" s="5"/>
      <c r="AH62" s="5"/>
    </row>
    <row r="63" spans="1:34" ht="15" x14ac:dyDescent="0.25">
      <c r="C63" s="138">
        <f>IF(D63=0,C62,IF(ISBLANK(G63),C62,1+MAX(C$18:C62)))</f>
        <v>33</v>
      </c>
      <c r="D63" s="132">
        <f t="shared" si="37"/>
        <v>1</v>
      </c>
      <c r="F63" s="139" t="str">
        <f t="shared" si="2"/>
        <v/>
      </c>
      <c r="G63" s="120"/>
      <c r="H63" s="120"/>
      <c r="I63" s="164"/>
      <c r="J63" s="6"/>
      <c r="K63" s="6"/>
      <c r="L63" s="6"/>
      <c r="M63" s="6"/>
      <c r="N63" s="165"/>
      <c r="O63" s="165"/>
      <c r="P63" s="165"/>
      <c r="Q63" s="165"/>
      <c r="R63" s="165"/>
      <c r="S63" s="165"/>
      <c r="T63" s="165"/>
      <c r="U63" s="165"/>
      <c r="V63" s="165"/>
      <c r="W63" s="165"/>
      <c r="X63" s="165"/>
      <c r="Y63" s="165"/>
      <c r="Z63" s="165"/>
      <c r="AB63" s="5"/>
      <c r="AC63" s="5"/>
      <c r="AD63" s="5"/>
      <c r="AE63" s="5"/>
      <c r="AF63" s="5"/>
      <c r="AG63" s="5"/>
      <c r="AH63" s="5"/>
    </row>
    <row r="64" spans="1:34" ht="15.75" thickBot="1" x14ac:dyDescent="0.3">
      <c r="C64" s="138">
        <f>IF(D64=0,C63,IF(ISBLANK(G64),C63,1+MAX(C$18:C63)))</f>
        <v>34</v>
      </c>
      <c r="D64" s="132">
        <f t="shared" si="37"/>
        <v>1</v>
      </c>
      <c r="F64" s="139">
        <f t="shared" si="2"/>
        <v>34</v>
      </c>
      <c r="G64" s="120" t="s">
        <v>55</v>
      </c>
      <c r="H64" s="120"/>
      <c r="I64" s="33"/>
      <c r="J64" s="6"/>
      <c r="K64" s="6"/>
      <c r="L64" s="6"/>
      <c r="M64" s="6"/>
      <c r="N64" s="20">
        <f t="shared" ref="N64:Z64" si="47">+N$52*N62</f>
        <v>126047.1223424722</v>
      </c>
      <c r="O64" s="20">
        <f t="shared" si="47"/>
        <v>126459.26330678385</v>
      </c>
      <c r="P64" s="20">
        <f t="shared" si="47"/>
        <v>222953.90355600716</v>
      </c>
      <c r="Q64" s="20">
        <f t="shared" si="47"/>
        <v>203323.20382731588</v>
      </c>
      <c r="R64" s="20">
        <f t="shared" si="47"/>
        <v>185746.28361563288</v>
      </c>
      <c r="S64" s="20">
        <f t="shared" si="47"/>
        <v>181851.84796098265</v>
      </c>
      <c r="T64" s="20">
        <f t="shared" si="47"/>
        <v>165994.1913432861</v>
      </c>
      <c r="U64" s="20">
        <f t="shared" si="47"/>
        <v>152482.69431954864</v>
      </c>
      <c r="V64" s="20">
        <f t="shared" si="47"/>
        <v>149428.05073410537</v>
      </c>
      <c r="W64" s="20">
        <f t="shared" si="47"/>
        <v>136208.8124979045</v>
      </c>
      <c r="X64" s="20">
        <f t="shared" si="47"/>
        <v>124062.90327178071</v>
      </c>
      <c r="Y64" s="20">
        <f t="shared" si="47"/>
        <v>121708.30761687428</v>
      </c>
      <c r="Z64" s="20">
        <f t="shared" si="47"/>
        <v>110738.74301379372</v>
      </c>
      <c r="AB64" s="17">
        <f>SUM(M64:Z64)</f>
        <v>2007005.3274064879</v>
      </c>
      <c r="AC64" s="5"/>
      <c r="AD64" s="5"/>
      <c r="AE64" s="5"/>
      <c r="AF64" s="5"/>
      <c r="AG64" s="5"/>
      <c r="AH64" s="5"/>
    </row>
    <row r="65" spans="1:34" ht="15.75" thickTop="1" x14ac:dyDescent="0.25">
      <c r="C65" s="138">
        <f>IF(D65=0,C64,IF(ISBLANK(G65),C64,1+MAX(C$18:C64)))</f>
        <v>34</v>
      </c>
      <c r="D65" s="132">
        <f t="shared" si="37"/>
        <v>1</v>
      </c>
      <c r="F65" s="139" t="str">
        <f t="shared" si="2"/>
        <v/>
      </c>
      <c r="I65" s="6"/>
      <c r="J65" s="6"/>
      <c r="K65" s="6"/>
      <c r="L65" s="6"/>
      <c r="M65" s="6"/>
      <c r="N65" s="167">
        <f t="shared" ref="N65:Z65" si="48">+N61</f>
        <v>0.5</v>
      </c>
      <c r="O65" s="167">
        <f t="shared" si="48"/>
        <v>1.5</v>
      </c>
      <c r="P65" s="167">
        <f t="shared" si="48"/>
        <v>2.5</v>
      </c>
      <c r="Q65" s="167">
        <f t="shared" si="48"/>
        <v>3.5</v>
      </c>
      <c r="R65" s="167">
        <f t="shared" si="48"/>
        <v>4.5</v>
      </c>
      <c r="S65" s="167">
        <f t="shared" si="48"/>
        <v>5.5</v>
      </c>
      <c r="T65" s="167">
        <f t="shared" si="48"/>
        <v>6.5</v>
      </c>
      <c r="U65" s="167">
        <f t="shared" si="48"/>
        <v>7.5</v>
      </c>
      <c r="V65" s="167">
        <f t="shared" si="48"/>
        <v>8.5</v>
      </c>
      <c r="W65" s="167">
        <f t="shared" si="48"/>
        <v>9.5</v>
      </c>
      <c r="X65" s="167">
        <f t="shared" si="48"/>
        <v>10.5</v>
      </c>
      <c r="Y65" s="167">
        <f t="shared" si="48"/>
        <v>11.5</v>
      </c>
      <c r="Z65" s="167">
        <f t="shared" si="48"/>
        <v>12.5</v>
      </c>
      <c r="AB65" s="5"/>
      <c r="AC65" s="5"/>
      <c r="AD65" s="5"/>
      <c r="AE65" s="5"/>
      <c r="AF65" s="5"/>
      <c r="AG65" s="5"/>
      <c r="AH65" s="5"/>
    </row>
    <row r="66" spans="1:34" ht="15" x14ac:dyDescent="0.25">
      <c r="B66" s="25">
        <f>+B$58</f>
        <v>9</v>
      </c>
      <c r="C66" s="138">
        <f>IF(D66=0,C65,IF(ISBLANK(G66),C65,1+MAX(C$18:C65)))</f>
        <v>35</v>
      </c>
      <c r="D66" s="132">
        <f t="shared" si="37"/>
        <v>1</v>
      </c>
      <c r="F66" s="139">
        <f t="shared" si="2"/>
        <v>35</v>
      </c>
      <c r="G66" s="120" t="str">
        <f>+"Present Value Factor:   "&amp;TEXT(AC66,"0.00%")&amp;"  ("&amp;B66&amp;")"</f>
        <v>Present Value Factor:   8.38%  (9)</v>
      </c>
      <c r="J66" s="6"/>
      <c r="K66" s="6"/>
      <c r="L66" s="6"/>
      <c r="M66" s="6"/>
      <c r="N66" s="161">
        <f t="shared" ref="N66:Z66" si="49">ROUND((1/((1+$AC66)^N65)),4)</f>
        <v>0.96060000000000001</v>
      </c>
      <c r="O66" s="161">
        <f t="shared" si="49"/>
        <v>0.88629999999999998</v>
      </c>
      <c r="P66" s="161">
        <f t="shared" si="49"/>
        <v>0.81779999999999997</v>
      </c>
      <c r="Q66" s="161">
        <f t="shared" si="49"/>
        <v>0.75449999999999995</v>
      </c>
      <c r="R66" s="161">
        <f t="shared" si="49"/>
        <v>0.69620000000000004</v>
      </c>
      <c r="S66" s="161">
        <f t="shared" si="49"/>
        <v>0.64239999999999997</v>
      </c>
      <c r="T66" s="161">
        <f t="shared" si="49"/>
        <v>0.5927</v>
      </c>
      <c r="U66" s="161">
        <f t="shared" si="49"/>
        <v>0.54690000000000005</v>
      </c>
      <c r="V66" s="161">
        <f t="shared" si="49"/>
        <v>0.50460000000000005</v>
      </c>
      <c r="W66" s="161">
        <f t="shared" si="49"/>
        <v>0.46560000000000001</v>
      </c>
      <c r="X66" s="161">
        <f t="shared" si="49"/>
        <v>0.42959999999999998</v>
      </c>
      <c r="Y66" s="161">
        <f t="shared" si="49"/>
        <v>0.39639999999999997</v>
      </c>
      <c r="Z66" s="161">
        <f t="shared" si="49"/>
        <v>0.36570000000000003</v>
      </c>
      <c r="AB66" s="5"/>
      <c r="AC66" s="162">
        <f>+AC58-H9</f>
        <v>8.3799999999999999E-2</v>
      </c>
      <c r="AD66" s="163" t="s">
        <v>56</v>
      </c>
      <c r="AE66" s="5"/>
      <c r="AF66" s="5"/>
      <c r="AG66" s="5"/>
      <c r="AH66" s="5"/>
    </row>
    <row r="67" spans="1:34" ht="15" x14ac:dyDescent="0.25">
      <c r="C67" s="138">
        <f>IF(D67=0,C66,IF(ISBLANK(G67),C66,1+MAX(C$18:C66)))</f>
        <v>35</v>
      </c>
      <c r="D67" s="132">
        <f t="shared" si="37"/>
        <v>1</v>
      </c>
      <c r="F67" s="139" t="str">
        <f t="shared" si="2"/>
        <v/>
      </c>
      <c r="G67" s="120"/>
      <c r="H67" s="120"/>
      <c r="I67" s="164"/>
      <c r="J67" s="6"/>
      <c r="K67" s="6"/>
      <c r="L67" s="6"/>
      <c r="M67" s="6"/>
      <c r="N67" s="165"/>
      <c r="O67" s="165"/>
      <c r="P67" s="165"/>
      <c r="Q67" s="165"/>
      <c r="R67" s="165"/>
      <c r="S67" s="165"/>
      <c r="T67" s="165"/>
      <c r="U67" s="165"/>
      <c r="V67" s="165"/>
      <c r="W67" s="165"/>
      <c r="X67" s="165"/>
      <c r="Y67" s="165"/>
      <c r="Z67" s="165"/>
      <c r="AB67" s="5"/>
      <c r="AC67" s="5"/>
      <c r="AD67" s="5"/>
      <c r="AE67" s="5"/>
      <c r="AF67" s="5"/>
      <c r="AG67" s="5"/>
      <c r="AH67" s="5"/>
    </row>
    <row r="68" spans="1:34" ht="15.75" thickBot="1" x14ac:dyDescent="0.3">
      <c r="C68" s="138">
        <f>IF(D68=0,C67,IF(ISBLANK(G68),C67,1+MAX(C$18:C67)))</f>
        <v>36</v>
      </c>
      <c r="D68" s="132">
        <f t="shared" si="37"/>
        <v>1</v>
      </c>
      <c r="F68" s="139">
        <f t="shared" si="2"/>
        <v>36</v>
      </c>
      <c r="G68" s="120" t="s">
        <v>55</v>
      </c>
      <c r="H68" s="33"/>
      <c r="I68" s="33"/>
      <c r="J68" s="6"/>
      <c r="K68" s="6"/>
      <c r="L68" s="6"/>
      <c r="M68" s="6"/>
      <c r="N68" s="20">
        <f t="shared" ref="N68:Z68" si="50">+N$52*N66</f>
        <v>125264.70693376659</v>
      </c>
      <c r="O68" s="20">
        <f t="shared" si="50"/>
        <v>124093.05255624726</v>
      </c>
      <c r="P68" s="20">
        <f t="shared" si="50"/>
        <v>216032.82266362873</v>
      </c>
      <c r="Q68" s="20">
        <f t="shared" si="50"/>
        <v>194531.26716676366</v>
      </c>
      <c r="R68" s="20">
        <f t="shared" si="50"/>
        <v>175487.26103026682</v>
      </c>
      <c r="S68" s="20">
        <f t="shared" si="50"/>
        <v>169650.92525433525</v>
      </c>
      <c r="T68" s="20">
        <f t="shared" si="50"/>
        <v>152913.82842580928</v>
      </c>
      <c r="U68" s="20">
        <f t="shared" si="50"/>
        <v>138710.55476274312</v>
      </c>
      <c r="V68" s="20">
        <f t="shared" si="50"/>
        <v>134213.94517698395</v>
      </c>
      <c r="W68" s="20">
        <f t="shared" si="50"/>
        <v>120820.7717641919</v>
      </c>
      <c r="X68" s="20">
        <f t="shared" si="50"/>
        <v>108659.37460867889</v>
      </c>
      <c r="Y68" s="20">
        <f t="shared" si="50"/>
        <v>105269.85192958535</v>
      </c>
      <c r="Z68" s="20">
        <f t="shared" si="50"/>
        <v>94575.334703746761</v>
      </c>
      <c r="AB68" s="17">
        <f>SUM(M68:Z68)</f>
        <v>1860223.6969767476</v>
      </c>
      <c r="AC68" s="5"/>
      <c r="AD68" s="5"/>
      <c r="AE68" s="5"/>
      <c r="AF68" s="5"/>
      <c r="AG68" s="5"/>
      <c r="AH68" s="5"/>
    </row>
    <row r="69" spans="1:34" ht="15.75" thickTop="1" x14ac:dyDescent="0.25">
      <c r="C69" s="138">
        <f>IF(D69=0,C68,IF(ISBLANK(G69),C68,1+MAX(C$18:C68)))</f>
        <v>36</v>
      </c>
      <c r="D69" s="132">
        <f t="shared" ref="D69:D76" si="51">IF($C$10="MUNI",1,0)</f>
        <v>0</v>
      </c>
      <c r="F69" s="139" t="str">
        <f t="shared" si="2"/>
        <v/>
      </c>
      <c r="H69" s="6"/>
      <c r="I69" s="6"/>
      <c r="J69" s="6"/>
      <c r="K69" s="6"/>
      <c r="L69" s="6"/>
      <c r="M69" s="6"/>
      <c r="N69" s="167">
        <f t="shared" ref="N69:Z69" si="52">+N65</f>
        <v>0.5</v>
      </c>
      <c r="O69" s="167">
        <f t="shared" si="52"/>
        <v>1.5</v>
      </c>
      <c r="P69" s="167">
        <f t="shared" si="52"/>
        <v>2.5</v>
      </c>
      <c r="Q69" s="167">
        <f t="shared" si="52"/>
        <v>3.5</v>
      </c>
      <c r="R69" s="167">
        <f t="shared" si="52"/>
        <v>4.5</v>
      </c>
      <c r="S69" s="167">
        <f t="shared" si="52"/>
        <v>5.5</v>
      </c>
      <c r="T69" s="167">
        <f t="shared" si="52"/>
        <v>6.5</v>
      </c>
      <c r="U69" s="167">
        <f t="shared" si="52"/>
        <v>7.5</v>
      </c>
      <c r="V69" s="167">
        <f t="shared" si="52"/>
        <v>8.5</v>
      </c>
      <c r="W69" s="167">
        <f t="shared" si="52"/>
        <v>9.5</v>
      </c>
      <c r="X69" s="167">
        <f t="shared" si="52"/>
        <v>10.5</v>
      </c>
      <c r="Y69" s="167">
        <f t="shared" si="52"/>
        <v>11.5</v>
      </c>
      <c r="Z69" s="167">
        <f t="shared" si="52"/>
        <v>12.5</v>
      </c>
      <c r="AB69" s="5"/>
      <c r="AC69" s="5"/>
      <c r="AD69" s="5"/>
      <c r="AE69" s="5"/>
      <c r="AF69" s="5"/>
      <c r="AG69" s="5"/>
      <c r="AH69" s="5"/>
    </row>
    <row r="70" spans="1:34" ht="15" x14ac:dyDescent="0.25">
      <c r="B70" s="25">
        <f>+B$54</f>
        <v>8</v>
      </c>
      <c r="C70" s="138">
        <f>IF(D70=0,C69,IF(ISBLANK(G70),C69,1+MAX(C$18:C69)))</f>
        <v>36</v>
      </c>
      <c r="D70" s="132">
        <f t="shared" si="51"/>
        <v>0</v>
      </c>
      <c r="F70" s="139">
        <f t="shared" si="2"/>
        <v>36</v>
      </c>
      <c r="G70" s="120" t="str">
        <f>+"Present Value Factor:   "&amp;TEXT(AC70,"0.00%")&amp;"  ("&amp;B70&amp;")"</f>
        <v>Present Value Factor:   3.84%  (8)</v>
      </c>
      <c r="J70" s="6"/>
      <c r="K70" s="6"/>
      <c r="L70" s="6"/>
      <c r="M70" s="6"/>
      <c r="N70" s="161">
        <f t="shared" ref="N70:Z70" si="53">ROUND((1/((1+$AC70)^N69)),4)</f>
        <v>0.98129999999999995</v>
      </c>
      <c r="O70" s="161">
        <f t="shared" si="53"/>
        <v>0.94499999999999995</v>
      </c>
      <c r="P70" s="161">
        <f t="shared" si="53"/>
        <v>0.91010000000000002</v>
      </c>
      <c r="Q70" s="161">
        <f t="shared" si="53"/>
        <v>0.87639999999999996</v>
      </c>
      <c r="R70" s="161">
        <f t="shared" si="53"/>
        <v>0.84399999999999997</v>
      </c>
      <c r="S70" s="161">
        <f t="shared" si="53"/>
        <v>0.81279999999999997</v>
      </c>
      <c r="T70" s="161">
        <f t="shared" si="53"/>
        <v>0.78280000000000005</v>
      </c>
      <c r="U70" s="161">
        <f t="shared" si="53"/>
        <v>0.75380000000000003</v>
      </c>
      <c r="V70" s="161">
        <f t="shared" si="53"/>
        <v>0.72589999999999999</v>
      </c>
      <c r="W70" s="161">
        <f t="shared" si="53"/>
        <v>0.69910000000000005</v>
      </c>
      <c r="X70" s="161">
        <f t="shared" si="53"/>
        <v>0.67320000000000002</v>
      </c>
      <c r="Y70" s="161">
        <f t="shared" si="53"/>
        <v>0.64829999999999999</v>
      </c>
      <c r="Z70" s="161">
        <f t="shared" si="53"/>
        <v>0.62439999999999996</v>
      </c>
      <c r="AC70" s="162">
        <f>+H1</f>
        <v>3.8399999999999997E-2</v>
      </c>
      <c r="AD70" s="163" t="s">
        <v>54</v>
      </c>
      <c r="AE70" s="5"/>
      <c r="AF70" s="5"/>
      <c r="AG70" s="5"/>
      <c r="AH70" s="5"/>
    </row>
    <row r="71" spans="1:34" ht="15" x14ac:dyDescent="0.25">
      <c r="C71" s="138">
        <f>IF(D71=0,C70,IF(ISBLANK(G71),C70,1+MAX(C$18:C70)))</f>
        <v>36</v>
      </c>
      <c r="D71" s="132">
        <f t="shared" si="51"/>
        <v>0</v>
      </c>
      <c r="F71" s="139" t="str">
        <f t="shared" si="2"/>
        <v/>
      </c>
      <c r="G71" s="120"/>
      <c r="H71" s="164"/>
      <c r="I71" s="164"/>
      <c r="J71" s="6"/>
      <c r="K71" s="6"/>
      <c r="L71" s="6"/>
      <c r="M71" s="6"/>
      <c r="N71" s="165"/>
      <c r="O71" s="165"/>
      <c r="P71" s="165"/>
      <c r="Q71" s="165"/>
      <c r="R71" s="165"/>
      <c r="S71" s="165"/>
      <c r="T71" s="165"/>
      <c r="U71" s="165"/>
      <c r="V71" s="165"/>
      <c r="W71" s="165"/>
      <c r="X71" s="165"/>
      <c r="Y71" s="165"/>
      <c r="Z71" s="165"/>
      <c r="AB71" s="5"/>
      <c r="AC71" s="5"/>
      <c r="AD71" s="5"/>
      <c r="AE71" s="5"/>
      <c r="AF71" s="5"/>
      <c r="AG71" s="5"/>
      <c r="AH71" s="5"/>
    </row>
    <row r="72" spans="1:34" ht="15.75" thickBot="1" x14ac:dyDescent="0.3">
      <c r="C72" s="138">
        <f>IF(D72=0,C71,IF(ISBLANK(G72),C71,1+MAX(C$18:C71)))</f>
        <v>36</v>
      </c>
      <c r="D72" s="132">
        <f t="shared" si="51"/>
        <v>0</v>
      </c>
      <c r="F72" s="139">
        <f t="shared" si="2"/>
        <v>36</v>
      </c>
      <c r="G72" s="120" t="s">
        <v>55</v>
      </c>
      <c r="H72" s="33"/>
      <c r="I72" s="33"/>
      <c r="J72" s="6"/>
      <c r="K72" s="6"/>
      <c r="L72" s="6"/>
      <c r="M72" s="6"/>
      <c r="N72" s="20">
        <f t="shared" ref="N72:Z72" si="54">+N$52*N70</f>
        <v>127964.04009380091</v>
      </c>
      <c r="O72" s="20">
        <f t="shared" si="54"/>
        <v>132311.78457142462</v>
      </c>
      <c r="P72" s="20">
        <f t="shared" si="54"/>
        <v>240415.10382265656</v>
      </c>
      <c r="Q72" s="20">
        <f t="shared" si="54"/>
        <v>225960.50701782858</v>
      </c>
      <c r="R72" s="20">
        <f t="shared" si="54"/>
        <v>212742.38481692786</v>
      </c>
      <c r="S72" s="20">
        <f t="shared" si="54"/>
        <v>214651.7310814503</v>
      </c>
      <c r="T72" s="20">
        <f t="shared" si="54"/>
        <v>201958.73948325205</v>
      </c>
      <c r="U72" s="20">
        <f t="shared" si="54"/>
        <v>191186.71819373881</v>
      </c>
      <c r="V72" s="20">
        <f t="shared" si="54"/>
        <v>193075.51090759542</v>
      </c>
      <c r="W72" s="20">
        <f t="shared" si="54"/>
        <v>181412.8039955897</v>
      </c>
      <c r="X72" s="20">
        <f t="shared" si="54"/>
        <v>170273.48926108619</v>
      </c>
      <c r="Y72" s="20">
        <f t="shared" si="54"/>
        <v>172165.60294134758</v>
      </c>
      <c r="Z72" s="20">
        <f t="shared" si="54"/>
        <v>161478.91438069311</v>
      </c>
      <c r="AB72" s="17">
        <f>SUM(M72:Z72)</f>
        <v>2425597.3305673916</v>
      </c>
      <c r="AC72" s="5"/>
      <c r="AD72" s="5"/>
      <c r="AE72" s="5"/>
      <c r="AF72" s="5"/>
      <c r="AG72" s="5"/>
      <c r="AH72" s="5"/>
    </row>
    <row r="73" spans="1:34" ht="15.75" thickTop="1" x14ac:dyDescent="0.25">
      <c r="C73" s="138">
        <f>IF(D73=0,C72,IF(ISBLANK(G73),C72,1+MAX(C$18:C72)))</f>
        <v>36</v>
      </c>
      <c r="D73" s="132">
        <f t="shared" si="51"/>
        <v>0</v>
      </c>
      <c r="F73" s="139" t="str">
        <f t="shared" si="2"/>
        <v/>
      </c>
      <c r="H73" s="6"/>
      <c r="I73" s="6"/>
      <c r="J73" s="6"/>
      <c r="K73" s="6"/>
      <c r="L73" s="6"/>
      <c r="M73" s="6"/>
      <c r="N73" s="167">
        <f t="shared" ref="N73:Z73" si="55">+N69</f>
        <v>0.5</v>
      </c>
      <c r="O73" s="167">
        <f t="shared" si="55"/>
        <v>1.5</v>
      </c>
      <c r="P73" s="167">
        <f t="shared" si="55"/>
        <v>2.5</v>
      </c>
      <c r="Q73" s="167">
        <f t="shared" si="55"/>
        <v>3.5</v>
      </c>
      <c r="R73" s="167">
        <f t="shared" si="55"/>
        <v>4.5</v>
      </c>
      <c r="S73" s="167">
        <f t="shared" si="55"/>
        <v>5.5</v>
      </c>
      <c r="T73" s="167">
        <f t="shared" si="55"/>
        <v>6.5</v>
      </c>
      <c r="U73" s="167">
        <f t="shared" si="55"/>
        <v>7.5</v>
      </c>
      <c r="V73" s="167">
        <f t="shared" si="55"/>
        <v>8.5</v>
      </c>
      <c r="W73" s="167">
        <f t="shared" si="55"/>
        <v>9.5</v>
      </c>
      <c r="X73" s="167">
        <f t="shared" si="55"/>
        <v>10.5</v>
      </c>
      <c r="Y73" s="167">
        <f t="shared" si="55"/>
        <v>11.5</v>
      </c>
      <c r="Z73" s="167">
        <f t="shared" si="55"/>
        <v>12.5</v>
      </c>
      <c r="AB73" s="5"/>
      <c r="AC73" s="5"/>
      <c r="AD73" s="5"/>
      <c r="AE73" s="5"/>
      <c r="AF73" s="5"/>
      <c r="AG73" s="5"/>
      <c r="AH73" s="5"/>
    </row>
    <row r="74" spans="1:34" ht="15" x14ac:dyDescent="0.25">
      <c r="B74" s="25">
        <f>+B$58</f>
        <v>9</v>
      </c>
      <c r="C74" s="138">
        <f>IF(D74=0,C73,IF(ISBLANK(G74),C73,1+MAX(C$18:C73)))</f>
        <v>36</v>
      </c>
      <c r="D74" s="132">
        <f t="shared" si="51"/>
        <v>0</v>
      </c>
      <c r="F74" s="139">
        <f t="shared" si="2"/>
        <v>36</v>
      </c>
      <c r="G74" s="120" t="str">
        <f>+"Present Value Factor:   "&amp;TEXT(AC74,"0.00%")&amp;"  ("&amp;B74&amp;")"</f>
        <v>Present Value Factor:   3.74%  (9)</v>
      </c>
      <c r="J74" s="6"/>
      <c r="K74" s="6"/>
      <c r="L74" s="6"/>
      <c r="M74" s="6"/>
      <c r="N74" s="161">
        <f t="shared" ref="N74:Z74" si="56">ROUND((1/((1+$AC74)^N73)),4)</f>
        <v>0.98180000000000001</v>
      </c>
      <c r="O74" s="161">
        <f t="shared" si="56"/>
        <v>0.94640000000000002</v>
      </c>
      <c r="P74" s="161">
        <f t="shared" si="56"/>
        <v>0.9123</v>
      </c>
      <c r="Q74" s="161">
        <f t="shared" si="56"/>
        <v>0.87939999999999996</v>
      </c>
      <c r="R74" s="161">
        <f t="shared" si="56"/>
        <v>0.84770000000000001</v>
      </c>
      <c r="S74" s="161">
        <f t="shared" si="56"/>
        <v>0.81710000000000005</v>
      </c>
      <c r="T74" s="161">
        <f t="shared" si="56"/>
        <v>0.78769999999999996</v>
      </c>
      <c r="U74" s="161">
        <f t="shared" si="56"/>
        <v>0.75929999999999997</v>
      </c>
      <c r="V74" s="161">
        <f t="shared" si="56"/>
        <v>0.7319</v>
      </c>
      <c r="W74" s="161">
        <f t="shared" si="56"/>
        <v>0.70550000000000002</v>
      </c>
      <c r="X74" s="161">
        <f t="shared" si="56"/>
        <v>0.68010000000000004</v>
      </c>
      <c r="Y74" s="161">
        <f t="shared" si="56"/>
        <v>0.65559999999999996</v>
      </c>
      <c r="Z74" s="161">
        <f t="shared" si="56"/>
        <v>0.63190000000000002</v>
      </c>
      <c r="AB74" s="5"/>
      <c r="AC74" s="162">
        <f>+AC70-H9</f>
        <v>3.7399999999999996E-2</v>
      </c>
      <c r="AD74" s="163" t="s">
        <v>56</v>
      </c>
      <c r="AE74" s="5"/>
      <c r="AF74" s="5"/>
      <c r="AG74" s="5"/>
      <c r="AH74" s="5"/>
    </row>
    <row r="75" spans="1:34" ht="15" x14ac:dyDescent="0.25">
      <c r="C75" s="138">
        <f>IF(D75=0,C74,IF(ISBLANK(G75),C74,1+MAX(C$18:C74)))</f>
        <v>36</v>
      </c>
      <c r="D75" s="132">
        <f t="shared" si="51"/>
        <v>0</v>
      </c>
      <c r="F75" s="139" t="str">
        <f t="shared" si="2"/>
        <v/>
      </c>
      <c r="G75" s="120"/>
      <c r="H75" s="164"/>
      <c r="I75" s="164"/>
      <c r="J75" s="6"/>
      <c r="K75" s="6"/>
      <c r="L75" s="6"/>
      <c r="M75" s="6"/>
      <c r="N75" s="165"/>
      <c r="O75" s="165"/>
      <c r="P75" s="165"/>
      <c r="Q75" s="165"/>
      <c r="R75" s="165"/>
      <c r="S75" s="165"/>
      <c r="T75" s="165"/>
      <c r="U75" s="165"/>
      <c r="V75" s="165"/>
      <c r="W75" s="165"/>
      <c r="X75" s="165"/>
      <c r="Y75" s="165"/>
      <c r="Z75" s="165"/>
      <c r="AB75" s="5"/>
      <c r="AC75" s="5"/>
      <c r="AD75" s="5"/>
      <c r="AE75" s="5"/>
      <c r="AF75" s="5"/>
      <c r="AG75" s="5"/>
      <c r="AH75" s="5"/>
    </row>
    <row r="76" spans="1:34" ht="15.75" thickBot="1" x14ac:dyDescent="0.3">
      <c r="C76" s="138">
        <f>IF(D76=0,C75,IF(ISBLANK(G76),C75,1+MAX(C$18:C75)))</f>
        <v>36</v>
      </c>
      <c r="D76" s="132">
        <f t="shared" si="51"/>
        <v>0</v>
      </c>
      <c r="F76" s="139">
        <f t="shared" si="2"/>
        <v>36</v>
      </c>
      <c r="G76" s="120" t="s">
        <v>55</v>
      </c>
      <c r="H76" s="33"/>
      <c r="I76" s="33"/>
      <c r="J76" s="6"/>
      <c r="K76" s="6"/>
      <c r="L76" s="6"/>
      <c r="M76" s="6"/>
      <c r="N76" s="20">
        <f t="shared" ref="N76:Z76" si="57">+N$52*N74</f>
        <v>128029.24137785971</v>
      </c>
      <c r="O76" s="20">
        <f t="shared" si="57"/>
        <v>132507.80203004897</v>
      </c>
      <c r="P76" s="20">
        <f t="shared" si="57"/>
        <v>240996.26328690205</v>
      </c>
      <c r="Q76" s="20">
        <f t="shared" si="57"/>
        <v>226733.99118151356</v>
      </c>
      <c r="R76" s="20">
        <f t="shared" si="57"/>
        <v>213675.02323377933</v>
      </c>
      <c r="S76" s="20">
        <f t="shared" si="57"/>
        <v>215787.31479657118</v>
      </c>
      <c r="T76" s="20">
        <f t="shared" si="57"/>
        <v>203222.91656995099</v>
      </c>
      <c r="U76" s="20">
        <f t="shared" si="57"/>
        <v>192581.68628881118</v>
      </c>
      <c r="V76" s="20">
        <f t="shared" si="57"/>
        <v>194671.39610589488</v>
      </c>
      <c r="W76" s="20">
        <f t="shared" si="57"/>
        <v>183073.57061777788</v>
      </c>
      <c r="X76" s="20">
        <f t="shared" si="57"/>
        <v>172018.71664656079</v>
      </c>
      <c r="Y76" s="20">
        <f t="shared" si="57"/>
        <v>174104.2253406563</v>
      </c>
      <c r="Z76" s="20">
        <f t="shared" si="57"/>
        <v>163418.52337789876</v>
      </c>
      <c r="AB76" s="17">
        <f>SUM(M76:Z76)</f>
        <v>2440820.6708542258</v>
      </c>
      <c r="AC76" s="5"/>
      <c r="AD76" s="5"/>
      <c r="AE76" s="5"/>
      <c r="AF76" s="5"/>
      <c r="AG76" s="5"/>
      <c r="AH76" s="5"/>
    </row>
    <row r="77" spans="1:34" ht="17.25" thickTop="1" thickBot="1" x14ac:dyDescent="0.3">
      <c r="D77" s="132">
        <f>IF($C$10="SUBJECT",0,1)</f>
        <v>1</v>
      </c>
      <c r="G77" s="26"/>
      <c r="I77" s="27"/>
      <c r="J77" s="6"/>
      <c r="K77" s="28" t="s">
        <v>57</v>
      </c>
      <c r="L77" s="6"/>
      <c r="M77" s="6"/>
      <c r="N77" s="5"/>
      <c r="O77" s="5"/>
      <c r="P77" s="5"/>
      <c r="Q77" s="5"/>
      <c r="R77" s="5"/>
      <c r="S77" s="28" t="s">
        <v>57</v>
      </c>
      <c r="AB77" s="5"/>
      <c r="AC77" s="5"/>
      <c r="AD77" s="5"/>
      <c r="AE77" s="5"/>
      <c r="AF77" s="5"/>
      <c r="AG77" s="5"/>
      <c r="AH77" s="5"/>
    </row>
    <row r="78" spans="1:34" ht="15.75" thickBot="1" x14ac:dyDescent="0.3">
      <c r="C78" s="168" t="s">
        <v>58</v>
      </c>
      <c r="D78" s="132">
        <v>2</v>
      </c>
      <c r="H78" s="169"/>
      <c r="I78" s="170"/>
      <c r="J78" s="170"/>
      <c r="K78" s="34" t="str">
        <f>+"DCF With Capitalization of Terminal Value Model @ "&amp;TEXT(AB79,"0.00%")</f>
        <v>DCF With Capitalization of Terminal Value Model @ 7.12%</v>
      </c>
      <c r="L78" s="35"/>
      <c r="M78" s="35"/>
      <c r="N78" s="35"/>
      <c r="O78" s="36"/>
      <c r="P78" s="6"/>
      <c r="Q78" s="34" t="str">
        <f>+"DCF With EBIT &amp; EBITDA Terminal Value Model - Discount Rate of "&amp;TEXT(AD79,"0.00%")</f>
        <v>DCF With EBIT &amp; EBITDA Terminal Value Model - Discount Rate of 7.12%</v>
      </c>
      <c r="R78" s="35"/>
      <c r="S78" s="35"/>
      <c r="T78" s="35"/>
      <c r="U78" s="36"/>
      <c r="AB78" s="5"/>
      <c r="AC78" s="5"/>
      <c r="AD78" s="5"/>
      <c r="AE78" s="5"/>
      <c r="AF78" s="5"/>
      <c r="AG78" s="5"/>
      <c r="AH78" s="5"/>
    </row>
    <row r="79" spans="1:34" ht="15" x14ac:dyDescent="0.25">
      <c r="D79" s="132">
        <v>2</v>
      </c>
      <c r="G79" s="29"/>
      <c r="K79" s="37"/>
      <c r="L79" s="38"/>
      <c r="M79" s="39"/>
      <c r="N79" s="40" t="s">
        <v>59</v>
      </c>
      <c r="O79" s="41"/>
      <c r="Q79" s="37"/>
      <c r="R79" s="38"/>
      <c r="S79" s="39"/>
      <c r="T79" s="38"/>
      <c r="U79" s="42" t="s">
        <v>59</v>
      </c>
      <c r="AB79" s="171">
        <f>+AC54</f>
        <v>7.1199999999999999E-2</v>
      </c>
      <c r="AC79" s="5"/>
      <c r="AD79" s="171">
        <f>+AB79</f>
        <v>7.1199999999999999E-2</v>
      </c>
      <c r="AE79" s="5"/>
      <c r="AF79" s="5"/>
      <c r="AG79" s="5"/>
      <c r="AH79" s="5"/>
    </row>
    <row r="80" spans="1:34" ht="15" x14ac:dyDescent="0.25">
      <c r="A80" s="172" t="str">
        <f>TEXT(+Z53+0.5,0)</f>
        <v>13</v>
      </c>
      <c r="D80" s="132">
        <v>2</v>
      </c>
      <c r="K80" s="43"/>
      <c r="L80" s="32"/>
      <c r="M80" s="19"/>
      <c r="N80" s="44" t="s">
        <v>60</v>
      </c>
      <c r="O80" s="45"/>
      <c r="Q80" s="43"/>
      <c r="R80" s="32"/>
      <c r="S80" s="19"/>
      <c r="T80" s="44" t="str">
        <f>+"Multiples"&amp;" ("&amp;B105&amp;")"</f>
        <v>Multiples (13)</v>
      </c>
      <c r="U80" s="46" t="s">
        <v>60</v>
      </c>
      <c r="AB80" s="5"/>
      <c r="AC80" s="5"/>
      <c r="AD80" s="5"/>
      <c r="AE80" s="5"/>
      <c r="AF80" s="5"/>
      <c r="AG80" s="5"/>
      <c r="AH80" s="5"/>
    </row>
    <row r="81" spans="1:37" ht="15" x14ac:dyDescent="0.25">
      <c r="D81" s="132">
        <v>2</v>
      </c>
      <c r="K81" s="43"/>
      <c r="L81" s="32"/>
      <c r="M81" s="19"/>
      <c r="N81" s="32"/>
      <c r="O81" s="45"/>
      <c r="Q81" s="43"/>
      <c r="R81" s="32"/>
      <c r="S81" s="19"/>
      <c r="T81" s="32"/>
      <c r="U81" s="47"/>
      <c r="AB81" s="5"/>
      <c r="AC81" s="5"/>
      <c r="AD81" s="5"/>
      <c r="AE81" s="5"/>
      <c r="AF81" s="5"/>
      <c r="AG81" s="5"/>
      <c r="AH81" s="5"/>
    </row>
    <row r="82" spans="1:37" ht="15" x14ac:dyDescent="0.25">
      <c r="D82" s="132">
        <v>2</v>
      </c>
      <c r="K82" s="48" t="str">
        <f>+A83&amp;" ("&amp;B83&amp;")"</f>
        <v>Projected Debt Free Net Cash Flow (10)</v>
      </c>
      <c r="L82" s="32"/>
      <c r="M82" s="32"/>
      <c r="N82" s="32">
        <f>+AB83</f>
        <v>258614.5329607513</v>
      </c>
      <c r="O82" s="45"/>
      <c r="Q82" s="49" t="s">
        <v>61</v>
      </c>
      <c r="R82" s="32"/>
      <c r="S82" s="32">
        <f>+AD83</f>
        <v>331834.36026075133</v>
      </c>
      <c r="T82" s="50">
        <f>+AE83</f>
        <v>14.6</v>
      </c>
      <c r="U82" s="47">
        <f>+T82*S82</f>
        <v>4844781.6598069696</v>
      </c>
      <c r="AB82" s="5"/>
      <c r="AC82" s="5"/>
      <c r="AD82" s="5"/>
      <c r="AE82" s="5"/>
      <c r="AF82" s="5"/>
      <c r="AG82" s="5"/>
      <c r="AH82" s="5"/>
    </row>
    <row r="83" spans="1:37" ht="16.899999999999999" customHeight="1" x14ac:dyDescent="0.25">
      <c r="A83" s="173" t="s">
        <v>62</v>
      </c>
      <c r="B83" s="25">
        <f>MAX(B$20:B82)+1</f>
        <v>10</v>
      </c>
      <c r="D83" s="132">
        <v>2</v>
      </c>
      <c r="K83" s="48" t="str">
        <f>+A84&amp;" ("&amp;B84&amp;")"</f>
        <v>Divided by Capitalization Factor (8)</v>
      </c>
      <c r="L83" s="32"/>
      <c r="M83" s="33"/>
      <c r="N83" s="51">
        <f>+AB79</f>
        <v>7.1199999999999999E-2</v>
      </c>
      <c r="O83" s="45"/>
      <c r="Q83" s="49" t="s">
        <v>63</v>
      </c>
      <c r="R83" s="32"/>
      <c r="S83" s="33">
        <f>+AD84</f>
        <v>439615.3890607513</v>
      </c>
      <c r="T83" s="50">
        <f>+AE84</f>
        <v>10.1</v>
      </c>
      <c r="U83" s="52">
        <f>+T83*S83</f>
        <v>4440115.4295135876</v>
      </c>
      <c r="V83" s="174"/>
      <c r="W83" s="174"/>
      <c r="X83" s="174"/>
      <c r="Y83" s="174"/>
      <c r="Z83" s="174"/>
      <c r="AB83" s="5">
        <f>+AB52</f>
        <v>258614.5329607513</v>
      </c>
      <c r="AC83" s="5"/>
      <c r="AD83" s="5">
        <f>+Z$42</f>
        <v>331834.36026075133</v>
      </c>
      <c r="AE83" s="5">
        <f>+H7</f>
        <v>14.6</v>
      </c>
      <c r="AF83" s="5"/>
      <c r="AG83" s="5"/>
      <c r="AH83" s="5"/>
    </row>
    <row r="84" spans="1:37" ht="16.899999999999999" customHeight="1" x14ac:dyDescent="0.25">
      <c r="A84" s="173" t="s">
        <v>64</v>
      </c>
      <c r="B84" s="25">
        <f>+B$54</f>
        <v>8</v>
      </c>
      <c r="D84" s="132">
        <v>2</v>
      </c>
      <c r="K84" s="175" t="str">
        <f>+A85</f>
        <v>13th Year Terminal Value</v>
      </c>
      <c r="L84" s="32"/>
      <c r="M84" s="19"/>
      <c r="N84" s="33">
        <f>+N82/N83</f>
        <v>3632226.5865274058</v>
      </c>
      <c r="O84" s="45"/>
      <c r="Q84" s="53" t="s">
        <v>65</v>
      </c>
      <c r="R84" s="32"/>
      <c r="S84" s="19"/>
      <c r="T84" s="32"/>
      <c r="U84" s="54">
        <f>ROUND((0.33*U82)+(0.67*U83),0)</f>
        <v>4573655</v>
      </c>
      <c r="AB84" s="5"/>
      <c r="AC84" s="5"/>
      <c r="AD84" s="5">
        <f>+Z$41</f>
        <v>439615.3890607513</v>
      </c>
      <c r="AE84" s="5">
        <f>+H8</f>
        <v>10.1</v>
      </c>
      <c r="AF84" s="5"/>
      <c r="AG84" s="5"/>
      <c r="AH84" s="5"/>
    </row>
    <row r="85" spans="1:37" ht="16.899999999999999" customHeight="1" x14ac:dyDescent="0.25">
      <c r="A85" s="2" t="str">
        <f>+A80&amp;"th Year Terminal Value"</f>
        <v>13th Year Terminal Value</v>
      </c>
      <c r="D85" s="132">
        <v>2</v>
      </c>
      <c r="K85" s="48" t="str">
        <f>+A86&amp;" ("&amp;B86&amp;")"</f>
        <v>13th Year Present Value Factor (11)</v>
      </c>
      <c r="L85" s="32"/>
      <c r="M85" s="19"/>
      <c r="N85" s="55">
        <f>+AB86</f>
        <v>0.42330000000000001</v>
      </c>
      <c r="O85" s="45"/>
      <c r="Q85" s="49" t="str">
        <f>+K85</f>
        <v>13th Year Present Value Factor (11)</v>
      </c>
      <c r="R85" s="32"/>
      <c r="S85" s="19"/>
      <c r="T85" s="32"/>
      <c r="U85" s="56">
        <f>+AB86</f>
        <v>0.42330000000000001</v>
      </c>
      <c r="AC85" s="5"/>
      <c r="AD85" s="5"/>
      <c r="AE85" s="5"/>
      <c r="AF85" s="5"/>
      <c r="AG85" s="5"/>
      <c r="AH85" s="5"/>
    </row>
    <row r="86" spans="1:37" ht="16.899999999999999" customHeight="1" x14ac:dyDescent="0.25">
      <c r="A86" s="173" t="str">
        <f>+TEXT(A80,0)&amp;"th Year Present Value Factor"</f>
        <v>13th Year Present Value Factor</v>
      </c>
      <c r="B86" s="25">
        <f>MAX(B$20:B85)+1</f>
        <v>11</v>
      </c>
      <c r="D86" s="132">
        <v>2</v>
      </c>
      <c r="K86" s="48" t="s">
        <v>66</v>
      </c>
      <c r="L86" s="57"/>
      <c r="M86" s="19"/>
      <c r="N86" s="58">
        <f>+N85*N84</f>
        <v>1537521.5140770508</v>
      </c>
      <c r="O86" s="45"/>
      <c r="Q86" s="49" t="s">
        <v>66</v>
      </c>
      <c r="R86" s="57"/>
      <c r="S86" s="19"/>
      <c r="T86" s="33"/>
      <c r="U86" s="59">
        <f>+U85*U84</f>
        <v>1936028.1614999999</v>
      </c>
      <c r="AB86" s="176">
        <f>+Z$54</f>
        <v>0.42330000000000001</v>
      </c>
      <c r="AC86" s="5"/>
      <c r="AD86" s="177"/>
      <c r="AE86" s="5"/>
      <c r="AF86" s="5"/>
      <c r="AG86" s="5"/>
      <c r="AH86" s="5"/>
    </row>
    <row r="87" spans="1:37" ht="16.899999999999999" customHeight="1" x14ac:dyDescent="0.25">
      <c r="D87" s="132">
        <v>2</v>
      </c>
      <c r="K87" s="48" t="s">
        <v>67</v>
      </c>
      <c r="L87" s="57"/>
      <c r="M87" s="19"/>
      <c r="N87" s="32"/>
      <c r="O87" s="45"/>
      <c r="Q87" s="49" t="s">
        <v>67</v>
      </c>
      <c r="R87" s="57"/>
      <c r="S87" s="19"/>
      <c r="T87" s="57"/>
      <c r="U87" s="47"/>
      <c r="AB87" s="5"/>
      <c r="AC87" s="5"/>
      <c r="AD87" s="5"/>
      <c r="AE87" s="5"/>
      <c r="AF87" s="5"/>
      <c r="AG87" s="5"/>
      <c r="AH87" s="5"/>
    </row>
    <row r="88" spans="1:37" ht="16.899999999999999" customHeight="1" x14ac:dyDescent="0.25">
      <c r="D88" s="132">
        <v>2</v>
      </c>
      <c r="K88" s="48" t="str">
        <f>+A89</f>
        <v>Cash Flow for 13 Years</v>
      </c>
      <c r="L88" s="57"/>
      <c r="M88" s="19"/>
      <c r="N88" s="60">
        <f>+AB89</f>
        <v>1995635.5639271482</v>
      </c>
      <c r="O88" s="45"/>
      <c r="Q88" s="49" t="str">
        <f>+K88</f>
        <v>Cash Flow for 13 Years</v>
      </c>
      <c r="R88" s="57"/>
      <c r="S88" s="19"/>
      <c r="T88" s="33"/>
      <c r="U88" s="52">
        <f>+AB89</f>
        <v>1995635.5639271482</v>
      </c>
      <c r="AB88" s="5"/>
      <c r="AC88" s="5"/>
      <c r="AD88" s="5"/>
      <c r="AE88" s="5"/>
      <c r="AF88" s="5"/>
      <c r="AG88" s="5"/>
      <c r="AH88" s="5"/>
    </row>
    <row r="89" spans="1:37" ht="16.899999999999999" customHeight="1" x14ac:dyDescent="0.25">
      <c r="A89" s="2" t="str">
        <f>+"Cash Flow for "&amp;TEXT(A80,0)&amp;" Years"</f>
        <v>Cash Flow for 13 Years</v>
      </c>
      <c r="D89" s="132">
        <v>2</v>
      </c>
      <c r="K89" s="48"/>
      <c r="L89" s="57"/>
      <c r="M89" s="19"/>
      <c r="N89" s="32"/>
      <c r="O89" s="45"/>
      <c r="Q89" s="49"/>
      <c r="R89" s="57"/>
      <c r="S89" s="19"/>
      <c r="T89" s="32"/>
      <c r="U89" s="47"/>
      <c r="AB89" s="5">
        <f>+AB56</f>
        <v>1995635.5639271482</v>
      </c>
      <c r="AC89" s="5"/>
      <c r="AD89" s="5"/>
      <c r="AE89" s="5"/>
      <c r="AF89" s="5"/>
      <c r="AG89" s="5"/>
      <c r="AH89" s="5"/>
    </row>
    <row r="90" spans="1:37" ht="16.899999999999999" customHeight="1" thickBot="1" x14ac:dyDescent="0.3">
      <c r="D90" s="132">
        <v>2</v>
      </c>
      <c r="K90" s="48" t="s">
        <v>68</v>
      </c>
      <c r="L90" s="57"/>
      <c r="M90" s="19"/>
      <c r="N90" s="20">
        <f>+N86+N88</f>
        <v>3533157.0780041991</v>
      </c>
      <c r="O90" s="45"/>
      <c r="Q90" s="49" t="s">
        <v>68</v>
      </c>
      <c r="R90" s="57"/>
      <c r="S90" s="19"/>
      <c r="T90" s="33"/>
      <c r="U90" s="61">
        <f>+U86+U88</f>
        <v>3931663.7254271479</v>
      </c>
      <c r="AB90" s="5"/>
      <c r="AC90" s="5"/>
      <c r="AD90" s="5"/>
      <c r="AE90" s="5"/>
      <c r="AF90" s="5"/>
      <c r="AG90" s="5"/>
      <c r="AH90" s="5"/>
      <c r="AI90" s="5"/>
      <c r="AJ90" s="5"/>
      <c r="AK90" s="5"/>
    </row>
    <row r="91" spans="1:37" ht="16.899999999999999" customHeight="1" thickTop="1" thickBot="1" x14ac:dyDescent="0.3">
      <c r="D91" s="132">
        <v>2</v>
      </c>
      <c r="K91" s="62"/>
      <c r="L91" s="63"/>
      <c r="M91" s="64"/>
      <c r="N91" s="63"/>
      <c r="O91" s="65"/>
      <c r="Q91" s="62"/>
      <c r="R91" s="63"/>
      <c r="S91" s="64"/>
      <c r="T91" s="63"/>
      <c r="U91" s="65"/>
      <c r="AB91" s="5"/>
      <c r="AC91" s="5"/>
      <c r="AD91" s="5"/>
      <c r="AE91" s="5"/>
      <c r="AF91" s="5"/>
      <c r="AG91" s="5"/>
      <c r="AH91" s="5"/>
      <c r="AI91" s="5"/>
      <c r="AJ91" s="5"/>
      <c r="AK91" s="5"/>
    </row>
    <row r="92" spans="1:37" ht="15" x14ac:dyDescent="0.25">
      <c r="D92" s="132">
        <v>2</v>
      </c>
      <c r="K92" s="6"/>
      <c r="L92" s="5"/>
      <c r="M92" s="5"/>
      <c r="N92" s="5"/>
      <c r="O92" s="5"/>
      <c r="P92" s="6"/>
      <c r="Q92" s="6"/>
      <c r="R92" s="5"/>
      <c r="S92" s="5"/>
      <c r="T92" s="5"/>
      <c r="U92" s="5"/>
      <c r="AB92" s="5"/>
      <c r="AC92" s="5"/>
      <c r="AD92" s="5"/>
      <c r="AE92" s="5"/>
      <c r="AF92" s="5"/>
      <c r="AG92" s="5"/>
      <c r="AH92" s="5"/>
      <c r="AI92" s="5"/>
      <c r="AJ92" s="5"/>
      <c r="AK92" s="5"/>
    </row>
    <row r="93" spans="1:37" ht="15.75" thickBot="1" x14ac:dyDescent="0.3">
      <c r="D93" s="132">
        <v>2</v>
      </c>
      <c r="K93" s="6"/>
      <c r="L93" s="5"/>
      <c r="M93" s="5"/>
      <c r="N93" s="5"/>
      <c r="O93" s="5"/>
      <c r="P93" s="6"/>
      <c r="Q93" s="6"/>
      <c r="R93" s="5"/>
      <c r="S93" s="5"/>
      <c r="T93" s="5"/>
      <c r="U93" s="5"/>
      <c r="AB93" s="5"/>
      <c r="AC93" s="5"/>
      <c r="AD93" s="5"/>
      <c r="AE93" s="5"/>
      <c r="AF93" s="5"/>
      <c r="AG93" s="5"/>
      <c r="AH93" s="5"/>
      <c r="AI93" s="5"/>
      <c r="AJ93" s="5"/>
      <c r="AK93" s="5"/>
    </row>
    <row r="94" spans="1:37" ht="15.75" thickBot="1" x14ac:dyDescent="0.3">
      <c r="D94" s="132">
        <v>2</v>
      </c>
      <c r="K94" s="34" t="str">
        <f>+"DCF With Capitalization of Terminal Value Model @ "&amp;TEXT(AB95,"0.00%")</f>
        <v>DCF With Capitalization of Terminal Value Model @ 8.48%</v>
      </c>
      <c r="L94" s="35"/>
      <c r="M94" s="35"/>
      <c r="N94" s="35"/>
      <c r="O94" s="36"/>
      <c r="P94" s="6"/>
      <c r="Q94" s="34" t="str">
        <f>+"DCF With EBIT &amp; EBITDA Terminal Value Model - Discount Rate of "&amp;TEXT(AD95,"0.00%")</f>
        <v>DCF With EBIT &amp; EBITDA Terminal Value Model - Discount Rate of 8.48%</v>
      </c>
      <c r="R94" s="35"/>
      <c r="S94" s="35"/>
      <c r="T94" s="35"/>
      <c r="U94" s="36"/>
      <c r="AB94" s="5"/>
      <c r="AC94" s="5"/>
      <c r="AD94" s="5"/>
      <c r="AE94" s="5"/>
      <c r="AF94" s="5"/>
      <c r="AG94" s="5"/>
      <c r="AH94" s="5"/>
      <c r="AI94" s="5"/>
      <c r="AJ94" s="5"/>
      <c r="AK94" s="5"/>
    </row>
    <row r="95" spans="1:37" ht="15" x14ac:dyDescent="0.25">
      <c r="D95" s="132">
        <v>2</v>
      </c>
      <c r="K95" s="37"/>
      <c r="L95" s="38"/>
      <c r="M95" s="39"/>
      <c r="N95" s="40" t="s">
        <v>59</v>
      </c>
      <c r="O95" s="41"/>
      <c r="P95" s="6"/>
      <c r="Q95" s="37"/>
      <c r="R95" s="38"/>
      <c r="S95" s="39"/>
      <c r="T95" s="38"/>
      <c r="U95" s="42" t="s">
        <v>59</v>
      </c>
      <c r="AB95" s="171">
        <f>+AC58</f>
        <v>8.48E-2</v>
      </c>
      <c r="AC95" s="5"/>
      <c r="AD95" s="171">
        <f>+AB95</f>
        <v>8.48E-2</v>
      </c>
      <c r="AE95" s="5"/>
      <c r="AF95" s="5"/>
      <c r="AG95" s="5"/>
      <c r="AH95" s="5"/>
      <c r="AI95" s="5"/>
      <c r="AJ95" s="5"/>
      <c r="AK95" s="5"/>
    </row>
    <row r="96" spans="1:37" ht="15" x14ac:dyDescent="0.25">
      <c r="D96" s="132">
        <v>2</v>
      </c>
      <c r="K96" s="43"/>
      <c r="L96" s="32"/>
      <c r="M96" s="19"/>
      <c r="N96" s="44" t="s">
        <v>60</v>
      </c>
      <c r="O96" s="45"/>
      <c r="P96" s="6"/>
      <c r="Q96" s="43"/>
      <c r="R96" s="32"/>
      <c r="S96" s="19"/>
      <c r="T96" s="44" t="str">
        <f>+T80</f>
        <v>Multiples (13)</v>
      </c>
      <c r="U96" s="46" t="s">
        <v>60</v>
      </c>
      <c r="AB96" s="5"/>
      <c r="AC96" s="5"/>
      <c r="AD96" s="5"/>
      <c r="AE96" s="5"/>
      <c r="AF96" s="5"/>
      <c r="AG96" s="5"/>
      <c r="AH96" s="5"/>
      <c r="AI96" s="5"/>
      <c r="AJ96" s="5"/>
      <c r="AK96" s="5"/>
    </row>
    <row r="97" spans="1:37" ht="15" x14ac:dyDescent="0.25">
      <c r="D97" s="132">
        <v>2</v>
      </c>
      <c r="K97" s="43"/>
      <c r="L97" s="32"/>
      <c r="M97" s="19"/>
      <c r="N97" s="32"/>
      <c r="O97" s="45"/>
      <c r="P97" s="6"/>
      <c r="Q97" s="43"/>
      <c r="R97" s="32"/>
      <c r="S97" s="19"/>
      <c r="T97" s="32"/>
      <c r="U97" s="47"/>
      <c r="AB97" s="5"/>
      <c r="AC97" s="5"/>
      <c r="AD97" s="5"/>
      <c r="AE97" s="5"/>
      <c r="AF97" s="5"/>
      <c r="AG97" s="5"/>
      <c r="AH97" s="5"/>
      <c r="AI97" s="5"/>
      <c r="AJ97" s="5"/>
      <c r="AK97" s="5"/>
    </row>
    <row r="98" spans="1:37" ht="15" x14ac:dyDescent="0.25">
      <c r="D98" s="132">
        <v>2</v>
      </c>
      <c r="K98" s="48" t="str">
        <f>+A99&amp;" ("&amp;B99&amp;")"</f>
        <v>Projected Debt Free Net Cash Flow (10)</v>
      </c>
      <c r="L98" s="32"/>
      <c r="M98" s="32"/>
      <c r="N98" s="32">
        <f>+AB99</f>
        <v>258614.5329607513</v>
      </c>
      <c r="O98" s="45"/>
      <c r="P98" s="6"/>
      <c r="Q98" s="49" t="s">
        <v>61</v>
      </c>
      <c r="R98" s="32"/>
      <c r="S98" s="32">
        <f>+AD99</f>
        <v>331834.36026075133</v>
      </c>
      <c r="T98" s="50">
        <f>+AE99</f>
        <v>14.6</v>
      </c>
      <c r="U98" s="47">
        <f>+T98*S98</f>
        <v>4844781.6598069696</v>
      </c>
      <c r="AB98" s="5"/>
      <c r="AC98" s="5"/>
      <c r="AD98" s="5"/>
      <c r="AE98" s="5"/>
      <c r="AF98" s="5"/>
      <c r="AG98" s="5"/>
      <c r="AH98" s="5"/>
      <c r="AI98" s="5"/>
      <c r="AJ98" s="5"/>
      <c r="AK98" s="5"/>
    </row>
    <row r="99" spans="1:37" ht="16.899999999999999" customHeight="1" x14ac:dyDescent="0.25">
      <c r="A99" s="173" t="s">
        <v>62</v>
      </c>
      <c r="B99" s="25">
        <f>+B$83</f>
        <v>10</v>
      </c>
      <c r="D99" s="132">
        <v>2</v>
      </c>
      <c r="K99" s="48" t="str">
        <f>+A100&amp;" ("&amp;B100&amp;")"</f>
        <v>Divided by Capitalization Factor (9)</v>
      </c>
      <c r="L99" s="32"/>
      <c r="M99" s="33"/>
      <c r="N99" s="51">
        <f>+AB95</f>
        <v>8.48E-2</v>
      </c>
      <c r="O99" s="45"/>
      <c r="P99" s="6"/>
      <c r="Q99" s="49" t="s">
        <v>63</v>
      </c>
      <c r="R99" s="32"/>
      <c r="S99" s="33">
        <f>+AD100</f>
        <v>439615.3890607513</v>
      </c>
      <c r="T99" s="50">
        <f>+AE100</f>
        <v>10.1</v>
      </c>
      <c r="U99" s="52">
        <f>+T99*S99</f>
        <v>4440115.4295135876</v>
      </c>
      <c r="AB99" s="5">
        <f>+AB52</f>
        <v>258614.5329607513</v>
      </c>
      <c r="AC99" s="5"/>
      <c r="AD99" s="5">
        <f>+AD83</f>
        <v>331834.36026075133</v>
      </c>
      <c r="AE99" s="5">
        <f>+AE$83</f>
        <v>14.6</v>
      </c>
      <c r="AF99" s="5"/>
      <c r="AG99" s="5"/>
      <c r="AH99" s="5"/>
      <c r="AI99" s="5"/>
      <c r="AJ99" s="5"/>
      <c r="AK99" s="5"/>
    </row>
    <row r="100" spans="1:37" ht="16.899999999999999" customHeight="1" x14ac:dyDescent="0.25">
      <c r="A100" s="173" t="s">
        <v>64</v>
      </c>
      <c r="B100" s="25">
        <f>+B$58</f>
        <v>9</v>
      </c>
      <c r="D100" s="132">
        <v>2</v>
      </c>
      <c r="K100" s="175" t="str">
        <f>+K84</f>
        <v>13th Year Terminal Value</v>
      </c>
      <c r="L100" s="32"/>
      <c r="M100" s="19"/>
      <c r="N100" s="33">
        <f>+N98/N99</f>
        <v>3049699.681140935</v>
      </c>
      <c r="O100" s="45"/>
      <c r="P100" s="6"/>
      <c r="Q100" s="53" t="s">
        <v>65</v>
      </c>
      <c r="R100" s="32"/>
      <c r="S100" s="19"/>
      <c r="T100" s="32"/>
      <c r="U100" s="54">
        <f>ROUND((0.33*U98)+(0.67*U99),0)</f>
        <v>4573655</v>
      </c>
      <c r="AB100" s="5"/>
      <c r="AC100" s="5"/>
      <c r="AD100" s="5">
        <f>+AD84</f>
        <v>439615.3890607513</v>
      </c>
      <c r="AE100" s="5">
        <f>+AE$84</f>
        <v>10.1</v>
      </c>
      <c r="AF100" s="5"/>
      <c r="AG100" s="5"/>
      <c r="AH100" s="5"/>
      <c r="AI100" s="5"/>
      <c r="AJ100" s="5"/>
      <c r="AK100" s="5"/>
    </row>
    <row r="101" spans="1:37" ht="16.899999999999999" customHeight="1" x14ac:dyDescent="0.25">
      <c r="D101" s="132">
        <v>2</v>
      </c>
      <c r="K101" s="48" t="str">
        <f>+A102&amp;" ("&amp;B102&amp;")"</f>
        <v>13th Year Present Value Factor (12)</v>
      </c>
      <c r="L101" s="32"/>
      <c r="M101" s="19"/>
      <c r="N101" s="55">
        <f>+AB102</f>
        <v>0.36149999999999999</v>
      </c>
      <c r="O101" s="45"/>
      <c r="P101" s="6"/>
      <c r="Q101" s="49" t="str">
        <f>+K101</f>
        <v>13th Year Present Value Factor (12)</v>
      </c>
      <c r="R101" s="32"/>
      <c r="S101" s="19"/>
      <c r="T101" s="32"/>
      <c r="U101" s="56">
        <f>+AB102</f>
        <v>0.36149999999999999</v>
      </c>
      <c r="AC101" s="5"/>
      <c r="AD101" s="5"/>
      <c r="AE101" s="5"/>
      <c r="AF101" s="5"/>
      <c r="AG101" s="5"/>
      <c r="AH101" s="5"/>
      <c r="AI101" s="5"/>
      <c r="AJ101" s="5"/>
      <c r="AK101" s="5"/>
    </row>
    <row r="102" spans="1:37" ht="16.899999999999999" customHeight="1" x14ac:dyDescent="0.25">
      <c r="A102" s="173" t="str">
        <f>+A86</f>
        <v>13th Year Present Value Factor</v>
      </c>
      <c r="B102" s="25">
        <f>MAX(B$20:B101)+1</f>
        <v>12</v>
      </c>
      <c r="D102" s="132">
        <v>2</v>
      </c>
      <c r="K102" s="48" t="s">
        <v>66</v>
      </c>
      <c r="L102" s="57"/>
      <c r="M102" s="19"/>
      <c r="N102" s="58">
        <f>+N101*N100</f>
        <v>1102466.4347324481</v>
      </c>
      <c r="O102" s="45"/>
      <c r="P102" s="6"/>
      <c r="Q102" s="49" t="s">
        <v>66</v>
      </c>
      <c r="R102" s="57"/>
      <c r="S102" s="19"/>
      <c r="T102" s="33"/>
      <c r="U102" s="59">
        <f>+U101*U100</f>
        <v>1653376.2825</v>
      </c>
      <c r="AB102" s="176">
        <f>+Z$58</f>
        <v>0.36149999999999999</v>
      </c>
      <c r="AC102" s="5"/>
      <c r="AD102" s="177"/>
      <c r="AE102" s="5"/>
      <c r="AF102" s="5"/>
      <c r="AG102" s="5"/>
      <c r="AH102" s="5"/>
      <c r="AI102" s="5"/>
      <c r="AJ102" s="5"/>
      <c r="AK102" s="5"/>
    </row>
    <row r="103" spans="1:37" ht="16.899999999999999" customHeight="1" x14ac:dyDescent="0.25">
      <c r="D103" s="132">
        <v>2</v>
      </c>
      <c r="K103" s="48" t="s">
        <v>67</v>
      </c>
      <c r="L103" s="57"/>
      <c r="M103" s="19"/>
      <c r="N103" s="32"/>
      <c r="O103" s="45"/>
      <c r="P103" s="6"/>
      <c r="Q103" s="49" t="s">
        <v>67</v>
      </c>
      <c r="R103" s="57"/>
      <c r="S103" s="19"/>
      <c r="T103" s="57"/>
      <c r="U103" s="47"/>
      <c r="AB103" s="5"/>
      <c r="AC103" s="5"/>
      <c r="AD103" s="5"/>
      <c r="AE103" s="5"/>
      <c r="AF103" s="5"/>
      <c r="AG103" s="5"/>
      <c r="AH103" s="5"/>
      <c r="AI103" s="5"/>
      <c r="AJ103" s="5"/>
      <c r="AK103" s="5"/>
    </row>
    <row r="104" spans="1:37" ht="16.899999999999999" customHeight="1" x14ac:dyDescent="0.25">
      <c r="D104" s="132">
        <v>2</v>
      </c>
      <c r="K104" s="48" t="str">
        <f>+K$88</f>
        <v>Cash Flow for 13 Years</v>
      </c>
      <c r="L104" s="57"/>
      <c r="M104" s="19"/>
      <c r="N104" s="60">
        <f>+AB105</f>
        <v>1850008.8045984497</v>
      </c>
      <c r="O104" s="45"/>
      <c r="P104" s="6"/>
      <c r="Q104" s="49" t="str">
        <f>+Q$88</f>
        <v>Cash Flow for 13 Years</v>
      </c>
      <c r="R104" s="57"/>
      <c r="S104" s="19"/>
      <c r="T104" s="33"/>
      <c r="U104" s="52">
        <f>+AB105</f>
        <v>1850008.8045984497</v>
      </c>
      <c r="AB104" s="5"/>
      <c r="AC104" s="5"/>
      <c r="AD104" s="5"/>
      <c r="AE104" s="5"/>
      <c r="AF104" s="5"/>
      <c r="AG104" s="5"/>
      <c r="AH104" s="5"/>
      <c r="AI104" s="5"/>
      <c r="AJ104" s="5"/>
      <c r="AK104" s="5"/>
    </row>
    <row r="105" spans="1:37" ht="16.899999999999999" customHeight="1" x14ac:dyDescent="0.25">
      <c r="B105" s="178">
        <f>MAX(B$20:B104)+1</f>
        <v>13</v>
      </c>
      <c r="D105" s="132">
        <v>2</v>
      </c>
      <c r="K105" s="48"/>
      <c r="L105" s="57"/>
      <c r="M105" s="19"/>
      <c r="N105" s="32"/>
      <c r="O105" s="45"/>
      <c r="P105" s="6"/>
      <c r="Q105" s="49"/>
      <c r="R105" s="57"/>
      <c r="S105" s="19"/>
      <c r="T105" s="32"/>
      <c r="U105" s="47"/>
      <c r="AB105" s="5">
        <f>+AB60</f>
        <v>1850008.8045984497</v>
      </c>
      <c r="AC105" s="5"/>
      <c r="AD105" s="5"/>
      <c r="AE105" s="5"/>
      <c r="AF105" s="5"/>
      <c r="AG105" s="5"/>
      <c r="AH105" s="5"/>
      <c r="AI105" s="5"/>
      <c r="AJ105" s="5"/>
      <c r="AK105" s="5"/>
    </row>
    <row r="106" spans="1:37" ht="16.899999999999999" customHeight="1" thickBot="1" x14ac:dyDescent="0.3">
      <c r="D106" s="132">
        <v>2</v>
      </c>
      <c r="K106" s="48" t="s">
        <v>68</v>
      </c>
      <c r="L106" s="57"/>
      <c r="M106" s="19"/>
      <c r="N106" s="20">
        <f>+N102+N104</f>
        <v>2952475.239330898</v>
      </c>
      <c r="O106" s="45"/>
      <c r="P106" s="6"/>
      <c r="Q106" s="49" t="s">
        <v>68</v>
      </c>
      <c r="R106" s="57"/>
      <c r="S106" s="19"/>
      <c r="T106" s="33"/>
      <c r="U106" s="61">
        <f>+U102+U104</f>
        <v>3503385.0870984495</v>
      </c>
      <c r="AB106" s="5"/>
      <c r="AC106" s="5"/>
      <c r="AD106" s="5"/>
      <c r="AE106" s="5"/>
      <c r="AF106" s="5"/>
      <c r="AG106" s="5"/>
      <c r="AH106" s="5"/>
      <c r="AI106" s="5"/>
      <c r="AJ106" s="5"/>
      <c r="AK106" s="5"/>
    </row>
    <row r="107" spans="1:37" ht="16.899999999999999" customHeight="1" thickTop="1" thickBot="1" x14ac:dyDescent="0.3">
      <c r="D107" s="132">
        <v>2</v>
      </c>
      <c r="K107" s="62"/>
      <c r="L107" s="63"/>
      <c r="M107" s="64"/>
      <c r="N107" s="63"/>
      <c r="O107" s="65"/>
      <c r="P107" s="6"/>
      <c r="Q107" s="62"/>
      <c r="R107" s="63"/>
      <c r="S107" s="64"/>
      <c r="T107" s="63"/>
      <c r="U107" s="65"/>
      <c r="AB107" s="5"/>
      <c r="AC107" s="5"/>
      <c r="AD107" s="5"/>
      <c r="AE107" s="5"/>
      <c r="AF107" s="5"/>
      <c r="AG107" s="5"/>
      <c r="AH107" s="5"/>
      <c r="AI107" s="5"/>
      <c r="AJ107" s="5"/>
      <c r="AK107" s="5"/>
    </row>
    <row r="108" spans="1:37" ht="15" x14ac:dyDescent="0.25">
      <c r="D108" s="132">
        <v>2</v>
      </c>
      <c r="K108" s="32"/>
      <c r="L108" s="32"/>
      <c r="M108" s="19"/>
      <c r="N108" s="6"/>
      <c r="O108" s="32"/>
      <c r="P108" s="6"/>
      <c r="Q108" s="6"/>
      <c r="R108" s="5"/>
      <c r="S108" s="5"/>
      <c r="T108" s="5"/>
      <c r="U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</row>
    <row r="109" spans="1:37" ht="15" x14ac:dyDescent="0.25">
      <c r="D109" s="132">
        <v>2</v>
      </c>
      <c r="K109" s="32"/>
      <c r="L109" s="32"/>
      <c r="M109" s="19"/>
      <c r="N109" s="6"/>
      <c r="O109" s="32"/>
      <c r="P109" s="6"/>
      <c r="Q109" s="6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G109" s="5"/>
      <c r="AH109" s="5"/>
      <c r="AI109" s="5"/>
      <c r="AJ109" s="5"/>
      <c r="AK109" s="5"/>
    </row>
    <row r="110" spans="1:37" ht="16.5" thickBot="1" x14ac:dyDescent="0.3">
      <c r="D110" s="132">
        <v>2</v>
      </c>
      <c r="G110" s="30"/>
      <c r="L110" s="6"/>
      <c r="M110" s="6"/>
      <c r="N110" s="6"/>
      <c r="O110" s="6"/>
      <c r="P110" s="6"/>
      <c r="Q110" s="6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G110" s="5"/>
      <c r="AH110" s="5"/>
      <c r="AI110" s="5"/>
      <c r="AJ110" s="5"/>
      <c r="AK110" s="5"/>
    </row>
    <row r="111" spans="1:37" ht="15.75" thickBot="1" x14ac:dyDescent="0.3">
      <c r="D111" s="132">
        <v>2</v>
      </c>
      <c r="G111" s="31"/>
      <c r="K111" s="34" t="str">
        <f>+"DCF With Capitalization of Terminal Value Model @ "&amp;TEXT(AB112,"0.00%")</f>
        <v>DCF With Capitalization of Terminal Value Model @ 7.02%</v>
      </c>
      <c r="L111" s="35"/>
      <c r="M111" s="35"/>
      <c r="N111" s="35"/>
      <c r="O111" s="36"/>
      <c r="P111" s="6"/>
      <c r="Q111" s="34" t="str">
        <f>+"DCF With Capitalization of Terminal Value Model @ "&amp;TEXT(AB128,"0.00%")</f>
        <v>DCF With Capitalization of Terminal Value Model @ 8.38%</v>
      </c>
      <c r="R111" s="35"/>
      <c r="S111" s="35"/>
      <c r="T111" s="35"/>
      <c r="U111" s="36"/>
      <c r="AB111" s="5"/>
      <c r="AC111" s="5"/>
      <c r="AD111" s="5"/>
      <c r="AE111" s="5"/>
      <c r="AF111" s="5"/>
      <c r="AG111" s="5"/>
      <c r="AH111" s="5"/>
      <c r="AI111" s="5"/>
      <c r="AJ111" s="5"/>
      <c r="AK111" s="5"/>
    </row>
    <row r="112" spans="1:37" ht="15" x14ac:dyDescent="0.25">
      <c r="C112" s="168" t="s">
        <v>69</v>
      </c>
      <c r="D112" s="132">
        <v>2</v>
      </c>
      <c r="G112" s="29"/>
      <c r="K112" s="37"/>
      <c r="L112" s="38"/>
      <c r="M112" s="39"/>
      <c r="N112" s="40" t="s">
        <v>59</v>
      </c>
      <c r="O112" s="41"/>
      <c r="Q112" s="37"/>
      <c r="R112" s="38"/>
      <c r="S112" s="39"/>
      <c r="T112" s="40" t="s">
        <v>59</v>
      </c>
      <c r="U112" s="41"/>
      <c r="AB112" s="171">
        <f>+AC62</f>
        <v>7.0199999999999999E-2</v>
      </c>
      <c r="AC112" s="5"/>
      <c r="AD112" s="171">
        <f>+AB112</f>
        <v>7.0199999999999999E-2</v>
      </c>
      <c r="AE112" s="5"/>
      <c r="AF112" s="5"/>
      <c r="AG112" s="5"/>
      <c r="AH112" s="5"/>
      <c r="AI112" s="5"/>
      <c r="AJ112" s="5"/>
      <c r="AK112" s="5"/>
    </row>
    <row r="113" spans="1:40" ht="15" x14ac:dyDescent="0.25">
      <c r="D113" s="132">
        <v>2</v>
      </c>
      <c r="K113" s="43"/>
      <c r="L113" s="32"/>
      <c r="M113" s="19"/>
      <c r="N113" s="44" t="s">
        <v>60</v>
      </c>
      <c r="O113" s="45"/>
      <c r="Q113" s="43"/>
      <c r="R113" s="32"/>
      <c r="S113" s="19"/>
      <c r="T113" s="44" t="s">
        <v>60</v>
      </c>
      <c r="U113" s="45"/>
      <c r="AB113" s="5"/>
      <c r="AC113" s="5"/>
      <c r="AD113" s="5"/>
      <c r="AE113" s="5"/>
      <c r="AF113" s="5"/>
      <c r="AG113" s="5"/>
      <c r="AH113" s="5"/>
      <c r="AI113" s="5"/>
      <c r="AJ113" s="5"/>
      <c r="AK113" s="5"/>
    </row>
    <row r="114" spans="1:40" ht="15" x14ac:dyDescent="0.25">
      <c r="D114" s="132">
        <v>2</v>
      </c>
      <c r="K114" s="43"/>
      <c r="L114" s="32"/>
      <c r="M114" s="19"/>
      <c r="N114" s="32"/>
      <c r="O114" s="45"/>
      <c r="Q114" s="43"/>
      <c r="R114" s="32"/>
      <c r="S114" s="19"/>
      <c r="T114" s="32"/>
      <c r="U114" s="45"/>
      <c r="AB114" s="5"/>
      <c r="AC114" s="5"/>
      <c r="AD114" s="5"/>
      <c r="AE114" s="5"/>
      <c r="AF114" s="5"/>
      <c r="AG114" s="5"/>
      <c r="AH114" s="5"/>
      <c r="AI114" s="5"/>
      <c r="AJ114" s="5"/>
      <c r="AK114" s="5"/>
    </row>
    <row r="115" spans="1:40" ht="15" x14ac:dyDescent="0.25">
      <c r="D115" s="132">
        <v>2</v>
      </c>
      <c r="K115" s="48" t="str">
        <f>+K82</f>
        <v>Projected Debt Free Net Cash Flow (10)</v>
      </c>
      <c r="L115" s="32"/>
      <c r="M115" s="32"/>
      <c r="N115" s="32">
        <f>+AB116</f>
        <v>258614.5329607513</v>
      </c>
      <c r="O115" s="45"/>
      <c r="Q115" s="48" t="str">
        <f t="shared" ref="Q115:Q121" si="58">+K98</f>
        <v>Projected Debt Free Net Cash Flow (10)</v>
      </c>
      <c r="R115" s="32"/>
      <c r="S115" s="32"/>
      <c r="T115" s="32">
        <f>+AB132</f>
        <v>258614.5329607513</v>
      </c>
      <c r="U115" s="45"/>
      <c r="AB115" s="5"/>
      <c r="AC115" s="5"/>
      <c r="AD115" s="5"/>
      <c r="AE115" s="5"/>
      <c r="AF115" s="5"/>
      <c r="AG115" s="5"/>
      <c r="AH115" s="5"/>
      <c r="AI115" s="5"/>
      <c r="AJ115" s="5"/>
      <c r="AK115" s="5"/>
    </row>
    <row r="116" spans="1:40" ht="16.899999999999999" customHeight="1" x14ac:dyDescent="0.25">
      <c r="A116" s="173" t="s">
        <v>62</v>
      </c>
      <c r="B116" s="25">
        <f>B$83</f>
        <v>10</v>
      </c>
      <c r="D116" s="132">
        <v>2</v>
      </c>
      <c r="K116" s="48" t="str">
        <f t="shared" ref="K116:K120" si="59">+K83</f>
        <v>Divided by Capitalization Factor (8)</v>
      </c>
      <c r="L116" s="32"/>
      <c r="M116" s="33"/>
      <c r="N116" s="51">
        <f>+AB112</f>
        <v>7.0199999999999999E-2</v>
      </c>
      <c r="O116" s="45"/>
      <c r="Q116" s="48" t="str">
        <f t="shared" si="58"/>
        <v>Divided by Capitalization Factor (9)</v>
      </c>
      <c r="R116" s="32"/>
      <c r="S116" s="33"/>
      <c r="T116" s="51">
        <f>+AB128</f>
        <v>8.3799999999999999E-2</v>
      </c>
      <c r="U116" s="45"/>
      <c r="AB116" s="5">
        <f>+AB$52</f>
        <v>258614.5329607513</v>
      </c>
      <c r="AC116" s="5"/>
      <c r="AD116" s="5">
        <f>+Z$42</f>
        <v>331834.36026075133</v>
      </c>
      <c r="AE116" s="5">
        <f>+AE$83</f>
        <v>14.6</v>
      </c>
      <c r="AF116" s="5"/>
      <c r="AG116" s="5"/>
      <c r="AH116" s="5"/>
      <c r="AI116" s="5"/>
      <c r="AJ116" s="5"/>
      <c r="AK116" s="5"/>
    </row>
    <row r="117" spans="1:40" ht="16.899999999999999" customHeight="1" x14ac:dyDescent="0.25">
      <c r="A117" s="173" t="s">
        <v>64</v>
      </c>
      <c r="B117" s="25">
        <f>+B$54</f>
        <v>8</v>
      </c>
      <c r="D117" s="132">
        <v>2</v>
      </c>
      <c r="K117" s="48" t="str">
        <f t="shared" si="59"/>
        <v>13th Year Terminal Value</v>
      </c>
      <c r="L117" s="32"/>
      <c r="M117" s="19"/>
      <c r="N117" s="33">
        <f>+N115/N116</f>
        <v>3683967.7059936081</v>
      </c>
      <c r="O117" s="45"/>
      <c r="Q117" s="48" t="str">
        <f t="shared" si="58"/>
        <v>13th Year Terminal Value</v>
      </c>
      <c r="R117" s="32"/>
      <c r="S117" s="19"/>
      <c r="T117" s="33">
        <f>+T115/T116</f>
        <v>3086092.2787679154</v>
      </c>
      <c r="U117" s="45"/>
      <c r="AB117" s="5"/>
      <c r="AC117" s="5"/>
      <c r="AD117" s="5">
        <f>+Z$41</f>
        <v>439615.3890607513</v>
      </c>
      <c r="AE117" s="5">
        <f>+AE$84</f>
        <v>10.1</v>
      </c>
      <c r="AF117" s="5"/>
      <c r="AG117" s="5"/>
      <c r="AH117" s="5"/>
      <c r="AI117" s="5"/>
      <c r="AJ117" s="5"/>
      <c r="AK117" s="5"/>
    </row>
    <row r="118" spans="1:40" ht="16.899999999999999" customHeight="1" x14ac:dyDescent="0.25">
      <c r="D118" s="132">
        <v>2</v>
      </c>
      <c r="K118" s="48" t="str">
        <f t="shared" si="59"/>
        <v>13th Year Present Value Factor (11)</v>
      </c>
      <c r="L118" s="32"/>
      <c r="M118" s="19"/>
      <c r="N118" s="55">
        <f>+N85</f>
        <v>0.42330000000000001</v>
      </c>
      <c r="O118" s="45"/>
      <c r="Q118" s="48" t="str">
        <f t="shared" si="58"/>
        <v>13th Year Present Value Factor (12)</v>
      </c>
      <c r="R118" s="32"/>
      <c r="S118" s="19"/>
      <c r="T118" s="55">
        <f>+N101</f>
        <v>0.36149999999999999</v>
      </c>
      <c r="U118" s="45"/>
      <c r="AC118" s="5"/>
      <c r="AD118" s="5"/>
      <c r="AE118" s="5"/>
      <c r="AF118" s="5"/>
      <c r="AG118" s="5"/>
      <c r="AH118" s="5"/>
      <c r="AI118" s="5"/>
      <c r="AJ118" s="5"/>
      <c r="AK118" s="5"/>
    </row>
    <row r="119" spans="1:40" ht="16.899999999999999" customHeight="1" x14ac:dyDescent="0.25">
      <c r="A119" s="173" t="s">
        <v>70</v>
      </c>
      <c r="B119" s="25">
        <f>B$86</f>
        <v>11</v>
      </c>
      <c r="D119" s="132">
        <v>2</v>
      </c>
      <c r="K119" s="48" t="str">
        <f t="shared" si="59"/>
        <v>Present Value of Terminal Value</v>
      </c>
      <c r="L119" s="57"/>
      <c r="M119" s="19"/>
      <c r="N119" s="58">
        <f>+N118*N117</f>
        <v>1559423.5299470944</v>
      </c>
      <c r="O119" s="45"/>
      <c r="Q119" s="48" t="str">
        <f t="shared" si="58"/>
        <v>Present Value of Terminal Value</v>
      </c>
      <c r="R119" s="57"/>
      <c r="S119" s="19"/>
      <c r="T119" s="58">
        <f>+T118*T117</f>
        <v>1115622.3587746015</v>
      </c>
      <c r="U119" s="45"/>
      <c r="AB119" s="176">
        <f>+Z62</f>
        <v>0.42820000000000003</v>
      </c>
      <c r="AC119" s="5"/>
      <c r="AD119" s="177">
        <f>+AB119</f>
        <v>0.42820000000000003</v>
      </c>
      <c r="AE119" s="5"/>
      <c r="AF119" s="5"/>
      <c r="AG119" s="5"/>
      <c r="AH119" s="5"/>
      <c r="AI119" s="5"/>
      <c r="AJ119" s="5"/>
      <c r="AK119" s="5"/>
    </row>
    <row r="120" spans="1:40" ht="16.899999999999999" customHeight="1" x14ac:dyDescent="0.25">
      <c r="D120" s="132">
        <v>2</v>
      </c>
      <c r="K120" s="48" t="str">
        <f t="shared" si="59"/>
        <v>Present Value Debt Free Net</v>
      </c>
      <c r="L120" s="57"/>
      <c r="M120" s="19"/>
      <c r="N120" s="32"/>
      <c r="O120" s="45"/>
      <c r="Q120" s="48" t="str">
        <f t="shared" si="58"/>
        <v>Present Value Debt Free Net</v>
      </c>
      <c r="R120" s="57"/>
      <c r="S120" s="19"/>
      <c r="T120" s="32"/>
      <c r="U120" s="45"/>
      <c r="AB120" s="5"/>
      <c r="AC120" s="5"/>
      <c r="AD120" s="5"/>
      <c r="AE120" s="5"/>
      <c r="AF120" s="5"/>
      <c r="AG120" s="5"/>
      <c r="AH120" s="5"/>
      <c r="AI120" s="5"/>
      <c r="AJ120" s="5"/>
      <c r="AK120" s="5"/>
    </row>
    <row r="121" spans="1:40" ht="16.899999999999999" customHeight="1" x14ac:dyDescent="0.25">
      <c r="D121" s="132">
        <v>2</v>
      </c>
      <c r="K121" s="48" t="str">
        <f>+K$88</f>
        <v>Cash Flow for 13 Years</v>
      </c>
      <c r="L121" s="57"/>
      <c r="M121" s="19"/>
      <c r="N121" s="60">
        <f>+AB122</f>
        <v>1995635.5639271482</v>
      </c>
      <c r="O121" s="45"/>
      <c r="Q121" s="48" t="str">
        <f t="shared" si="58"/>
        <v>Cash Flow for 13 Years</v>
      </c>
      <c r="R121" s="57"/>
      <c r="S121" s="19"/>
      <c r="T121" s="60">
        <f>+AB138</f>
        <v>1850008.8045984497</v>
      </c>
      <c r="U121" s="45"/>
      <c r="V121" s="5"/>
      <c r="W121" s="5"/>
      <c r="X121" s="5"/>
      <c r="Y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</row>
    <row r="122" spans="1:40" ht="16.899999999999999" customHeight="1" x14ac:dyDescent="0.25">
      <c r="D122" s="132">
        <v>2</v>
      </c>
      <c r="K122" s="48"/>
      <c r="L122" s="57"/>
      <c r="M122" s="19"/>
      <c r="N122" s="32"/>
      <c r="O122" s="45"/>
      <c r="Q122" s="48"/>
      <c r="R122" s="57"/>
      <c r="S122" s="19"/>
      <c r="T122" s="32"/>
      <c r="U122" s="45"/>
      <c r="V122" s="5"/>
      <c r="W122" s="5"/>
      <c r="X122" s="5"/>
      <c r="Y122" s="5"/>
      <c r="AB122" s="5">
        <f>+AB56</f>
        <v>1995635.5639271482</v>
      </c>
      <c r="AC122" s="5"/>
      <c r="AD122" s="5">
        <f>+AB122</f>
        <v>1995635.5639271482</v>
      </c>
      <c r="AE122" s="5"/>
      <c r="AF122" s="5"/>
      <c r="AG122" s="5"/>
      <c r="AH122" s="5"/>
      <c r="AI122" s="5"/>
      <c r="AJ122" s="5"/>
      <c r="AK122" s="5"/>
    </row>
    <row r="123" spans="1:40" ht="16.899999999999999" customHeight="1" thickBot="1" x14ac:dyDescent="0.3">
      <c r="D123" s="132">
        <v>2</v>
      </c>
      <c r="K123" s="48" t="s">
        <v>68</v>
      </c>
      <c r="L123" s="57"/>
      <c r="M123" s="19"/>
      <c r="N123" s="20">
        <f>+N119+N121</f>
        <v>3555059.0938742426</v>
      </c>
      <c r="O123" s="45"/>
      <c r="Q123" s="48" t="s">
        <v>68</v>
      </c>
      <c r="R123" s="57"/>
      <c r="S123" s="19"/>
      <c r="T123" s="20">
        <f>+T119+T121</f>
        <v>2965631.1633730512</v>
      </c>
      <c r="U123" s="45"/>
      <c r="V123" s="5"/>
      <c r="W123" s="5"/>
      <c r="X123" s="5"/>
      <c r="Y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</row>
    <row r="124" spans="1:40" ht="16.899999999999999" customHeight="1" thickTop="1" thickBot="1" x14ac:dyDescent="0.3">
      <c r="D124" s="132">
        <v>2</v>
      </c>
      <c r="K124" s="62"/>
      <c r="L124" s="63"/>
      <c r="M124" s="64"/>
      <c r="N124" s="63"/>
      <c r="O124" s="65"/>
      <c r="Q124" s="62"/>
      <c r="R124" s="63"/>
      <c r="S124" s="64"/>
      <c r="T124" s="63"/>
      <c r="U124" s="65"/>
      <c r="V124" s="5"/>
      <c r="W124" s="5"/>
      <c r="X124" s="5"/>
      <c r="Y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</row>
    <row r="125" spans="1:40" ht="15" x14ac:dyDescent="0.25">
      <c r="D125" s="132">
        <v>2</v>
      </c>
      <c r="K125" s="6"/>
      <c r="L125" s="5"/>
      <c r="M125" s="5"/>
      <c r="N125" s="5"/>
      <c r="O125" s="5"/>
      <c r="P125" s="6"/>
      <c r="Q125" s="179"/>
      <c r="R125" s="180"/>
      <c r="S125" s="180"/>
      <c r="T125" s="180"/>
      <c r="U125" s="180"/>
      <c r="V125" s="5"/>
      <c r="W125" s="5"/>
      <c r="X125" s="5"/>
      <c r="Y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</row>
    <row r="126" spans="1:40" ht="15" x14ac:dyDescent="0.25">
      <c r="D126" s="132"/>
      <c r="K126" s="6"/>
      <c r="L126" s="5"/>
      <c r="M126" s="5"/>
      <c r="N126" s="5"/>
      <c r="O126" s="5"/>
      <c r="P126" s="6"/>
      <c r="Q126" s="179"/>
      <c r="R126" s="180"/>
      <c r="S126" s="180"/>
      <c r="T126" s="180"/>
      <c r="U126" s="180"/>
      <c r="V126" s="5"/>
      <c r="W126" s="5"/>
      <c r="X126" s="5"/>
      <c r="Y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</row>
    <row r="127" spans="1:40" ht="15" x14ac:dyDescent="0.25">
      <c r="D127" s="132"/>
      <c r="P127" s="6"/>
      <c r="Q127" s="181" t="str">
        <f>+"DCF With EBIT &amp; EBITDA Terminal Value Model - Discount Rate of "&amp;TEXT(AD128,"0.00%")</f>
        <v>DCF With EBIT &amp; EBITDA Terminal Value Model - Discount Rate of 8.38%</v>
      </c>
      <c r="R127" s="181"/>
      <c r="S127" s="181"/>
      <c r="T127" s="181"/>
      <c r="U127" s="181"/>
      <c r="V127" s="5"/>
      <c r="W127" s="5"/>
      <c r="X127" s="5"/>
      <c r="Y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174"/>
      <c r="AM127" s="31"/>
      <c r="AN127" s="31"/>
    </row>
    <row r="128" spans="1:40" ht="15" x14ac:dyDescent="0.25">
      <c r="D128" s="132"/>
      <c r="P128" s="6"/>
      <c r="Q128" s="182"/>
      <c r="R128" s="182"/>
      <c r="S128" s="183"/>
      <c r="T128" s="182"/>
      <c r="U128" s="184" t="s">
        <v>59</v>
      </c>
      <c r="V128" s="5"/>
      <c r="W128" s="5"/>
      <c r="X128" s="5"/>
      <c r="Y128" s="5"/>
      <c r="AB128" s="171">
        <f>+AC66</f>
        <v>8.3799999999999999E-2</v>
      </c>
      <c r="AC128" s="5"/>
      <c r="AD128" s="171">
        <f>+AB128</f>
        <v>8.3799999999999999E-2</v>
      </c>
      <c r="AE128" s="5"/>
      <c r="AF128" s="5"/>
      <c r="AG128" s="5"/>
      <c r="AH128" s="5"/>
      <c r="AI128" s="5"/>
      <c r="AJ128" s="5"/>
      <c r="AK128" s="5"/>
    </row>
    <row r="129" spans="4:37" ht="15" x14ac:dyDescent="0.25">
      <c r="D129" s="132"/>
      <c r="P129" s="6"/>
      <c r="Q129" s="182"/>
      <c r="R129" s="182"/>
      <c r="S129" s="183"/>
      <c r="T129" s="185" t="s">
        <v>71</v>
      </c>
      <c r="U129" s="185" t="s">
        <v>60</v>
      </c>
      <c r="V129" s="5"/>
      <c r="W129" s="5"/>
      <c r="X129" s="5"/>
      <c r="Y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</row>
    <row r="130" spans="4:37" ht="15" x14ac:dyDescent="0.25">
      <c r="D130" s="132"/>
      <c r="P130" s="6"/>
      <c r="Q130" s="182"/>
      <c r="R130" s="182"/>
      <c r="S130" s="183"/>
      <c r="T130" s="182"/>
      <c r="U130" s="182"/>
      <c r="V130" s="5"/>
      <c r="W130" s="5"/>
      <c r="X130" s="5"/>
      <c r="Y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</row>
    <row r="131" spans="4:37" ht="15" x14ac:dyDescent="0.25">
      <c r="D131" s="132"/>
      <c r="P131" s="6"/>
      <c r="Q131" s="186" t="s">
        <v>61</v>
      </c>
      <c r="R131" s="182"/>
      <c r="S131" s="182">
        <f>+AD132</f>
        <v>331834.36026075133</v>
      </c>
      <c r="T131" s="187">
        <f>+AE132</f>
        <v>14.6</v>
      </c>
      <c r="U131" s="182">
        <f>+T131*S131</f>
        <v>4844781.6598069696</v>
      </c>
      <c r="V131" s="5"/>
      <c r="W131" s="5"/>
      <c r="X131" s="5"/>
      <c r="Y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</row>
    <row r="132" spans="4:37" ht="16.899999999999999" customHeight="1" x14ac:dyDescent="0.25">
      <c r="D132" s="132"/>
      <c r="P132" s="6"/>
      <c r="Q132" s="186" t="s">
        <v>63</v>
      </c>
      <c r="R132" s="182"/>
      <c r="S132" s="188">
        <f>+AD133</f>
        <v>439615.3890607513</v>
      </c>
      <c r="T132" s="187">
        <f>+AE133</f>
        <v>10.1</v>
      </c>
      <c r="U132" s="188">
        <f>+T132*S132</f>
        <v>4440115.4295135876</v>
      </c>
      <c r="V132" s="5"/>
      <c r="W132" s="5"/>
      <c r="X132" s="5"/>
      <c r="Y132" s="5"/>
      <c r="AB132" s="5">
        <f>+AB$52</f>
        <v>258614.5329607513</v>
      </c>
      <c r="AC132" s="5"/>
      <c r="AD132" s="5">
        <f>+AD116</f>
        <v>331834.36026075133</v>
      </c>
      <c r="AE132" s="5">
        <f>+AE$83</f>
        <v>14.6</v>
      </c>
      <c r="AF132" s="5"/>
      <c r="AG132" s="5"/>
      <c r="AH132" s="5"/>
      <c r="AI132" s="5"/>
      <c r="AJ132" s="5"/>
      <c r="AK132" s="5"/>
    </row>
    <row r="133" spans="4:37" ht="16.899999999999999" customHeight="1" x14ac:dyDescent="0.25">
      <c r="D133" s="132"/>
      <c r="P133" s="6"/>
      <c r="Q133" s="189" t="s">
        <v>65</v>
      </c>
      <c r="R133" s="182"/>
      <c r="S133" s="183"/>
      <c r="T133" s="182"/>
      <c r="U133" s="188">
        <f>ROUND((0.33*U131)+(0.67*U132),0)</f>
        <v>4573655</v>
      </c>
      <c r="V133" s="5"/>
      <c r="W133" s="5"/>
      <c r="X133" s="5"/>
      <c r="Y133" s="5"/>
      <c r="AB133" s="5"/>
      <c r="AC133" s="5"/>
      <c r="AD133" s="5">
        <f>+AD117</f>
        <v>439615.3890607513</v>
      </c>
      <c r="AE133" s="5">
        <f>+AE$84</f>
        <v>10.1</v>
      </c>
      <c r="AF133" s="5"/>
      <c r="AG133" s="5"/>
      <c r="AH133" s="5"/>
      <c r="AI133" s="5"/>
      <c r="AJ133" s="5"/>
      <c r="AK133" s="5"/>
    </row>
    <row r="134" spans="4:37" ht="16.899999999999999" customHeight="1" x14ac:dyDescent="0.25">
      <c r="D134" s="132"/>
      <c r="P134" s="6"/>
      <c r="Q134" s="186" t="str">
        <f>+Q118</f>
        <v>13th Year Present Value Factor (12)</v>
      </c>
      <c r="R134" s="182"/>
      <c r="S134" s="183"/>
      <c r="T134" s="182"/>
      <c r="U134" s="190">
        <f>+U101</f>
        <v>0.36149999999999999</v>
      </c>
      <c r="V134" s="5"/>
      <c r="W134" s="5"/>
      <c r="X134" s="5"/>
      <c r="Y134" s="5"/>
      <c r="AC134" s="5"/>
      <c r="AD134" s="5"/>
      <c r="AE134" s="5"/>
      <c r="AF134" s="5"/>
      <c r="AG134" s="5"/>
      <c r="AH134" s="5"/>
      <c r="AI134" s="5"/>
      <c r="AJ134" s="5"/>
      <c r="AK134" s="5"/>
    </row>
    <row r="135" spans="4:37" ht="16.899999999999999" customHeight="1" x14ac:dyDescent="0.25">
      <c r="D135" s="132"/>
      <c r="P135" s="6"/>
      <c r="Q135" s="186" t="s">
        <v>66</v>
      </c>
      <c r="R135" s="186"/>
      <c r="S135" s="183"/>
      <c r="T135" s="188"/>
      <c r="U135" s="188">
        <f>+U134*U133</f>
        <v>1653376.2825</v>
      </c>
      <c r="V135" s="5"/>
      <c r="W135" s="5"/>
      <c r="X135" s="5"/>
      <c r="Y135" s="5"/>
      <c r="AB135" s="176">
        <f>+Z66</f>
        <v>0.36570000000000003</v>
      </c>
      <c r="AC135" s="5"/>
      <c r="AD135" s="177">
        <f>+AB135</f>
        <v>0.36570000000000003</v>
      </c>
      <c r="AE135" s="5"/>
      <c r="AF135" s="5"/>
      <c r="AG135" s="5"/>
      <c r="AH135" s="5"/>
      <c r="AI135" s="5"/>
      <c r="AJ135" s="5"/>
      <c r="AK135" s="5"/>
    </row>
    <row r="136" spans="4:37" ht="16.899999999999999" customHeight="1" x14ac:dyDescent="0.25">
      <c r="D136" s="132"/>
      <c r="P136" s="6"/>
      <c r="Q136" s="186" t="s">
        <v>67</v>
      </c>
      <c r="R136" s="186"/>
      <c r="S136" s="183"/>
      <c r="T136" s="186"/>
      <c r="U136" s="182"/>
      <c r="V136" s="5"/>
      <c r="W136" s="5"/>
      <c r="X136" s="5"/>
      <c r="Y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</row>
    <row r="137" spans="4:37" ht="16.899999999999999" customHeight="1" x14ac:dyDescent="0.25">
      <c r="D137" s="132"/>
      <c r="P137" s="6"/>
      <c r="Q137" s="186" t="str">
        <f>+Q$88</f>
        <v>Cash Flow for 13 Years</v>
      </c>
      <c r="R137" s="186"/>
      <c r="S137" s="183"/>
      <c r="T137" s="188"/>
      <c r="U137" s="188">
        <f>+AB138</f>
        <v>1850008.8045984497</v>
      </c>
      <c r="V137" s="5"/>
      <c r="W137" s="5"/>
      <c r="X137" s="5"/>
      <c r="Y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</row>
    <row r="138" spans="4:37" ht="16.899999999999999" customHeight="1" x14ac:dyDescent="0.25">
      <c r="D138" s="132"/>
      <c r="P138" s="6"/>
      <c r="Q138" s="186"/>
      <c r="R138" s="186"/>
      <c r="S138" s="183"/>
      <c r="T138" s="182"/>
      <c r="U138" s="182"/>
      <c r="V138" s="5"/>
      <c r="W138" s="5"/>
      <c r="X138" s="5"/>
      <c r="Y138" s="5"/>
      <c r="AB138" s="5">
        <f>+AB60</f>
        <v>1850008.8045984497</v>
      </c>
      <c r="AC138" s="5"/>
      <c r="AD138" s="5">
        <f>+AB138</f>
        <v>1850008.8045984497</v>
      </c>
      <c r="AE138" s="5"/>
      <c r="AF138" s="5"/>
      <c r="AG138" s="5"/>
      <c r="AH138" s="5"/>
      <c r="AI138" s="5"/>
      <c r="AJ138" s="5"/>
      <c r="AK138" s="5"/>
    </row>
    <row r="139" spans="4:37" ht="16.899999999999999" customHeight="1" x14ac:dyDescent="0.25">
      <c r="D139" s="132"/>
      <c r="P139" s="6"/>
      <c r="Q139" s="186" t="s">
        <v>68</v>
      </c>
      <c r="R139" s="186"/>
      <c r="S139" s="183"/>
      <c r="T139" s="188"/>
      <c r="U139" s="182">
        <f>+U135+U137</f>
        <v>3503385.0870984495</v>
      </c>
      <c r="V139" s="5"/>
      <c r="W139" s="5"/>
      <c r="X139" s="5"/>
      <c r="Y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</row>
    <row r="140" spans="4:37" ht="16.899999999999999" customHeight="1" x14ac:dyDescent="0.25">
      <c r="D140" s="132"/>
      <c r="P140" s="6"/>
      <c r="Q140" s="182"/>
      <c r="R140" s="182"/>
      <c r="S140" s="183"/>
      <c r="T140" s="182"/>
      <c r="U140" s="182"/>
      <c r="V140" s="5"/>
      <c r="W140" s="5"/>
      <c r="X140" s="5"/>
      <c r="Y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</row>
    <row r="141" spans="4:37" ht="15" x14ac:dyDescent="0.25">
      <c r="D141" s="132"/>
      <c r="K141" s="32"/>
      <c r="L141" s="32"/>
      <c r="M141" s="19"/>
      <c r="N141" s="6"/>
      <c r="O141" s="32"/>
      <c r="P141" s="6"/>
      <c r="Q141" s="6"/>
      <c r="R141" s="5"/>
      <c r="S141" s="5"/>
      <c r="T141" s="5"/>
      <c r="U141" s="5"/>
      <c r="V141" s="5"/>
      <c r="W141" s="5"/>
      <c r="X141" s="5"/>
      <c r="Y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</row>
    <row r="142" spans="4:37" ht="15.75" x14ac:dyDescent="0.25">
      <c r="D142" s="132">
        <v>2</v>
      </c>
      <c r="L142" s="27" t="s">
        <v>72</v>
      </c>
      <c r="M142" s="19"/>
      <c r="N142" s="6"/>
      <c r="O142" s="32"/>
      <c r="P142" s="6"/>
      <c r="Q142" s="6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G142" s="5"/>
      <c r="AH142" s="5"/>
      <c r="AI142" s="5"/>
      <c r="AJ142" s="5"/>
      <c r="AK142" s="5"/>
    </row>
    <row r="143" spans="4:37" ht="16.5" thickBot="1" x14ac:dyDescent="0.3">
      <c r="D143" s="132">
        <v>2</v>
      </c>
      <c r="G143" s="27"/>
      <c r="L143" s="6"/>
      <c r="M143" s="6"/>
      <c r="N143" s="6"/>
      <c r="O143" s="6"/>
      <c r="P143" s="6"/>
      <c r="Q143" s="6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G143" s="5"/>
      <c r="AH143" s="5"/>
      <c r="AI143" s="5"/>
      <c r="AJ143" s="5"/>
      <c r="AK143" s="5"/>
    </row>
    <row r="144" spans="4:37" ht="15.75" thickBot="1" x14ac:dyDescent="0.3">
      <c r="D144" s="132">
        <v>3</v>
      </c>
      <c r="K144" s="34" t="str">
        <f>+"DCF With Capitalization of Terminal Value Model @ "&amp;TEXT(AB145,"0.00%")</f>
        <v>DCF With Capitalization of Terminal Value Model @ 3.84%</v>
      </c>
      <c r="L144" s="35"/>
      <c r="M144" s="35"/>
      <c r="N144" s="35"/>
      <c r="O144" s="36"/>
      <c r="P144" s="6"/>
      <c r="Q144" s="34" t="str">
        <f>+"DCF With EBIT &amp; EBITDA Terminal Value Model - Discount Rate of "&amp;TEXT(AD145,"0.00%")</f>
        <v>DCF With EBIT &amp; EBITDA Terminal Value Model - Discount Rate of 3.84%</v>
      </c>
      <c r="R144" s="35"/>
      <c r="S144" s="35"/>
      <c r="T144" s="35"/>
      <c r="U144" s="36"/>
      <c r="V144" s="5"/>
      <c r="W144" s="5"/>
      <c r="X144" s="5"/>
      <c r="Y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</row>
    <row r="145" spans="3:37" ht="15" x14ac:dyDescent="0.25">
      <c r="C145" s="168" t="s">
        <v>73</v>
      </c>
      <c r="D145" s="132">
        <v>3</v>
      </c>
      <c r="G145" s="29"/>
      <c r="K145" s="37"/>
      <c r="L145" s="38"/>
      <c r="M145" s="39"/>
      <c r="N145" s="40" t="s">
        <v>59</v>
      </c>
      <c r="O145" s="41"/>
      <c r="Q145" s="37"/>
      <c r="R145" s="38"/>
      <c r="S145" s="39"/>
      <c r="T145" s="38"/>
      <c r="U145" s="42" t="s">
        <v>59</v>
      </c>
      <c r="V145" s="5"/>
      <c r="W145" s="5"/>
      <c r="X145" s="5"/>
      <c r="Y145" s="5"/>
      <c r="AB145" s="171">
        <f>+AC70</f>
        <v>3.8399999999999997E-2</v>
      </c>
      <c r="AC145" s="5"/>
      <c r="AD145" s="171">
        <f>+AB145</f>
        <v>3.8399999999999997E-2</v>
      </c>
      <c r="AE145" s="5"/>
      <c r="AF145" s="5"/>
      <c r="AG145" s="5"/>
      <c r="AH145" s="5"/>
      <c r="AI145" s="5"/>
      <c r="AJ145" s="5"/>
      <c r="AK145" s="5"/>
    </row>
    <row r="146" spans="3:37" ht="15" x14ac:dyDescent="0.25">
      <c r="D146" s="132">
        <v>3</v>
      </c>
      <c r="K146" s="43"/>
      <c r="L146" s="32"/>
      <c r="M146" s="19"/>
      <c r="N146" s="44" t="s">
        <v>60</v>
      </c>
      <c r="O146" s="45"/>
      <c r="Q146" s="43"/>
      <c r="R146" s="32"/>
      <c r="S146" s="19"/>
      <c r="T146" s="44" t="str">
        <f>+T96</f>
        <v>Multiples (13)</v>
      </c>
      <c r="U146" s="46" t="s">
        <v>60</v>
      </c>
      <c r="V146" s="5"/>
      <c r="W146" s="5"/>
      <c r="X146" s="5"/>
      <c r="Y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</row>
    <row r="147" spans="3:37" ht="15" x14ac:dyDescent="0.25">
      <c r="D147" s="132">
        <v>3</v>
      </c>
      <c r="K147" s="43"/>
      <c r="L147" s="32"/>
      <c r="M147" s="19"/>
      <c r="N147" s="32"/>
      <c r="O147" s="45"/>
      <c r="Q147" s="43"/>
      <c r="R147" s="32"/>
      <c r="S147" s="19"/>
      <c r="T147" s="32"/>
      <c r="U147" s="47"/>
      <c r="V147" s="5"/>
      <c r="W147" s="5"/>
      <c r="X147" s="5"/>
      <c r="Y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</row>
    <row r="148" spans="3:37" ht="15" x14ac:dyDescent="0.25">
      <c r="D148" s="132">
        <v>3</v>
      </c>
      <c r="K148" s="48" t="str">
        <f t="shared" ref="K148:K154" si="60">+K115</f>
        <v>Projected Debt Free Net Cash Flow (10)</v>
      </c>
      <c r="L148" s="32"/>
      <c r="M148" s="32"/>
      <c r="N148" s="32">
        <f>+AB149</f>
        <v>258614.5329607513</v>
      </c>
      <c r="O148" s="45"/>
      <c r="Q148" s="49" t="s">
        <v>61</v>
      </c>
      <c r="R148" s="32"/>
      <c r="S148" s="32">
        <f>+AD149</f>
        <v>331834.36026075133</v>
      </c>
      <c r="T148" s="50">
        <f>+AE149</f>
        <v>14.6</v>
      </c>
      <c r="U148" s="47">
        <f>+T148*S148</f>
        <v>4844781.6598069696</v>
      </c>
      <c r="V148" s="5"/>
      <c r="W148" s="5"/>
      <c r="X148" s="5"/>
      <c r="Y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</row>
    <row r="149" spans="3:37" ht="16.899999999999999" customHeight="1" x14ac:dyDescent="0.25">
      <c r="D149" s="132">
        <v>3</v>
      </c>
      <c r="K149" s="48" t="str">
        <f t="shared" si="60"/>
        <v>Divided by Capitalization Factor (8)</v>
      </c>
      <c r="L149" s="32"/>
      <c r="M149" s="33"/>
      <c r="N149" s="51">
        <f>+AB145</f>
        <v>3.8399999999999997E-2</v>
      </c>
      <c r="O149" s="45"/>
      <c r="Q149" s="49" t="s">
        <v>63</v>
      </c>
      <c r="R149" s="32"/>
      <c r="S149" s="33">
        <f>+AD150</f>
        <v>439615.3890607513</v>
      </c>
      <c r="T149" s="50">
        <f>+AE150</f>
        <v>10.1</v>
      </c>
      <c r="U149" s="52">
        <f>+T149*S149</f>
        <v>4440115.4295135876</v>
      </c>
      <c r="V149" s="5"/>
      <c r="W149" s="5"/>
      <c r="X149" s="5"/>
      <c r="Y149" s="5"/>
      <c r="AB149" s="5">
        <f>+AB$52</f>
        <v>258614.5329607513</v>
      </c>
      <c r="AC149" s="5"/>
      <c r="AD149" s="5">
        <f>+Z$42</f>
        <v>331834.36026075133</v>
      </c>
      <c r="AE149" s="5">
        <f>+AE$83</f>
        <v>14.6</v>
      </c>
      <c r="AF149" s="5"/>
      <c r="AG149" s="5"/>
      <c r="AH149" s="5"/>
      <c r="AI149" s="5"/>
      <c r="AJ149" s="5"/>
      <c r="AK149" s="5"/>
    </row>
    <row r="150" spans="3:37" ht="16.899999999999999" customHeight="1" x14ac:dyDescent="0.25">
      <c r="D150" s="132">
        <v>3</v>
      </c>
      <c r="K150" s="48" t="str">
        <f t="shared" si="60"/>
        <v>13th Year Terminal Value</v>
      </c>
      <c r="L150" s="32"/>
      <c r="M150" s="19"/>
      <c r="N150" s="33">
        <f>+N148/N149</f>
        <v>6734753.4625195656</v>
      </c>
      <c r="O150" s="45"/>
      <c r="Q150" s="53" t="s">
        <v>65</v>
      </c>
      <c r="R150" s="32"/>
      <c r="S150" s="19"/>
      <c r="T150" s="32"/>
      <c r="U150" s="54">
        <f>ROUND((0.33*U148)+(0.67*U149),0)</f>
        <v>4573655</v>
      </c>
      <c r="V150" s="5"/>
      <c r="W150" s="5"/>
      <c r="X150" s="5"/>
      <c r="Y150" s="5"/>
      <c r="AB150" s="5"/>
      <c r="AC150" s="5"/>
      <c r="AD150" s="5">
        <f>+Z$41</f>
        <v>439615.3890607513</v>
      </c>
      <c r="AE150" s="5">
        <f>+AE$84</f>
        <v>10.1</v>
      </c>
      <c r="AF150" s="5"/>
      <c r="AG150" s="5"/>
      <c r="AH150" s="5"/>
      <c r="AI150" s="5"/>
      <c r="AJ150" s="5"/>
      <c r="AK150" s="5"/>
    </row>
    <row r="151" spans="3:37" ht="16.899999999999999" customHeight="1" x14ac:dyDescent="0.25">
      <c r="D151" s="132">
        <v>3</v>
      </c>
      <c r="K151" s="48" t="str">
        <f t="shared" si="60"/>
        <v>13th Year Present Value Factor (11)</v>
      </c>
      <c r="L151" s="32"/>
      <c r="M151" s="19"/>
      <c r="N151" s="55">
        <f>+AB152</f>
        <v>0.62439999999999996</v>
      </c>
      <c r="O151" s="45"/>
      <c r="Q151" s="49" t="str">
        <f>+K151</f>
        <v>13th Year Present Value Factor (11)</v>
      </c>
      <c r="R151" s="32"/>
      <c r="S151" s="19"/>
      <c r="T151" s="32"/>
      <c r="U151" s="56">
        <f>+AD152</f>
        <v>0.62439999999999996</v>
      </c>
      <c r="V151" s="5"/>
      <c r="W151" s="5"/>
      <c r="X151" s="5"/>
      <c r="Y151" s="5"/>
      <c r="AC151" s="5"/>
      <c r="AD151" s="5"/>
      <c r="AE151" s="5"/>
      <c r="AF151" s="5"/>
      <c r="AG151" s="5"/>
      <c r="AH151" s="5"/>
      <c r="AI151" s="5"/>
      <c r="AJ151" s="5"/>
      <c r="AK151" s="5"/>
    </row>
    <row r="152" spans="3:37" ht="16.899999999999999" customHeight="1" x14ac:dyDescent="0.25">
      <c r="D152" s="132">
        <v>3</v>
      </c>
      <c r="K152" s="48" t="str">
        <f t="shared" si="60"/>
        <v>Present Value of Terminal Value</v>
      </c>
      <c r="L152" s="57"/>
      <c r="M152" s="19"/>
      <c r="N152" s="58">
        <f>+N151*N150</f>
        <v>4205180.0619972162</v>
      </c>
      <c r="O152" s="45"/>
      <c r="Q152" s="49" t="s">
        <v>66</v>
      </c>
      <c r="R152" s="57"/>
      <c r="S152" s="19"/>
      <c r="T152" s="33"/>
      <c r="U152" s="59">
        <f>+U151*U150</f>
        <v>2855790.1819999996</v>
      </c>
      <c r="V152" s="5"/>
      <c r="W152" s="5"/>
      <c r="X152" s="5"/>
      <c r="Y152" s="5"/>
      <c r="AA152" s="2" t="s">
        <v>74</v>
      </c>
      <c r="AB152" s="176">
        <f>+Z70</f>
        <v>0.62439999999999996</v>
      </c>
      <c r="AC152" s="5"/>
      <c r="AD152" s="177">
        <f>+AB152</f>
        <v>0.62439999999999996</v>
      </c>
      <c r="AE152" s="5"/>
      <c r="AF152" s="5"/>
      <c r="AG152" s="5"/>
      <c r="AH152" s="5"/>
      <c r="AI152" s="5"/>
      <c r="AJ152" s="5"/>
      <c r="AK152" s="5"/>
    </row>
    <row r="153" spans="3:37" ht="16.899999999999999" customHeight="1" x14ac:dyDescent="0.25">
      <c r="D153" s="132">
        <v>3</v>
      </c>
      <c r="K153" s="48" t="str">
        <f t="shared" si="60"/>
        <v>Present Value Debt Free Net</v>
      </c>
      <c r="L153" s="57"/>
      <c r="M153" s="19"/>
      <c r="N153" s="32"/>
      <c r="O153" s="45"/>
      <c r="Q153" s="49" t="s">
        <v>67</v>
      </c>
      <c r="R153" s="57"/>
      <c r="S153" s="19"/>
      <c r="T153" s="57"/>
      <c r="U153" s="47"/>
      <c r="V153" s="5"/>
      <c r="W153" s="5"/>
      <c r="X153" s="5"/>
      <c r="Y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</row>
    <row r="154" spans="3:37" ht="16.899999999999999" customHeight="1" x14ac:dyDescent="0.25">
      <c r="D154" s="132">
        <v>3</v>
      </c>
      <c r="K154" s="48" t="str">
        <f t="shared" si="60"/>
        <v>Cash Flow for 13 Years</v>
      </c>
      <c r="L154" s="57"/>
      <c r="M154" s="19"/>
      <c r="N154" s="60">
        <f>+AB155</f>
        <v>2425597.3305673916</v>
      </c>
      <c r="O154" s="45"/>
      <c r="Q154" s="49" t="str">
        <f>+Q$88</f>
        <v>Cash Flow for 13 Years</v>
      </c>
      <c r="R154" s="57"/>
      <c r="S154" s="19"/>
      <c r="T154" s="33"/>
      <c r="U154" s="52">
        <f>+AD155</f>
        <v>2425597.3305673916</v>
      </c>
      <c r="V154" s="5"/>
      <c r="W154" s="5"/>
      <c r="X154" s="5"/>
      <c r="Y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</row>
    <row r="155" spans="3:37" ht="16.899999999999999" customHeight="1" x14ac:dyDescent="0.25">
      <c r="D155" s="132">
        <v>3</v>
      </c>
      <c r="K155" s="48"/>
      <c r="L155" s="57"/>
      <c r="M155" s="19"/>
      <c r="N155" s="32"/>
      <c r="O155" s="45"/>
      <c r="Q155" s="49"/>
      <c r="R155" s="57"/>
      <c r="S155" s="19"/>
      <c r="T155" s="32"/>
      <c r="U155" s="47"/>
      <c r="V155" s="5"/>
      <c r="W155" s="5"/>
      <c r="X155" s="5"/>
      <c r="Y155" s="5"/>
      <c r="AB155" s="5">
        <f>+AB72</f>
        <v>2425597.3305673916</v>
      </c>
      <c r="AC155" s="5"/>
      <c r="AD155" s="5">
        <f>+AB155</f>
        <v>2425597.3305673916</v>
      </c>
      <c r="AE155" s="5"/>
      <c r="AF155" s="5"/>
      <c r="AG155" s="5"/>
      <c r="AH155" s="5"/>
      <c r="AI155" s="5"/>
      <c r="AJ155" s="5"/>
      <c r="AK155" s="5"/>
    </row>
    <row r="156" spans="3:37" ht="16.899999999999999" customHeight="1" thickBot="1" x14ac:dyDescent="0.3">
      <c r="D156" s="132">
        <v>3</v>
      </c>
      <c r="K156" s="48" t="s">
        <v>68</v>
      </c>
      <c r="L156" s="57"/>
      <c r="M156" s="19"/>
      <c r="N156" s="20">
        <f>+N152+N154</f>
        <v>6630777.3925646078</v>
      </c>
      <c r="O156" s="45"/>
      <c r="Q156" s="49" t="s">
        <v>68</v>
      </c>
      <c r="R156" s="57"/>
      <c r="S156" s="19"/>
      <c r="T156" s="33"/>
      <c r="U156" s="61">
        <f>+U152+U154</f>
        <v>5281387.5125673916</v>
      </c>
      <c r="V156" s="5"/>
      <c r="W156" s="5"/>
      <c r="X156" s="5"/>
      <c r="Y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</row>
    <row r="157" spans="3:37" ht="16.899999999999999" customHeight="1" thickTop="1" thickBot="1" x14ac:dyDescent="0.3">
      <c r="D157" s="132">
        <v>3</v>
      </c>
      <c r="K157" s="62"/>
      <c r="L157" s="63"/>
      <c r="M157" s="64"/>
      <c r="N157" s="63"/>
      <c r="O157" s="65"/>
      <c r="Q157" s="62"/>
      <c r="R157" s="63"/>
      <c r="S157" s="64"/>
      <c r="T157" s="63"/>
      <c r="U157" s="65"/>
      <c r="V157" s="5"/>
      <c r="W157" s="5"/>
      <c r="X157" s="5"/>
      <c r="Y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</row>
    <row r="158" spans="3:37" ht="15" x14ac:dyDescent="0.25">
      <c r="D158" s="132">
        <v>3</v>
      </c>
      <c r="K158" s="6"/>
      <c r="L158" s="5"/>
      <c r="M158" s="5"/>
      <c r="N158" s="5"/>
      <c r="O158" s="5"/>
      <c r="P158" s="6"/>
      <c r="Q158" s="6"/>
      <c r="R158" s="5"/>
      <c r="S158" s="5"/>
      <c r="T158" s="5"/>
      <c r="U158" s="5"/>
      <c r="V158" s="5"/>
      <c r="W158" s="5"/>
      <c r="X158" s="5"/>
      <c r="Y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</row>
    <row r="159" spans="3:37" ht="15.75" thickBot="1" x14ac:dyDescent="0.3">
      <c r="D159" s="132">
        <v>3</v>
      </c>
      <c r="K159" s="6"/>
      <c r="L159" s="5"/>
      <c r="M159" s="5"/>
      <c r="N159" s="5"/>
      <c r="O159" s="5"/>
      <c r="P159" s="6"/>
      <c r="Q159" s="6"/>
      <c r="R159" s="5"/>
      <c r="S159" s="5"/>
      <c r="T159" s="5"/>
      <c r="U159" s="5"/>
      <c r="V159" s="5"/>
      <c r="W159" s="5"/>
      <c r="X159" s="5"/>
      <c r="Y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</row>
    <row r="160" spans="3:37" ht="15.75" thickBot="1" x14ac:dyDescent="0.3">
      <c r="D160" s="132">
        <v>3</v>
      </c>
      <c r="K160" s="34" t="str">
        <f>+"DCF With Capitalization of Terminal Value Model @ "&amp;TEXT(AB161,"0.00%")</f>
        <v>DCF With Capitalization of Terminal Value Model @ 3.74%</v>
      </c>
      <c r="L160" s="35"/>
      <c r="M160" s="35"/>
      <c r="N160" s="35"/>
      <c r="O160" s="36"/>
      <c r="P160" s="6"/>
      <c r="Q160" s="34" t="str">
        <f>+"DCF With EBIT &amp; EBITDA Terminal Value Model - Discount Rate of "&amp;TEXT(AD161,"0.00%")</f>
        <v>DCF With EBIT &amp; EBITDA Terminal Value Model - Discount Rate of 3.74%</v>
      </c>
      <c r="R160" s="35"/>
      <c r="S160" s="35"/>
      <c r="T160" s="35"/>
      <c r="U160" s="36"/>
      <c r="V160" s="5"/>
      <c r="W160" s="5"/>
      <c r="X160" s="5"/>
      <c r="Y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</row>
    <row r="161" spans="3:37" ht="15" x14ac:dyDescent="0.25">
      <c r="C161" s="168" t="s">
        <v>75</v>
      </c>
      <c r="D161" s="132">
        <v>3</v>
      </c>
      <c r="K161" s="37"/>
      <c r="L161" s="38"/>
      <c r="M161" s="39"/>
      <c r="N161" s="40" t="s">
        <v>59</v>
      </c>
      <c r="O161" s="41"/>
      <c r="P161" s="6"/>
      <c r="Q161" s="37"/>
      <c r="R161" s="38"/>
      <c r="S161" s="39"/>
      <c r="T161" s="38"/>
      <c r="U161" s="42" t="s">
        <v>59</v>
      </c>
      <c r="V161" s="5"/>
      <c r="W161" s="5"/>
      <c r="X161" s="5"/>
      <c r="Y161" s="5"/>
      <c r="AB161" s="171">
        <f>+AC74</f>
        <v>3.7399999999999996E-2</v>
      </c>
      <c r="AC161" s="5"/>
      <c r="AD161" s="171">
        <f>+AB161</f>
        <v>3.7399999999999996E-2</v>
      </c>
      <c r="AE161" s="5"/>
      <c r="AF161" s="5"/>
      <c r="AG161" s="5"/>
      <c r="AH161" s="5"/>
      <c r="AI161" s="5"/>
      <c r="AJ161" s="5"/>
      <c r="AK161" s="5"/>
    </row>
    <row r="162" spans="3:37" ht="15" x14ac:dyDescent="0.25">
      <c r="D162" s="132">
        <v>3</v>
      </c>
      <c r="K162" s="43"/>
      <c r="L162" s="32"/>
      <c r="M162" s="19"/>
      <c r="N162" s="44" t="s">
        <v>60</v>
      </c>
      <c r="O162" s="45"/>
      <c r="P162" s="6"/>
      <c r="Q162" s="43"/>
      <c r="R162" s="32"/>
      <c r="S162" s="19"/>
      <c r="T162" s="44" t="str">
        <f>+T146</f>
        <v>Multiples (13)</v>
      </c>
      <c r="U162" s="46" t="s">
        <v>60</v>
      </c>
      <c r="V162" s="5"/>
      <c r="W162" s="5"/>
      <c r="X162" s="5"/>
      <c r="Y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</row>
    <row r="163" spans="3:37" ht="15" x14ac:dyDescent="0.25">
      <c r="D163" s="132">
        <v>3</v>
      </c>
      <c r="K163" s="43"/>
      <c r="L163" s="32"/>
      <c r="M163" s="19"/>
      <c r="N163" s="32"/>
      <c r="O163" s="45"/>
      <c r="P163" s="6"/>
      <c r="Q163" s="43"/>
      <c r="R163" s="32"/>
      <c r="S163" s="19"/>
      <c r="T163" s="32"/>
      <c r="U163" s="47"/>
      <c r="V163" s="5"/>
      <c r="W163" s="5"/>
      <c r="X163" s="5"/>
      <c r="Y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</row>
    <row r="164" spans="3:37" ht="15" x14ac:dyDescent="0.25">
      <c r="D164" s="132">
        <v>3</v>
      </c>
      <c r="K164" s="48" t="str">
        <f t="shared" ref="K164:K170" si="61">+Q115</f>
        <v>Projected Debt Free Net Cash Flow (10)</v>
      </c>
      <c r="L164" s="32"/>
      <c r="M164" s="32"/>
      <c r="N164" s="32">
        <f>+AB165</f>
        <v>258614.5329607513</v>
      </c>
      <c r="O164" s="45"/>
      <c r="P164" s="6"/>
      <c r="Q164" s="49" t="s">
        <v>61</v>
      </c>
      <c r="R164" s="32"/>
      <c r="S164" s="32">
        <f>+AD165</f>
        <v>331834.36026075133</v>
      </c>
      <c r="T164" s="50">
        <f>+AE165</f>
        <v>14.6</v>
      </c>
      <c r="U164" s="47">
        <f>+T164*S164</f>
        <v>4844781.6598069696</v>
      </c>
      <c r="V164" s="5"/>
      <c r="W164" s="5"/>
      <c r="X164" s="5"/>
      <c r="Y164" s="5"/>
      <c r="AB164" s="5"/>
      <c r="AC164" s="5"/>
      <c r="AD164" s="5"/>
      <c r="AE164" s="5"/>
      <c r="AF164" s="5"/>
      <c r="AG164" s="5"/>
      <c r="AH164" s="5"/>
    </row>
    <row r="165" spans="3:37" ht="16.899999999999999" customHeight="1" x14ac:dyDescent="0.25">
      <c r="D165" s="132">
        <v>3</v>
      </c>
      <c r="K165" s="48" t="str">
        <f t="shared" si="61"/>
        <v>Divided by Capitalization Factor (9)</v>
      </c>
      <c r="L165" s="32"/>
      <c r="M165" s="33"/>
      <c r="N165" s="51">
        <f>+AB161</f>
        <v>3.7399999999999996E-2</v>
      </c>
      <c r="O165" s="45"/>
      <c r="P165" s="6"/>
      <c r="Q165" s="49" t="s">
        <v>63</v>
      </c>
      <c r="R165" s="32"/>
      <c r="S165" s="33">
        <f>+AD166</f>
        <v>439615.3890607513</v>
      </c>
      <c r="T165" s="50">
        <f>+AE166</f>
        <v>10.1</v>
      </c>
      <c r="U165" s="52">
        <f>+T165*S165</f>
        <v>4440115.4295135876</v>
      </c>
      <c r="V165" s="5"/>
      <c r="W165" s="5"/>
      <c r="X165" s="5"/>
      <c r="Y165" s="5"/>
      <c r="AB165" s="5">
        <f>+AB$52</f>
        <v>258614.5329607513</v>
      </c>
      <c r="AC165" s="5"/>
      <c r="AD165" s="5">
        <f>+AD149</f>
        <v>331834.36026075133</v>
      </c>
      <c r="AE165" s="5">
        <f>+AE$83</f>
        <v>14.6</v>
      </c>
      <c r="AF165" s="5"/>
      <c r="AG165" s="5"/>
      <c r="AH165" s="5"/>
    </row>
    <row r="166" spans="3:37" ht="16.899999999999999" customHeight="1" x14ac:dyDescent="0.25">
      <c r="D166" s="132">
        <v>3</v>
      </c>
      <c r="K166" s="48" t="str">
        <f t="shared" si="61"/>
        <v>13th Year Terminal Value</v>
      </c>
      <c r="L166" s="32"/>
      <c r="M166" s="19"/>
      <c r="N166" s="33">
        <f>+N164/N165</f>
        <v>6914827.084512068</v>
      </c>
      <c r="O166" s="45"/>
      <c r="P166" s="6"/>
      <c r="Q166" s="53" t="s">
        <v>65</v>
      </c>
      <c r="R166" s="32"/>
      <c r="S166" s="19"/>
      <c r="T166" s="32"/>
      <c r="U166" s="54">
        <f>ROUND((0.33*U164)+(0.67*U165),0)</f>
        <v>4573655</v>
      </c>
      <c r="V166" s="5"/>
      <c r="W166" s="5"/>
      <c r="X166" s="5"/>
      <c r="Y166" s="5"/>
      <c r="AB166" s="5"/>
      <c r="AC166" s="5"/>
      <c r="AD166" s="5">
        <f>+AD150</f>
        <v>439615.3890607513</v>
      </c>
      <c r="AE166" s="5">
        <f>+AE$84</f>
        <v>10.1</v>
      </c>
      <c r="AF166" s="5"/>
      <c r="AG166" s="5"/>
      <c r="AH166" s="5"/>
    </row>
    <row r="167" spans="3:37" ht="16.899999999999999" customHeight="1" x14ac:dyDescent="0.25">
      <c r="D167" s="132">
        <v>3</v>
      </c>
      <c r="K167" s="48" t="str">
        <f t="shared" si="61"/>
        <v>13th Year Present Value Factor (12)</v>
      </c>
      <c r="L167" s="32"/>
      <c r="M167" s="19"/>
      <c r="N167" s="55">
        <f>+N151</f>
        <v>0.62439999999999996</v>
      </c>
      <c r="O167" s="45"/>
      <c r="P167" s="6"/>
      <c r="Q167" s="49" t="str">
        <f>+K167</f>
        <v>13th Year Present Value Factor (12)</v>
      </c>
      <c r="R167" s="32"/>
      <c r="S167" s="19"/>
      <c r="T167" s="32"/>
      <c r="U167" s="56">
        <f>+AD168</f>
        <v>0.62439999999999996</v>
      </c>
      <c r="V167" s="5"/>
      <c r="W167" s="5"/>
      <c r="X167" s="5"/>
      <c r="Y167" s="5"/>
      <c r="AC167" s="5"/>
      <c r="AD167" s="5"/>
      <c r="AE167" s="5"/>
      <c r="AF167" s="5"/>
      <c r="AG167" s="5"/>
      <c r="AH167" s="5"/>
    </row>
    <row r="168" spans="3:37" ht="16.899999999999999" customHeight="1" x14ac:dyDescent="0.25">
      <c r="D168" s="132">
        <v>3</v>
      </c>
      <c r="K168" s="48" t="str">
        <f t="shared" si="61"/>
        <v>Present Value of Terminal Value</v>
      </c>
      <c r="L168" s="57"/>
      <c r="M168" s="19"/>
      <c r="N168" s="58">
        <f>+N167*N166</f>
        <v>4317618.0315693347</v>
      </c>
      <c r="O168" s="45"/>
      <c r="P168" s="6"/>
      <c r="Q168" s="49" t="s">
        <v>66</v>
      </c>
      <c r="R168" s="57"/>
      <c r="S168" s="19"/>
      <c r="T168" s="33"/>
      <c r="U168" s="59">
        <f>+U167*U166</f>
        <v>2855790.1819999996</v>
      </c>
      <c r="V168" s="5"/>
      <c r="W168" s="5"/>
      <c r="X168" s="5"/>
      <c r="Y168" s="5"/>
      <c r="AB168" s="176">
        <f>+Z70</f>
        <v>0.62439999999999996</v>
      </c>
      <c r="AC168" s="5"/>
      <c r="AD168" s="177">
        <f>+AB168</f>
        <v>0.62439999999999996</v>
      </c>
      <c r="AE168" s="5"/>
      <c r="AF168" s="5"/>
      <c r="AG168" s="5"/>
      <c r="AH168" s="5"/>
    </row>
    <row r="169" spans="3:37" ht="16.899999999999999" customHeight="1" x14ac:dyDescent="0.25">
      <c r="D169" s="132">
        <v>3</v>
      </c>
      <c r="K169" s="48" t="str">
        <f t="shared" si="61"/>
        <v>Present Value Debt Free Net</v>
      </c>
      <c r="L169" s="57"/>
      <c r="M169" s="19"/>
      <c r="N169" s="32"/>
      <c r="O169" s="45"/>
      <c r="P169" s="6"/>
      <c r="Q169" s="49" t="s">
        <v>67</v>
      </c>
      <c r="R169" s="57"/>
      <c r="S169" s="19"/>
      <c r="T169" s="57"/>
      <c r="U169" s="47"/>
      <c r="V169" s="5"/>
      <c r="W169" s="5"/>
      <c r="X169" s="5"/>
      <c r="Y169" s="5"/>
      <c r="AB169" s="5"/>
      <c r="AC169" s="5"/>
      <c r="AD169" s="5"/>
      <c r="AE169" s="5"/>
      <c r="AF169" s="5"/>
      <c r="AG169" s="5"/>
      <c r="AH169" s="5"/>
    </row>
    <row r="170" spans="3:37" ht="16.899999999999999" customHeight="1" x14ac:dyDescent="0.25">
      <c r="D170" s="132">
        <v>3</v>
      </c>
      <c r="K170" s="48" t="str">
        <f t="shared" si="61"/>
        <v>Cash Flow for 13 Years</v>
      </c>
      <c r="L170" s="57"/>
      <c r="M170" s="19"/>
      <c r="N170" s="60">
        <f>+AB171</f>
        <v>2425597.3305673916</v>
      </c>
      <c r="O170" s="45"/>
      <c r="P170" s="6"/>
      <c r="Q170" s="49" t="str">
        <f>+Q$88</f>
        <v>Cash Flow for 13 Years</v>
      </c>
      <c r="R170" s="57"/>
      <c r="S170" s="19"/>
      <c r="T170" s="33"/>
      <c r="U170" s="52">
        <f>+AD171</f>
        <v>2425597.3305673916</v>
      </c>
      <c r="V170" s="5"/>
      <c r="W170" s="5"/>
      <c r="X170" s="5"/>
      <c r="Y170" s="5"/>
      <c r="AB170" s="5"/>
      <c r="AC170" s="5"/>
      <c r="AD170" s="5"/>
      <c r="AE170" s="5"/>
      <c r="AF170" s="5"/>
      <c r="AG170" s="5"/>
      <c r="AH170" s="5"/>
    </row>
    <row r="171" spans="3:37" ht="16.899999999999999" customHeight="1" x14ac:dyDescent="0.25">
      <c r="D171" s="132">
        <v>3</v>
      </c>
      <c r="K171" s="48"/>
      <c r="L171" s="57"/>
      <c r="M171" s="19"/>
      <c r="N171" s="32"/>
      <c r="O171" s="45"/>
      <c r="P171" s="6"/>
      <c r="Q171" s="49"/>
      <c r="R171" s="57"/>
      <c r="S171" s="19"/>
      <c r="T171" s="32"/>
      <c r="U171" s="47"/>
      <c r="V171" s="5"/>
      <c r="W171" s="5"/>
      <c r="X171" s="5"/>
      <c r="Y171" s="5"/>
      <c r="AB171" s="5">
        <f>+AB72</f>
        <v>2425597.3305673916</v>
      </c>
      <c r="AC171" s="5"/>
      <c r="AD171" s="5">
        <f>+AB171</f>
        <v>2425597.3305673916</v>
      </c>
      <c r="AE171" s="5"/>
      <c r="AF171" s="5"/>
      <c r="AG171" s="5"/>
      <c r="AH171" s="5"/>
    </row>
    <row r="172" spans="3:37" ht="16.899999999999999" customHeight="1" thickBot="1" x14ac:dyDescent="0.3">
      <c r="D172" s="132">
        <v>3</v>
      </c>
      <c r="K172" s="48" t="s">
        <v>68</v>
      </c>
      <c r="L172" s="57"/>
      <c r="M172" s="19"/>
      <c r="N172" s="20">
        <f>+N168+N170</f>
        <v>6743215.3621367263</v>
      </c>
      <c r="O172" s="45"/>
      <c r="P172" s="6"/>
      <c r="Q172" s="49" t="s">
        <v>68</v>
      </c>
      <c r="R172" s="57"/>
      <c r="S172" s="19"/>
      <c r="T172" s="33"/>
      <c r="U172" s="61">
        <f>+U168+U170</f>
        <v>5281387.5125673916</v>
      </c>
      <c r="V172" s="5"/>
      <c r="W172" s="5"/>
      <c r="X172" s="5"/>
      <c r="Y172" s="5"/>
      <c r="AB172" s="5"/>
      <c r="AC172" s="5"/>
      <c r="AD172" s="5"/>
      <c r="AE172" s="5"/>
      <c r="AF172" s="5"/>
      <c r="AG172" s="5"/>
      <c r="AH172" s="5"/>
    </row>
    <row r="173" spans="3:37" ht="16.899999999999999" customHeight="1" thickTop="1" thickBot="1" x14ac:dyDescent="0.3">
      <c r="D173" s="132">
        <v>3</v>
      </c>
      <c r="K173" s="62"/>
      <c r="L173" s="63"/>
      <c r="M173" s="64"/>
      <c r="N173" s="63"/>
      <c r="O173" s="65"/>
      <c r="P173" s="6"/>
      <c r="Q173" s="62"/>
      <c r="R173" s="63"/>
      <c r="S173" s="64"/>
      <c r="T173" s="63"/>
      <c r="U173" s="65"/>
      <c r="V173" s="5"/>
      <c r="W173" s="5"/>
      <c r="X173" s="5"/>
      <c r="Y173" s="5"/>
      <c r="AB173" s="5"/>
      <c r="AC173" s="5"/>
      <c r="AD173" s="5"/>
      <c r="AE173" s="5"/>
      <c r="AF173" s="5"/>
      <c r="AG173" s="5"/>
      <c r="AH173" s="5"/>
    </row>
    <row r="174" spans="3:37" ht="15" x14ac:dyDescent="0.25">
      <c r="D174" s="132">
        <v>3</v>
      </c>
      <c r="S174" s="5"/>
      <c r="T174" s="5"/>
      <c r="U174" s="5"/>
      <c r="V174" s="5"/>
      <c r="W174" s="5"/>
      <c r="X174" s="5"/>
      <c r="Y174" s="5"/>
      <c r="AB174" s="5"/>
      <c r="AC174" s="5"/>
      <c r="AD174" s="5"/>
      <c r="AE174" s="5"/>
      <c r="AF174" s="5"/>
      <c r="AG174" s="5"/>
      <c r="AH174" s="5"/>
    </row>
    <row r="175" spans="3:37" ht="15" x14ac:dyDescent="0.25">
      <c r="D175" s="132">
        <v>3</v>
      </c>
      <c r="H175" s="32"/>
      <c r="I175" s="32"/>
      <c r="J175" s="19"/>
      <c r="K175" s="6"/>
      <c r="L175" s="32"/>
      <c r="M175" s="6"/>
      <c r="N175" s="6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</row>
    <row r="176" spans="3:37" ht="15.75" x14ac:dyDescent="0.25">
      <c r="D176" s="132">
        <v>3</v>
      </c>
      <c r="G176" s="26" t="s">
        <v>57</v>
      </c>
      <c r="H176" s="32"/>
      <c r="I176" s="32"/>
      <c r="J176" s="19"/>
      <c r="K176" s="6"/>
      <c r="L176" s="32"/>
      <c r="M176" s="6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</row>
    <row r="177" spans="1:29" ht="15" x14ac:dyDescent="0.25">
      <c r="D177" s="132">
        <v>4</v>
      </c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</row>
    <row r="178" spans="1:29" ht="31.5" customHeight="1" x14ac:dyDescent="0.25">
      <c r="D178" s="132">
        <v>4</v>
      </c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</row>
    <row r="179" spans="1:29" ht="15" x14ac:dyDescent="0.25">
      <c r="D179" s="132">
        <v>4</v>
      </c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</row>
    <row r="180" spans="1:29" ht="55.5" customHeight="1" x14ac:dyDescent="0.25">
      <c r="A180" s="66" t="s">
        <v>76</v>
      </c>
      <c r="D180" s="132">
        <v>4</v>
      </c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</row>
    <row r="181" spans="1:29" ht="15" x14ac:dyDescent="0.25">
      <c r="D181" s="132">
        <v>4</v>
      </c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</row>
    <row r="182" spans="1:29" ht="15" x14ac:dyDescent="0.25">
      <c r="A182" s="191" t="s">
        <v>52</v>
      </c>
      <c r="B182" s="25">
        <f>MAX(B$20:B58)+1</f>
        <v>10</v>
      </c>
      <c r="C182" s="138">
        <f>IF(D182=0,C52,IF(ISBLANK(G182),C52,1+MAX(C$20:C52)))</f>
        <v>27</v>
      </c>
      <c r="D182" s="132">
        <v>4</v>
      </c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</row>
    <row r="183" spans="1:29" ht="15" x14ac:dyDescent="0.25">
      <c r="A183" s="192"/>
      <c r="C183" s="138">
        <f>IF(D183=0,C182,IF(ISBLANK(G183),C182,1+MAX(C$20:C182)))</f>
        <v>27</v>
      </c>
      <c r="D183" s="132">
        <v>4</v>
      </c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</row>
    <row r="184" spans="1:29" ht="15" x14ac:dyDescent="0.25">
      <c r="A184" s="191" t="s">
        <v>77</v>
      </c>
      <c r="B184" s="25">
        <f>+B$54</f>
        <v>8</v>
      </c>
      <c r="C184" s="138">
        <f>IF(D184=0,C183,IF(ISBLANK(G184),C183,1+MAX(C$182:C183)))</f>
        <v>27</v>
      </c>
      <c r="D184" s="132">
        <v>4</v>
      </c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</row>
    <row r="185" spans="1:29" ht="15" x14ac:dyDescent="0.25">
      <c r="A185" s="191"/>
      <c r="C185" s="138">
        <f>IF(D185=0,C184,IF(ISBLANK(G185),C184,1+MAX(C$182:C184)))</f>
        <v>27</v>
      </c>
      <c r="D185" s="132">
        <v>4</v>
      </c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</row>
    <row r="186" spans="1:29" ht="15" x14ac:dyDescent="0.25">
      <c r="C186" s="138">
        <f>IF(D186=0,C185,IF(ISBLANK(G186),C185,1+MAX(C$182:C185)))</f>
        <v>27</v>
      </c>
      <c r="D186" s="132">
        <v>4</v>
      </c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</row>
    <row r="187" spans="1:29" ht="15" x14ac:dyDescent="0.25">
      <c r="C187" s="138">
        <f>IF(D187=0,C186,IF(ISBLANK(G187),C186,1+MAX(C$182:C186)))</f>
        <v>27</v>
      </c>
      <c r="D187" s="132">
        <v>4</v>
      </c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</row>
    <row r="188" spans="1:29" ht="15" x14ac:dyDescent="0.25">
      <c r="C188" s="138">
        <f>IF(D188=0,C187,IF(ISBLANK(G188),C187,1+MAX(C$182:C187)))</f>
        <v>27</v>
      </c>
      <c r="D188" s="132">
        <v>4</v>
      </c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</row>
    <row r="189" spans="1:29" ht="57" customHeight="1" x14ac:dyDescent="0.25">
      <c r="C189" s="138">
        <f>IF(D189=0,C188,IF(ISBLANK(G189),C188,1+MAX(C$182:C188)))</f>
        <v>27</v>
      </c>
      <c r="D189" s="132">
        <v>4</v>
      </c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</row>
    <row r="190" spans="1:29" ht="15" x14ac:dyDescent="0.25">
      <c r="C190" s="138">
        <f>IF(D190=0,C189,IF(ISBLANK(G190),C189,1+MAX(C$182:C189)))</f>
        <v>27</v>
      </c>
      <c r="D190" s="132">
        <v>4</v>
      </c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</row>
    <row r="191" spans="1:29" ht="15" x14ac:dyDescent="0.25">
      <c r="B191" s="25">
        <f>+B$182</f>
        <v>10</v>
      </c>
      <c r="C191" s="138">
        <f>IF(D191=0,C190,IF(ISBLANK(G191),C190,1+MAX(C$182:C190)))</f>
        <v>27</v>
      </c>
      <c r="D191" s="132">
        <v>4</v>
      </c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</row>
    <row r="192" spans="1:29" ht="15" x14ac:dyDescent="0.25">
      <c r="C192" s="138">
        <f>IF(D192=0,C191,IF(ISBLANK(G192),C191,1+MAX(C$182:C191)))</f>
        <v>27</v>
      </c>
      <c r="D192" s="132">
        <v>4</v>
      </c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</row>
    <row r="193" spans="1:29" ht="15" x14ac:dyDescent="0.25">
      <c r="A193" s="191" t="s">
        <v>77</v>
      </c>
      <c r="B193" s="25">
        <f>+B$58</f>
        <v>9</v>
      </c>
      <c r="C193" s="138">
        <f>IF(D193=0,C192,IF(ISBLANK(G193),C192,1+MAX(C$182:C192)))</f>
        <v>27</v>
      </c>
      <c r="D193" s="132">
        <v>4</v>
      </c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</row>
    <row r="194" spans="1:29" ht="15" x14ac:dyDescent="0.25">
      <c r="C194" s="138">
        <f>IF(D194=0,C193,IF(ISBLANK(G194),C193,1+MAX(C$182:C193)))</f>
        <v>27</v>
      </c>
      <c r="D194" s="132">
        <v>4</v>
      </c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</row>
    <row r="195" spans="1:29" ht="15" x14ac:dyDescent="0.25">
      <c r="C195" s="138">
        <f>IF(D195=0,C194,IF(ISBLANK(G195),C194,1+MAX(C$182:C194)))</f>
        <v>27</v>
      </c>
      <c r="D195" s="132">
        <v>4</v>
      </c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</row>
    <row r="196" spans="1:29" ht="15" x14ac:dyDescent="0.25">
      <c r="D196" s="132">
        <v>0</v>
      </c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</row>
    <row r="197" spans="1:29" ht="15" x14ac:dyDescent="0.25">
      <c r="D197" s="132">
        <v>0</v>
      </c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</row>
    <row r="198" spans="1:29" ht="15" x14ac:dyDescent="0.25">
      <c r="D198" s="132">
        <v>0</v>
      </c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</row>
    <row r="199" spans="1:29" ht="15" x14ac:dyDescent="0.25">
      <c r="D199" s="132">
        <v>0</v>
      </c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</row>
    <row r="200" spans="1:29" ht="15.75" x14ac:dyDescent="0.25">
      <c r="D200" s="132">
        <v>0</v>
      </c>
      <c r="G200" s="193" t="s">
        <v>78</v>
      </c>
      <c r="H200" s="194" t="s">
        <v>74</v>
      </c>
      <c r="I200" s="194" t="s">
        <v>74</v>
      </c>
      <c r="J200" s="194" t="s">
        <v>74</v>
      </c>
      <c r="K200" s="194" t="s">
        <v>74</v>
      </c>
      <c r="L200" s="194" t="s">
        <v>74</v>
      </c>
      <c r="M200" s="194" t="s">
        <v>74</v>
      </c>
      <c r="N200" s="194" t="s">
        <v>74</v>
      </c>
      <c r="O200" s="194" t="s">
        <v>74</v>
      </c>
      <c r="P200" s="194" t="s">
        <v>74</v>
      </c>
      <c r="Q200" s="194" t="s">
        <v>74</v>
      </c>
      <c r="R200" s="194" t="s">
        <v>74</v>
      </c>
      <c r="S200" s="194" t="s">
        <v>74</v>
      </c>
      <c r="T200" s="194" t="s">
        <v>74</v>
      </c>
      <c r="U200" s="194" t="s">
        <v>74</v>
      </c>
      <c r="V200" s="194" t="s">
        <v>74</v>
      </c>
      <c r="W200" s="194" t="s">
        <v>74</v>
      </c>
      <c r="X200" s="194" t="s">
        <v>74</v>
      </c>
      <c r="Y200" s="194" t="s">
        <v>74</v>
      </c>
      <c r="Z200" s="194" t="s">
        <v>74</v>
      </c>
      <c r="AA200" s="5"/>
      <c r="AB200" s="5"/>
      <c r="AC200" s="5"/>
    </row>
    <row r="201" spans="1:29" ht="15.75" x14ac:dyDescent="0.25">
      <c r="D201" s="132">
        <v>1</v>
      </c>
      <c r="G201" s="27"/>
      <c r="H201" s="32"/>
      <c r="I201" s="32"/>
      <c r="J201" s="19"/>
      <c r="K201" s="6"/>
      <c r="L201" s="32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5"/>
      <c r="AB201" s="5"/>
      <c r="AC201" s="5"/>
    </row>
    <row r="202" spans="1:29" ht="15.75" x14ac:dyDescent="0.25">
      <c r="D202" s="132">
        <v>1</v>
      </c>
      <c r="G202" s="27"/>
      <c r="H202" s="32"/>
      <c r="I202" s="32"/>
      <c r="J202" s="19"/>
      <c r="K202" s="6"/>
      <c r="L202" s="32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5"/>
      <c r="AB202" s="5"/>
      <c r="AC202" s="5"/>
    </row>
    <row r="203" spans="1:29" ht="24" customHeight="1" x14ac:dyDescent="0.25">
      <c r="D203" s="132">
        <v>1</v>
      </c>
      <c r="G203" s="195" t="s">
        <v>79</v>
      </c>
      <c r="H203" s="196" t="s">
        <v>80</v>
      </c>
      <c r="J203" s="19"/>
      <c r="K203" s="6"/>
      <c r="L203" s="32"/>
      <c r="M203" s="6"/>
      <c r="N203" s="6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69"/>
      <c r="AB203" s="5"/>
      <c r="AC203" s="5"/>
    </row>
    <row r="204" spans="1:29" ht="30.75" customHeight="1" x14ac:dyDescent="0.25">
      <c r="D204" s="132">
        <f>IF($C$10="SUBJECT",1,0)</f>
        <v>0</v>
      </c>
      <c r="H204" s="113" t="s">
        <v>81</v>
      </c>
      <c r="I204" s="113"/>
      <c r="J204" s="113"/>
      <c r="K204" s="113"/>
      <c r="L204" s="113"/>
      <c r="M204" s="113"/>
      <c r="N204" s="110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69"/>
      <c r="AB204" s="5"/>
      <c r="AC204" s="5"/>
    </row>
    <row r="205" spans="1:29" ht="15" x14ac:dyDescent="0.25">
      <c r="D205" s="132">
        <v>0</v>
      </c>
      <c r="H205" s="197"/>
      <c r="J205" s="68"/>
      <c r="K205" s="6"/>
      <c r="L205" s="32"/>
      <c r="M205" s="6"/>
      <c r="N205" s="6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69"/>
      <c r="AB205" s="5"/>
      <c r="AC205" s="5"/>
    </row>
    <row r="206" spans="1:29" ht="15" x14ac:dyDescent="0.25">
      <c r="D206" s="132"/>
      <c r="G206" s="66" t="s">
        <v>2</v>
      </c>
      <c r="H206" s="67" t="s">
        <v>82</v>
      </c>
      <c r="J206" s="68"/>
      <c r="K206" s="6"/>
      <c r="L206" s="32"/>
      <c r="M206" s="6"/>
      <c r="N206" s="6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69"/>
      <c r="AB206" s="5"/>
      <c r="AC206" s="5"/>
    </row>
    <row r="207" spans="1:29" ht="15" x14ac:dyDescent="0.25">
      <c r="D207" s="132">
        <v>0</v>
      </c>
      <c r="G207" s="150"/>
      <c r="H207" s="197"/>
      <c r="J207" s="68"/>
      <c r="K207" s="6"/>
      <c r="L207" s="32"/>
      <c r="M207" s="6"/>
      <c r="N207" s="6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69"/>
      <c r="AB207" s="5"/>
      <c r="AC207" s="5"/>
    </row>
    <row r="208" spans="1:29" ht="24" customHeight="1" x14ac:dyDescent="0.25">
      <c r="D208" s="132">
        <v>0</v>
      </c>
      <c r="G208" s="195"/>
      <c r="H208" s="196"/>
      <c r="J208" s="19"/>
      <c r="K208" s="6"/>
      <c r="L208" s="32"/>
      <c r="M208" s="6"/>
      <c r="N208" s="6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69"/>
      <c r="AB208" s="5"/>
      <c r="AC208" s="5"/>
    </row>
    <row r="209" spans="4:29" ht="42.75" customHeight="1" x14ac:dyDescent="0.25">
      <c r="D209" s="132">
        <f>IF($C$10="IOU",1,0)</f>
        <v>1</v>
      </c>
      <c r="H209" s="113" t="s">
        <v>83</v>
      </c>
      <c r="I209" s="113"/>
      <c r="J209" s="113"/>
      <c r="K209" s="113"/>
      <c r="L209" s="113"/>
      <c r="M209" s="113"/>
      <c r="N209" s="110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69"/>
      <c r="AB209" s="5"/>
      <c r="AC209" s="5"/>
    </row>
    <row r="210" spans="4:29" ht="15" x14ac:dyDescent="0.25">
      <c r="D210" s="132">
        <v>0</v>
      </c>
      <c r="H210" s="197"/>
      <c r="J210" s="68"/>
      <c r="K210" s="6"/>
      <c r="L210" s="32"/>
      <c r="M210" s="6"/>
      <c r="N210" s="6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69"/>
      <c r="AB210" s="5"/>
      <c r="AC210" s="5"/>
    </row>
    <row r="211" spans="4:29" ht="15" x14ac:dyDescent="0.25">
      <c r="D211" s="132"/>
      <c r="G211" s="66" t="s">
        <v>2</v>
      </c>
      <c r="H211" s="67" t="s">
        <v>84</v>
      </c>
      <c r="J211" s="68"/>
      <c r="K211" s="6"/>
      <c r="L211" s="32"/>
      <c r="M211" s="6"/>
      <c r="N211" s="6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69"/>
      <c r="AB211" s="5"/>
      <c r="AC211" s="5"/>
    </row>
    <row r="212" spans="4:29" ht="15" x14ac:dyDescent="0.25">
      <c r="D212" s="132">
        <v>0</v>
      </c>
      <c r="G212" s="150"/>
      <c r="H212" s="197"/>
      <c r="J212" s="68"/>
      <c r="K212" s="6"/>
      <c r="L212" s="32"/>
      <c r="M212" s="6"/>
      <c r="N212" s="6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69"/>
      <c r="AB212" s="5"/>
      <c r="AC212" s="5"/>
    </row>
    <row r="213" spans="4:29" ht="60" customHeight="1" x14ac:dyDescent="0.25">
      <c r="D213" s="132">
        <f>IF($C$10="IOU",1,0)</f>
        <v>1</v>
      </c>
      <c r="G213" s="150"/>
      <c r="H213" s="113" t="s">
        <v>85</v>
      </c>
      <c r="I213" s="113"/>
      <c r="J213" s="113"/>
      <c r="K213" s="113"/>
      <c r="L213" s="113"/>
      <c r="M213" s="113"/>
      <c r="N213" s="110"/>
      <c r="O213" s="110"/>
      <c r="P213" s="110"/>
      <c r="Q213" s="110"/>
      <c r="R213" s="110"/>
      <c r="S213" s="110"/>
      <c r="T213" s="5"/>
      <c r="U213" s="5"/>
      <c r="V213" s="5"/>
      <c r="W213" s="5"/>
      <c r="X213" s="5"/>
      <c r="Y213" s="5"/>
      <c r="Z213" s="5"/>
      <c r="AA213" s="69"/>
      <c r="AB213" s="5"/>
      <c r="AC213" s="5"/>
    </row>
    <row r="214" spans="4:29" ht="15" x14ac:dyDescent="0.25">
      <c r="D214" s="132">
        <v>0</v>
      </c>
      <c r="G214" s="198"/>
      <c r="J214" s="19"/>
      <c r="K214" s="6"/>
      <c r="L214" s="32"/>
      <c r="M214" s="6"/>
      <c r="N214" s="6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69"/>
      <c r="AB214" s="5"/>
      <c r="AC214" s="5"/>
    </row>
    <row r="215" spans="4:29" ht="15" x14ac:dyDescent="0.25">
      <c r="D215" s="132">
        <v>0</v>
      </c>
      <c r="G215" s="198"/>
      <c r="J215" s="19"/>
      <c r="K215" s="6"/>
      <c r="L215" s="32"/>
      <c r="M215" s="6"/>
      <c r="N215" s="6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69"/>
      <c r="AB215" s="5"/>
      <c r="AC215" s="5"/>
    </row>
    <row r="216" spans="4:29" ht="45.75" customHeight="1" x14ac:dyDescent="0.25">
      <c r="D216" s="132">
        <f>IF($C$10="MUNI",1,0)</f>
        <v>0</v>
      </c>
      <c r="H216" s="113" t="s">
        <v>83</v>
      </c>
      <c r="I216" s="113"/>
      <c r="J216" s="113"/>
      <c r="K216" s="113"/>
      <c r="L216" s="113"/>
      <c r="M216" s="113"/>
      <c r="N216" s="110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69"/>
      <c r="AB216" s="5"/>
      <c r="AC216" s="5"/>
    </row>
    <row r="217" spans="4:29" ht="15" x14ac:dyDescent="0.25">
      <c r="D217" s="132">
        <v>0</v>
      </c>
      <c r="H217" s="197"/>
      <c r="J217" s="68"/>
      <c r="K217" s="6"/>
      <c r="L217" s="32"/>
      <c r="M217" s="6"/>
      <c r="N217" s="6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69"/>
      <c r="AB217" s="5"/>
      <c r="AC217" s="5"/>
    </row>
    <row r="218" spans="4:29" ht="30.75" customHeight="1" x14ac:dyDescent="0.25">
      <c r="D218" s="132"/>
      <c r="G218" s="66" t="s">
        <v>2</v>
      </c>
      <c r="H218" s="113" t="s">
        <v>86</v>
      </c>
      <c r="I218" s="113"/>
      <c r="J218" s="113"/>
      <c r="K218" s="113"/>
      <c r="L218" s="113"/>
      <c r="M218" s="113"/>
      <c r="N218" s="6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69"/>
      <c r="AB218" s="5"/>
      <c r="AC218" s="5"/>
    </row>
    <row r="219" spans="4:29" ht="15" x14ac:dyDescent="0.25">
      <c r="D219" s="132">
        <v>0</v>
      </c>
      <c r="G219" s="150"/>
      <c r="H219" s="197"/>
      <c r="J219" s="68"/>
      <c r="K219" s="6"/>
      <c r="L219" s="32"/>
      <c r="M219" s="6"/>
      <c r="N219" s="6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69"/>
      <c r="AB219" s="5"/>
      <c r="AC219" s="5"/>
    </row>
    <row r="220" spans="4:29" ht="66.75" customHeight="1" x14ac:dyDescent="0.25">
      <c r="D220" s="132">
        <f>IF($C$10="MUNI",1,0)</f>
        <v>0</v>
      </c>
      <c r="G220" s="150"/>
      <c r="H220" s="113" t="s">
        <v>87</v>
      </c>
      <c r="I220" s="113"/>
      <c r="J220" s="113"/>
      <c r="K220" s="113"/>
      <c r="L220" s="113"/>
      <c r="M220" s="113"/>
      <c r="N220" s="110"/>
      <c r="O220" s="110"/>
      <c r="P220" s="110"/>
      <c r="Q220" s="110"/>
      <c r="R220" s="110"/>
      <c r="S220" s="110"/>
      <c r="T220" s="5"/>
      <c r="U220" s="5"/>
      <c r="V220" s="5"/>
      <c r="W220" s="5"/>
      <c r="X220" s="5"/>
      <c r="Y220" s="5"/>
      <c r="Z220" s="5"/>
      <c r="AA220" s="69"/>
      <c r="AB220" s="5"/>
      <c r="AC220" s="5"/>
    </row>
    <row r="221" spans="4:29" ht="15" x14ac:dyDescent="0.25">
      <c r="D221" s="132">
        <v>0</v>
      </c>
      <c r="G221" s="150"/>
      <c r="H221" s="197"/>
      <c r="J221" s="68"/>
      <c r="K221" s="6"/>
      <c r="L221" s="32"/>
      <c r="M221" s="6"/>
      <c r="N221" s="6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69"/>
      <c r="AB221" s="5"/>
      <c r="AC221" s="5"/>
    </row>
    <row r="222" spans="4:29" ht="30" customHeight="1" x14ac:dyDescent="0.25">
      <c r="D222" s="132">
        <v>1</v>
      </c>
      <c r="G222" s="150"/>
      <c r="H222" s="114" t="s">
        <v>88</v>
      </c>
      <c r="I222" s="114"/>
      <c r="J222" s="114"/>
      <c r="K222" s="114"/>
      <c r="L222" s="114"/>
      <c r="M222" s="114"/>
      <c r="N222" s="111"/>
      <c r="O222" s="111"/>
      <c r="P222" s="111"/>
      <c r="Q222" s="111"/>
      <c r="R222" s="25"/>
      <c r="S222" s="25"/>
      <c r="T222" s="5"/>
      <c r="U222" s="5"/>
      <c r="V222" s="5"/>
      <c r="W222" s="5"/>
      <c r="X222" s="5"/>
      <c r="Y222" s="5"/>
      <c r="Z222" s="5"/>
      <c r="AA222" s="69"/>
      <c r="AB222" s="5"/>
      <c r="AC222" s="5"/>
    </row>
    <row r="223" spans="4:29" ht="15" customHeight="1" x14ac:dyDescent="0.25">
      <c r="D223" s="132"/>
      <c r="G223" s="150"/>
      <c r="H223" s="197"/>
      <c r="I223" s="111"/>
      <c r="J223" s="111"/>
      <c r="K223" s="111"/>
      <c r="L223" s="111"/>
      <c r="M223" s="111"/>
      <c r="N223" s="111"/>
      <c r="O223" s="111"/>
      <c r="P223" s="111"/>
      <c r="Q223" s="111"/>
      <c r="R223" s="111"/>
      <c r="S223" s="25"/>
      <c r="T223" s="5"/>
      <c r="U223" s="5"/>
      <c r="V223" s="5"/>
      <c r="W223" s="5"/>
      <c r="X223" s="5"/>
      <c r="Y223" s="5"/>
      <c r="Z223" s="5"/>
      <c r="AA223" s="69"/>
      <c r="AB223" s="5"/>
      <c r="AC223" s="5"/>
    </row>
    <row r="224" spans="4:29" ht="27" customHeight="1" x14ac:dyDescent="0.25">
      <c r="D224" s="199">
        <f>IF($C$10="SUBJECT",0,1)</f>
        <v>1</v>
      </c>
      <c r="G224" s="150"/>
      <c r="H224" s="114" t="s">
        <v>89</v>
      </c>
      <c r="I224" s="114"/>
      <c r="J224" s="114"/>
      <c r="K224" s="114"/>
      <c r="L224" s="114"/>
      <c r="M224" s="114"/>
      <c r="N224" s="111"/>
      <c r="O224" s="111"/>
      <c r="P224" s="111"/>
      <c r="Q224" s="111"/>
      <c r="R224" s="111"/>
      <c r="S224" s="25"/>
      <c r="T224" s="5"/>
      <c r="U224" s="5"/>
      <c r="V224" s="5"/>
      <c r="W224" s="5"/>
      <c r="X224" s="5"/>
      <c r="Y224" s="5"/>
      <c r="Z224" s="5"/>
      <c r="AA224" s="69"/>
      <c r="AB224" s="5"/>
      <c r="AC224" s="5"/>
    </row>
    <row r="225" spans="4:29" ht="29.25" customHeight="1" x14ac:dyDescent="0.25">
      <c r="D225" s="199">
        <f>IF($C$10="SUBJECT",0,1)</f>
        <v>1</v>
      </c>
      <c r="G225" s="150"/>
      <c r="H225" s="114" t="s">
        <v>90</v>
      </c>
      <c r="I225" s="114"/>
      <c r="J225" s="114"/>
      <c r="K225" s="114"/>
      <c r="L225" s="114"/>
      <c r="M225" s="114"/>
      <c r="N225" s="111"/>
      <c r="O225" s="111"/>
      <c r="P225" s="111"/>
      <c r="Q225" s="111"/>
      <c r="R225" s="111"/>
      <c r="S225" s="25"/>
      <c r="T225" s="5"/>
      <c r="U225" s="5"/>
      <c r="V225" s="5"/>
      <c r="W225" s="5"/>
      <c r="X225" s="5"/>
      <c r="Y225" s="5"/>
      <c r="Z225" s="5"/>
      <c r="AA225" s="69"/>
      <c r="AB225" s="5"/>
      <c r="AC225" s="5"/>
    </row>
    <row r="226" spans="4:29" ht="15" customHeight="1" x14ac:dyDescent="0.25">
      <c r="D226" s="199">
        <v>1</v>
      </c>
      <c r="G226" s="150"/>
      <c r="H226" s="197" t="s">
        <v>91</v>
      </c>
      <c r="I226" s="111"/>
      <c r="J226" s="111"/>
      <c r="K226" s="111"/>
      <c r="L226" s="111"/>
      <c r="M226" s="111"/>
      <c r="N226" s="111"/>
      <c r="O226" s="111"/>
      <c r="P226" s="111"/>
      <c r="Q226" s="111"/>
      <c r="R226" s="111"/>
      <c r="S226" s="25"/>
      <c r="T226" s="5"/>
      <c r="U226" s="5"/>
      <c r="V226" s="5"/>
      <c r="W226" s="5"/>
      <c r="X226" s="5"/>
      <c r="Y226" s="5"/>
      <c r="Z226" s="5"/>
      <c r="AA226" s="69"/>
      <c r="AB226" s="5"/>
      <c r="AC226" s="5"/>
    </row>
    <row r="227" spans="4:29" ht="15" customHeight="1" x14ac:dyDescent="0.25">
      <c r="D227" s="199"/>
      <c r="G227" s="150"/>
      <c r="H227" s="197"/>
      <c r="I227" s="111"/>
      <c r="J227" s="111"/>
      <c r="K227" s="111"/>
      <c r="L227" s="111"/>
      <c r="M227" s="111"/>
      <c r="N227" s="111"/>
      <c r="O227" s="111"/>
      <c r="P227" s="111"/>
      <c r="Q227" s="111"/>
      <c r="R227" s="111"/>
      <c r="S227" s="25"/>
      <c r="T227" s="5"/>
      <c r="U227" s="5"/>
      <c r="V227" s="5"/>
      <c r="W227" s="5"/>
      <c r="X227" s="5"/>
      <c r="Y227" s="5"/>
      <c r="Z227" s="5"/>
      <c r="AA227" s="69"/>
      <c r="AB227" s="5"/>
      <c r="AC227" s="5"/>
    </row>
    <row r="228" spans="4:29" ht="15" customHeight="1" x14ac:dyDescent="0.25">
      <c r="D228" s="199"/>
      <c r="G228" s="150"/>
      <c r="H228" s="197"/>
      <c r="I228" s="111"/>
      <c r="J228" s="111"/>
      <c r="K228" s="111"/>
      <c r="L228" s="111"/>
      <c r="M228" s="111"/>
      <c r="N228" s="111"/>
      <c r="O228" s="111"/>
      <c r="P228" s="111"/>
      <c r="Q228" s="111"/>
      <c r="R228" s="111"/>
      <c r="S228" s="25"/>
      <c r="T228" s="5"/>
      <c r="U228" s="5"/>
      <c r="V228" s="5"/>
      <c r="W228" s="5"/>
      <c r="X228" s="5"/>
      <c r="Y228" s="5"/>
      <c r="Z228" s="5"/>
      <c r="AA228" s="69"/>
      <c r="AB228" s="5"/>
      <c r="AC228" s="5"/>
    </row>
    <row r="229" spans="4:29" ht="15" customHeight="1" x14ac:dyDescent="0.25">
      <c r="D229" s="132"/>
      <c r="G229" s="150"/>
      <c r="H229" s="197"/>
      <c r="I229" s="111"/>
      <c r="J229" s="111"/>
      <c r="K229" s="111"/>
      <c r="L229" s="111"/>
      <c r="M229" s="111"/>
      <c r="N229" s="111"/>
      <c r="O229" s="111"/>
      <c r="P229" s="111"/>
      <c r="Q229" s="111"/>
      <c r="R229" s="25"/>
      <c r="S229" s="25"/>
      <c r="T229" s="5"/>
      <c r="U229" s="5"/>
      <c r="V229" s="5"/>
      <c r="W229" s="5"/>
      <c r="X229" s="5"/>
      <c r="Y229" s="5"/>
      <c r="Z229" s="5"/>
      <c r="AA229" s="69"/>
      <c r="AB229" s="5"/>
      <c r="AC229" s="5"/>
    </row>
    <row r="230" spans="4:29" ht="15" customHeight="1" x14ac:dyDescent="0.25">
      <c r="D230" s="132"/>
      <c r="G230" s="150"/>
      <c r="H230" s="197"/>
      <c r="I230" s="111"/>
      <c r="J230" s="111"/>
      <c r="K230" s="111"/>
      <c r="L230" s="111"/>
      <c r="M230" s="111"/>
      <c r="N230" s="111"/>
      <c r="O230" s="111"/>
      <c r="P230" s="111"/>
      <c r="Q230" s="111"/>
      <c r="R230" s="25"/>
      <c r="S230" s="25"/>
      <c r="T230" s="5"/>
      <c r="U230" s="5"/>
      <c r="V230" s="5"/>
      <c r="W230" s="5"/>
      <c r="X230" s="5"/>
      <c r="Y230" s="5"/>
      <c r="Z230" s="5"/>
      <c r="AA230" s="69"/>
      <c r="AB230" s="5"/>
      <c r="AC230" s="5"/>
    </row>
    <row r="231" spans="4:29" ht="15" customHeight="1" x14ac:dyDescent="0.25">
      <c r="D231" s="132"/>
      <c r="G231" s="150"/>
      <c r="H231" s="197"/>
      <c r="I231" s="111"/>
      <c r="J231" s="111"/>
      <c r="K231" s="111"/>
      <c r="L231" s="111"/>
      <c r="M231" s="111"/>
      <c r="N231" s="111"/>
      <c r="O231" s="111"/>
      <c r="P231" s="111"/>
      <c r="Q231" s="111"/>
      <c r="R231" s="25"/>
      <c r="S231" s="25"/>
      <c r="T231" s="5"/>
      <c r="U231" s="5"/>
      <c r="V231" s="5"/>
      <c r="W231" s="5"/>
      <c r="X231" s="5"/>
      <c r="Y231" s="5"/>
      <c r="Z231" s="5"/>
      <c r="AA231" s="69"/>
      <c r="AB231" s="5"/>
      <c r="AC231" s="5"/>
    </row>
    <row r="232" spans="4:29" ht="15" customHeight="1" x14ac:dyDescent="0.25">
      <c r="D232" s="132">
        <v>0</v>
      </c>
      <c r="G232" s="150"/>
      <c r="H232" s="197"/>
      <c r="I232" s="111"/>
      <c r="J232" s="111"/>
      <c r="K232" s="111"/>
      <c r="L232" s="111"/>
      <c r="M232" s="111"/>
      <c r="N232" s="111"/>
      <c r="O232" s="111"/>
      <c r="P232" s="111"/>
      <c r="Q232" s="111"/>
      <c r="R232" s="25"/>
      <c r="S232" s="25"/>
      <c r="T232" s="5"/>
      <c r="U232" s="5"/>
      <c r="V232" s="5"/>
      <c r="W232" s="5"/>
      <c r="X232" s="5"/>
      <c r="Y232" s="5"/>
      <c r="Z232" s="5"/>
      <c r="AA232" s="69"/>
      <c r="AB232" s="5"/>
      <c r="AC232" s="5"/>
    </row>
    <row r="233" spans="4:29" ht="15" customHeight="1" x14ac:dyDescent="0.25">
      <c r="D233" s="132">
        <f>IF($C$10="IOU",1,0)</f>
        <v>1</v>
      </c>
      <c r="G233" s="150"/>
      <c r="H233" s="197" t="s">
        <v>92</v>
      </c>
      <c r="I233" s="111"/>
      <c r="J233" s="111"/>
      <c r="K233" s="111"/>
      <c r="L233" s="111"/>
      <c r="M233" s="111"/>
      <c r="N233" s="111"/>
      <c r="O233" s="111"/>
      <c r="P233" s="111"/>
      <c r="Q233" s="111"/>
      <c r="R233" s="25"/>
      <c r="S233" s="25"/>
      <c r="T233" s="5"/>
      <c r="U233" s="5"/>
      <c r="V233" s="5"/>
      <c r="W233" s="5"/>
      <c r="X233" s="5"/>
      <c r="Y233" s="5"/>
      <c r="Z233" s="5"/>
      <c r="AA233" s="69"/>
      <c r="AB233" s="5"/>
      <c r="AC233" s="5"/>
    </row>
    <row r="234" spans="4:29" ht="15" x14ac:dyDescent="0.25">
      <c r="D234" s="132">
        <v>0</v>
      </c>
      <c r="G234" s="150"/>
      <c r="H234" s="197"/>
      <c r="J234" s="68"/>
      <c r="K234" s="6"/>
      <c r="L234" s="32"/>
      <c r="M234" s="6"/>
      <c r="N234" s="6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69"/>
      <c r="AB234" s="5"/>
      <c r="AC234" s="5"/>
    </row>
    <row r="235" spans="4:29" ht="15" x14ac:dyDescent="0.25">
      <c r="D235" s="132">
        <v>0</v>
      </c>
      <c r="G235" s="150"/>
      <c r="H235" s="197"/>
      <c r="J235" s="68"/>
      <c r="K235" s="6"/>
      <c r="L235" s="32"/>
      <c r="M235" s="6"/>
      <c r="N235" s="6"/>
      <c r="O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69"/>
      <c r="AB235" s="5"/>
      <c r="AC235" s="5"/>
    </row>
    <row r="236" spans="4:29" ht="15" x14ac:dyDescent="0.25">
      <c r="D236" s="132">
        <v>0</v>
      </c>
      <c r="G236" s="150"/>
      <c r="H236" s="197"/>
      <c r="J236" s="68"/>
      <c r="K236" s="6"/>
      <c r="L236" s="32"/>
      <c r="M236" s="6"/>
      <c r="N236" s="6"/>
      <c r="O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69"/>
      <c r="AB236" s="5"/>
      <c r="AC236" s="5"/>
    </row>
    <row r="237" spans="4:29" ht="15" x14ac:dyDescent="0.25">
      <c r="D237" s="132">
        <v>0</v>
      </c>
      <c r="G237" s="150"/>
      <c r="H237" s="197"/>
      <c r="J237" s="68"/>
      <c r="K237" s="6"/>
      <c r="L237" s="32"/>
      <c r="M237" s="6"/>
      <c r="N237" s="6"/>
      <c r="O237" s="5"/>
      <c r="Q237" s="5"/>
      <c r="R237" s="5"/>
      <c r="T237" s="5"/>
      <c r="U237" s="5"/>
      <c r="V237" s="5"/>
      <c r="W237" s="5"/>
      <c r="X237" s="5"/>
      <c r="Y237" s="5"/>
      <c r="Z237" s="5"/>
      <c r="AA237" s="69"/>
      <c r="AB237" s="5"/>
      <c r="AC237" s="5"/>
    </row>
    <row r="238" spans="4:29" ht="15" x14ac:dyDescent="0.25">
      <c r="D238" s="132">
        <v>0</v>
      </c>
      <c r="G238" s="150"/>
      <c r="H238" s="197"/>
      <c r="J238" s="68"/>
      <c r="K238" s="6"/>
      <c r="L238" s="32"/>
      <c r="M238" s="6"/>
      <c r="N238" s="6"/>
      <c r="O238" s="5"/>
      <c r="Q238" s="5"/>
      <c r="T238" s="5"/>
      <c r="U238" s="5"/>
      <c r="V238" s="5"/>
      <c r="W238" s="5"/>
      <c r="X238" s="5"/>
      <c r="Y238" s="5"/>
      <c r="Z238" s="5"/>
      <c r="AA238" s="69"/>
      <c r="AB238" s="5"/>
      <c r="AC238" s="5"/>
    </row>
    <row r="239" spans="4:29" ht="15" x14ac:dyDescent="0.25">
      <c r="D239" s="132">
        <v>0</v>
      </c>
      <c r="G239" s="150"/>
      <c r="H239" s="197"/>
      <c r="J239" s="68"/>
      <c r="K239" s="6"/>
      <c r="L239" s="32"/>
      <c r="M239" s="6"/>
      <c r="N239" s="6"/>
      <c r="O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69"/>
      <c r="AB239" s="5"/>
      <c r="AC239" s="5"/>
    </row>
    <row r="240" spans="4:29" ht="27" customHeight="1" x14ac:dyDescent="0.25">
      <c r="D240" s="132">
        <v>0</v>
      </c>
      <c r="G240" s="150"/>
      <c r="H240" s="114" t="s">
        <v>93</v>
      </c>
      <c r="I240" s="114"/>
      <c r="J240" s="114"/>
      <c r="K240" s="114"/>
      <c r="L240" s="114"/>
      <c r="M240" s="6"/>
      <c r="N240" s="6"/>
      <c r="O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69"/>
      <c r="AB240" s="5"/>
      <c r="AC240" s="5"/>
    </row>
    <row r="241" spans="1:29" ht="15" x14ac:dyDescent="0.25">
      <c r="D241" s="132">
        <v>0</v>
      </c>
      <c r="G241" s="150"/>
      <c r="J241" s="68"/>
      <c r="K241" s="6"/>
      <c r="L241" s="32"/>
      <c r="M241" s="6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69"/>
      <c r="AB241" s="5"/>
      <c r="AC241" s="5"/>
    </row>
    <row r="242" spans="1:29" ht="15" x14ac:dyDescent="0.25">
      <c r="D242" s="132">
        <v>0</v>
      </c>
      <c r="G242" s="150"/>
      <c r="J242" s="68"/>
      <c r="K242" s="6"/>
      <c r="L242" s="32"/>
      <c r="M242" s="6"/>
      <c r="O242" s="5"/>
      <c r="P242" s="5"/>
      <c r="Q242" s="5"/>
      <c r="R242" s="5"/>
      <c r="S242" s="70"/>
      <c r="T242" s="5"/>
      <c r="U242" s="5"/>
      <c r="V242" s="5"/>
      <c r="W242" s="5"/>
      <c r="X242" s="5"/>
      <c r="Y242" s="5"/>
      <c r="Z242" s="5"/>
      <c r="AA242" s="69"/>
      <c r="AB242" s="5"/>
      <c r="AC242" s="5"/>
    </row>
    <row r="243" spans="1:29" ht="15" x14ac:dyDescent="0.25">
      <c r="D243" s="132">
        <v>0</v>
      </c>
      <c r="G243" s="150"/>
      <c r="J243" s="68"/>
      <c r="K243" s="6"/>
      <c r="L243" s="32"/>
      <c r="M243" s="6"/>
      <c r="N243" s="6"/>
      <c r="O243" s="5"/>
      <c r="P243" s="5"/>
      <c r="Q243" s="5"/>
      <c r="R243" s="5"/>
      <c r="S243" s="70"/>
      <c r="T243" s="5"/>
      <c r="U243" s="5"/>
      <c r="V243" s="5"/>
      <c r="W243" s="5"/>
      <c r="X243" s="5"/>
      <c r="Y243" s="5"/>
      <c r="Z243" s="5"/>
      <c r="AA243" s="69"/>
      <c r="AB243" s="5"/>
      <c r="AC243" s="5"/>
    </row>
    <row r="244" spans="1:29" ht="15" x14ac:dyDescent="0.25">
      <c r="D244" s="132">
        <v>0</v>
      </c>
      <c r="G244" s="150"/>
      <c r="J244" s="68"/>
      <c r="K244" s="6"/>
      <c r="L244" s="32"/>
      <c r="M244" s="6"/>
      <c r="N244" s="6"/>
      <c r="O244" s="5"/>
      <c r="P244" s="5"/>
      <c r="Q244" s="5"/>
      <c r="R244" s="5"/>
      <c r="T244" s="5"/>
      <c r="U244" s="5"/>
      <c r="V244" s="5"/>
      <c r="W244" s="5"/>
      <c r="X244" s="5"/>
      <c r="Y244" s="5"/>
      <c r="Z244" s="5"/>
      <c r="AA244" s="69"/>
      <c r="AB244" s="5"/>
      <c r="AC244" s="5"/>
    </row>
    <row r="245" spans="1:29" ht="15" x14ac:dyDescent="0.25">
      <c r="D245" s="132">
        <v>0</v>
      </c>
      <c r="J245" s="68"/>
      <c r="K245" s="6"/>
      <c r="L245" s="32"/>
      <c r="M245" s="6"/>
      <c r="N245" s="6"/>
      <c r="O245" s="5"/>
      <c r="P245" s="5"/>
      <c r="Q245" s="5"/>
      <c r="R245" s="5"/>
      <c r="T245" s="5"/>
      <c r="U245" s="5"/>
      <c r="V245" s="5"/>
      <c r="W245" s="5"/>
      <c r="X245" s="5"/>
      <c r="Y245" s="5"/>
      <c r="Z245" s="5"/>
      <c r="AA245" s="69"/>
      <c r="AB245" s="5"/>
      <c r="AC245" s="5"/>
    </row>
    <row r="246" spans="1:29" ht="15" x14ac:dyDescent="0.25">
      <c r="A246" s="200">
        <v>2</v>
      </c>
      <c r="D246" s="132">
        <v>1</v>
      </c>
      <c r="G246" s="201" t="str">
        <f t="shared" ref="G246:G252" si="62">"("&amp;TEXT(A246,0)&amp;")"</f>
        <v>(2)</v>
      </c>
      <c r="H246" s="115" t="s">
        <v>94</v>
      </c>
      <c r="I246" s="115"/>
      <c r="J246" s="115"/>
      <c r="K246" s="115"/>
      <c r="L246" s="115"/>
      <c r="M246" s="115"/>
      <c r="N246" s="6"/>
      <c r="O246" s="5"/>
      <c r="P246" s="5"/>
      <c r="Q246" s="5"/>
      <c r="R246" s="5"/>
      <c r="S246" s="70"/>
      <c r="T246" s="5"/>
      <c r="U246" s="5"/>
      <c r="V246" s="5"/>
      <c r="W246" s="5"/>
      <c r="X246" s="5"/>
      <c r="Y246" s="5"/>
      <c r="Z246" s="5"/>
      <c r="AB246" s="5"/>
      <c r="AC246" s="5"/>
    </row>
    <row r="247" spans="1:29" ht="15" x14ac:dyDescent="0.25">
      <c r="A247" s="200">
        <v>3</v>
      </c>
      <c r="B247" s="202">
        <f>+F24</f>
        <v>5</v>
      </c>
      <c r="D247" s="132">
        <v>1</v>
      </c>
      <c r="G247" s="203" t="str">
        <f t="shared" si="62"/>
        <v>(3)</v>
      </c>
      <c r="H247" s="2" t="str">
        <f>+"Line "&amp;B247&amp;"."</f>
        <v>Line 5.</v>
      </c>
      <c r="J247" s="68"/>
      <c r="K247" s="6"/>
      <c r="L247" s="32"/>
      <c r="M247" s="6"/>
      <c r="N247" s="6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B247" s="5"/>
      <c r="AC247" s="5"/>
    </row>
    <row r="248" spans="1:29" ht="15" x14ac:dyDescent="0.25">
      <c r="A248" s="200">
        <v>4</v>
      </c>
      <c r="B248" s="202">
        <f>+F38</f>
        <v>17</v>
      </c>
      <c r="D248" s="132">
        <v>1</v>
      </c>
      <c r="G248" s="203" t="str">
        <f t="shared" si="62"/>
        <v>(4)</v>
      </c>
      <c r="H248" s="2" t="str">
        <f>+"Line "&amp;B248&amp;" + line "&amp;B248-2&amp;"."</f>
        <v>Line 17 + line 15.</v>
      </c>
      <c r="J248" s="68"/>
      <c r="K248" s="6"/>
      <c r="L248" s="32"/>
      <c r="M248" s="6"/>
      <c r="N248" s="6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B248" s="5"/>
      <c r="AC248" s="5"/>
    </row>
    <row r="249" spans="1:29" ht="15" x14ac:dyDescent="0.25">
      <c r="A249" s="200">
        <v>5</v>
      </c>
      <c r="B249" s="202">
        <f>+B248</f>
        <v>17</v>
      </c>
      <c r="D249" s="132">
        <v>1</v>
      </c>
      <c r="G249" s="203" t="str">
        <f t="shared" si="62"/>
        <v>(5)</v>
      </c>
      <c r="H249" s="2" t="str">
        <f>+"Line "&amp;B249&amp;"."</f>
        <v>Line 17.</v>
      </c>
      <c r="J249" s="68"/>
      <c r="K249" s="6"/>
      <c r="L249" s="32"/>
      <c r="M249" s="6"/>
      <c r="N249" s="6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B249" s="5"/>
      <c r="AC249" s="5"/>
    </row>
    <row r="250" spans="1:29" ht="30" customHeight="1" x14ac:dyDescent="0.25">
      <c r="A250" s="200">
        <v>6</v>
      </c>
      <c r="D250" s="132">
        <f>IF($C$10="IOU",0,1)</f>
        <v>0</v>
      </c>
      <c r="G250" s="201" t="str">
        <f t="shared" si="62"/>
        <v>(6)</v>
      </c>
      <c r="H250" s="112" t="str">
        <f>+"Capital Expenditures - Are estimates at "&amp;TEXT(Q303,"0.00%")&amp;" of prior year-end GROSS Property, plant and equipment."</f>
        <v>Capital Expenditures - Are estimates at 1.59% of prior year-end GROSS Property, plant and equipment.</v>
      </c>
      <c r="I250" s="112"/>
      <c r="J250" s="112"/>
      <c r="K250" s="112"/>
      <c r="L250" s="112"/>
      <c r="M250" s="112"/>
      <c r="N250" s="109"/>
      <c r="O250" s="109"/>
      <c r="P250" s="109"/>
      <c r="Q250" s="109"/>
      <c r="R250" s="5"/>
      <c r="S250" s="5"/>
      <c r="T250" s="5" t="s">
        <v>95</v>
      </c>
      <c r="U250" s="5" t="s">
        <v>95</v>
      </c>
      <c r="V250" s="5" t="s">
        <v>95</v>
      </c>
      <c r="W250" s="5" t="s">
        <v>95</v>
      </c>
      <c r="X250" s="5" t="s">
        <v>95</v>
      </c>
      <c r="Y250" s="5" t="s">
        <v>95</v>
      </c>
      <c r="Z250" s="5" t="s">
        <v>95</v>
      </c>
      <c r="AA250" s="5" t="s">
        <v>95</v>
      </c>
      <c r="AB250" s="5"/>
      <c r="AC250" s="5"/>
    </row>
    <row r="251" spans="1:29" ht="30.75" customHeight="1" x14ac:dyDescent="0.25">
      <c r="A251" s="200">
        <v>6</v>
      </c>
      <c r="D251" s="132">
        <f>IF($C$10="IOU",1,0)</f>
        <v>1</v>
      </c>
      <c r="F251" s="150"/>
      <c r="G251" s="201" t="str">
        <f t="shared" si="62"/>
        <v>(6)</v>
      </c>
      <c r="H251" s="116" t="str">
        <f>+"Capital Expenditures - Are estimates at "&amp;TEXT(Q303,"0.00%")&amp;" of prior year-end GROSS Property, plant and equipment."</f>
        <v>Capital Expenditures - Are estimates at 1.59% of prior year-end GROSS Property, plant and equipment.</v>
      </c>
      <c r="I251" s="116"/>
      <c r="J251" s="116"/>
      <c r="K251" s="116"/>
      <c r="L251" s="116"/>
      <c r="M251" s="116"/>
      <c r="N251" s="109"/>
      <c r="O251" s="109"/>
      <c r="P251" s="109"/>
      <c r="Q251" s="109"/>
      <c r="R251" s="5"/>
      <c r="T251" s="204" t="str">
        <f>+"reduction in cost due to the fact governmental agencies must pay prevailing wages while private companies do not. Post-2020 years are estimates at "&amp;TEXT(Q303,"0.00%")&amp;" of prior year-end GROSS Property, plant and equipment."</f>
        <v>reduction in cost due to the fact governmental agencies must pay prevailing wages while private companies do not. Post-2020 years are estimates at 1.59% of prior year-end GROSS Property, plant and equipment.</v>
      </c>
      <c r="U251" s="5"/>
      <c r="V251" s="5"/>
      <c r="W251" s="5"/>
      <c r="X251" s="5"/>
      <c r="Y251" s="5"/>
      <c r="Z251" s="5"/>
      <c r="AB251" s="5"/>
      <c r="AC251" s="5"/>
    </row>
    <row r="252" spans="1:29" ht="17.25" customHeight="1" x14ac:dyDescent="0.25">
      <c r="A252" s="200">
        <v>7</v>
      </c>
      <c r="D252" s="132">
        <v>1</v>
      </c>
      <c r="G252" s="201" t="str">
        <f t="shared" si="62"/>
        <v>(7)</v>
      </c>
      <c r="H252" s="205" t="s">
        <v>96</v>
      </c>
      <c r="I252" s="205"/>
      <c r="J252" s="205"/>
      <c r="K252" s="205"/>
      <c r="L252" s="205"/>
      <c r="M252" s="205"/>
      <c r="N252" s="205"/>
      <c r="O252" s="205"/>
      <c r="P252" s="205"/>
      <c r="Q252" s="205"/>
      <c r="R252" s="206"/>
      <c r="S252" s="206"/>
      <c r="T252" s="5" t="str">
        <f>+"Capital Expenditures - Year 2016 are from Engineers Assessment inventory post-2015 additions. Years 2017 - 2020 are from Engineers Assessment CIP @ 30%. "&amp;T251</f>
        <v>Capital Expenditures - Year 2016 are from Engineers Assessment inventory post-2015 additions. Years 2017 - 2020 are from Engineers Assessment CIP @ 30%. reduction in cost due to the fact governmental agencies must pay prevailing wages while private companies do not. Post-2020 years are estimates at 1.59% of prior year-end GROSS Property, plant and equipment.</v>
      </c>
      <c r="U252" s="5"/>
      <c r="V252" s="5"/>
      <c r="W252" s="5"/>
      <c r="X252" s="5"/>
      <c r="Y252" s="5"/>
      <c r="Z252" s="5"/>
      <c r="AB252" s="5"/>
      <c r="AC252" s="5"/>
    </row>
    <row r="253" spans="1:29" ht="15" x14ac:dyDescent="0.25">
      <c r="D253" s="132">
        <v>0</v>
      </c>
    </row>
    <row r="254" spans="1:29" ht="30.75" customHeight="1" x14ac:dyDescent="0.25">
      <c r="A254" s="5">
        <v>0</v>
      </c>
      <c r="D254" s="132">
        <v>0</v>
      </c>
      <c r="G254" s="201"/>
      <c r="H254" s="207" t="s">
        <v>97</v>
      </c>
      <c r="I254" s="207"/>
      <c r="J254" s="207"/>
      <c r="K254" s="207"/>
      <c r="L254" s="207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B254" s="5"/>
      <c r="AC254" s="5"/>
    </row>
    <row r="255" spans="1:29" ht="15" x14ac:dyDescent="0.25">
      <c r="A255" s="5">
        <v>0</v>
      </c>
      <c r="D255" s="132">
        <v>0</v>
      </c>
      <c r="G255" s="203"/>
      <c r="H255" s="2" t="s">
        <v>98</v>
      </c>
      <c r="I255" s="6"/>
      <c r="J255" s="208"/>
      <c r="K255" s="6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B255" s="5"/>
      <c r="AC255" s="5"/>
    </row>
    <row r="256" spans="1:29" ht="30" customHeight="1" x14ac:dyDescent="0.25">
      <c r="A256" s="5">
        <v>8</v>
      </c>
      <c r="D256" s="132">
        <f>IF($C$10="IOU",1,0)</f>
        <v>1</v>
      </c>
      <c r="G256" s="201" t="str">
        <f t="shared" ref="G256:G264" si="63">"("&amp;TEXT(A256,0)&amp;")"</f>
        <v>(8)</v>
      </c>
      <c r="H256" s="207" t="s">
        <v>99</v>
      </c>
      <c r="I256" s="207"/>
      <c r="J256" s="207"/>
      <c r="K256" s="207"/>
      <c r="L256" s="207"/>
      <c r="M256" s="207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B256" s="5"/>
      <c r="AC256" s="5"/>
    </row>
    <row r="257" spans="1:29" ht="30" customHeight="1" x14ac:dyDescent="0.25">
      <c r="A257" s="5">
        <v>9</v>
      </c>
      <c r="D257" s="132">
        <f>IF($C$10="IOU",1,0)</f>
        <v>1</v>
      </c>
      <c r="G257" s="201" t="str">
        <f t="shared" si="63"/>
        <v>(9)</v>
      </c>
      <c r="H257" s="207" t="s">
        <v>100</v>
      </c>
      <c r="I257" s="207"/>
      <c r="J257" s="207"/>
      <c r="K257" s="207"/>
      <c r="L257" s="207"/>
      <c r="M257" s="207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B257" s="5"/>
      <c r="AC257" s="5"/>
    </row>
    <row r="258" spans="1:29" ht="30" customHeight="1" x14ac:dyDescent="0.25">
      <c r="A258" s="5">
        <v>8</v>
      </c>
      <c r="D258" s="132">
        <f>IF($C$10="IOU",0,1)</f>
        <v>0</v>
      </c>
      <c r="G258" s="201" t="str">
        <f t="shared" si="63"/>
        <v>(8)</v>
      </c>
      <c r="H258" s="207" t="s">
        <v>101</v>
      </c>
      <c r="I258" s="207"/>
      <c r="J258" s="207"/>
      <c r="K258" s="207"/>
      <c r="L258" s="207"/>
      <c r="M258" s="207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B258" s="5"/>
      <c r="AC258" s="5"/>
    </row>
    <row r="259" spans="1:29" ht="30" customHeight="1" x14ac:dyDescent="0.25">
      <c r="A259" s="5">
        <v>9</v>
      </c>
      <c r="D259" s="132">
        <f>IF($C$10="MUNI",1,0)</f>
        <v>0</v>
      </c>
      <c r="G259" s="201" t="str">
        <f t="shared" si="63"/>
        <v>(9)</v>
      </c>
      <c r="H259" s="207" t="s">
        <v>102</v>
      </c>
      <c r="I259" s="207"/>
      <c r="J259" s="207"/>
      <c r="K259" s="207"/>
      <c r="L259" s="207"/>
      <c r="M259" s="207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B259" s="5"/>
      <c r="AC259" s="5"/>
    </row>
    <row r="260" spans="1:29" ht="15" x14ac:dyDescent="0.25">
      <c r="A260" s="5">
        <v>10</v>
      </c>
      <c r="B260" s="202">
        <f>+F52</f>
        <v>27</v>
      </c>
      <c r="D260" s="132">
        <v>1</v>
      </c>
      <c r="G260" s="203" t="str">
        <f t="shared" si="63"/>
        <v>(10)</v>
      </c>
      <c r="H260" s="2" t="str">
        <f>+"Final year shown, line "&amp;B260&amp;"."</f>
        <v>Final year shown, line 27.</v>
      </c>
      <c r="I260" s="6"/>
      <c r="J260" s="208"/>
      <c r="K260" s="6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B260" s="5"/>
      <c r="AC260" s="5"/>
    </row>
    <row r="261" spans="1:29" ht="15" x14ac:dyDescent="0.25">
      <c r="A261" s="5">
        <v>11</v>
      </c>
      <c r="B261" s="202">
        <f>IF($C$10="IOU",+F54,+F70)</f>
        <v>29</v>
      </c>
      <c r="D261" s="132">
        <f>IF($C$10="SUBJECT",0,1)</f>
        <v>1</v>
      </c>
      <c r="G261" s="203" t="str">
        <f t="shared" si="63"/>
        <v>(11)</v>
      </c>
      <c r="H261" s="2" t="str">
        <f>+"Final year shown, line "&amp;B261&amp;"."</f>
        <v>Final year shown, line 29.</v>
      </c>
      <c r="I261" s="6"/>
      <c r="J261" s="208"/>
      <c r="K261" s="6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B261" s="5"/>
      <c r="AC261" s="5"/>
    </row>
    <row r="262" spans="1:29" ht="15" x14ac:dyDescent="0.25">
      <c r="A262" s="5">
        <v>12</v>
      </c>
      <c r="B262" s="202">
        <f>IF($C$10="IOU",+F58,+F70)</f>
        <v>31</v>
      </c>
      <c r="D262" s="132">
        <f>IF($C$10="SUBJECT",0,1)</f>
        <v>1</v>
      </c>
      <c r="G262" s="203" t="str">
        <f t="shared" si="63"/>
        <v>(12)</v>
      </c>
      <c r="H262" s="2" t="str">
        <f>+"Final year shown, line "&amp;B262&amp;"."</f>
        <v>Final year shown, line 31.</v>
      </c>
      <c r="I262" s="6"/>
      <c r="J262" s="208"/>
      <c r="K262" s="6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B262" s="5"/>
      <c r="AC262" s="5"/>
    </row>
    <row r="263" spans="1:29" ht="15" x14ac:dyDescent="0.25">
      <c r="A263" s="5">
        <v>13</v>
      </c>
      <c r="B263" s="2"/>
      <c r="D263" s="132">
        <f>IF($C$10="SUBJECT",0,1)</f>
        <v>1</v>
      </c>
      <c r="G263" s="203" t="str">
        <f t="shared" si="63"/>
        <v>(13)</v>
      </c>
      <c r="H263" s="2" t="s">
        <v>103</v>
      </c>
      <c r="I263" s="6"/>
      <c r="J263" s="208"/>
      <c r="K263" s="6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B263" s="5"/>
      <c r="AC263" s="5"/>
    </row>
    <row r="264" spans="1:29" ht="15" x14ac:dyDescent="0.25">
      <c r="A264" s="5">
        <v>11</v>
      </c>
      <c r="D264" s="132"/>
      <c r="G264" s="203" t="str">
        <f t="shared" si="63"/>
        <v>(11)</v>
      </c>
      <c r="H264" s="2" t="s">
        <v>104</v>
      </c>
      <c r="I264" s="6"/>
      <c r="J264" s="208"/>
      <c r="K264" s="6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</row>
    <row r="265" spans="1:29" ht="15" x14ac:dyDescent="0.25">
      <c r="D265" s="132">
        <v>0</v>
      </c>
      <c r="G265" s="203"/>
      <c r="I265" s="6"/>
      <c r="J265" s="208"/>
      <c r="K265" s="6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</row>
    <row r="266" spans="1:29" ht="15" x14ac:dyDescent="0.25">
      <c r="B266" s="2"/>
      <c r="D266" s="132">
        <v>0</v>
      </c>
      <c r="G266" s="209"/>
      <c r="I266" s="6"/>
      <c r="J266" s="208"/>
      <c r="K266" s="6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</row>
    <row r="267" spans="1:29" ht="15" x14ac:dyDescent="0.25">
      <c r="D267" s="132">
        <v>1</v>
      </c>
      <c r="G267" s="209"/>
      <c r="H267" s="208"/>
      <c r="I267" s="6"/>
      <c r="J267" s="208"/>
      <c r="K267" s="6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</row>
    <row r="268" spans="1:29" ht="15" x14ac:dyDescent="0.25">
      <c r="D268" s="132">
        <v>1</v>
      </c>
      <c r="G268" s="210" t="s">
        <v>105</v>
      </c>
      <c r="I268" s="6"/>
      <c r="J268" s="208"/>
      <c r="K268" s="6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</row>
    <row r="269" spans="1:29" ht="15" x14ac:dyDescent="0.25">
      <c r="D269" s="132">
        <v>1</v>
      </c>
      <c r="G269" s="210"/>
      <c r="H269" s="2" t="s">
        <v>106</v>
      </c>
      <c r="I269" s="6"/>
      <c r="J269" s="208"/>
      <c r="K269" s="6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</row>
    <row r="270" spans="1:29" ht="15" x14ac:dyDescent="0.25">
      <c r="D270" s="132">
        <v>1</v>
      </c>
      <c r="G270" s="210"/>
      <c r="H270" s="2" t="s">
        <v>107</v>
      </c>
      <c r="I270" s="6"/>
      <c r="J270" s="208"/>
      <c r="K270" s="6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</row>
    <row r="271" spans="1:29" ht="15" x14ac:dyDescent="0.25">
      <c r="D271" s="132">
        <v>1</v>
      </c>
      <c r="G271" s="210"/>
      <c r="H271" s="2" t="s">
        <v>108</v>
      </c>
      <c r="I271" s="6"/>
      <c r="J271" s="208"/>
      <c r="K271" s="6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</row>
    <row r="272" spans="1:29" ht="15" x14ac:dyDescent="0.25">
      <c r="D272" s="132">
        <v>1</v>
      </c>
      <c r="G272" s="209"/>
      <c r="H272" s="2" t="s">
        <v>109</v>
      </c>
      <c r="I272" s="6"/>
      <c r="J272" s="208"/>
      <c r="K272" s="6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</row>
    <row r="273" spans="4:29" ht="15" x14ac:dyDescent="0.25">
      <c r="D273" s="132">
        <v>1</v>
      </c>
      <c r="G273" s="211"/>
      <c r="H273" s="2" t="s">
        <v>110</v>
      </c>
      <c r="I273" s="6"/>
      <c r="J273" s="6"/>
      <c r="K273" s="6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</row>
    <row r="274" spans="4:29" ht="15" x14ac:dyDescent="0.25">
      <c r="D274" s="132">
        <v>1</v>
      </c>
      <c r="G274" s="211"/>
      <c r="H274" s="2" t="s">
        <v>111</v>
      </c>
      <c r="I274" s="6"/>
      <c r="J274" s="6"/>
      <c r="K274" s="6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</row>
    <row r="275" spans="4:29" ht="15" x14ac:dyDescent="0.25">
      <c r="D275" s="132">
        <v>1</v>
      </c>
      <c r="G275" s="211"/>
      <c r="H275" s="2" t="s">
        <v>112</v>
      </c>
      <c r="I275" s="6"/>
      <c r="J275" s="6"/>
      <c r="K275" s="6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</row>
    <row r="276" spans="4:29" ht="15" x14ac:dyDescent="0.25">
      <c r="D276" s="132">
        <v>0</v>
      </c>
      <c r="G276" s="211"/>
      <c r="H276" s="2" t="s">
        <v>113</v>
      </c>
      <c r="I276" s="6"/>
      <c r="J276" s="6"/>
      <c r="K276" s="6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</row>
    <row r="277" spans="4:29" ht="15" x14ac:dyDescent="0.25">
      <c r="D277" s="132">
        <v>0</v>
      </c>
      <c r="G277" s="211"/>
      <c r="I277" s="6"/>
      <c r="J277" s="6"/>
      <c r="K277" s="6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</row>
    <row r="278" spans="4:29" ht="15" x14ac:dyDescent="0.25">
      <c r="D278" s="132">
        <v>0</v>
      </c>
      <c r="G278" s="211">
        <v>13</v>
      </c>
      <c r="H278" s="208"/>
      <c r="I278" s="6"/>
      <c r="J278" s="6"/>
      <c r="K278" s="6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</row>
    <row r="279" spans="4:29" ht="15" x14ac:dyDescent="0.25">
      <c r="D279" s="132">
        <v>0</v>
      </c>
      <c r="G279" s="211">
        <v>14</v>
      </c>
      <c r="H279" s="6"/>
      <c r="I279" s="6"/>
      <c r="J279" s="6"/>
      <c r="K279" s="6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</row>
    <row r="280" spans="4:29" ht="15" x14ac:dyDescent="0.25">
      <c r="D280" s="132">
        <v>0</v>
      </c>
      <c r="G280" s="211">
        <v>15</v>
      </c>
      <c r="H280" s="6"/>
      <c r="I280" s="6"/>
      <c r="J280" s="6"/>
      <c r="K280" s="6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</row>
    <row r="281" spans="4:29" ht="15" x14ac:dyDescent="0.25">
      <c r="D281" s="132">
        <v>0</v>
      </c>
      <c r="G281" s="211">
        <v>16</v>
      </c>
      <c r="H281" s="6"/>
      <c r="I281" s="6"/>
      <c r="J281" s="6"/>
      <c r="K281" s="6"/>
      <c r="L281" s="5"/>
      <c r="N281" s="5"/>
      <c r="R281" s="5"/>
      <c r="AA281" s="5"/>
      <c r="AB281" s="5"/>
      <c r="AC281" s="5"/>
    </row>
    <row r="282" spans="4:29" ht="15" x14ac:dyDescent="0.25">
      <c r="D282" s="132">
        <v>0</v>
      </c>
      <c r="G282" s="211">
        <v>17</v>
      </c>
      <c r="H282" s="6"/>
      <c r="I282" s="15"/>
      <c r="J282" s="15"/>
      <c r="K282" s="15"/>
      <c r="L282" s="15"/>
      <c r="M282" s="15"/>
      <c r="N282" s="15"/>
      <c r="O282" s="15"/>
      <c r="P282" s="15"/>
      <c r="R282" s="5"/>
      <c r="AA282" s="5"/>
      <c r="AB282" s="5"/>
      <c r="AC282" s="5"/>
    </row>
    <row r="283" spans="4:29" ht="15.75" thickBot="1" x14ac:dyDescent="0.3">
      <c r="D283" s="132">
        <v>0</v>
      </c>
      <c r="H283" s="6"/>
      <c r="I283" s="6"/>
      <c r="J283" s="6"/>
      <c r="K283" s="6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</row>
    <row r="284" spans="4:29" ht="13.5" thickBot="1" x14ac:dyDescent="0.25">
      <c r="G284" s="212" t="s">
        <v>114</v>
      </c>
      <c r="H284" s="213"/>
      <c r="I284" s="213"/>
      <c r="J284" s="213"/>
      <c r="K284" s="213"/>
      <c r="L284" s="213"/>
      <c r="M284" s="213"/>
      <c r="N284" s="214"/>
      <c r="O284" s="215" t="s">
        <v>114</v>
      </c>
      <c r="P284" s="35"/>
      <c r="Q284" s="35"/>
      <c r="R284" s="35"/>
      <c r="S284" s="35"/>
      <c r="T284" s="35"/>
      <c r="U284" s="35"/>
      <c r="V284" s="36"/>
      <c r="W284" s="5"/>
      <c r="X284" s="5"/>
      <c r="Y284" s="5"/>
      <c r="Z284" s="5"/>
      <c r="AA284" s="5"/>
      <c r="AB284" s="5"/>
      <c r="AC284" s="5"/>
    </row>
    <row r="285" spans="4:29" x14ac:dyDescent="0.2">
      <c r="H285" s="76">
        <f t="shared" ref="H285:Z285" si="64">+H19</f>
        <v>2013</v>
      </c>
      <c r="I285" s="76">
        <f t="shared" si="64"/>
        <v>2014</v>
      </c>
      <c r="J285" s="76">
        <f t="shared" si="64"/>
        <v>2015</v>
      </c>
      <c r="K285" s="76">
        <f t="shared" si="64"/>
        <v>2016</v>
      </c>
      <c r="L285" s="76">
        <f t="shared" si="64"/>
        <v>2017</v>
      </c>
      <c r="M285" s="76">
        <f t="shared" si="64"/>
        <v>2018</v>
      </c>
      <c r="N285" s="216">
        <f t="shared" si="64"/>
        <v>2019</v>
      </c>
      <c r="O285" s="216">
        <f t="shared" si="64"/>
        <v>2020</v>
      </c>
      <c r="P285" s="76">
        <f t="shared" si="64"/>
        <v>2021</v>
      </c>
      <c r="Q285" s="76">
        <f t="shared" si="64"/>
        <v>2022</v>
      </c>
      <c r="R285" s="76">
        <f t="shared" si="64"/>
        <v>2023</v>
      </c>
      <c r="S285" s="76">
        <f t="shared" si="64"/>
        <v>2024</v>
      </c>
      <c r="T285" s="76">
        <f t="shared" si="64"/>
        <v>2025</v>
      </c>
      <c r="U285" s="76">
        <f t="shared" si="64"/>
        <v>2026</v>
      </c>
      <c r="V285" s="76">
        <f t="shared" si="64"/>
        <v>2027</v>
      </c>
      <c r="W285" s="76">
        <f t="shared" si="64"/>
        <v>2028</v>
      </c>
      <c r="X285" s="76">
        <f t="shared" si="64"/>
        <v>2029</v>
      </c>
      <c r="Y285" s="76">
        <f t="shared" si="64"/>
        <v>2030</v>
      </c>
      <c r="Z285" s="76">
        <f t="shared" si="64"/>
        <v>2031</v>
      </c>
      <c r="AA285" s="76">
        <f t="shared" ref="AA285" si="65">+Z285+1</f>
        <v>2032</v>
      </c>
    </row>
    <row r="286" spans="4:29" x14ac:dyDescent="0.2">
      <c r="H286" s="76"/>
      <c r="I286" s="76"/>
      <c r="J286" s="76"/>
      <c r="K286" s="76"/>
      <c r="L286" s="76"/>
      <c r="M286" s="76"/>
      <c r="N286" s="76"/>
      <c r="O286" s="76"/>
      <c r="P286" s="76"/>
      <c r="Q286" s="76"/>
      <c r="R286" s="76"/>
      <c r="S286" s="76"/>
      <c r="T286" s="76"/>
      <c r="U286" s="76"/>
      <c r="V286" s="76"/>
      <c r="W286" s="76"/>
      <c r="X286" s="76"/>
      <c r="Y286" s="76"/>
      <c r="Z286" s="76"/>
      <c r="AA286" s="76"/>
    </row>
    <row r="287" spans="4:29" x14ac:dyDescent="0.2">
      <c r="G287" s="2" t="s">
        <v>115</v>
      </c>
      <c r="H287" s="217">
        <f>+H449</f>
        <v>0</v>
      </c>
      <c r="I287" s="217">
        <f t="shared" ref="I287:J287" si="66">+I449</f>
        <v>0</v>
      </c>
      <c r="J287" s="217">
        <f t="shared" si="66"/>
        <v>0</v>
      </c>
      <c r="K287" s="217"/>
      <c r="L287" s="217">
        <v>5294272</v>
      </c>
      <c r="M287" s="217">
        <f>+L287+M304-M309</f>
        <v>5294272</v>
      </c>
      <c r="N287" s="217">
        <f>+M287+N304-N309</f>
        <v>5367804</v>
      </c>
      <c r="O287" s="217">
        <f>+N287+O304-O309</f>
        <v>5441757</v>
      </c>
      <c r="P287" s="217">
        <f>+O287+P304-P309</f>
        <v>5516733</v>
      </c>
      <c r="Q287" s="217">
        <f>+P287+Q304-Q309</f>
        <v>5592743</v>
      </c>
      <c r="R287" s="217">
        <f>+Q287+R304-R309</f>
        <v>5669800</v>
      </c>
      <c r="S287" s="217">
        <f>+R287+S304-S309</f>
        <v>5747918</v>
      </c>
      <c r="T287" s="217">
        <f>+S287+T304-T309</f>
        <v>5827112</v>
      </c>
      <c r="U287" s="217">
        <f>+T287+U304-U309</f>
        <v>5905865</v>
      </c>
      <c r="V287" s="217">
        <f>+U287+V304-V309</f>
        <v>5985683</v>
      </c>
      <c r="W287" s="217">
        <f>+V287+W304-W309</f>
        <v>6066579</v>
      </c>
      <c r="X287" s="217">
        <f>+W287+X304-X309</f>
        <v>6148569</v>
      </c>
      <c r="Y287" s="217">
        <f>+X287+Y304-Y309</f>
        <v>6231667</v>
      </c>
      <c r="Z287" s="217">
        <f>+Y287+Z304-Z309</f>
        <v>6315888</v>
      </c>
      <c r="AA287" s="76"/>
    </row>
    <row r="288" spans="4:29" x14ac:dyDescent="0.2">
      <c r="G288" s="2" t="s">
        <v>116</v>
      </c>
      <c r="H288" s="217">
        <f t="shared" ref="H288:J288" si="67">+H450</f>
        <v>0</v>
      </c>
      <c r="I288" s="217">
        <f t="shared" si="67"/>
        <v>0</v>
      </c>
      <c r="J288" s="217">
        <f t="shared" si="67"/>
        <v>0</v>
      </c>
      <c r="K288" s="217"/>
      <c r="L288" s="217">
        <v>1787134</v>
      </c>
      <c r="M288" s="217">
        <f>+L288+M312-M309</f>
        <v>1878195.4783999999</v>
      </c>
      <c r="N288" s="217">
        <f>+M288+N312-N309</f>
        <v>1956801.7696</v>
      </c>
      <c r="O288" s="217">
        <f>+N288+O312-O309</f>
        <v>2036601.5384</v>
      </c>
      <c r="P288" s="217">
        <f>+O288+P312-P309</f>
        <v>2117500.1856</v>
      </c>
      <c r="Q288" s="217">
        <f>+P288+Q312-Q309</f>
        <v>2199513.2895999998</v>
      </c>
      <c r="R288" s="217">
        <f>+Q288+R312-R309</f>
        <v>2282656.5836</v>
      </c>
      <c r="S288" s="217">
        <f>+R288+S312-S309</f>
        <v>2366944.0244</v>
      </c>
      <c r="T288" s="217">
        <f>+S288+T312-T309</f>
        <v>2452392.8267999999</v>
      </c>
      <c r="U288" s="217">
        <f>+T288+U312-U309</f>
        <v>2539279.1075999998</v>
      </c>
      <c r="V288" s="217">
        <f>+U288+V312-V309</f>
        <v>2627340.7235999997</v>
      </c>
      <c r="W288" s="217">
        <f>+V288+W312-W309</f>
        <v>2716590.9239999996</v>
      </c>
      <c r="X288" s="217">
        <f>+W288+X312-X309</f>
        <v>2807048.2159999995</v>
      </c>
      <c r="Y288" s="217">
        <f>+X288+Y312-Y309</f>
        <v>2898728.3819999998</v>
      </c>
      <c r="Z288" s="217">
        <f>+Y288+Z312-Z309</f>
        <v>2991646.4107999997</v>
      </c>
      <c r="AA288" s="76"/>
    </row>
    <row r="289" spans="4:27" ht="13.5" thickBot="1" x14ac:dyDescent="0.25">
      <c r="G289" s="218" t="s">
        <v>117</v>
      </c>
      <c r="H289" s="219">
        <f>+H287-H288</f>
        <v>0</v>
      </c>
      <c r="I289" s="219">
        <f t="shared" ref="I289:Z289" si="68">+I287-I288</f>
        <v>0</v>
      </c>
      <c r="J289" s="219">
        <f t="shared" si="68"/>
        <v>0</v>
      </c>
      <c r="K289" s="219"/>
      <c r="L289" s="219">
        <v>3507138</v>
      </c>
      <c r="M289" s="219">
        <f t="shared" si="68"/>
        <v>3416076.5216000001</v>
      </c>
      <c r="N289" s="219">
        <f t="shared" si="68"/>
        <v>3411002.2303999998</v>
      </c>
      <c r="O289" s="219">
        <f t="shared" si="68"/>
        <v>3405155.4616</v>
      </c>
      <c r="P289" s="219">
        <f t="shared" si="68"/>
        <v>3399232.8144</v>
      </c>
      <c r="Q289" s="219">
        <f t="shared" si="68"/>
        <v>3393229.7104000002</v>
      </c>
      <c r="R289" s="219">
        <f t="shared" si="68"/>
        <v>3387143.4164</v>
      </c>
      <c r="S289" s="219">
        <f t="shared" si="68"/>
        <v>3380973.9756</v>
      </c>
      <c r="T289" s="219">
        <f t="shared" si="68"/>
        <v>3374719.1732000001</v>
      </c>
      <c r="U289" s="219">
        <f t="shared" si="68"/>
        <v>3366585.8924000002</v>
      </c>
      <c r="V289" s="219">
        <f t="shared" si="68"/>
        <v>3358342.2764000003</v>
      </c>
      <c r="W289" s="219">
        <f t="shared" si="68"/>
        <v>3349988.0760000004</v>
      </c>
      <c r="X289" s="219">
        <f t="shared" si="68"/>
        <v>3341520.7840000005</v>
      </c>
      <c r="Y289" s="219">
        <f t="shared" si="68"/>
        <v>3332938.6180000002</v>
      </c>
      <c r="Z289" s="219">
        <f t="shared" si="68"/>
        <v>3324241.5892000003</v>
      </c>
      <c r="AA289" s="76"/>
    </row>
    <row r="290" spans="4:27" ht="13.5" thickTop="1" x14ac:dyDescent="0.2">
      <c r="H290" s="76"/>
      <c r="I290" s="76"/>
      <c r="J290" s="76"/>
      <c r="K290" s="76"/>
      <c r="L290" s="220"/>
      <c r="M290" s="76"/>
      <c r="N290" s="76"/>
      <c r="O290" s="76"/>
      <c r="P290" s="76"/>
      <c r="Q290" s="76"/>
      <c r="R290" s="76"/>
      <c r="S290" s="76"/>
      <c r="T290" s="76"/>
      <c r="U290" s="76"/>
      <c r="V290" s="76"/>
      <c r="W290" s="76"/>
      <c r="X290" s="76"/>
      <c r="Y290" s="76"/>
      <c r="Z290" s="220"/>
      <c r="AA290" s="76"/>
    </row>
    <row r="291" spans="4:27" ht="15" x14ac:dyDescent="0.25">
      <c r="G291" s="69" t="s">
        <v>118</v>
      </c>
      <c r="H291" s="217">
        <f>+H453</f>
        <v>0</v>
      </c>
      <c r="I291" s="217">
        <f t="shared" ref="I291:K292" si="69">+I453</f>
        <v>0</v>
      </c>
      <c r="J291" s="217">
        <f t="shared" si="69"/>
        <v>0</v>
      </c>
      <c r="K291" s="217">
        <f t="shared" si="69"/>
        <v>0</v>
      </c>
      <c r="L291" s="221">
        <f>+K291</f>
        <v>0</v>
      </c>
      <c r="M291" s="222">
        <f>+L291</f>
        <v>0</v>
      </c>
      <c r="N291" s="222">
        <f>+M291</f>
        <v>0</v>
      </c>
      <c r="O291" s="223"/>
      <c r="P291" s="223"/>
      <c r="Q291" s="223"/>
      <c r="R291" s="223"/>
      <c r="S291" s="223"/>
      <c r="T291" s="223"/>
      <c r="U291" s="223"/>
      <c r="V291" s="223"/>
      <c r="W291" s="223"/>
      <c r="X291" s="223"/>
      <c r="Y291" s="223"/>
      <c r="Z291" s="223"/>
      <c r="AA291" s="76"/>
    </row>
    <row r="292" spans="4:27" ht="15" x14ac:dyDescent="0.25">
      <c r="D292" s="224"/>
      <c r="G292" s="69" t="s">
        <v>119</v>
      </c>
      <c r="H292" s="217">
        <f>+H454</f>
        <v>0</v>
      </c>
      <c r="I292" s="217">
        <f t="shared" si="69"/>
        <v>0</v>
      </c>
      <c r="J292" s="217">
        <f t="shared" si="69"/>
        <v>0</v>
      </c>
      <c r="K292" s="217">
        <f t="shared" si="69"/>
        <v>2952333</v>
      </c>
      <c r="L292" s="221">
        <f>+K292</f>
        <v>2952333</v>
      </c>
      <c r="M292" s="221">
        <f t="shared" ref="M292:N292" si="70">+L292</f>
        <v>2952333</v>
      </c>
      <c r="N292" s="221">
        <f t="shared" si="70"/>
        <v>2952333</v>
      </c>
      <c r="O292" s="223"/>
      <c r="P292" s="223"/>
      <c r="Q292" s="223"/>
      <c r="R292" s="223"/>
      <c r="S292" s="223"/>
      <c r="T292" s="223"/>
      <c r="U292" s="223"/>
      <c r="V292" s="223"/>
      <c r="W292" s="223"/>
      <c r="X292" s="223"/>
      <c r="Y292" s="223"/>
      <c r="Z292" s="223"/>
      <c r="AA292" s="76"/>
    </row>
    <row r="293" spans="4:27" ht="13.5" thickBot="1" x14ac:dyDescent="0.25">
      <c r="G293" s="218" t="s">
        <v>120</v>
      </c>
      <c r="H293" s="219">
        <f>SUM(H291:H292)</f>
        <v>0</v>
      </c>
      <c r="I293" s="219">
        <f t="shared" ref="I293:L293" si="71">SUM(I291:I292)</f>
        <v>0</v>
      </c>
      <c r="J293" s="219">
        <f t="shared" si="71"/>
        <v>0</v>
      </c>
      <c r="K293" s="219">
        <f t="shared" si="71"/>
        <v>2952333</v>
      </c>
      <c r="L293" s="219">
        <f t="shared" si="71"/>
        <v>2952333</v>
      </c>
      <c r="M293" s="225">
        <f>SUM(M291:M292)</f>
        <v>2952333</v>
      </c>
      <c r="N293" s="225">
        <f>SUM(N291:N292)</f>
        <v>2952333</v>
      </c>
      <c r="O293" s="219"/>
      <c r="P293" s="219"/>
      <c r="Q293" s="219"/>
      <c r="R293" s="219"/>
      <c r="S293" s="219"/>
      <c r="T293" s="219"/>
      <c r="U293" s="219"/>
      <c r="V293" s="219"/>
      <c r="W293" s="219"/>
      <c r="X293" s="219"/>
      <c r="Y293" s="219"/>
      <c r="Z293" s="219"/>
      <c r="AA293" s="76"/>
    </row>
    <row r="294" spans="4:27" ht="13.5" thickTop="1" x14ac:dyDescent="0.2">
      <c r="H294" s="76"/>
      <c r="I294" s="76"/>
      <c r="J294" s="76"/>
      <c r="K294" s="76"/>
      <c r="L294" s="76"/>
      <c r="M294" s="76"/>
      <c r="N294" s="76"/>
      <c r="O294" s="76"/>
      <c r="P294" s="76"/>
      <c r="Q294" s="76"/>
      <c r="R294" s="76"/>
      <c r="S294" s="76"/>
      <c r="T294" s="76"/>
      <c r="U294" s="76"/>
      <c r="V294" s="76"/>
      <c r="W294" s="76"/>
      <c r="X294" s="76"/>
      <c r="Y294" s="76"/>
      <c r="Z294" s="76"/>
      <c r="AA294" s="76"/>
    </row>
    <row r="295" spans="4:27" x14ac:dyDescent="0.2">
      <c r="H295" s="76"/>
      <c r="I295" s="76"/>
      <c r="J295" s="76"/>
      <c r="K295" s="76"/>
      <c r="L295" s="76"/>
      <c r="M295" s="76"/>
      <c r="O295" s="216"/>
      <c r="P295" s="76"/>
      <c r="Q295" s="76"/>
      <c r="R295" s="76"/>
      <c r="S295" s="76"/>
      <c r="T295" s="76"/>
      <c r="U295" s="76"/>
      <c r="V295" s="76"/>
      <c r="W295" s="76"/>
      <c r="X295" s="76"/>
      <c r="Y295" s="76"/>
      <c r="Z295" s="76"/>
      <c r="AA295" s="76"/>
    </row>
    <row r="296" spans="4:27" x14ac:dyDescent="0.2">
      <c r="G296" s="2" t="s">
        <v>121</v>
      </c>
      <c r="H296" s="71" t="e">
        <f>+H48/H287</f>
        <v>#DIV/0!</v>
      </c>
      <c r="I296" s="71" t="e">
        <f>+I48/I287</f>
        <v>#DIV/0!</v>
      </c>
      <c r="J296" s="71" t="e">
        <f>+J48/J287</f>
        <v>#DIV/0!</v>
      </c>
      <c r="K296" s="71">
        <f>+L296</f>
        <v>1.72E-2</v>
      </c>
      <c r="L296" s="71">
        <v>1.72E-2</v>
      </c>
      <c r="M296" s="71">
        <v>1.72E-2</v>
      </c>
      <c r="O296" s="216"/>
      <c r="P296" s="76"/>
      <c r="Q296" s="76"/>
      <c r="R296" s="76"/>
      <c r="S296" s="76"/>
      <c r="T296" s="76"/>
      <c r="U296" s="76"/>
      <c r="V296" s="76"/>
      <c r="W296" s="76"/>
      <c r="X296" s="76"/>
      <c r="Y296" s="76"/>
      <c r="Z296" s="76"/>
      <c r="AA296" s="76"/>
    </row>
    <row r="297" spans="4:27" x14ac:dyDescent="0.2">
      <c r="H297" s="76"/>
      <c r="I297" s="76"/>
      <c r="J297" s="76"/>
      <c r="K297" s="76"/>
      <c r="L297" s="76"/>
      <c r="M297" s="76"/>
      <c r="N297" s="76"/>
      <c r="O297" s="76"/>
      <c r="P297" s="76"/>
      <c r="Q297" s="76"/>
      <c r="R297" s="76"/>
      <c r="S297" s="76"/>
      <c r="T297" s="76"/>
      <c r="U297" s="76"/>
      <c r="V297" s="76"/>
      <c r="W297" s="76"/>
      <c r="X297" s="76"/>
      <c r="Y297" s="76"/>
      <c r="Z297" s="76"/>
      <c r="AA297" s="76"/>
    </row>
    <row r="298" spans="4:27" x14ac:dyDescent="0.2">
      <c r="H298" s="76"/>
      <c r="I298" s="76"/>
      <c r="J298" s="76"/>
      <c r="K298" s="76"/>
      <c r="L298" s="76"/>
      <c r="M298" s="76"/>
      <c r="N298" s="76"/>
      <c r="O298" s="76"/>
      <c r="P298" s="76"/>
      <c r="Q298" s="76"/>
      <c r="R298" s="76"/>
      <c r="S298" s="76"/>
      <c r="T298" s="76"/>
      <c r="U298" s="76"/>
      <c r="V298" s="76"/>
      <c r="W298" s="76"/>
      <c r="X298" s="76"/>
      <c r="Y298" s="76"/>
      <c r="Z298" s="76"/>
      <c r="AA298" s="76"/>
    </row>
    <row r="299" spans="4:27" x14ac:dyDescent="0.2">
      <c r="H299" s="76"/>
      <c r="I299" s="76"/>
      <c r="J299" s="76"/>
      <c r="K299" s="76"/>
      <c r="L299" s="76"/>
      <c r="M299" s="76"/>
      <c r="N299" s="76"/>
      <c r="O299" s="76"/>
      <c r="P299" s="76"/>
      <c r="Q299" s="76"/>
      <c r="R299" s="76"/>
      <c r="S299" s="76"/>
      <c r="T299" s="76"/>
      <c r="U299" s="76"/>
      <c r="V299" s="76"/>
      <c r="W299" s="76"/>
      <c r="X299" s="76"/>
      <c r="Y299" s="76"/>
      <c r="Z299" s="76"/>
      <c r="AA299" s="76"/>
    </row>
    <row r="300" spans="4:27" ht="13.5" thickBot="1" x14ac:dyDescent="0.25">
      <c r="H300" s="76"/>
      <c r="I300" s="76"/>
      <c r="J300" s="76"/>
      <c r="K300" s="123" t="s">
        <v>122</v>
      </c>
      <c r="L300" s="204">
        <f>+L323</f>
        <v>0</v>
      </c>
      <c r="M300" s="204">
        <f t="shared" ref="M300:T300" si="72">+M323</f>
        <v>0</v>
      </c>
      <c r="N300" s="204">
        <f t="shared" si="72"/>
        <v>86508.404479999997</v>
      </c>
      <c r="O300" s="204">
        <f t="shared" si="72"/>
        <v>87003.176640000005</v>
      </c>
      <c r="P300" s="204">
        <f t="shared" si="72"/>
        <v>88207.28035999999</v>
      </c>
      <c r="Q300" s="204">
        <f t="shared" si="72"/>
        <v>89423.164839999998</v>
      </c>
      <c r="R300" s="204">
        <f t="shared" si="72"/>
        <v>90654.798800000004</v>
      </c>
      <c r="S300" s="204">
        <f t="shared" si="72"/>
        <v>91904.229300000006</v>
      </c>
      <c r="T300" s="204">
        <f t="shared" si="72"/>
        <v>93169.768759999992</v>
      </c>
      <c r="U300" s="76"/>
      <c r="V300" s="76"/>
      <c r="W300" s="76"/>
      <c r="X300" s="76"/>
      <c r="Y300" s="76"/>
      <c r="Z300" s="76"/>
      <c r="AA300" s="76"/>
    </row>
    <row r="301" spans="4:27" ht="13.5" thickBot="1" x14ac:dyDescent="0.25">
      <c r="H301" s="76"/>
      <c r="I301" s="76"/>
      <c r="J301" s="2" t="s">
        <v>123</v>
      </c>
      <c r="K301" s="226">
        <v>0</v>
      </c>
      <c r="L301" s="76"/>
      <c r="M301" s="76"/>
      <c r="N301" s="117">
        <f t="shared" ref="N301:T301" si="73">IF($C$10="IOU",1-$K301,1)</f>
        <v>1</v>
      </c>
      <c r="O301" s="117">
        <f t="shared" si="73"/>
        <v>1</v>
      </c>
      <c r="P301" s="117">
        <f t="shared" si="73"/>
        <v>1</v>
      </c>
      <c r="Q301" s="117">
        <f t="shared" si="73"/>
        <v>1</v>
      </c>
      <c r="R301" s="117">
        <f t="shared" si="73"/>
        <v>1</v>
      </c>
      <c r="S301" s="117">
        <f t="shared" si="73"/>
        <v>1</v>
      </c>
      <c r="T301" s="117">
        <f t="shared" si="73"/>
        <v>1</v>
      </c>
      <c r="U301" s="76"/>
      <c r="V301" s="76"/>
      <c r="W301" s="76"/>
      <c r="X301" s="76"/>
      <c r="Y301" s="76"/>
      <c r="Z301" s="76"/>
      <c r="AA301" s="76"/>
    </row>
    <row r="302" spans="4:27" x14ac:dyDescent="0.2">
      <c r="H302" s="76"/>
      <c r="I302" s="76"/>
      <c r="J302" s="76"/>
      <c r="K302" s="76"/>
      <c r="L302" s="76"/>
      <c r="M302" s="76"/>
      <c r="N302" s="76"/>
      <c r="O302" s="76"/>
      <c r="P302" s="76"/>
      <c r="Q302" s="76"/>
      <c r="R302" s="76"/>
      <c r="S302" s="76"/>
      <c r="T302" s="76"/>
      <c r="U302" s="76"/>
      <c r="V302" s="76"/>
      <c r="W302" s="76"/>
      <c r="X302" s="76"/>
      <c r="Y302" s="76"/>
      <c r="Z302" s="76"/>
      <c r="AA302" s="76"/>
    </row>
    <row r="303" spans="4:27" ht="18.75" x14ac:dyDescent="0.3">
      <c r="H303" s="76"/>
      <c r="I303" s="76"/>
      <c r="J303" s="76"/>
      <c r="K303" s="123" t="s">
        <v>124</v>
      </c>
      <c r="M303" s="71"/>
      <c r="N303" s="71"/>
      <c r="O303" s="71"/>
      <c r="P303" s="71"/>
      <c r="Q303" s="227">
        <v>1.5900000000000001E-2</v>
      </c>
      <c r="R303" s="71">
        <f t="shared" ref="R303:Z303" si="74">+Q303</f>
        <v>1.5900000000000001E-2</v>
      </c>
      <c r="S303" s="71">
        <f t="shared" si="74"/>
        <v>1.5900000000000001E-2</v>
      </c>
      <c r="T303" s="71">
        <f t="shared" si="74"/>
        <v>1.5900000000000001E-2</v>
      </c>
      <c r="U303" s="71">
        <f t="shared" si="74"/>
        <v>1.5900000000000001E-2</v>
      </c>
      <c r="V303" s="71">
        <f t="shared" si="74"/>
        <v>1.5900000000000001E-2</v>
      </c>
      <c r="W303" s="71">
        <f t="shared" si="74"/>
        <v>1.5900000000000001E-2</v>
      </c>
      <c r="X303" s="71">
        <f t="shared" si="74"/>
        <v>1.5900000000000001E-2</v>
      </c>
      <c r="Y303" s="71">
        <f t="shared" si="74"/>
        <v>1.5900000000000001E-2</v>
      </c>
      <c r="Z303" s="71">
        <f t="shared" si="74"/>
        <v>1.5900000000000001E-2</v>
      </c>
      <c r="AA303" s="76"/>
    </row>
    <row r="304" spans="4:27" x14ac:dyDescent="0.2">
      <c r="H304" s="76"/>
      <c r="I304" s="76"/>
      <c r="J304" s="76"/>
      <c r="K304" s="123" t="s">
        <v>125</v>
      </c>
      <c r="L304" s="204">
        <f>+L323</f>
        <v>0</v>
      </c>
      <c r="M304" s="204">
        <f t="shared" ref="M304" si="75">+M323</f>
        <v>0</v>
      </c>
      <c r="N304" s="204">
        <f>+ROUND(+N301*N300,0)</f>
        <v>86508</v>
      </c>
      <c r="O304" s="204">
        <f t="shared" ref="O304:T304" si="76">+ROUND(+O301*O300,0)</f>
        <v>87003</v>
      </c>
      <c r="P304" s="204">
        <f t="shared" si="76"/>
        <v>88207</v>
      </c>
      <c r="Q304" s="204">
        <f t="shared" si="76"/>
        <v>89423</v>
      </c>
      <c r="R304" s="204">
        <f t="shared" si="76"/>
        <v>90655</v>
      </c>
      <c r="S304" s="204">
        <f t="shared" si="76"/>
        <v>91904</v>
      </c>
      <c r="T304" s="204">
        <f t="shared" si="76"/>
        <v>93170</v>
      </c>
      <c r="U304" s="72">
        <f>ROUND(+U303*T287,0)</f>
        <v>92651</v>
      </c>
      <c r="V304" s="72">
        <f>ROUND(+V303*U287,0)</f>
        <v>93903</v>
      </c>
      <c r="W304" s="72">
        <f>ROUND(+W303*V287,0)</f>
        <v>95172</v>
      </c>
      <c r="X304" s="72">
        <f>ROUND(+X303*W287,0)</f>
        <v>96459</v>
      </c>
      <c r="Y304" s="72">
        <f>ROUND(+Y303*X287,0)</f>
        <v>97762</v>
      </c>
      <c r="Z304" s="72">
        <f>ROUND(+Z303*Y287,0)</f>
        <v>99084</v>
      </c>
      <c r="AA304" s="76"/>
    </row>
    <row r="305" spans="7:27" x14ac:dyDescent="0.2">
      <c r="H305" s="76"/>
      <c r="I305" s="76"/>
      <c r="J305" s="76"/>
      <c r="K305" s="123" t="s">
        <v>126</v>
      </c>
      <c r="L305" s="228">
        <f>+K296</f>
        <v>1.72E-2</v>
      </c>
      <c r="M305" s="228">
        <f>+M296</f>
        <v>1.72E-2</v>
      </c>
      <c r="N305" s="228">
        <f>+M296</f>
        <v>1.72E-2</v>
      </c>
      <c r="O305" s="228">
        <f t="shared" ref="O305:Z305" si="77">+N305</f>
        <v>1.72E-2</v>
      </c>
      <c r="P305" s="228">
        <f t="shared" si="77"/>
        <v>1.72E-2</v>
      </c>
      <c r="Q305" s="228">
        <f t="shared" si="77"/>
        <v>1.72E-2</v>
      </c>
      <c r="R305" s="228">
        <f t="shared" si="77"/>
        <v>1.72E-2</v>
      </c>
      <c r="S305" s="228">
        <f t="shared" si="77"/>
        <v>1.72E-2</v>
      </c>
      <c r="T305" s="228">
        <f t="shared" si="77"/>
        <v>1.72E-2</v>
      </c>
      <c r="U305" s="228">
        <f t="shared" si="77"/>
        <v>1.72E-2</v>
      </c>
      <c r="V305" s="228">
        <f t="shared" si="77"/>
        <v>1.72E-2</v>
      </c>
      <c r="W305" s="228">
        <f t="shared" si="77"/>
        <v>1.72E-2</v>
      </c>
      <c r="X305" s="228">
        <f t="shared" si="77"/>
        <v>1.72E-2</v>
      </c>
      <c r="Y305" s="228">
        <f t="shared" si="77"/>
        <v>1.72E-2</v>
      </c>
      <c r="Z305" s="228">
        <f t="shared" si="77"/>
        <v>1.72E-2</v>
      </c>
      <c r="AA305" s="76"/>
    </row>
    <row r="306" spans="7:27" x14ac:dyDescent="0.2">
      <c r="H306" s="76"/>
      <c r="I306" s="76"/>
      <c r="J306" s="76"/>
      <c r="K306" s="123" t="s">
        <v>127</v>
      </c>
      <c r="L306" s="71">
        <f>+L305*0.5</f>
        <v>8.6E-3</v>
      </c>
      <c r="M306" s="71">
        <f>+M305*0.5</f>
        <v>8.6E-3</v>
      </c>
      <c r="N306" s="71">
        <f>+N305*0.5</f>
        <v>8.6E-3</v>
      </c>
      <c r="O306" s="71">
        <f t="shared" ref="O306:Z306" si="78">+O305*0.5</f>
        <v>8.6E-3</v>
      </c>
      <c r="P306" s="71">
        <f t="shared" si="78"/>
        <v>8.6E-3</v>
      </c>
      <c r="Q306" s="71">
        <f t="shared" si="78"/>
        <v>8.6E-3</v>
      </c>
      <c r="R306" s="71">
        <f t="shared" si="78"/>
        <v>8.6E-3</v>
      </c>
      <c r="S306" s="71">
        <f t="shared" si="78"/>
        <v>8.6E-3</v>
      </c>
      <c r="T306" s="71">
        <f t="shared" si="78"/>
        <v>8.6E-3</v>
      </c>
      <c r="U306" s="71">
        <f t="shared" si="78"/>
        <v>8.6E-3</v>
      </c>
      <c r="V306" s="71">
        <f t="shared" si="78"/>
        <v>8.6E-3</v>
      </c>
      <c r="W306" s="71">
        <f t="shared" si="78"/>
        <v>8.6E-3</v>
      </c>
      <c r="X306" s="71">
        <f t="shared" si="78"/>
        <v>8.6E-3</v>
      </c>
      <c r="Y306" s="71">
        <f t="shared" si="78"/>
        <v>8.6E-3</v>
      </c>
      <c r="Z306" s="71">
        <f t="shared" si="78"/>
        <v>8.6E-3</v>
      </c>
      <c r="AA306" s="76"/>
    </row>
    <row r="307" spans="7:27" x14ac:dyDescent="0.2">
      <c r="H307" s="76"/>
      <c r="K307" s="123" t="s">
        <v>128</v>
      </c>
      <c r="L307" s="72">
        <f>ROUND(+L306*L304,0)</f>
        <v>0</v>
      </c>
      <c r="M307" s="72">
        <f>ROUND(+M306*M304,0)</f>
        <v>0</v>
      </c>
      <c r="N307" s="72">
        <f>ROUND(+N306*N304,0)</f>
        <v>744</v>
      </c>
      <c r="O307" s="72">
        <f t="shared" ref="O307:Z307" si="79">ROUND(+O306*O304,0)</f>
        <v>748</v>
      </c>
      <c r="P307" s="72">
        <f t="shared" si="79"/>
        <v>759</v>
      </c>
      <c r="Q307" s="72">
        <f t="shared" si="79"/>
        <v>769</v>
      </c>
      <c r="R307" s="72">
        <f t="shared" si="79"/>
        <v>780</v>
      </c>
      <c r="S307" s="72">
        <f t="shared" si="79"/>
        <v>790</v>
      </c>
      <c r="T307" s="72">
        <f t="shared" si="79"/>
        <v>801</v>
      </c>
      <c r="U307" s="72">
        <f t="shared" si="79"/>
        <v>797</v>
      </c>
      <c r="V307" s="72">
        <f t="shared" si="79"/>
        <v>808</v>
      </c>
      <c r="W307" s="72">
        <f t="shared" si="79"/>
        <v>818</v>
      </c>
      <c r="X307" s="72">
        <f t="shared" si="79"/>
        <v>830</v>
      </c>
      <c r="Y307" s="72">
        <f t="shared" si="79"/>
        <v>841</v>
      </c>
      <c r="Z307" s="72">
        <f t="shared" si="79"/>
        <v>852</v>
      </c>
      <c r="AA307" s="76"/>
    </row>
    <row r="308" spans="7:27" x14ac:dyDescent="0.2">
      <c r="H308" s="76"/>
      <c r="K308" s="123" t="s">
        <v>129</v>
      </c>
      <c r="L308" s="73">
        <v>0.15</v>
      </c>
      <c r="M308" s="73">
        <v>0.15</v>
      </c>
      <c r="N308" s="73">
        <f>+M308</f>
        <v>0.15</v>
      </c>
      <c r="O308" s="73">
        <f t="shared" ref="O308:Z308" si="80">+N308</f>
        <v>0.15</v>
      </c>
      <c r="P308" s="73">
        <f t="shared" si="80"/>
        <v>0.15</v>
      </c>
      <c r="Q308" s="73">
        <f t="shared" si="80"/>
        <v>0.15</v>
      </c>
      <c r="R308" s="73">
        <f t="shared" si="80"/>
        <v>0.15</v>
      </c>
      <c r="S308" s="73">
        <f t="shared" si="80"/>
        <v>0.15</v>
      </c>
      <c r="T308" s="73">
        <f t="shared" si="80"/>
        <v>0.15</v>
      </c>
      <c r="U308" s="73">
        <f t="shared" si="80"/>
        <v>0.15</v>
      </c>
      <c r="V308" s="73">
        <f t="shared" si="80"/>
        <v>0.15</v>
      </c>
      <c r="W308" s="73">
        <f t="shared" si="80"/>
        <v>0.15</v>
      </c>
      <c r="X308" s="73">
        <f t="shared" si="80"/>
        <v>0.15</v>
      </c>
      <c r="Y308" s="73">
        <f t="shared" si="80"/>
        <v>0.15</v>
      </c>
      <c r="Z308" s="73">
        <f t="shared" si="80"/>
        <v>0.15</v>
      </c>
      <c r="AA308" s="76"/>
    </row>
    <row r="309" spans="7:27" x14ac:dyDescent="0.2">
      <c r="H309" s="76"/>
      <c r="K309" s="123" t="s">
        <v>130</v>
      </c>
      <c r="L309" s="72">
        <f>ROUND(+L308*L304,0)</f>
        <v>0</v>
      </c>
      <c r="M309" s="72">
        <f>ROUND(+M308*M304,0)</f>
        <v>0</v>
      </c>
      <c r="N309" s="72">
        <f t="shared" ref="N309:Z309" si="81">ROUND(+N308*N304,0)</f>
        <v>12976</v>
      </c>
      <c r="O309" s="72">
        <f t="shared" si="81"/>
        <v>13050</v>
      </c>
      <c r="P309" s="72">
        <f t="shared" si="81"/>
        <v>13231</v>
      </c>
      <c r="Q309" s="72">
        <f t="shared" si="81"/>
        <v>13413</v>
      </c>
      <c r="R309" s="72">
        <f t="shared" si="81"/>
        <v>13598</v>
      </c>
      <c r="S309" s="72">
        <f t="shared" si="81"/>
        <v>13786</v>
      </c>
      <c r="T309" s="72">
        <f t="shared" si="81"/>
        <v>13976</v>
      </c>
      <c r="U309" s="72">
        <f t="shared" si="81"/>
        <v>13898</v>
      </c>
      <c r="V309" s="72">
        <f t="shared" si="81"/>
        <v>14085</v>
      </c>
      <c r="W309" s="72">
        <f t="shared" si="81"/>
        <v>14276</v>
      </c>
      <c r="X309" s="72">
        <f t="shared" si="81"/>
        <v>14469</v>
      </c>
      <c r="Y309" s="72">
        <f t="shared" si="81"/>
        <v>14664</v>
      </c>
      <c r="Z309" s="72">
        <f t="shared" si="81"/>
        <v>14863</v>
      </c>
      <c r="AA309" s="76"/>
    </row>
    <row r="310" spans="7:27" x14ac:dyDescent="0.2">
      <c r="H310" s="76"/>
      <c r="K310" s="123" t="s">
        <v>131</v>
      </c>
      <c r="L310" s="72">
        <f>+L309*L305</f>
        <v>0</v>
      </c>
      <c r="M310" s="72">
        <f t="shared" ref="M310:Z310" si="82">+M309*M305</f>
        <v>0</v>
      </c>
      <c r="N310" s="72">
        <f t="shared" si="82"/>
        <v>223.18719999999999</v>
      </c>
      <c r="O310" s="72">
        <f t="shared" si="82"/>
        <v>224.46</v>
      </c>
      <c r="P310" s="72">
        <f t="shared" si="82"/>
        <v>227.57320000000001</v>
      </c>
      <c r="Q310" s="72">
        <f t="shared" si="82"/>
        <v>230.70359999999999</v>
      </c>
      <c r="R310" s="72">
        <f t="shared" si="82"/>
        <v>233.88560000000001</v>
      </c>
      <c r="S310" s="72">
        <f t="shared" si="82"/>
        <v>237.11920000000001</v>
      </c>
      <c r="T310" s="72">
        <f t="shared" si="82"/>
        <v>240.38720000000001</v>
      </c>
      <c r="U310" s="72">
        <f t="shared" si="82"/>
        <v>239.04560000000001</v>
      </c>
      <c r="V310" s="72">
        <f t="shared" si="82"/>
        <v>242.262</v>
      </c>
      <c r="W310" s="72">
        <f t="shared" si="82"/>
        <v>245.5472</v>
      </c>
      <c r="X310" s="72">
        <f t="shared" si="82"/>
        <v>248.86680000000001</v>
      </c>
      <c r="Y310" s="72">
        <f t="shared" si="82"/>
        <v>252.2208</v>
      </c>
      <c r="Z310" s="72">
        <f t="shared" si="82"/>
        <v>255.64359999999999</v>
      </c>
      <c r="AA310" s="76"/>
    </row>
    <row r="311" spans="7:27" x14ac:dyDescent="0.2">
      <c r="H311" s="76"/>
      <c r="K311" s="123" t="s">
        <v>132</v>
      </c>
      <c r="L311" s="72">
        <f>+K314</f>
        <v>60448</v>
      </c>
      <c r="M311" s="72">
        <f>+M305*L287</f>
        <v>91061.478400000007</v>
      </c>
      <c r="N311" s="72">
        <f>+N305*M287</f>
        <v>91061.478400000007</v>
      </c>
      <c r="O311" s="72">
        <f>+O305*N287</f>
        <v>92326.228799999997</v>
      </c>
      <c r="P311" s="72">
        <f>+P305*O287</f>
        <v>93598.220400000006</v>
      </c>
      <c r="Q311" s="72">
        <f>+Q305*P287</f>
        <v>94887.8076</v>
      </c>
      <c r="R311" s="72">
        <f>+R305*Q287</f>
        <v>96195.179600000003</v>
      </c>
      <c r="S311" s="72">
        <f>+S305*R287</f>
        <v>97520.56</v>
      </c>
      <c r="T311" s="72">
        <f>+T305*S287</f>
        <v>98864.189599999998</v>
      </c>
      <c r="U311" s="72">
        <f>+U305*T287</f>
        <v>100226.32640000001</v>
      </c>
      <c r="V311" s="72">
        <f>+V305*U287</f>
        <v>101580.878</v>
      </c>
      <c r="W311" s="72">
        <f>+W305*V287</f>
        <v>102953.7476</v>
      </c>
      <c r="X311" s="72">
        <f>+X305*W287</f>
        <v>104345.1588</v>
      </c>
      <c r="Y311" s="72">
        <f>+Y305*X287</f>
        <v>105755.38679999999</v>
      </c>
      <c r="Z311" s="72">
        <f>+Z305*Y287</f>
        <v>107184.6724</v>
      </c>
      <c r="AA311" s="76"/>
    </row>
    <row r="312" spans="7:27" ht="13.5" thickBot="1" x14ac:dyDescent="0.25">
      <c r="H312" s="76"/>
      <c r="I312" s="76"/>
      <c r="J312" s="76"/>
      <c r="K312" s="123" t="s">
        <v>133</v>
      </c>
      <c r="L312" s="219">
        <f>+L311+L307-L310</f>
        <v>60448</v>
      </c>
      <c r="M312" s="219">
        <f t="shared" ref="M312:Z312" si="83">+M311+M307-M310</f>
        <v>91061.478400000007</v>
      </c>
      <c r="N312" s="219">
        <f t="shared" si="83"/>
        <v>91582.291200000007</v>
      </c>
      <c r="O312" s="219">
        <f t="shared" si="83"/>
        <v>92849.768799999991</v>
      </c>
      <c r="P312" s="219">
        <f t="shared" si="83"/>
        <v>94129.647200000007</v>
      </c>
      <c r="Q312" s="219">
        <f t="shared" si="83"/>
        <v>95426.104000000007</v>
      </c>
      <c r="R312" s="219">
        <f t="shared" si="83"/>
        <v>96741.294000000009</v>
      </c>
      <c r="S312" s="219">
        <f t="shared" si="83"/>
        <v>98073.440799999997</v>
      </c>
      <c r="T312" s="219">
        <f t="shared" si="83"/>
        <v>99424.8024</v>
      </c>
      <c r="U312" s="219">
        <f t="shared" si="83"/>
        <v>100784.28080000001</v>
      </c>
      <c r="V312" s="219">
        <f t="shared" si="83"/>
        <v>102146.61599999999</v>
      </c>
      <c r="W312" s="219">
        <f t="shared" si="83"/>
        <v>103526.2004</v>
      </c>
      <c r="X312" s="219">
        <f t="shared" si="83"/>
        <v>104926.292</v>
      </c>
      <c r="Y312" s="219">
        <f t="shared" si="83"/>
        <v>106344.166</v>
      </c>
      <c r="Z312" s="219">
        <f t="shared" si="83"/>
        <v>107781.0288</v>
      </c>
      <c r="AA312" s="76"/>
    </row>
    <row r="313" spans="7:27" ht="13.5" thickTop="1" x14ac:dyDescent="0.2">
      <c r="H313" s="76"/>
      <c r="I313" s="76"/>
      <c r="J313" s="76"/>
      <c r="K313" s="123"/>
      <c r="M313" s="123"/>
      <c r="N313" s="123"/>
      <c r="O313" s="123"/>
      <c r="P313" s="123"/>
      <c r="Q313" s="123"/>
      <c r="R313" s="123"/>
      <c r="S313" s="123"/>
      <c r="T313" s="123"/>
      <c r="U313" s="123"/>
      <c r="V313" s="123"/>
      <c r="W313" s="123"/>
      <c r="X313" s="123"/>
      <c r="Y313" s="123"/>
      <c r="Z313" s="123"/>
      <c r="AA313" s="76"/>
    </row>
    <row r="314" spans="7:27" x14ac:dyDescent="0.2">
      <c r="G314" s="74" t="s">
        <v>134</v>
      </c>
      <c r="H314" s="74">
        <v>0</v>
      </c>
      <c r="I314" s="74">
        <v>0</v>
      </c>
      <c r="J314" s="74">
        <v>0</v>
      </c>
      <c r="K314" s="74">
        <f>+K459</f>
        <v>60448</v>
      </c>
      <c r="L314" s="74">
        <f>+L312</f>
        <v>60448</v>
      </c>
      <c r="R314" s="76"/>
      <c r="S314" s="76"/>
      <c r="T314" s="76"/>
      <c r="U314" s="76"/>
      <c r="V314" s="76"/>
      <c r="W314" s="76"/>
      <c r="X314" s="76"/>
      <c r="Y314" s="76"/>
      <c r="Z314" s="76"/>
      <c r="AA314" s="76"/>
    </row>
    <row r="315" spans="7:27" x14ac:dyDescent="0.2">
      <c r="H315" s="76"/>
      <c r="I315" s="76"/>
      <c r="J315" s="76"/>
      <c r="K315" s="76"/>
      <c r="L315" s="123"/>
      <c r="M315" s="76"/>
      <c r="N315" s="76"/>
      <c r="O315" s="76"/>
      <c r="P315" s="76"/>
      <c r="Q315" s="76"/>
      <c r="R315" s="76"/>
      <c r="S315" s="76"/>
      <c r="T315" s="76"/>
      <c r="U315" s="76"/>
      <c r="V315" s="76"/>
      <c r="W315" s="76"/>
      <c r="X315" s="76"/>
      <c r="Y315" s="76"/>
      <c r="Z315" s="76"/>
      <c r="AA315" s="76"/>
    </row>
    <row r="316" spans="7:27" x14ac:dyDescent="0.2">
      <c r="H316" s="76"/>
      <c r="I316" s="76"/>
      <c r="J316" s="76"/>
      <c r="K316" s="76"/>
      <c r="L316" s="123"/>
      <c r="M316" s="76"/>
      <c r="N316" s="76"/>
      <c r="O316" s="76"/>
      <c r="P316" s="76"/>
      <c r="Q316" s="76"/>
      <c r="R316" s="76"/>
      <c r="S316" s="76"/>
      <c r="T316" s="76"/>
      <c r="U316" s="76"/>
      <c r="V316" s="76"/>
      <c r="W316" s="76"/>
      <c r="X316" s="76"/>
      <c r="Y316" s="76"/>
      <c r="Z316" s="76"/>
      <c r="AA316" s="76"/>
    </row>
    <row r="317" spans="7:27" x14ac:dyDescent="0.2">
      <c r="H317" s="76"/>
      <c r="I317" s="76"/>
      <c r="J317" s="76"/>
      <c r="K317" s="2" t="s">
        <v>117</v>
      </c>
      <c r="M317" s="123" t="s">
        <v>135</v>
      </c>
      <c r="N317" s="25">
        <v>1.5277653962955469E-3</v>
      </c>
      <c r="O317" s="76"/>
      <c r="P317" s="76"/>
      <c r="Q317" s="76"/>
      <c r="R317" s="76"/>
      <c r="S317" s="76"/>
      <c r="T317" s="76"/>
      <c r="U317" s="76"/>
      <c r="V317" s="76"/>
      <c r="W317" s="76"/>
      <c r="X317" s="76"/>
      <c r="Y317" s="76"/>
      <c r="Z317" s="76"/>
      <c r="AA317" s="76"/>
    </row>
    <row r="318" spans="7:27" x14ac:dyDescent="0.2">
      <c r="H318" s="76"/>
      <c r="I318" s="76"/>
      <c r="J318" s="76"/>
      <c r="K318" s="2" t="s">
        <v>136</v>
      </c>
      <c r="M318" s="123" t="s">
        <v>137</v>
      </c>
      <c r="N318" s="25">
        <v>5.6525344234822491E-3</v>
      </c>
      <c r="O318" s="76"/>
      <c r="P318" s="76"/>
      <c r="Q318" s="76"/>
      <c r="R318" s="76"/>
      <c r="S318" s="76"/>
      <c r="T318" s="76"/>
      <c r="U318" s="76"/>
      <c r="V318" s="76"/>
      <c r="W318" s="76"/>
      <c r="X318" s="76"/>
      <c r="Y318" s="76"/>
      <c r="Z318" s="76"/>
      <c r="AA318" s="76"/>
    </row>
    <row r="319" spans="7:27" x14ac:dyDescent="0.2">
      <c r="H319" s="76"/>
      <c r="I319" s="76"/>
      <c r="J319" s="76"/>
      <c r="K319" s="76"/>
      <c r="L319" s="123"/>
      <c r="M319" s="76"/>
      <c r="N319" s="76"/>
      <c r="O319" s="76"/>
      <c r="P319" s="76"/>
      <c r="Q319" s="76"/>
      <c r="R319" s="76"/>
      <c r="S319" s="76"/>
      <c r="T319" s="76"/>
      <c r="U319" s="76"/>
      <c r="V319" s="76"/>
      <c r="W319" s="76"/>
      <c r="X319" s="76"/>
      <c r="Y319" s="76"/>
      <c r="Z319" s="76"/>
      <c r="AA319" s="76"/>
    </row>
    <row r="320" spans="7:27" x14ac:dyDescent="0.2">
      <c r="H320" s="76"/>
      <c r="I320" s="76"/>
      <c r="J320" s="76"/>
      <c r="K320" s="76"/>
      <c r="L320" s="123"/>
      <c r="M320" s="76"/>
      <c r="N320" s="76"/>
      <c r="O320" s="76"/>
      <c r="P320" s="76"/>
      <c r="Q320" s="76"/>
      <c r="R320" s="76"/>
      <c r="S320" s="76"/>
      <c r="T320" s="76"/>
      <c r="U320" s="76"/>
      <c r="V320" s="76"/>
      <c r="W320" s="76"/>
      <c r="X320" s="76"/>
      <c r="Y320" s="76"/>
      <c r="Z320" s="76"/>
      <c r="AA320" s="76"/>
    </row>
    <row r="321" spans="7:27" x14ac:dyDescent="0.2">
      <c r="H321" s="76"/>
      <c r="I321" s="76"/>
      <c r="J321" s="76"/>
      <c r="K321" s="76"/>
      <c r="L321" s="123"/>
      <c r="M321" s="76"/>
      <c r="N321" s="76"/>
      <c r="O321" s="76"/>
      <c r="P321" s="76"/>
      <c r="Q321" s="76"/>
      <c r="R321" s="76"/>
      <c r="S321" s="76"/>
      <c r="T321" s="76"/>
      <c r="U321" s="76"/>
      <c r="V321" s="76"/>
      <c r="W321" s="76"/>
      <c r="X321" s="76"/>
      <c r="Y321" s="76"/>
      <c r="Z321" s="76"/>
      <c r="AA321" s="76"/>
    </row>
    <row r="322" spans="7:27" x14ac:dyDescent="0.2">
      <c r="H322" s="76"/>
      <c r="I322" s="76"/>
      <c r="J322" s="76"/>
      <c r="K322" s="76"/>
      <c r="L322" s="229"/>
      <c r="M322" s="229"/>
      <c r="N322" s="230"/>
      <c r="O322" s="230"/>
      <c r="P322" s="230"/>
      <c r="Q322" s="230"/>
      <c r="R322" s="230"/>
      <c r="S322" s="230"/>
      <c r="T322" s="230"/>
      <c r="U322" s="76"/>
      <c r="V322" s="76"/>
      <c r="W322" s="76"/>
      <c r="X322" s="76"/>
      <c r="Y322" s="76"/>
      <c r="Z322" s="76"/>
      <c r="AA322" s="76"/>
    </row>
    <row r="323" spans="7:27" x14ac:dyDescent="0.2">
      <c r="H323" s="76"/>
      <c r="I323" s="76"/>
      <c r="J323" s="76"/>
      <c r="K323" s="66" t="s">
        <v>138</v>
      </c>
      <c r="L323" s="5">
        <v>0</v>
      </c>
      <c r="M323" s="2">
        <f>+L323</f>
        <v>0</v>
      </c>
      <c r="N323" s="72">
        <f>+M312*0.95</f>
        <v>86508.404479999997</v>
      </c>
      <c r="O323" s="72">
        <f>+N312*0.95</f>
        <v>87003.176640000005</v>
      </c>
      <c r="P323" s="72">
        <f>+O312*0.95</f>
        <v>88207.28035999999</v>
      </c>
      <c r="Q323" s="72">
        <f>+P312*0.95</f>
        <v>89423.164839999998</v>
      </c>
      <c r="R323" s="72">
        <f t="shared" ref="R323:T323" si="84">+Q312*0.95</f>
        <v>90654.798800000004</v>
      </c>
      <c r="S323" s="72">
        <f t="shared" si="84"/>
        <v>91904.229300000006</v>
      </c>
      <c r="T323" s="72">
        <f t="shared" si="84"/>
        <v>93169.768759999992</v>
      </c>
      <c r="U323" s="76"/>
      <c r="V323" s="76"/>
      <c r="W323" s="76"/>
      <c r="X323" s="76"/>
      <c r="Y323" s="76"/>
      <c r="Z323" s="76"/>
      <c r="AA323" s="76"/>
    </row>
    <row r="324" spans="7:27" x14ac:dyDescent="0.2">
      <c r="H324" s="76"/>
      <c r="I324" s="76"/>
      <c r="J324" s="76"/>
      <c r="K324" s="76"/>
      <c r="L324" s="123"/>
      <c r="M324" s="76"/>
      <c r="N324" s="76"/>
      <c r="O324" s="76"/>
      <c r="P324" s="76"/>
      <c r="Q324" s="76"/>
      <c r="R324" s="76"/>
      <c r="S324" s="76"/>
      <c r="T324" s="76"/>
      <c r="U324" s="76"/>
      <c r="V324" s="76"/>
      <c r="W324" s="76"/>
      <c r="X324" s="76"/>
      <c r="Y324" s="76"/>
      <c r="Z324" s="76"/>
      <c r="AA324" s="76"/>
    </row>
    <row r="325" spans="7:27" x14ac:dyDescent="0.2">
      <c r="H325" s="76"/>
      <c r="I325" s="76"/>
      <c r="J325" s="76"/>
      <c r="K325" s="76"/>
      <c r="L325" s="5" t="s">
        <v>139</v>
      </c>
      <c r="M325" s="76"/>
      <c r="N325" s="76"/>
      <c r="O325" s="76"/>
      <c r="P325" s="76"/>
      <c r="Q325" s="76"/>
      <c r="R325" s="76"/>
      <c r="S325" s="76"/>
      <c r="T325" s="76"/>
      <c r="U325" s="76"/>
      <c r="V325" s="76"/>
      <c r="W325" s="76"/>
      <c r="X325" s="76"/>
      <c r="Y325" s="76"/>
      <c r="Z325" s="76"/>
      <c r="AA325" s="76"/>
    </row>
    <row r="326" spans="7:27" x14ac:dyDescent="0.2">
      <c r="H326" s="76"/>
      <c r="I326" s="76"/>
      <c r="J326" s="76"/>
      <c r="K326" s="76"/>
      <c r="L326" s="2" t="s">
        <v>140</v>
      </c>
      <c r="M326" s="76"/>
      <c r="N326" s="76"/>
      <c r="O326" s="76"/>
      <c r="P326" s="76"/>
      <c r="Q326" s="76"/>
      <c r="R326" s="76"/>
      <c r="S326" s="76"/>
      <c r="T326" s="76"/>
      <c r="U326" s="76"/>
      <c r="V326" s="76"/>
      <c r="W326" s="76"/>
      <c r="X326" s="76"/>
      <c r="Y326" s="76"/>
      <c r="Z326" s="76"/>
      <c r="AA326" s="76"/>
    </row>
    <row r="327" spans="7:27" x14ac:dyDescent="0.2">
      <c r="H327" s="76"/>
      <c r="I327" s="76"/>
      <c r="J327" s="76"/>
      <c r="K327" s="76"/>
      <c r="L327" s="123"/>
      <c r="M327" s="76"/>
      <c r="N327" s="76"/>
      <c r="O327" s="76"/>
      <c r="P327" s="76"/>
      <c r="Q327" s="76"/>
      <c r="R327" s="76"/>
      <c r="S327" s="76"/>
      <c r="T327" s="76"/>
      <c r="U327" s="76"/>
      <c r="V327" s="76"/>
      <c r="W327" s="76"/>
      <c r="X327" s="76"/>
      <c r="Y327" s="76"/>
      <c r="Z327" s="76"/>
      <c r="AA327" s="76"/>
    </row>
    <row r="328" spans="7:27" x14ac:dyDescent="0.2">
      <c r="H328" s="76"/>
      <c r="I328" s="76"/>
      <c r="J328" s="76"/>
      <c r="K328" s="76"/>
      <c r="L328" s="123"/>
      <c r="M328" s="76"/>
      <c r="N328" s="76"/>
      <c r="O328" s="76"/>
      <c r="P328" s="76"/>
      <c r="Q328" s="76"/>
      <c r="R328" s="76"/>
      <c r="S328" s="76"/>
      <c r="T328" s="76"/>
      <c r="U328" s="76"/>
      <c r="V328" s="76"/>
      <c r="W328" s="76"/>
      <c r="X328" s="76"/>
      <c r="Y328" s="76"/>
      <c r="Z328" s="76"/>
      <c r="AA328" s="76"/>
    </row>
    <row r="329" spans="7:27" ht="13.5" thickBot="1" x14ac:dyDescent="0.25">
      <c r="H329" s="76"/>
      <c r="I329" s="76"/>
      <c r="J329" s="76"/>
      <c r="K329" s="76"/>
      <c r="L329" s="216">
        <f>+L285</f>
        <v>2017</v>
      </c>
      <c r="M329" s="216">
        <f>+M285</f>
        <v>2018</v>
      </c>
      <c r="N329" s="76"/>
      <c r="O329" s="76"/>
      <c r="P329" s="76"/>
      <c r="Q329" s="76"/>
      <c r="R329" s="76"/>
      <c r="S329" s="76"/>
      <c r="T329" s="76"/>
      <c r="U329" s="76"/>
      <c r="V329" s="76"/>
      <c r="W329" s="76"/>
      <c r="X329" s="76"/>
      <c r="Y329" s="76"/>
      <c r="Z329" s="76"/>
      <c r="AA329" s="76"/>
    </row>
    <row r="330" spans="7:27" ht="13.5" thickBot="1" x14ac:dyDescent="0.25">
      <c r="H330" s="76"/>
      <c r="I330" s="76"/>
      <c r="J330" s="76"/>
      <c r="K330" s="76"/>
      <c r="L330" s="123"/>
      <c r="M330" s="231">
        <f>4750*M334</f>
        <v>28500</v>
      </c>
      <c r="N330" s="231">
        <f t="shared" ref="N330:Q330" si="85">4750*N334</f>
        <v>28500</v>
      </c>
      <c r="O330" s="231">
        <f t="shared" si="85"/>
        <v>28500</v>
      </c>
      <c r="P330" s="231">
        <f t="shared" si="85"/>
        <v>28500</v>
      </c>
      <c r="Q330" s="231">
        <f t="shared" si="85"/>
        <v>28500</v>
      </c>
      <c r="R330" s="232">
        <f>4750*R334</f>
        <v>28500</v>
      </c>
      <c r="S330" s="232">
        <f t="shared" ref="S330:Z330" si="86">4750*S334</f>
        <v>28500</v>
      </c>
      <c r="T330" s="232">
        <f t="shared" si="86"/>
        <v>28500</v>
      </c>
      <c r="U330" s="232">
        <f t="shared" si="86"/>
        <v>28500</v>
      </c>
      <c r="V330" s="232">
        <f t="shared" si="86"/>
        <v>28500</v>
      </c>
      <c r="W330" s="232">
        <f t="shared" si="86"/>
        <v>28500</v>
      </c>
      <c r="X330" s="232">
        <f t="shared" si="86"/>
        <v>28500</v>
      </c>
      <c r="Y330" s="232">
        <f t="shared" si="86"/>
        <v>28500</v>
      </c>
      <c r="Z330" s="232">
        <f t="shared" si="86"/>
        <v>28500</v>
      </c>
      <c r="AA330" s="76"/>
    </row>
    <row r="331" spans="7:27" x14ac:dyDescent="0.2">
      <c r="R331" s="76"/>
      <c r="S331" s="76"/>
      <c r="T331" s="76"/>
      <c r="U331" s="76"/>
      <c r="V331" s="76"/>
      <c r="W331" s="76"/>
      <c r="X331" s="76"/>
      <c r="Y331" s="76"/>
      <c r="Z331" s="76"/>
      <c r="AA331" s="76"/>
    </row>
    <row r="332" spans="7:27" x14ac:dyDescent="0.2">
      <c r="G332" s="145" t="s">
        <v>141</v>
      </c>
      <c r="H332" s="6">
        <f>+H21</f>
        <v>0</v>
      </c>
      <c r="I332" s="6">
        <f>+I21</f>
        <v>0</v>
      </c>
      <c r="J332" s="6">
        <f>+J21</f>
        <v>0</v>
      </c>
      <c r="K332" s="6">
        <f>+K21</f>
        <v>713319</v>
      </c>
      <c r="L332" s="6">
        <f>+L21</f>
        <v>731151.97499999998</v>
      </c>
      <c r="M332" s="6">
        <f>+M21</f>
        <v>784650.9</v>
      </c>
      <c r="N332" s="6">
        <f>ROUND(+N335*N337,0)</f>
        <v>549700</v>
      </c>
      <c r="O332" s="6">
        <f>ROUND(+O335*O337,0)</f>
        <v>552460</v>
      </c>
      <c r="P332" s="6">
        <f>ROUND(+P335*P337,0)</f>
        <v>555220</v>
      </c>
      <c r="Q332" s="5">
        <f>ROUND(+Q335*Q337,0)</f>
        <v>557980</v>
      </c>
      <c r="R332" s="76"/>
      <c r="S332" s="76"/>
      <c r="T332" s="76"/>
      <c r="U332" s="76"/>
      <c r="V332" s="76"/>
      <c r="W332" s="76"/>
      <c r="X332" s="76"/>
      <c r="Y332" s="76"/>
      <c r="Z332" s="76"/>
      <c r="AA332" s="76"/>
    </row>
    <row r="333" spans="7:27" ht="13.5" thickBot="1" x14ac:dyDescent="0.25">
      <c r="G333" s="2" t="s">
        <v>142</v>
      </c>
      <c r="H333" s="2">
        <v>0</v>
      </c>
      <c r="I333" s="2">
        <v>0</v>
      </c>
      <c r="J333" s="2">
        <v>0</v>
      </c>
      <c r="K333" s="2">
        <f>+L333</f>
        <v>1186</v>
      </c>
      <c r="L333" s="2">
        <v>1186</v>
      </c>
      <c r="M333" s="2">
        <f t="shared" ref="M333:Z333" si="87">+L333+M334</f>
        <v>1192</v>
      </c>
      <c r="N333" s="2">
        <f t="shared" si="87"/>
        <v>1198</v>
      </c>
      <c r="O333" s="2">
        <f t="shared" si="87"/>
        <v>1204</v>
      </c>
      <c r="P333" s="2">
        <f t="shared" si="87"/>
        <v>1210</v>
      </c>
      <c r="Q333" s="2">
        <f t="shared" si="87"/>
        <v>1216</v>
      </c>
      <c r="R333" s="2">
        <f t="shared" si="87"/>
        <v>1222</v>
      </c>
      <c r="S333" s="2">
        <f t="shared" si="87"/>
        <v>1228</v>
      </c>
      <c r="T333" s="2">
        <f t="shared" si="87"/>
        <v>1234</v>
      </c>
      <c r="U333" s="2">
        <f t="shared" si="87"/>
        <v>1240</v>
      </c>
      <c r="V333" s="2">
        <f t="shared" si="87"/>
        <v>1246</v>
      </c>
      <c r="W333" s="2">
        <f t="shared" si="87"/>
        <v>1252</v>
      </c>
      <c r="X333" s="2">
        <f t="shared" si="87"/>
        <v>1258</v>
      </c>
      <c r="Y333" s="2">
        <f t="shared" si="87"/>
        <v>1264</v>
      </c>
      <c r="Z333" s="2">
        <f t="shared" si="87"/>
        <v>1270</v>
      </c>
      <c r="AA333" s="76"/>
    </row>
    <row r="334" spans="7:27" ht="13.5" thickBot="1" x14ac:dyDescent="0.25">
      <c r="L334" s="233">
        <v>0</v>
      </c>
      <c r="M334" s="234">
        <f>ROUND(0.005*L333,0)</f>
        <v>6</v>
      </c>
      <c r="N334" s="234">
        <f t="shared" ref="N334:Q334" si="88">ROUND(0.005*M333,0)</f>
        <v>6</v>
      </c>
      <c r="O334" s="234">
        <f t="shared" si="88"/>
        <v>6</v>
      </c>
      <c r="P334" s="234">
        <f t="shared" si="88"/>
        <v>6</v>
      </c>
      <c r="Q334" s="234">
        <f t="shared" si="88"/>
        <v>6</v>
      </c>
      <c r="R334" s="123">
        <f>ROUND(+Q333*(R344),0)</f>
        <v>6</v>
      </c>
      <c r="S334" s="123">
        <f t="shared" ref="S334:Z334" si="89">ROUND(+R333*(S344),0)</f>
        <v>6</v>
      </c>
      <c r="T334" s="123">
        <f t="shared" si="89"/>
        <v>6</v>
      </c>
      <c r="U334" s="123">
        <f t="shared" si="89"/>
        <v>6</v>
      </c>
      <c r="V334" s="123">
        <f t="shared" si="89"/>
        <v>6</v>
      </c>
      <c r="W334" s="123">
        <f t="shared" si="89"/>
        <v>6</v>
      </c>
      <c r="X334" s="123">
        <f t="shared" si="89"/>
        <v>6</v>
      </c>
      <c r="Y334" s="123">
        <f t="shared" si="89"/>
        <v>6</v>
      </c>
      <c r="Z334" s="123">
        <f t="shared" si="89"/>
        <v>6</v>
      </c>
      <c r="AA334" s="76"/>
    </row>
    <row r="335" spans="7:27" x14ac:dyDescent="0.2">
      <c r="I335" s="2">
        <f t="shared" ref="I335:Q335" si="90">AVERAGE(H333:I333)</f>
        <v>0</v>
      </c>
      <c r="J335" s="2">
        <f t="shared" si="90"/>
        <v>0</v>
      </c>
      <c r="K335" s="2">
        <f t="shared" si="90"/>
        <v>593</v>
      </c>
      <c r="L335" s="2">
        <f t="shared" si="90"/>
        <v>1186</v>
      </c>
      <c r="M335" s="2">
        <f t="shared" si="90"/>
        <v>1189</v>
      </c>
      <c r="N335" s="2">
        <f t="shared" si="90"/>
        <v>1195</v>
      </c>
      <c r="O335" s="2">
        <f t="shared" si="90"/>
        <v>1201</v>
      </c>
      <c r="P335" s="2">
        <f t="shared" si="90"/>
        <v>1207</v>
      </c>
      <c r="Q335" s="2">
        <f t="shared" si="90"/>
        <v>1213</v>
      </c>
      <c r="R335" s="76"/>
      <c r="S335" s="76"/>
      <c r="T335" s="76"/>
      <c r="U335" s="76"/>
      <c r="V335" s="76"/>
      <c r="W335" s="76"/>
      <c r="X335" s="76"/>
      <c r="Y335" s="76"/>
      <c r="Z335" s="76"/>
      <c r="AA335" s="76"/>
    </row>
    <row r="336" spans="7:27" x14ac:dyDescent="0.2">
      <c r="H336" s="2" t="e">
        <f>+H332/H333</f>
        <v>#DIV/0!</v>
      </c>
      <c r="I336" s="2" t="e">
        <f>+I332/I333</f>
        <v>#DIV/0!</v>
      </c>
      <c r="J336" s="2" t="e">
        <f>+J332/J333</f>
        <v>#DIV/0!</v>
      </c>
      <c r="K336" s="2">
        <f>+K332/K333</f>
        <v>601.44940978077568</v>
      </c>
      <c r="L336" s="2">
        <f>+L332/L333</f>
        <v>616.48564502529507</v>
      </c>
      <c r="R336" s="76"/>
      <c r="S336" s="76"/>
      <c r="T336" s="76"/>
      <c r="U336" s="76"/>
      <c r="V336" s="76"/>
      <c r="W336" s="76"/>
      <c r="X336" s="76"/>
      <c r="Y336" s="76"/>
      <c r="Z336" s="76"/>
      <c r="AA336" s="76"/>
    </row>
    <row r="337" spans="8:29" x14ac:dyDescent="0.2">
      <c r="M337" s="235">
        <v>460</v>
      </c>
      <c r="N337" s="235">
        <v>460</v>
      </c>
      <c r="O337" s="235">
        <v>460</v>
      </c>
      <c r="P337" s="235">
        <v>460</v>
      </c>
      <c r="Q337" s="235">
        <v>460</v>
      </c>
      <c r="R337" s="76"/>
      <c r="S337" s="76"/>
      <c r="T337" s="76"/>
      <c r="U337" s="76"/>
      <c r="V337" s="76"/>
      <c r="W337" s="76"/>
      <c r="X337" s="76"/>
      <c r="Y337" s="76"/>
      <c r="Z337" s="76"/>
      <c r="AA337" s="76"/>
    </row>
    <row r="338" spans="8:29" x14ac:dyDescent="0.2">
      <c r="I338" s="2" t="e">
        <f t="shared" ref="I338:M338" si="91">+I332/I335</f>
        <v>#DIV/0!</v>
      </c>
      <c r="J338" s="2" t="e">
        <f t="shared" si="91"/>
        <v>#DIV/0!</v>
      </c>
      <c r="K338" s="2">
        <f t="shared" si="91"/>
        <v>1202.8988195615514</v>
      </c>
      <c r="L338" s="2">
        <f t="shared" si="91"/>
        <v>616.48564502529507</v>
      </c>
      <c r="M338" s="2">
        <f t="shared" si="91"/>
        <v>659.92506307821702</v>
      </c>
      <c r="R338" s="76"/>
      <c r="S338" s="76"/>
      <c r="T338" s="76"/>
      <c r="U338" s="76"/>
      <c r="V338" s="76"/>
      <c r="W338" s="76"/>
      <c r="X338" s="76"/>
      <c r="Y338" s="76"/>
      <c r="Z338" s="76"/>
      <c r="AA338" s="76"/>
    </row>
    <row r="339" spans="8:29" x14ac:dyDescent="0.2">
      <c r="H339" s="76"/>
      <c r="I339" s="76"/>
      <c r="J339" s="76"/>
      <c r="K339" s="76"/>
      <c r="L339" s="123"/>
      <c r="M339" s="76"/>
      <c r="N339" s="76"/>
      <c r="O339" s="76"/>
      <c r="P339" s="76"/>
      <c r="Q339" s="76"/>
      <c r="R339" s="76"/>
      <c r="S339" s="76"/>
      <c r="T339" s="76"/>
      <c r="U339" s="76"/>
      <c r="V339" s="76"/>
      <c r="W339" s="76"/>
      <c r="X339" s="76"/>
      <c r="Y339" s="76"/>
      <c r="Z339" s="76"/>
      <c r="AA339" s="76"/>
    </row>
    <row r="340" spans="8:29" x14ac:dyDescent="0.2">
      <c r="H340" s="76"/>
      <c r="I340" s="76"/>
      <c r="J340" s="76"/>
      <c r="K340" s="76"/>
      <c r="L340" s="25" t="s">
        <v>143</v>
      </c>
      <c r="M340" s="75">
        <v>1186</v>
      </c>
      <c r="N340" s="76"/>
      <c r="O340" s="76"/>
      <c r="P340" s="76"/>
      <c r="Q340" s="76"/>
      <c r="R340" s="76"/>
      <c r="S340" s="76"/>
      <c r="T340" s="76"/>
      <c r="U340" s="76"/>
      <c r="V340" s="76"/>
      <c r="W340" s="76"/>
      <c r="X340" s="76"/>
      <c r="Y340" s="76"/>
      <c r="Z340" s="76"/>
      <c r="AA340" s="76"/>
    </row>
    <row r="341" spans="8:29" x14ac:dyDescent="0.2">
      <c r="H341" s="76"/>
      <c r="I341" s="76"/>
      <c r="J341" s="76"/>
      <c r="K341" s="76"/>
      <c r="L341" s="25" t="s">
        <v>144</v>
      </c>
      <c r="M341" s="75">
        <v>1186</v>
      </c>
      <c r="N341" s="76"/>
      <c r="O341" s="76"/>
      <c r="P341" s="76"/>
      <c r="Q341" s="76"/>
      <c r="R341" s="76"/>
      <c r="S341" s="76"/>
      <c r="T341" s="76"/>
      <c r="U341" s="76"/>
      <c r="V341" s="76"/>
      <c r="W341" s="76"/>
      <c r="X341" s="76"/>
      <c r="Y341" s="76"/>
      <c r="Z341" s="76"/>
      <c r="AA341" s="76"/>
    </row>
    <row r="342" spans="8:29" x14ac:dyDescent="0.2">
      <c r="H342" s="76"/>
      <c r="I342" s="76"/>
      <c r="J342" s="76"/>
      <c r="K342" s="76"/>
      <c r="L342" s="76"/>
      <c r="M342" s="77">
        <f>+M340/M341</f>
        <v>1</v>
      </c>
      <c r="N342" s="76"/>
      <c r="O342" s="76"/>
      <c r="P342" s="76"/>
      <c r="Q342" s="76"/>
      <c r="R342" s="76"/>
      <c r="S342" s="76"/>
      <c r="T342" s="76"/>
      <c r="U342" s="76"/>
      <c r="V342" s="76"/>
      <c r="W342" s="76"/>
      <c r="X342" s="76"/>
      <c r="Y342" s="76"/>
      <c r="Z342" s="76"/>
      <c r="AA342" s="76"/>
    </row>
    <row r="343" spans="8:29" ht="13.5" thickBot="1" x14ac:dyDescent="0.25">
      <c r="H343" s="76"/>
      <c r="I343" s="76"/>
      <c r="J343" s="76"/>
      <c r="K343" s="25">
        <f>1.742*1000000</f>
        <v>1742000</v>
      </c>
      <c r="L343" s="76"/>
      <c r="M343" s="76"/>
      <c r="N343" s="76"/>
      <c r="O343" s="76"/>
      <c r="P343" s="76"/>
      <c r="Q343" s="76"/>
      <c r="R343" s="76"/>
      <c r="S343" s="76"/>
      <c r="T343" s="76"/>
      <c r="U343" s="76"/>
      <c r="V343" s="76"/>
      <c r="W343" s="76"/>
      <c r="X343" s="76"/>
      <c r="Y343" s="76"/>
      <c r="Z343" s="220"/>
      <c r="AA343" s="76"/>
    </row>
    <row r="344" spans="8:29" ht="13.5" thickBot="1" x14ac:dyDescent="0.25">
      <c r="H344" s="76"/>
      <c r="I344" s="25" t="s">
        <v>145</v>
      </c>
      <c r="J344" s="76"/>
      <c r="L344" s="123"/>
      <c r="M344" s="78">
        <f t="shared" ref="M344:Q344" si="92">+M334</f>
        <v>6</v>
      </c>
      <c r="N344" s="78">
        <f t="shared" si="92"/>
        <v>6</v>
      </c>
      <c r="O344" s="78">
        <f t="shared" si="92"/>
        <v>6</v>
      </c>
      <c r="P344" s="78">
        <f t="shared" si="92"/>
        <v>6</v>
      </c>
      <c r="Q344" s="78">
        <f t="shared" si="92"/>
        <v>6</v>
      </c>
      <c r="R344" s="71">
        <v>5.0000000000000001E-3</v>
      </c>
      <c r="S344" s="71">
        <f t="shared" ref="S344:Z344" si="93">+R344</f>
        <v>5.0000000000000001E-3</v>
      </c>
      <c r="T344" s="71">
        <f t="shared" si="93"/>
        <v>5.0000000000000001E-3</v>
      </c>
      <c r="U344" s="71">
        <f t="shared" si="93"/>
        <v>5.0000000000000001E-3</v>
      </c>
      <c r="V344" s="71">
        <f t="shared" si="93"/>
        <v>5.0000000000000001E-3</v>
      </c>
      <c r="W344" s="71">
        <f t="shared" si="93"/>
        <v>5.0000000000000001E-3</v>
      </c>
      <c r="X344" s="71">
        <f t="shared" si="93"/>
        <v>5.0000000000000001E-3</v>
      </c>
      <c r="Y344" s="71">
        <f t="shared" si="93"/>
        <v>5.0000000000000001E-3</v>
      </c>
      <c r="Z344" s="71">
        <f t="shared" si="93"/>
        <v>5.0000000000000001E-3</v>
      </c>
      <c r="AA344" s="76"/>
    </row>
    <row r="345" spans="8:29" ht="13.5" thickBot="1" x14ac:dyDescent="0.25">
      <c r="H345" s="76"/>
      <c r="I345" s="123" t="s">
        <v>146</v>
      </c>
      <c r="J345" s="82">
        <v>0</v>
      </c>
      <c r="K345" s="81">
        <f>(100000*2343)/K346</f>
        <v>197554.80607082631</v>
      </c>
      <c r="L345" s="79">
        <f>+L346*K350</f>
        <v>197554.80607082631</v>
      </c>
      <c r="M345" s="79">
        <f>+M346*L350</f>
        <v>198554.2401656197</v>
      </c>
      <c r="N345" s="79">
        <f t="shared" ref="N345:Z345" si="94">+N346*M350</f>
        <v>199553.6742604131</v>
      </c>
      <c r="O345" s="79">
        <f t="shared" si="94"/>
        <v>200553.10835520647</v>
      </c>
      <c r="P345" s="79">
        <f t="shared" si="94"/>
        <v>201552.54244999986</v>
      </c>
      <c r="Q345" s="79">
        <f t="shared" si="94"/>
        <v>202551.97654479326</v>
      </c>
      <c r="R345" s="79">
        <f t="shared" si="94"/>
        <v>203564.7364275172</v>
      </c>
      <c r="S345" s="79">
        <f t="shared" si="94"/>
        <v>204582.56010965476</v>
      </c>
      <c r="T345" s="79">
        <f t="shared" si="94"/>
        <v>205605.47291020304</v>
      </c>
      <c r="U345" s="79">
        <f t="shared" si="94"/>
        <v>206633.50027475404</v>
      </c>
      <c r="V345" s="79">
        <f t="shared" si="94"/>
        <v>207666.66777612778</v>
      </c>
      <c r="W345" s="79">
        <f t="shared" si="94"/>
        <v>208705.00111500837</v>
      </c>
      <c r="X345" s="79">
        <f t="shared" si="94"/>
        <v>209748.52612058341</v>
      </c>
      <c r="Y345" s="79">
        <f t="shared" si="94"/>
        <v>210797.26875118629</v>
      </c>
      <c r="Z345" s="79">
        <f t="shared" si="94"/>
        <v>211851.25509494223</v>
      </c>
      <c r="AA345" s="76"/>
    </row>
    <row r="346" spans="8:29" ht="13.5" thickBot="1" x14ac:dyDescent="0.25">
      <c r="H346" s="76"/>
      <c r="I346" s="25" t="s">
        <v>147</v>
      </c>
      <c r="J346" s="79">
        <v>1186</v>
      </c>
      <c r="K346" s="79">
        <v>1186</v>
      </c>
      <c r="L346" s="79">
        <v>1186</v>
      </c>
      <c r="M346" s="80">
        <f>+L346+($M342*M344)</f>
        <v>1192</v>
      </c>
      <c r="N346" s="80">
        <f t="shared" ref="N346:P346" si="95">+M346+($M342*N344)</f>
        <v>1198</v>
      </c>
      <c r="O346" s="80">
        <f t="shared" si="95"/>
        <v>1204</v>
      </c>
      <c r="P346" s="80">
        <f t="shared" si="95"/>
        <v>1210</v>
      </c>
      <c r="Q346" s="80">
        <f>+P346+($M342*Q344)</f>
        <v>1216</v>
      </c>
      <c r="R346" s="79">
        <f t="shared" ref="R346:Z346" si="96">+Q346*(1+R344)</f>
        <v>1222.08</v>
      </c>
      <c r="S346" s="79">
        <f t="shared" si="96"/>
        <v>1228.1903999999997</v>
      </c>
      <c r="T346" s="79">
        <f t="shared" si="96"/>
        <v>1234.3313519999997</v>
      </c>
      <c r="U346" s="79">
        <f t="shared" si="96"/>
        <v>1240.5030087599996</v>
      </c>
      <c r="V346" s="79">
        <f t="shared" si="96"/>
        <v>1246.7055238037995</v>
      </c>
      <c r="W346" s="79">
        <f t="shared" si="96"/>
        <v>1252.9390514228182</v>
      </c>
      <c r="X346" s="79">
        <f t="shared" si="96"/>
        <v>1259.2037466799322</v>
      </c>
      <c r="Y346" s="79">
        <f t="shared" si="96"/>
        <v>1265.4997654133317</v>
      </c>
      <c r="Z346" s="79">
        <f t="shared" si="96"/>
        <v>1271.8272642403983</v>
      </c>
      <c r="AA346" s="76"/>
    </row>
    <row r="347" spans="8:29" x14ac:dyDescent="0.2">
      <c r="H347" s="76"/>
      <c r="I347" s="198" t="s">
        <v>148</v>
      </c>
      <c r="J347" s="6">
        <f>+J24-0</f>
        <v>0</v>
      </c>
      <c r="K347" s="6">
        <f>+K24-0</f>
        <v>736024</v>
      </c>
      <c r="L347" s="6">
        <f>+L24-0</f>
        <v>753856.97499999998</v>
      </c>
      <c r="M347" s="6">
        <f>+M24-0</f>
        <v>807355.9</v>
      </c>
      <c r="N347" s="6">
        <f>+N24-0</f>
        <v>832093</v>
      </c>
      <c r="O347" s="6">
        <f>+O24-0</f>
        <v>856882</v>
      </c>
      <c r="P347" s="6">
        <f>+P24-0</f>
        <v>1041293</v>
      </c>
      <c r="Q347" s="6">
        <f>+Q24-0</f>
        <v>1046357</v>
      </c>
      <c r="R347" s="6">
        <f>+R24-0</f>
        <v>1051454</v>
      </c>
      <c r="S347" s="6">
        <f>+S24-0</f>
        <v>1081410</v>
      </c>
      <c r="T347" s="6">
        <f>+T24-0</f>
        <v>1086704</v>
      </c>
      <c r="U347" s="6">
        <f>+U24-0</f>
        <v>1092024</v>
      </c>
      <c r="V347" s="6">
        <f>+V24-0</f>
        <v>1123163</v>
      </c>
      <c r="W347" s="6">
        <f>+W24-0</f>
        <v>1128665</v>
      </c>
      <c r="X347" s="6">
        <f>+X24-0</f>
        <v>1134195</v>
      </c>
      <c r="Y347" s="6">
        <f>+Y24-0</f>
        <v>1166561</v>
      </c>
      <c r="Z347" s="6">
        <f>+Z24-0</f>
        <v>1172281</v>
      </c>
      <c r="AA347" s="76"/>
    </row>
    <row r="348" spans="8:29" x14ac:dyDescent="0.2">
      <c r="H348" s="76"/>
      <c r="I348" s="76"/>
      <c r="J348" s="76"/>
      <c r="K348" s="25"/>
      <c r="L348" s="123"/>
      <c r="M348" s="76"/>
      <c r="N348" s="76"/>
      <c r="O348" s="76"/>
      <c r="P348" s="76"/>
      <c r="Q348" s="236">
        <f>+Q349/P349</f>
        <v>0.99990497801897804</v>
      </c>
      <c r="R348" s="76"/>
      <c r="S348" s="76"/>
      <c r="T348" s="236">
        <f>+T349/S349</f>
        <v>0.99989598065286145</v>
      </c>
      <c r="U348" s="76"/>
      <c r="V348" s="76"/>
      <c r="W348" s="76"/>
      <c r="X348" s="76"/>
      <c r="Y348" s="76"/>
      <c r="Z348" s="76"/>
      <c r="AA348" s="76"/>
    </row>
    <row r="349" spans="8:29" x14ac:dyDescent="0.2">
      <c r="H349" s="76"/>
      <c r="I349" s="25" t="s">
        <v>149</v>
      </c>
      <c r="J349" s="81">
        <f>+J347/J346</f>
        <v>0</v>
      </c>
      <c r="K349" s="81">
        <f>+K347/K346</f>
        <v>620.59359190556495</v>
      </c>
      <c r="L349" s="81">
        <f>+L347/L346</f>
        <v>635.62982715008434</v>
      </c>
      <c r="M349" s="81">
        <f>+M347/M346</f>
        <v>677.31199664429528</v>
      </c>
      <c r="N349" s="81">
        <f t="shared" ref="N349:Z349" si="97">+N347/N346</f>
        <v>694.56844741235398</v>
      </c>
      <c r="O349" s="81">
        <f t="shared" si="97"/>
        <v>711.6960132890365</v>
      </c>
      <c r="P349" s="81">
        <f t="shared" si="97"/>
        <v>860.57272727272732</v>
      </c>
      <c r="Q349" s="81">
        <f t="shared" si="97"/>
        <v>860.49095394736844</v>
      </c>
      <c r="R349" s="81">
        <f t="shared" si="97"/>
        <v>860.38066247708832</v>
      </c>
      <c r="S349" s="81">
        <f t="shared" si="97"/>
        <v>880.4905167798089</v>
      </c>
      <c r="T349" s="81">
        <f t="shared" si="97"/>
        <v>880.39892873109181</v>
      </c>
      <c r="U349" s="81">
        <f t="shared" si="97"/>
        <v>880.30741746574358</v>
      </c>
      <c r="V349" s="81">
        <f t="shared" si="97"/>
        <v>900.90480755482565</v>
      </c>
      <c r="W349" s="81">
        <f t="shared" si="97"/>
        <v>900.81396913784874</v>
      </c>
      <c r="X349" s="81">
        <f t="shared" si="97"/>
        <v>900.72397178809592</v>
      </c>
      <c r="Y349" s="81">
        <f t="shared" si="97"/>
        <v>921.8184245328431</v>
      </c>
      <c r="Z349" s="81">
        <f t="shared" si="97"/>
        <v>921.72972931205982</v>
      </c>
      <c r="AA349" s="76"/>
    </row>
    <row r="350" spans="8:29" x14ac:dyDescent="0.2">
      <c r="H350" s="76"/>
      <c r="I350" s="25" t="s">
        <v>150</v>
      </c>
      <c r="J350" s="82">
        <f>+J345/J346</f>
        <v>0</v>
      </c>
      <c r="K350" s="82">
        <f>+K345/K346</f>
        <v>166.5723491322313</v>
      </c>
      <c r="L350" s="82">
        <f>+L345/L346</f>
        <v>166.5723491322313</v>
      </c>
      <c r="M350" s="82">
        <f>+M345/M346</f>
        <v>166.5723491322313</v>
      </c>
      <c r="N350" s="82">
        <f t="shared" ref="N350:Z350" si="98">+N345/N346</f>
        <v>166.5723491322313</v>
      </c>
      <c r="O350" s="82">
        <f t="shared" si="98"/>
        <v>166.5723491322313</v>
      </c>
      <c r="P350" s="82">
        <f t="shared" si="98"/>
        <v>166.5723491322313</v>
      </c>
      <c r="Q350" s="82">
        <f t="shared" si="98"/>
        <v>166.5723491322313</v>
      </c>
      <c r="R350" s="82">
        <f t="shared" si="98"/>
        <v>166.5723491322313</v>
      </c>
      <c r="S350" s="82">
        <f t="shared" si="98"/>
        <v>166.5723491322313</v>
      </c>
      <c r="T350" s="82">
        <f t="shared" si="98"/>
        <v>166.5723491322313</v>
      </c>
      <c r="U350" s="82">
        <f t="shared" si="98"/>
        <v>166.5723491322313</v>
      </c>
      <c r="V350" s="82">
        <f t="shared" si="98"/>
        <v>166.5723491322313</v>
      </c>
      <c r="W350" s="82">
        <f t="shared" si="98"/>
        <v>166.5723491322313</v>
      </c>
      <c r="X350" s="82">
        <f t="shared" si="98"/>
        <v>166.5723491322313</v>
      </c>
      <c r="Y350" s="82">
        <f t="shared" si="98"/>
        <v>166.5723491322313</v>
      </c>
      <c r="Z350" s="82">
        <f t="shared" si="98"/>
        <v>166.5723491322313</v>
      </c>
      <c r="AA350" s="76"/>
      <c r="AC350" s="237"/>
    </row>
    <row r="351" spans="8:29" x14ac:dyDescent="0.2">
      <c r="H351" s="76"/>
      <c r="I351" s="25"/>
      <c r="J351" s="76"/>
      <c r="L351" s="123"/>
      <c r="M351" s="76"/>
      <c r="N351" s="76"/>
      <c r="O351" s="76"/>
      <c r="P351" s="76"/>
      <c r="Q351" s="76"/>
      <c r="R351" s="76"/>
      <c r="S351" s="76"/>
      <c r="T351" s="76"/>
      <c r="U351" s="76"/>
      <c r="V351" s="76"/>
      <c r="W351" s="76"/>
      <c r="X351" s="76"/>
      <c r="Y351" s="76"/>
      <c r="Z351" s="76"/>
      <c r="AA351" s="76"/>
    </row>
    <row r="352" spans="8:29" x14ac:dyDescent="0.2">
      <c r="H352" s="76"/>
      <c r="I352" s="25" t="s">
        <v>151</v>
      </c>
      <c r="J352" s="81" t="e">
        <f>+J347/J333</f>
        <v>#DIV/0!</v>
      </c>
      <c r="K352" s="81">
        <f t="shared" ref="K352:Z352" si="99">+K347/K333</f>
        <v>620.59359190556495</v>
      </c>
      <c r="L352" s="81">
        <f t="shared" si="99"/>
        <v>635.62982715008434</v>
      </c>
      <c r="M352" s="81">
        <f t="shared" si="99"/>
        <v>677.31199664429528</v>
      </c>
      <c r="N352" s="81">
        <f t="shared" si="99"/>
        <v>694.56844741235398</v>
      </c>
      <c r="O352" s="81">
        <f t="shared" si="99"/>
        <v>711.6960132890365</v>
      </c>
      <c r="P352" s="81">
        <f t="shared" si="99"/>
        <v>860.57272727272732</v>
      </c>
      <c r="Q352" s="81">
        <f t="shared" si="99"/>
        <v>860.49095394736844</v>
      </c>
      <c r="R352" s="81">
        <f t="shared" si="99"/>
        <v>860.43698854337151</v>
      </c>
      <c r="S352" s="81">
        <f t="shared" si="99"/>
        <v>880.62703583061887</v>
      </c>
      <c r="T352" s="81">
        <f t="shared" si="99"/>
        <v>880.63533225283629</v>
      </c>
      <c r="U352" s="81">
        <f t="shared" si="99"/>
        <v>880.66451612903222</v>
      </c>
      <c r="V352" s="81">
        <f t="shared" si="99"/>
        <v>901.41492776886037</v>
      </c>
      <c r="W352" s="81">
        <f t="shared" si="99"/>
        <v>901.48961661341855</v>
      </c>
      <c r="X352" s="81">
        <f t="shared" si="99"/>
        <v>901.5858505564388</v>
      </c>
      <c r="Y352" s="81">
        <f t="shared" si="99"/>
        <v>922.91218354430384</v>
      </c>
      <c r="Z352" s="81">
        <f t="shared" si="99"/>
        <v>923.05590551181103</v>
      </c>
      <c r="AA352" s="76"/>
    </row>
    <row r="353" spans="7:29" x14ac:dyDescent="0.2">
      <c r="H353" s="76"/>
      <c r="I353" s="25" t="s">
        <v>152</v>
      </c>
      <c r="J353" s="82" t="e">
        <f>+J345/J333</f>
        <v>#DIV/0!</v>
      </c>
      <c r="K353" s="82">
        <f t="shared" ref="K353:Z353" si="100">+K345/K333</f>
        <v>166.5723491322313</v>
      </c>
      <c r="L353" s="82">
        <f t="shared" si="100"/>
        <v>166.5723491322313</v>
      </c>
      <c r="M353" s="82">
        <f t="shared" si="100"/>
        <v>166.5723491322313</v>
      </c>
      <c r="N353" s="82">
        <f t="shared" si="100"/>
        <v>166.5723491322313</v>
      </c>
      <c r="O353" s="82">
        <f t="shared" si="100"/>
        <v>166.5723491322313</v>
      </c>
      <c r="P353" s="82">
        <f t="shared" si="100"/>
        <v>166.5723491322313</v>
      </c>
      <c r="Q353" s="82">
        <f t="shared" si="100"/>
        <v>166.5723491322313</v>
      </c>
      <c r="R353" s="82">
        <f t="shared" si="100"/>
        <v>166.58325403233815</v>
      </c>
      <c r="S353" s="82">
        <f t="shared" si="100"/>
        <v>166.59817598506089</v>
      </c>
      <c r="T353" s="82">
        <f t="shared" si="100"/>
        <v>166.61707691264428</v>
      </c>
      <c r="U353" s="82">
        <f t="shared" si="100"/>
        <v>166.63991957641454</v>
      </c>
      <c r="V353" s="82">
        <f t="shared" si="100"/>
        <v>166.66666755708491</v>
      </c>
      <c r="W353" s="82">
        <f t="shared" si="100"/>
        <v>166.69728523562969</v>
      </c>
      <c r="X353" s="82">
        <f t="shared" si="100"/>
        <v>166.73173777470859</v>
      </c>
      <c r="Y353" s="82">
        <f t="shared" si="100"/>
        <v>166.76999110062206</v>
      </c>
      <c r="Z353" s="82">
        <f t="shared" si="100"/>
        <v>166.81201188578129</v>
      </c>
      <c r="AA353" s="76"/>
    </row>
    <row r="354" spans="7:29" x14ac:dyDescent="0.2">
      <c r="H354" s="76"/>
      <c r="I354" s="25"/>
      <c r="J354" s="76"/>
      <c r="L354" s="123"/>
      <c r="M354" s="76"/>
      <c r="N354" s="76"/>
      <c r="O354" s="76"/>
      <c r="P354" s="76"/>
      <c r="Q354" s="76"/>
      <c r="R354" s="76"/>
      <c r="S354" s="76"/>
      <c r="T354" s="76"/>
      <c r="U354" s="76"/>
      <c r="V354" s="76"/>
      <c r="W354" s="76"/>
      <c r="X354" s="76"/>
      <c r="Y354" s="76"/>
      <c r="Z354" s="76"/>
      <c r="AA354" s="76"/>
    </row>
    <row r="355" spans="7:29" x14ac:dyDescent="0.2">
      <c r="H355" s="76"/>
      <c r="I355" s="25" t="s">
        <v>153</v>
      </c>
      <c r="J355" s="76"/>
      <c r="L355" s="123"/>
      <c r="M355" s="72">
        <f>+M346*L349</f>
        <v>757670.75396290049</v>
      </c>
      <c r="N355" s="72">
        <f>AVERAGE(M346:N346)*M349</f>
        <v>809387.83598993288</v>
      </c>
      <c r="O355" s="72">
        <f t="shared" ref="O355:Z355" si="101">AVERAGE(N346:O346)*N349</f>
        <v>834176.70534223714</v>
      </c>
      <c r="P355" s="72">
        <f t="shared" si="101"/>
        <v>859017.088039867</v>
      </c>
      <c r="Q355" s="72">
        <f t="shared" si="101"/>
        <v>1043874.7181818183</v>
      </c>
      <c r="R355" s="72">
        <f t="shared" si="101"/>
        <v>1048972.8925000001</v>
      </c>
      <c r="S355" s="72">
        <f t="shared" si="101"/>
        <v>1054082.6349999998</v>
      </c>
      <c r="T355" s="72">
        <f t="shared" si="101"/>
        <v>1084113.5250000001</v>
      </c>
      <c r="U355" s="72">
        <f t="shared" si="101"/>
        <v>1089420.7599999998</v>
      </c>
      <c r="V355" s="72">
        <f t="shared" si="101"/>
        <v>1094754.0599999998</v>
      </c>
      <c r="W355" s="72">
        <f t="shared" si="101"/>
        <v>1125970.9075</v>
      </c>
      <c r="X355" s="72">
        <f t="shared" si="101"/>
        <v>1131486.6625000001</v>
      </c>
      <c r="Y355" s="72">
        <f t="shared" si="101"/>
        <v>1137030.4875</v>
      </c>
      <c r="Z355" s="72">
        <f t="shared" si="101"/>
        <v>1169477.4025000001</v>
      </c>
      <c r="AA355" s="76"/>
    </row>
    <row r="356" spans="7:29" x14ac:dyDescent="0.2">
      <c r="H356" s="76"/>
      <c r="I356" s="25"/>
      <c r="J356" s="76"/>
      <c r="L356" s="238"/>
      <c r="M356" s="72"/>
      <c r="N356" s="72"/>
      <c r="O356" s="72"/>
      <c r="P356" s="72"/>
      <c r="Q356" s="72"/>
      <c r="R356" s="72"/>
      <c r="S356" s="72"/>
      <c r="T356" s="72"/>
      <c r="U356" s="72"/>
      <c r="V356" s="72"/>
      <c r="W356" s="72"/>
      <c r="X356" s="72"/>
      <c r="Y356" s="72"/>
      <c r="Z356" s="72"/>
      <c r="AA356" s="76"/>
    </row>
    <row r="357" spans="7:29" x14ac:dyDescent="0.2">
      <c r="H357" s="76"/>
      <c r="I357" s="25"/>
      <c r="J357" s="76"/>
      <c r="L357" s="123"/>
      <c r="M357" s="72"/>
      <c r="N357" s="72"/>
      <c r="O357" s="72"/>
      <c r="P357" s="72"/>
      <c r="Q357" s="74" t="s">
        <v>155</v>
      </c>
      <c r="R357" s="72"/>
      <c r="S357" s="72"/>
      <c r="T357" s="72"/>
      <c r="U357" s="72"/>
      <c r="V357" s="72"/>
      <c r="W357" s="72"/>
      <c r="X357" s="72"/>
      <c r="Y357" s="72"/>
      <c r="Z357" s="72"/>
      <c r="AA357" s="76"/>
    </row>
    <row r="358" spans="7:29" x14ac:dyDescent="0.2">
      <c r="H358" s="76"/>
      <c r="I358" s="76"/>
      <c r="J358" s="76"/>
      <c r="K358" s="25"/>
      <c r="L358" s="123"/>
      <c r="M358" s="239">
        <f>+M285</f>
        <v>2018</v>
      </c>
      <c r="N358" s="239">
        <f>+N285</f>
        <v>2019</v>
      </c>
      <c r="O358" s="239">
        <f>+O285</f>
        <v>2020</v>
      </c>
      <c r="P358" s="239">
        <f>+P285</f>
        <v>2021</v>
      </c>
      <c r="Q358" s="239">
        <f>+Q285</f>
        <v>2022</v>
      </c>
      <c r="R358" s="239">
        <f>+R285</f>
        <v>2023</v>
      </c>
      <c r="S358" s="239">
        <f>+S285</f>
        <v>2024</v>
      </c>
      <c r="T358" s="239">
        <f>+T285</f>
        <v>2025</v>
      </c>
      <c r="U358" s="239">
        <f>+U285</f>
        <v>2026</v>
      </c>
      <c r="V358" s="239">
        <f>+V285</f>
        <v>2027</v>
      </c>
      <c r="W358" s="239">
        <f>+W285</f>
        <v>2028</v>
      </c>
      <c r="X358" s="239">
        <f>+X285</f>
        <v>2029</v>
      </c>
      <c r="Y358" s="239">
        <f>+Y285</f>
        <v>2030</v>
      </c>
      <c r="Z358" s="239">
        <f>+Z285</f>
        <v>2031</v>
      </c>
      <c r="AA358" s="76"/>
    </row>
    <row r="359" spans="7:29" ht="13.5" thickBot="1" x14ac:dyDescent="0.25">
      <c r="H359" s="76"/>
      <c r="I359" s="76"/>
      <c r="J359" s="76"/>
      <c r="K359" s="25"/>
      <c r="M359" s="2" t="s">
        <v>154</v>
      </c>
      <c r="N359" s="240"/>
      <c r="O359" s="240"/>
      <c r="P359" s="171">
        <v>0.215</v>
      </c>
      <c r="Q359" s="171"/>
      <c r="R359" s="171"/>
      <c r="S359" s="171">
        <v>2.4E-2</v>
      </c>
      <c r="T359" s="171"/>
      <c r="U359" s="171"/>
      <c r="V359" s="171">
        <v>2.4E-2</v>
      </c>
      <c r="W359" s="171"/>
      <c r="X359" s="171"/>
      <c r="Y359" s="171">
        <v>2.4E-2</v>
      </c>
      <c r="Z359" s="240"/>
    </row>
    <row r="360" spans="7:29" ht="13.5" thickBot="1" x14ac:dyDescent="0.25">
      <c r="H360" s="76"/>
      <c r="I360" s="76"/>
      <c r="J360" s="76"/>
      <c r="K360" s="76"/>
      <c r="L360" s="241">
        <f>+L349</f>
        <v>635.62982715008434</v>
      </c>
      <c r="M360" s="241">
        <f>+M349</f>
        <v>677.31199664429528</v>
      </c>
      <c r="N360" s="241">
        <f>+N349</f>
        <v>694.56844741235398</v>
      </c>
      <c r="O360" s="242">
        <f>N360*(1+O359)</f>
        <v>694.56844741235398</v>
      </c>
      <c r="P360" s="243">
        <f t="shared" ref="P360:Z360" si="102">O360*(1+P359)</f>
        <v>843.90066360601008</v>
      </c>
      <c r="Q360" s="243">
        <f t="shared" si="102"/>
        <v>843.90066360601008</v>
      </c>
      <c r="R360" s="243">
        <f t="shared" si="102"/>
        <v>843.90066360601008</v>
      </c>
      <c r="S360" s="243">
        <f t="shared" si="102"/>
        <v>864.15427953255437</v>
      </c>
      <c r="T360" s="243">
        <f t="shared" si="102"/>
        <v>864.15427953255437</v>
      </c>
      <c r="U360" s="243">
        <f t="shared" si="102"/>
        <v>864.15427953255437</v>
      </c>
      <c r="V360" s="243">
        <f t="shared" si="102"/>
        <v>884.89398224133572</v>
      </c>
      <c r="W360" s="243">
        <f t="shared" si="102"/>
        <v>884.89398224133572</v>
      </c>
      <c r="X360" s="244">
        <f t="shared" si="102"/>
        <v>884.89398224133572</v>
      </c>
      <c r="Y360" s="245">
        <f t="shared" si="102"/>
        <v>906.13143781512781</v>
      </c>
      <c r="Z360" s="245">
        <f t="shared" si="102"/>
        <v>906.13143781512781</v>
      </c>
      <c r="AA360" s="83">
        <f>1.04^10</f>
        <v>1.4802442849183446</v>
      </c>
      <c r="AB360" s="241">
        <f>+AA360*M360</f>
        <v>1002.5872121393511</v>
      </c>
      <c r="AC360" s="246">
        <f>+AB360-X360</f>
        <v>117.69322989801537</v>
      </c>
    </row>
    <row r="361" spans="7:29" x14ac:dyDescent="0.2">
      <c r="H361" s="76"/>
      <c r="I361" s="76"/>
      <c r="J361" s="76"/>
      <c r="K361" s="76"/>
      <c r="L361" s="123"/>
      <c r="M361" s="76"/>
      <c r="N361" s="76"/>
      <c r="O361" s="247">
        <f>+O360-N360</f>
        <v>0</v>
      </c>
      <c r="P361" s="247">
        <f>+P360-O360</f>
        <v>149.33221619365611</v>
      </c>
      <c r="Q361" s="247">
        <f>+Q360-P360</f>
        <v>0</v>
      </c>
      <c r="R361" s="247">
        <f t="shared" ref="R361:Z361" si="103">+R360-Q360</f>
        <v>0</v>
      </c>
      <c r="S361" s="247">
        <f t="shared" si="103"/>
        <v>20.253615926544285</v>
      </c>
      <c r="T361" s="247">
        <f t="shared" si="103"/>
        <v>0</v>
      </c>
      <c r="U361" s="247">
        <f t="shared" si="103"/>
        <v>0</v>
      </c>
      <c r="V361" s="247">
        <f t="shared" si="103"/>
        <v>20.739702708781351</v>
      </c>
      <c r="W361" s="247">
        <f t="shared" si="103"/>
        <v>0</v>
      </c>
      <c r="X361" s="247">
        <f t="shared" si="103"/>
        <v>0</v>
      </c>
      <c r="Y361" s="247">
        <f t="shared" si="103"/>
        <v>21.23745557379209</v>
      </c>
      <c r="Z361" s="247">
        <f t="shared" si="103"/>
        <v>0</v>
      </c>
      <c r="AA361" s="76"/>
    </row>
    <row r="362" spans="7:29" x14ac:dyDescent="0.2">
      <c r="H362" s="76"/>
      <c r="I362" s="76"/>
      <c r="J362" s="76"/>
      <c r="K362" s="76"/>
      <c r="L362" s="123"/>
      <c r="M362" s="76"/>
      <c r="N362" s="76"/>
      <c r="O362" s="76"/>
      <c r="P362" s="76"/>
      <c r="Q362" s="76"/>
      <c r="R362" s="76"/>
      <c r="S362" s="76"/>
      <c r="T362" s="76"/>
      <c r="U362" s="76"/>
      <c r="V362" s="76"/>
      <c r="W362" s="76"/>
      <c r="X362" s="76"/>
      <c r="Y362" s="76"/>
      <c r="Z362" s="76"/>
      <c r="AA362" s="76"/>
    </row>
    <row r="363" spans="7:29" ht="15" x14ac:dyDescent="0.25">
      <c r="G363" s="84"/>
      <c r="H363" s="85"/>
      <c r="J363" s="85"/>
      <c r="K363" s="85"/>
      <c r="L363" s="248"/>
      <c r="M363" s="248">
        <f>(((+M346-L346)/2)*L349)</f>
        <v>1906.889481450253</v>
      </c>
      <c r="N363" s="248">
        <f>(((+N346-M346)/2)*M349)</f>
        <v>2031.9359899328858</v>
      </c>
      <c r="O363" s="248">
        <f>(((+O346-N346)/2)*N349)</f>
        <v>2083.7053422370618</v>
      </c>
      <c r="P363" s="248">
        <f>(((+P346-O346)/2)*P360)+(O346*P360)</f>
        <v>1018588.1009724542</v>
      </c>
      <c r="Q363" s="248">
        <f>(((+Q346-P346)/2)*P349)</f>
        <v>2581.7181818181821</v>
      </c>
      <c r="R363" s="248">
        <f>(((+R346-Q346)/2)*Q349)</f>
        <v>2615.8924999999685</v>
      </c>
      <c r="S363" s="248">
        <f>(((+S346-R346)/2)*R349)</f>
        <v>2628.6349999999138</v>
      </c>
      <c r="T363" s="248">
        <f>(((+T346-S346)/2)*S349)</f>
        <v>2703.5249999999874</v>
      </c>
      <c r="U363" s="248">
        <f>(((+U346-T346)/2)*T349)</f>
        <v>2716.7599999999588</v>
      </c>
      <c r="V363" s="248">
        <f>(((+V346-U346)/2)*U349)</f>
        <v>2730.0599999999345</v>
      </c>
      <c r="W363" s="248">
        <f>(((+W346-V346)/2)*V349)</f>
        <v>2807.9074999999052</v>
      </c>
      <c r="X363" s="248">
        <f>(((+X346-W346)/2)*W349)</f>
        <v>2821.6624999999585</v>
      </c>
      <c r="Y363" s="248">
        <f>(((+Y346-X346)/2)*X349)</f>
        <v>2835.4874999999174</v>
      </c>
      <c r="Z363" s="248">
        <f>(((+Z346-Y346)/2)*Y349)</f>
        <v>2916.402499999982</v>
      </c>
      <c r="AA363" s="76"/>
    </row>
    <row r="364" spans="7:29" ht="15" x14ac:dyDescent="0.25">
      <c r="G364" s="84"/>
      <c r="H364" s="85"/>
      <c r="J364" s="85"/>
      <c r="K364" s="85"/>
      <c r="L364" s="248"/>
      <c r="M364" s="248"/>
      <c r="N364" s="248"/>
      <c r="O364" s="248"/>
      <c r="P364" s="248"/>
      <c r="Q364" s="248"/>
      <c r="R364" s="248"/>
      <c r="S364" s="248"/>
      <c r="T364" s="248"/>
      <c r="U364" s="248"/>
      <c r="V364" s="248"/>
      <c r="W364" s="248"/>
      <c r="X364" s="248"/>
      <c r="Y364" s="248"/>
      <c r="Z364" s="248"/>
      <c r="AA364" s="76"/>
    </row>
    <row r="365" spans="7:29" ht="15" x14ac:dyDescent="0.25">
      <c r="G365" s="84"/>
      <c r="H365" s="85"/>
      <c r="J365" s="85"/>
      <c r="K365" s="85"/>
      <c r="L365" s="248"/>
      <c r="M365" s="248">
        <f>+ROUND((L360*(L346+((M346-L346)/2))),0)</f>
        <v>755764</v>
      </c>
      <c r="N365" s="248">
        <f>+ROUND((M360*(M346+((N346-M346)/2))),0)</f>
        <v>809388</v>
      </c>
      <c r="O365" s="248">
        <f>+ROUND((N360*(N346+((O346-N346)/2))),0)</f>
        <v>834177</v>
      </c>
      <c r="P365" s="248">
        <f>+ROUND((O360*(O346+((P346-O346)/2))),0)</f>
        <v>838344</v>
      </c>
      <c r="Q365" s="248">
        <f>+ROUND((P360*(P346+((Q346-P346)/2))),0)</f>
        <v>1023652</v>
      </c>
      <c r="R365" s="248">
        <f>+ROUND((Q360*(Q346+((R346-Q346)/2))),0)</f>
        <v>1028749</v>
      </c>
      <c r="S365" s="248">
        <f>+ROUND((R360*(R346+((S346-R346)/2))),0)</f>
        <v>1033892</v>
      </c>
      <c r="T365" s="248">
        <f>+ROUND((S360*(S346+((T346-S346)/2))),0)</f>
        <v>1063999</v>
      </c>
      <c r="U365" s="248">
        <f>+ROUND((T360*(T346+((U346-T346)/2))),0)</f>
        <v>1069319</v>
      </c>
      <c r="V365" s="248">
        <f>+ROUND((U360*(U346+((V346-U346)/2))),0)</f>
        <v>1074666</v>
      </c>
      <c r="W365" s="248">
        <f>+ROUND((V360*(V346+((W346-V346)/2))),0)</f>
        <v>1105960</v>
      </c>
      <c r="X365" s="248">
        <f>+ROUND((W360*(W346+((X346-W346)/2))),0)</f>
        <v>1111490</v>
      </c>
      <c r="Y365" s="248">
        <f>+ROUND((X360*(X346+((Y346-X346)/2))),0)</f>
        <v>1117047</v>
      </c>
      <c r="Z365" s="248">
        <f>+ROUND((Y360*(Y346+((Z346-Y346)/2))),0)</f>
        <v>1149576</v>
      </c>
      <c r="AA365" s="76"/>
    </row>
    <row r="366" spans="7:29" ht="15" x14ac:dyDescent="0.25">
      <c r="G366" s="84"/>
      <c r="H366" s="85"/>
      <c r="J366" s="85"/>
      <c r="K366" s="85"/>
      <c r="L366" s="248"/>
      <c r="M366" s="248">
        <f>+ROUND((+M361*(L346+((M346-L346)/2))),0)</f>
        <v>0</v>
      </c>
      <c r="N366" s="248">
        <f>+ROUND((+N361*(M346+((N346-M346)/2))),0)</f>
        <v>0</v>
      </c>
      <c r="O366" s="248">
        <f>+ROUND((+O361*(N346+((O346-N346)/2))),0)</f>
        <v>0</v>
      </c>
      <c r="P366" s="248">
        <f>+ROUND((+P361*(O346+((P346-O346)/2))),0)</f>
        <v>180244</v>
      </c>
      <c r="Q366" s="248">
        <f>+ROUND((+Q361*(P346+((Q346-P346)/2))),0)</f>
        <v>0</v>
      </c>
      <c r="R366" s="248">
        <f>+ROUND((+R361*(Q346+((R346-Q346)/2))),0)</f>
        <v>0</v>
      </c>
      <c r="S366" s="248">
        <f>+ROUND((+S361*(R346+((S346-R346)/2))),0)</f>
        <v>24813</v>
      </c>
      <c r="T366" s="248">
        <f>+ROUND((+T361*(S346+((T346-S346)/2))),0)</f>
        <v>0</v>
      </c>
      <c r="U366" s="248">
        <f>+ROUND((+U361*(T346+((U346-T346)/2))),0)</f>
        <v>0</v>
      </c>
      <c r="V366" s="248">
        <f>+ROUND((+V361*(U346+((V346-U346)/2))),0)</f>
        <v>25792</v>
      </c>
      <c r="W366" s="248">
        <f>+ROUND((+W361*(V346+((W346-V346)/2))),0)</f>
        <v>0</v>
      </c>
      <c r="X366" s="248">
        <f>+ROUND((+X361*(W346+((X346-W346)/2))),0)</f>
        <v>0</v>
      </c>
      <c r="Y366" s="248">
        <f>+ROUND((+Y361*(X346+((Y346-X346)/2))),0)</f>
        <v>26809</v>
      </c>
      <c r="Z366" s="248">
        <f>+ROUND((+Z361*(Y346+((Z346-Y346)/2))),0)</f>
        <v>0</v>
      </c>
      <c r="AA366" s="76"/>
    </row>
    <row r="367" spans="7:29" ht="15" x14ac:dyDescent="0.25">
      <c r="G367" s="84"/>
      <c r="H367" s="85"/>
      <c r="J367" s="85"/>
      <c r="K367" s="85"/>
      <c r="L367" s="85"/>
      <c r="M367" s="85"/>
      <c r="R367" s="76"/>
      <c r="S367" s="76"/>
      <c r="T367" s="76"/>
      <c r="U367" s="76"/>
      <c r="V367" s="76"/>
      <c r="W367" s="76"/>
      <c r="X367" s="76"/>
      <c r="Y367" s="76"/>
      <c r="Z367" s="76"/>
      <c r="AA367" s="76"/>
    </row>
    <row r="368" spans="7:29" ht="15.75" thickBot="1" x14ac:dyDescent="0.3">
      <c r="G368" s="85"/>
      <c r="H368" s="85"/>
      <c r="I368" s="85"/>
      <c r="J368" s="85"/>
      <c r="K368" s="85"/>
      <c r="L368" s="248"/>
      <c r="M368" s="248"/>
      <c r="R368" s="76"/>
      <c r="S368" s="76"/>
      <c r="T368" s="76"/>
      <c r="U368" s="76"/>
      <c r="V368" s="76"/>
      <c r="W368" s="76"/>
      <c r="X368" s="76"/>
      <c r="Y368" s="76"/>
      <c r="Z368" s="76"/>
      <c r="AA368" s="76"/>
    </row>
    <row r="369" spans="8:27" ht="15" x14ac:dyDescent="0.25">
      <c r="H369" s="249"/>
      <c r="I369" s="250"/>
      <c r="J369" s="251"/>
      <c r="K369" s="251"/>
      <c r="L369" s="251"/>
      <c r="M369" s="250"/>
      <c r="N369" s="250"/>
      <c r="O369" s="250"/>
      <c r="P369" s="250"/>
      <c r="Q369" s="250"/>
      <c r="R369" s="252"/>
      <c r="S369" s="252"/>
      <c r="T369" s="252"/>
      <c r="U369" s="252"/>
      <c r="V369" s="252"/>
      <c r="W369" s="252"/>
      <c r="X369" s="252"/>
      <c r="Y369" s="252"/>
      <c r="Z369" s="253"/>
      <c r="AA369" s="76"/>
    </row>
    <row r="370" spans="8:27" ht="15" x14ac:dyDescent="0.25">
      <c r="H370" s="86" t="s">
        <v>156</v>
      </c>
      <c r="I370" s="4"/>
      <c r="J370" s="4"/>
      <c r="K370" s="254"/>
      <c r="L370" s="254"/>
      <c r="M370" s="4"/>
      <c r="N370" s="4"/>
      <c r="O370" s="4"/>
      <c r="P370" s="4"/>
      <c r="Q370" s="4"/>
      <c r="R370" s="255"/>
      <c r="S370" s="255"/>
      <c r="T370" s="255"/>
      <c r="U370" s="255"/>
      <c r="V370" s="255"/>
      <c r="W370" s="255"/>
      <c r="X370" s="255"/>
      <c r="Y370" s="255"/>
      <c r="Z370" s="256"/>
      <c r="AA370" s="76"/>
    </row>
    <row r="371" spans="8:27" ht="15" x14ac:dyDescent="0.25">
      <c r="H371" s="86" t="s">
        <v>157</v>
      </c>
      <c r="I371" s="87" t="s">
        <v>135</v>
      </c>
      <c r="J371" s="257">
        <v>1.4319999999999999E-3</v>
      </c>
      <c r="K371" s="255"/>
      <c r="L371" s="258"/>
      <c r="M371" s="259">
        <f>ROUND(+$J371*L289,0)</f>
        <v>5022</v>
      </c>
      <c r="N371" s="259">
        <f>ROUND(+$J371*M289,0)</f>
        <v>4892</v>
      </c>
      <c r="O371" s="259">
        <f>ROUND(+$J371*N289,0)</f>
        <v>4885</v>
      </c>
      <c r="P371" s="259">
        <f>ROUND(+$J371*O289,0)</f>
        <v>4876</v>
      </c>
      <c r="Q371" s="259">
        <f>ROUND(+$J371*P289,0)</f>
        <v>4868</v>
      </c>
      <c r="R371" s="259">
        <f>ROUND(+$J371*Q289,0)</f>
        <v>4859</v>
      </c>
      <c r="S371" s="259">
        <f>ROUND(+$J371*R289,0)</f>
        <v>4850</v>
      </c>
      <c r="T371" s="259">
        <f>ROUND(+$J371*S289,0)</f>
        <v>4842</v>
      </c>
      <c r="U371" s="259">
        <f>ROUND(+$J371*T289,0)</f>
        <v>4833</v>
      </c>
      <c r="V371" s="259">
        <f>ROUND(+$J371*U289,0)</f>
        <v>4821</v>
      </c>
      <c r="W371" s="259">
        <f>ROUND(+$J371*V289,0)</f>
        <v>4809</v>
      </c>
      <c r="X371" s="259">
        <f>ROUND(+$J371*W289,0)</f>
        <v>4797</v>
      </c>
      <c r="Y371" s="259">
        <f>ROUND(+$J371*X289,0)</f>
        <v>4785</v>
      </c>
      <c r="Z371" s="260">
        <f>ROUND(+$J371*Y289,0)</f>
        <v>4773</v>
      </c>
      <c r="AA371" s="76"/>
    </row>
    <row r="372" spans="8:27" ht="15" x14ac:dyDescent="0.25">
      <c r="H372" s="86" t="s">
        <v>158</v>
      </c>
      <c r="I372" s="87" t="s">
        <v>159</v>
      </c>
      <c r="J372" s="257">
        <v>5.6899999999999997E-3</v>
      </c>
      <c r="K372" s="255"/>
      <c r="L372" s="258"/>
      <c r="M372" s="259">
        <f>ROUND(+$J372*L24,0)</f>
        <v>4289</v>
      </c>
      <c r="N372" s="259">
        <f>ROUND(+$J372*M24,0)</f>
        <v>4594</v>
      </c>
      <c r="O372" s="259">
        <f>ROUND(+$J372*N24,0)</f>
        <v>4735</v>
      </c>
      <c r="P372" s="259">
        <f>ROUND(+$J372*O24,0)</f>
        <v>4876</v>
      </c>
      <c r="Q372" s="259">
        <f>ROUND(+$J372*P24,0)</f>
        <v>5925</v>
      </c>
      <c r="R372" s="259">
        <f>ROUND(+$J372*Q24,0)</f>
        <v>5954</v>
      </c>
      <c r="S372" s="259">
        <f>ROUND(+$J372*R24,0)</f>
        <v>5983</v>
      </c>
      <c r="T372" s="259">
        <f>ROUND(+$J372*S24,0)</f>
        <v>6153</v>
      </c>
      <c r="U372" s="259">
        <f>ROUND(+$J372*T24,0)</f>
        <v>6183</v>
      </c>
      <c r="V372" s="259">
        <f>ROUND(+$J372*U24,0)</f>
        <v>6214</v>
      </c>
      <c r="W372" s="259">
        <f>ROUND(+$J372*V24,0)</f>
        <v>6391</v>
      </c>
      <c r="X372" s="259">
        <f>ROUND(+$J372*W24,0)</f>
        <v>6422</v>
      </c>
      <c r="Y372" s="259">
        <f>ROUND(+$J372*X24,0)</f>
        <v>6454</v>
      </c>
      <c r="Z372" s="260">
        <f>ROUND(+$J372*Y24,0)</f>
        <v>6638</v>
      </c>
      <c r="AA372" s="76"/>
    </row>
    <row r="373" spans="8:27" ht="15.75" thickBot="1" x14ac:dyDescent="0.3">
      <c r="H373" s="261"/>
      <c r="I373" s="255"/>
      <c r="J373" s="255"/>
      <c r="K373" s="255"/>
      <c r="L373" s="258"/>
      <c r="M373" s="262">
        <f>SUM(M371:M372)</f>
        <v>9311</v>
      </c>
      <c r="N373" s="262">
        <f t="shared" ref="N373:Z373" si="104">SUM(N371:N372)</f>
        <v>9486</v>
      </c>
      <c r="O373" s="262">
        <f t="shared" si="104"/>
        <v>9620</v>
      </c>
      <c r="P373" s="262">
        <f t="shared" si="104"/>
        <v>9752</v>
      </c>
      <c r="Q373" s="262">
        <f t="shared" si="104"/>
        <v>10793</v>
      </c>
      <c r="R373" s="262">
        <f t="shared" si="104"/>
        <v>10813</v>
      </c>
      <c r="S373" s="262">
        <f t="shared" si="104"/>
        <v>10833</v>
      </c>
      <c r="T373" s="262">
        <f t="shared" si="104"/>
        <v>10995</v>
      </c>
      <c r="U373" s="262">
        <f t="shared" si="104"/>
        <v>11016</v>
      </c>
      <c r="V373" s="262">
        <f t="shared" si="104"/>
        <v>11035</v>
      </c>
      <c r="W373" s="262">
        <f t="shared" si="104"/>
        <v>11200</v>
      </c>
      <c r="X373" s="262">
        <f t="shared" si="104"/>
        <v>11219</v>
      </c>
      <c r="Y373" s="262">
        <f t="shared" si="104"/>
        <v>11239</v>
      </c>
      <c r="Z373" s="263">
        <f t="shared" si="104"/>
        <v>11411</v>
      </c>
      <c r="AA373" s="76"/>
    </row>
    <row r="374" spans="8:27" ht="13.5" thickTop="1" x14ac:dyDescent="0.2">
      <c r="H374" s="261"/>
      <c r="I374" s="255"/>
      <c r="J374" s="255"/>
      <c r="K374" s="255"/>
      <c r="L374" s="258"/>
      <c r="M374" s="255"/>
      <c r="N374" s="255"/>
      <c r="O374" s="255"/>
      <c r="P374" s="255"/>
      <c r="Q374" s="255"/>
      <c r="R374" s="255"/>
      <c r="S374" s="255"/>
      <c r="T374" s="255"/>
      <c r="U374" s="255"/>
      <c r="V374" s="255"/>
      <c r="W374" s="255"/>
      <c r="X374" s="255"/>
      <c r="Y374" s="255"/>
      <c r="Z374" s="256"/>
      <c r="AA374" s="76"/>
    </row>
    <row r="375" spans="8:27" ht="13.5" thickBot="1" x14ac:dyDescent="0.25">
      <c r="H375" s="264"/>
      <c r="I375" s="265"/>
      <c r="J375" s="265"/>
      <c r="K375" s="265"/>
      <c r="L375" s="266"/>
      <c r="M375" s="265"/>
      <c r="N375" s="265"/>
      <c r="O375" s="265"/>
      <c r="P375" s="265"/>
      <c r="Q375" s="265"/>
      <c r="R375" s="265"/>
      <c r="S375" s="265"/>
      <c r="T375" s="265"/>
      <c r="U375" s="265"/>
      <c r="V375" s="265"/>
      <c r="W375" s="265"/>
      <c r="X375" s="265"/>
      <c r="Y375" s="265"/>
      <c r="Z375" s="267"/>
      <c r="AA375" s="76"/>
    </row>
    <row r="376" spans="8:27" ht="15" x14ac:dyDescent="0.25">
      <c r="H376" s="76"/>
      <c r="I376" s="76"/>
      <c r="J376" s="85"/>
      <c r="K376" s="76"/>
      <c r="L376" s="123"/>
      <c r="M376" s="76"/>
      <c r="N376" s="76"/>
      <c r="O376" s="76"/>
      <c r="P376" s="76"/>
      <c r="Q376" s="76"/>
      <c r="R376" s="76"/>
      <c r="S376" s="76"/>
      <c r="T376" s="76"/>
      <c r="U376" s="76"/>
      <c r="V376" s="76"/>
      <c r="W376" s="76"/>
      <c r="X376" s="76"/>
      <c r="Y376" s="76"/>
      <c r="Z376" s="76"/>
      <c r="AA376" s="76"/>
    </row>
    <row r="377" spans="8:27" ht="15" x14ac:dyDescent="0.25">
      <c r="H377" s="76"/>
      <c r="I377" s="76"/>
      <c r="J377" s="85"/>
      <c r="K377" s="76"/>
      <c r="L377" s="123"/>
      <c r="M377" s="76"/>
      <c r="N377" s="76"/>
      <c r="O377" s="76"/>
      <c r="P377" s="76"/>
      <c r="Q377" s="76"/>
      <c r="R377" s="76"/>
      <c r="S377" s="76"/>
      <c r="T377" s="76"/>
      <c r="U377" s="76"/>
      <c r="V377" s="76"/>
      <c r="W377" s="76"/>
      <c r="X377" s="76"/>
      <c r="Y377" s="76"/>
      <c r="Z377" s="76"/>
      <c r="AA377" s="76"/>
    </row>
    <row r="378" spans="8:27" ht="15" x14ac:dyDescent="0.25">
      <c r="H378" s="76"/>
      <c r="I378" s="76"/>
      <c r="J378" s="85"/>
      <c r="K378" s="76"/>
      <c r="L378" s="123"/>
      <c r="M378" s="76"/>
      <c r="N378" s="76"/>
      <c r="O378" s="76"/>
      <c r="P378" s="76"/>
      <c r="Q378" s="76"/>
      <c r="R378" s="76"/>
      <c r="S378" s="76"/>
      <c r="T378" s="76"/>
      <c r="U378" s="76"/>
      <c r="V378" s="76"/>
      <c r="W378" s="76"/>
      <c r="X378" s="76"/>
      <c r="Y378" s="76"/>
      <c r="Z378" s="76"/>
      <c r="AA378" s="76"/>
    </row>
    <row r="379" spans="8:27" ht="15" x14ac:dyDescent="0.25">
      <c r="H379" s="76"/>
      <c r="I379" s="76"/>
      <c r="J379" s="85"/>
      <c r="K379" s="76"/>
      <c r="L379" s="123"/>
      <c r="M379" s="76"/>
      <c r="N379" s="76"/>
      <c r="O379" s="76"/>
      <c r="P379" s="76"/>
      <c r="Q379" s="76"/>
      <c r="R379" s="76"/>
      <c r="S379" s="76"/>
      <c r="T379" s="76"/>
      <c r="U379" s="76"/>
      <c r="V379" s="76"/>
      <c r="W379" s="76"/>
      <c r="X379" s="76"/>
      <c r="Y379" s="76"/>
      <c r="Z379" s="76"/>
      <c r="AA379" s="76"/>
    </row>
    <row r="380" spans="8:27" x14ac:dyDescent="0.2">
      <c r="H380" s="76"/>
      <c r="I380" s="76"/>
      <c r="J380" s="87"/>
      <c r="K380" s="76"/>
      <c r="L380" s="123"/>
      <c r="M380" s="76"/>
      <c r="N380" s="76"/>
      <c r="O380" s="76"/>
      <c r="P380" s="76"/>
      <c r="Q380" s="76"/>
      <c r="R380" s="76"/>
      <c r="S380" s="76"/>
      <c r="T380" s="76"/>
      <c r="U380" s="76"/>
      <c r="V380" s="76"/>
      <c r="W380" s="76"/>
      <c r="X380" s="76"/>
      <c r="Y380" s="76"/>
      <c r="Z380" s="76"/>
      <c r="AA380" s="76"/>
    </row>
    <row r="381" spans="8:27" x14ac:dyDescent="0.2">
      <c r="H381" s="76"/>
      <c r="I381" s="76"/>
      <c r="J381" s="76"/>
      <c r="K381" s="76"/>
      <c r="L381" s="123"/>
      <c r="M381" s="76"/>
      <c r="N381" s="76"/>
      <c r="O381" s="76"/>
      <c r="P381" s="76"/>
      <c r="Q381" s="76"/>
      <c r="R381" s="76"/>
      <c r="S381" s="76"/>
      <c r="T381" s="76"/>
      <c r="U381" s="76"/>
      <c r="V381" s="76"/>
      <c r="W381" s="76"/>
      <c r="X381" s="76"/>
      <c r="Y381" s="76"/>
      <c r="Z381" s="76"/>
      <c r="AA381" s="76"/>
    </row>
    <row r="382" spans="8:27" x14ac:dyDescent="0.2">
      <c r="H382" s="76"/>
      <c r="I382" s="76"/>
      <c r="J382" s="76"/>
      <c r="K382" s="76"/>
      <c r="L382" s="123"/>
      <c r="M382" s="76"/>
      <c r="N382" s="76"/>
      <c r="O382" s="76"/>
      <c r="P382" s="76"/>
      <c r="Q382" s="76"/>
      <c r="R382" s="76"/>
      <c r="S382" s="76"/>
      <c r="T382" s="76"/>
      <c r="U382" s="76"/>
      <c r="V382" s="76"/>
      <c r="W382" s="76"/>
      <c r="X382" s="76"/>
      <c r="Y382" s="76"/>
      <c r="Z382" s="76"/>
      <c r="AA382" s="76"/>
    </row>
    <row r="383" spans="8:27" x14ac:dyDescent="0.2">
      <c r="H383" s="76"/>
      <c r="I383" s="76"/>
      <c r="J383" s="76"/>
      <c r="K383" s="2" t="s">
        <v>183</v>
      </c>
      <c r="O383" s="76"/>
      <c r="P383" s="76"/>
      <c r="Q383" s="76"/>
      <c r="R383" s="76"/>
      <c r="S383" s="76"/>
      <c r="T383" s="76"/>
      <c r="U383" s="76"/>
      <c r="V383" s="76"/>
      <c r="W383" s="76"/>
      <c r="X383" s="76"/>
      <c r="Y383" s="76"/>
      <c r="Z383" s="76"/>
      <c r="AA383" s="76"/>
    </row>
    <row r="384" spans="8:27" ht="15" x14ac:dyDescent="0.25">
      <c r="H384" s="76"/>
      <c r="I384" s="76"/>
      <c r="J384" s="76"/>
      <c r="K384" s="69" t="s">
        <v>160</v>
      </c>
      <c r="L384" s="224">
        <f>+L293</f>
        <v>2952333</v>
      </c>
      <c r="M384" s="76"/>
      <c r="O384" s="76"/>
      <c r="P384" s="76"/>
      <c r="Q384" s="76"/>
      <c r="R384" s="76"/>
      <c r="S384" s="76"/>
      <c r="T384" s="76"/>
      <c r="U384" s="76"/>
      <c r="V384" s="76"/>
      <c r="W384" s="76"/>
      <c r="X384" s="76"/>
      <c r="Y384" s="76"/>
      <c r="Z384" s="76"/>
      <c r="AA384" s="76"/>
    </row>
    <row r="385" spans="8:27" ht="15" x14ac:dyDescent="0.25">
      <c r="H385" s="76"/>
      <c r="I385" s="76"/>
      <c r="J385" s="76"/>
      <c r="K385" s="69" t="s">
        <v>161</v>
      </c>
      <c r="L385" s="5">
        <f>+L287</f>
        <v>5294272</v>
      </c>
      <c r="M385" s="76"/>
      <c r="N385" s="5"/>
      <c r="O385" s="76"/>
      <c r="P385" s="76"/>
      <c r="Q385" s="76"/>
      <c r="R385" s="76"/>
      <c r="S385" s="76"/>
      <c r="T385" s="76"/>
      <c r="U385" s="76"/>
      <c r="V385" s="76"/>
      <c r="W385" s="76"/>
      <c r="X385" s="76"/>
      <c r="Y385" s="76"/>
      <c r="Z385" s="76"/>
      <c r="AA385" s="76"/>
    </row>
    <row r="386" spans="8:27" ht="15" x14ac:dyDescent="0.25">
      <c r="H386" s="76"/>
      <c r="I386" s="76"/>
      <c r="J386" s="76"/>
      <c r="K386" s="69" t="s">
        <v>162</v>
      </c>
      <c r="L386" s="5">
        <f>+L289</f>
        <v>3507138</v>
      </c>
      <c r="M386" s="76"/>
      <c r="N386" s="5"/>
      <c r="O386" s="76"/>
      <c r="P386" s="76"/>
      <c r="Q386" s="76"/>
      <c r="R386" s="76"/>
      <c r="S386" s="76"/>
      <c r="T386" s="76"/>
      <c r="U386" s="76"/>
      <c r="V386" s="76"/>
      <c r="W386" s="76"/>
      <c r="X386" s="76"/>
      <c r="Y386" s="76"/>
      <c r="Z386" s="76"/>
      <c r="AA386" s="76"/>
    </row>
    <row r="387" spans="8:27" ht="15" x14ac:dyDescent="0.25">
      <c r="H387" s="76"/>
      <c r="I387" s="76"/>
      <c r="J387" s="76"/>
      <c r="K387" s="69" t="s">
        <v>46</v>
      </c>
      <c r="L387" s="5">
        <f>+L40</f>
        <v>753856.97499999998</v>
      </c>
      <c r="M387" s="76"/>
      <c r="O387" s="76"/>
      <c r="P387" s="76"/>
      <c r="Q387" s="76"/>
      <c r="R387" s="76"/>
      <c r="S387" s="76"/>
      <c r="T387" s="76"/>
      <c r="U387" s="76"/>
      <c r="V387" s="76"/>
      <c r="W387" s="76"/>
      <c r="X387" s="76"/>
      <c r="Y387" s="76"/>
      <c r="Z387" s="76"/>
      <c r="AA387" s="76"/>
    </row>
    <row r="388" spans="8:27" ht="15" x14ac:dyDescent="0.25">
      <c r="H388" s="76"/>
      <c r="I388" s="76"/>
      <c r="J388" s="76"/>
      <c r="K388" s="69" t="s">
        <v>7</v>
      </c>
      <c r="L388" s="5">
        <f>+L41</f>
        <v>151916.21499999997</v>
      </c>
      <c r="M388" s="76"/>
      <c r="O388" s="76"/>
      <c r="P388" s="76"/>
      <c r="Q388" s="76"/>
      <c r="R388" s="76"/>
      <c r="S388" s="76"/>
      <c r="T388" s="76"/>
      <c r="U388" s="76"/>
      <c r="V388" s="76"/>
      <c r="W388" s="76"/>
      <c r="X388" s="76"/>
      <c r="Y388" s="76"/>
      <c r="Z388" s="76"/>
      <c r="AA388" s="76"/>
    </row>
    <row r="389" spans="8:27" ht="15" x14ac:dyDescent="0.25">
      <c r="H389" s="76"/>
      <c r="I389" s="76"/>
      <c r="J389" s="76"/>
      <c r="K389" s="69" t="s">
        <v>4</v>
      </c>
      <c r="L389" s="5">
        <f>+L42</f>
        <v>91468.214999999967</v>
      </c>
      <c r="M389" s="76"/>
      <c r="O389" s="76"/>
      <c r="P389" s="76"/>
      <c r="Q389" s="76"/>
      <c r="R389" s="76"/>
      <c r="S389" s="76"/>
      <c r="T389" s="76"/>
      <c r="U389" s="76"/>
      <c r="V389" s="76"/>
      <c r="W389" s="76"/>
      <c r="X389" s="76"/>
      <c r="Y389" s="76"/>
      <c r="Z389" s="76"/>
      <c r="AA389" s="76"/>
    </row>
    <row r="390" spans="8:27" ht="15" x14ac:dyDescent="0.25">
      <c r="H390" s="76"/>
      <c r="I390" s="76"/>
      <c r="J390" s="76"/>
      <c r="K390" s="69" t="s">
        <v>147</v>
      </c>
      <c r="L390" s="224">
        <f>+L346</f>
        <v>1186</v>
      </c>
      <c r="M390" s="76"/>
      <c r="O390" s="76"/>
      <c r="P390" s="76"/>
      <c r="Q390" s="76"/>
      <c r="R390" s="76"/>
      <c r="S390" s="76"/>
      <c r="T390" s="76"/>
      <c r="U390" s="76"/>
      <c r="V390" s="76"/>
      <c r="W390" s="76"/>
      <c r="X390" s="76"/>
      <c r="Y390" s="76"/>
      <c r="Z390" s="76"/>
      <c r="AA390" s="76"/>
    </row>
    <row r="391" spans="8:27" ht="15" x14ac:dyDescent="0.25">
      <c r="H391" s="76"/>
      <c r="I391" s="76"/>
      <c r="J391" s="76"/>
      <c r="K391" s="69" t="s">
        <v>163</v>
      </c>
      <c r="L391" s="224">
        <v>4218</v>
      </c>
      <c r="M391" s="76"/>
      <c r="O391" s="76"/>
      <c r="P391" s="76"/>
      <c r="Q391" s="76"/>
      <c r="R391" s="76"/>
      <c r="S391" s="76"/>
      <c r="T391" s="76"/>
      <c r="U391" s="76"/>
      <c r="V391" s="76"/>
      <c r="W391" s="76"/>
      <c r="X391" s="76"/>
      <c r="Y391" s="76"/>
      <c r="Z391" s="76"/>
      <c r="AA391" s="76"/>
    </row>
    <row r="392" spans="8:27" x14ac:dyDescent="0.2">
      <c r="H392" s="76"/>
      <c r="I392" s="76"/>
      <c r="J392" s="76"/>
      <c r="K392" s="76"/>
      <c r="L392" s="123"/>
      <c r="M392" s="76"/>
      <c r="N392" s="76"/>
      <c r="O392" s="76"/>
      <c r="P392" s="76"/>
      <c r="Q392" s="76"/>
      <c r="R392" s="76"/>
      <c r="S392" s="76"/>
      <c r="T392" s="76"/>
      <c r="U392" s="76"/>
      <c r="V392" s="76"/>
      <c r="W392" s="76"/>
      <c r="X392" s="76"/>
      <c r="Y392" s="76"/>
      <c r="Z392" s="76"/>
      <c r="AA392" s="76"/>
    </row>
    <row r="393" spans="8:27" x14ac:dyDescent="0.2">
      <c r="H393" s="76"/>
      <c r="I393" s="76"/>
      <c r="J393" s="76"/>
      <c r="K393" s="76"/>
      <c r="L393" s="123"/>
      <c r="M393" s="76"/>
      <c r="N393" s="76"/>
      <c r="O393" s="76"/>
      <c r="P393" s="76"/>
      <c r="Q393" s="76"/>
      <c r="R393" s="76"/>
      <c r="S393" s="76"/>
      <c r="T393" s="76"/>
      <c r="U393" s="76"/>
      <c r="V393" s="76"/>
      <c r="W393" s="76"/>
      <c r="X393" s="76"/>
      <c r="Y393" s="76"/>
      <c r="Z393" s="76"/>
      <c r="AA393" s="76"/>
    </row>
    <row r="394" spans="8:27" x14ac:dyDescent="0.2">
      <c r="H394" s="76"/>
      <c r="I394" s="76"/>
      <c r="J394" s="76"/>
      <c r="K394" s="76"/>
      <c r="L394" s="123"/>
      <c r="M394" s="76"/>
      <c r="N394" s="76"/>
      <c r="O394" s="76"/>
      <c r="P394" s="76"/>
      <c r="Q394" s="76"/>
      <c r="R394" s="76"/>
      <c r="S394" s="76"/>
      <c r="T394" s="76"/>
      <c r="U394" s="76"/>
      <c r="V394" s="76"/>
      <c r="W394" s="76"/>
      <c r="X394" s="76"/>
      <c r="Y394" s="76"/>
      <c r="Z394" s="76"/>
      <c r="AA394" s="76"/>
    </row>
    <row r="395" spans="8:27" x14ac:dyDescent="0.2">
      <c r="H395" s="76"/>
      <c r="I395" s="76"/>
      <c r="J395" s="76"/>
      <c r="K395" s="76"/>
      <c r="L395" s="123"/>
      <c r="M395" s="76"/>
      <c r="N395" s="76"/>
      <c r="O395" s="76"/>
      <c r="P395" s="76"/>
      <c r="Q395" s="76"/>
      <c r="R395" s="76"/>
      <c r="S395" s="76"/>
      <c r="T395" s="76"/>
      <c r="U395" s="76"/>
      <c r="V395" s="76"/>
      <c r="W395" s="76"/>
      <c r="X395" s="76"/>
      <c r="Y395" s="76"/>
      <c r="Z395" s="76"/>
      <c r="AA395" s="76"/>
    </row>
    <row r="396" spans="8:27" x14ac:dyDescent="0.2">
      <c r="H396" s="76"/>
      <c r="I396" s="76"/>
      <c r="J396" s="76"/>
      <c r="K396" s="76"/>
      <c r="L396" s="123"/>
      <c r="M396" s="76"/>
      <c r="N396" s="76"/>
      <c r="O396" s="76"/>
      <c r="P396" s="76"/>
      <c r="Q396" s="76"/>
      <c r="R396" s="76"/>
      <c r="S396" s="76"/>
      <c r="T396" s="76"/>
      <c r="U396" s="76"/>
      <c r="V396" s="76"/>
      <c r="W396" s="76"/>
      <c r="X396" s="76"/>
      <c r="Y396" s="76"/>
      <c r="Z396" s="76"/>
      <c r="AA396" s="76"/>
    </row>
    <row r="397" spans="8:27" x14ac:dyDescent="0.2">
      <c r="H397" s="76"/>
      <c r="I397" s="2" t="s">
        <v>164</v>
      </c>
      <c r="J397" s="224">
        <f>+J287</f>
        <v>0</v>
      </c>
      <c r="K397" s="224">
        <f>+K287</f>
        <v>0</v>
      </c>
      <c r="L397" s="224">
        <f>+L287</f>
        <v>5294272</v>
      </c>
      <c r="M397" s="224">
        <f>+M287</f>
        <v>5294272</v>
      </c>
      <c r="N397" s="76"/>
      <c r="O397" s="76"/>
      <c r="P397" s="76"/>
      <c r="Q397" s="76"/>
      <c r="R397" s="76"/>
      <c r="S397" s="76"/>
      <c r="T397" s="76"/>
      <c r="U397" s="76"/>
      <c r="V397" s="76"/>
      <c r="W397" s="76"/>
      <c r="X397" s="76"/>
      <c r="Y397" s="76"/>
      <c r="Z397" s="76"/>
      <c r="AA397" s="76"/>
    </row>
    <row r="398" spans="8:27" x14ac:dyDescent="0.2">
      <c r="H398" s="76"/>
      <c r="I398" s="2" t="s">
        <v>165</v>
      </c>
      <c r="J398" s="224">
        <f>+J289</f>
        <v>0</v>
      </c>
      <c r="K398" s="224">
        <f>+K289</f>
        <v>0</v>
      </c>
      <c r="L398" s="224">
        <f>+L289</f>
        <v>3507138</v>
      </c>
      <c r="M398" s="224">
        <f>+M289</f>
        <v>3416076.5216000001</v>
      </c>
      <c r="N398" s="76"/>
      <c r="O398" s="76"/>
      <c r="P398" s="76"/>
      <c r="Q398" s="76"/>
      <c r="R398" s="76"/>
      <c r="S398" s="76"/>
      <c r="T398" s="76"/>
      <c r="U398" s="76"/>
      <c r="V398" s="76"/>
      <c r="W398" s="76"/>
      <c r="X398" s="76"/>
      <c r="Y398" s="76"/>
      <c r="Z398" s="76"/>
      <c r="AA398" s="76"/>
    </row>
    <row r="399" spans="8:27" x14ac:dyDescent="0.2">
      <c r="H399" s="76"/>
      <c r="I399" s="76"/>
      <c r="N399" s="76"/>
      <c r="O399" s="76"/>
      <c r="P399" s="76"/>
      <c r="Q399" s="76"/>
      <c r="R399" s="76"/>
      <c r="S399" s="76"/>
      <c r="T399" s="76"/>
      <c r="U399" s="76"/>
      <c r="V399" s="76"/>
      <c r="W399" s="76"/>
      <c r="X399" s="76"/>
      <c r="Y399" s="76"/>
      <c r="Z399" s="76"/>
      <c r="AA399" s="76"/>
    </row>
    <row r="400" spans="8:27" x14ac:dyDescent="0.2">
      <c r="I400" s="2" t="s">
        <v>166</v>
      </c>
      <c r="J400" s="224">
        <f>+J346</f>
        <v>1186</v>
      </c>
      <c r="K400" s="224">
        <f>+K346</f>
        <v>1186</v>
      </c>
      <c r="L400" s="224">
        <f>+L346</f>
        <v>1186</v>
      </c>
      <c r="M400" s="224">
        <f>+M346</f>
        <v>1192</v>
      </c>
      <c r="R400" s="76"/>
      <c r="S400" s="76"/>
      <c r="T400" s="76"/>
      <c r="U400" s="76"/>
      <c r="V400" s="76"/>
      <c r="W400" s="76"/>
      <c r="X400" s="76"/>
      <c r="Y400" s="76"/>
      <c r="Z400" s="76"/>
      <c r="AA400" s="76"/>
    </row>
    <row r="401" spans="5:27" x14ac:dyDescent="0.2">
      <c r="W401" s="76"/>
      <c r="X401" s="76"/>
      <c r="Y401" s="76"/>
      <c r="Z401" s="76"/>
      <c r="AA401" s="76"/>
    </row>
    <row r="402" spans="5:27" x14ac:dyDescent="0.2">
      <c r="W402" s="76"/>
      <c r="X402" s="76"/>
      <c r="Y402" s="76"/>
      <c r="Z402" s="76"/>
      <c r="AA402" s="76"/>
    </row>
    <row r="403" spans="5:27" ht="15" x14ac:dyDescent="0.25">
      <c r="E403" s="13"/>
      <c r="F403" s="13"/>
      <c r="G403" s="13"/>
      <c r="H403" s="88">
        <f>+H19</f>
        <v>2013</v>
      </c>
      <c r="I403" s="88">
        <f>+I19</f>
        <v>2014</v>
      </c>
      <c r="J403" s="88">
        <f>+J19</f>
        <v>2015</v>
      </c>
      <c r="K403" s="88">
        <f>+K19</f>
        <v>2016</v>
      </c>
      <c r="L403" s="88">
        <f>+L19</f>
        <v>2017</v>
      </c>
      <c r="M403" s="88">
        <f>+M19</f>
        <v>2018</v>
      </c>
      <c r="N403" s="13"/>
      <c r="O403" s="13"/>
      <c r="P403" s="13"/>
      <c r="Q403" s="13"/>
      <c r="R403" s="13"/>
      <c r="S403" s="13"/>
      <c r="T403" s="13"/>
      <c r="U403" s="13"/>
      <c r="V403" s="13"/>
      <c r="W403" s="76"/>
      <c r="X403" s="76"/>
      <c r="Y403" s="76"/>
      <c r="Z403" s="76"/>
      <c r="AA403" s="76"/>
    </row>
    <row r="404" spans="5:27" ht="15" x14ac:dyDescent="0.25">
      <c r="E404" s="13"/>
      <c r="F404" s="13"/>
      <c r="G404" s="13"/>
      <c r="J404" s="13"/>
      <c r="K404" s="13"/>
      <c r="L404" s="13"/>
      <c r="M404" s="13"/>
      <c r="N404" s="13"/>
      <c r="O404" s="89"/>
      <c r="P404" s="13"/>
      <c r="Q404" s="13"/>
      <c r="R404" s="13"/>
      <c r="S404" s="13"/>
      <c r="T404" s="13"/>
      <c r="U404" s="13"/>
      <c r="V404" s="13"/>
      <c r="W404" s="76"/>
      <c r="X404" s="76"/>
      <c r="Y404" s="76"/>
      <c r="Z404" s="76"/>
      <c r="AA404" s="76"/>
    </row>
    <row r="405" spans="5:27" ht="15" x14ac:dyDescent="0.25">
      <c r="E405" s="13"/>
      <c r="F405" s="13"/>
      <c r="G405" s="13"/>
      <c r="J405" s="13"/>
      <c r="K405" s="13"/>
      <c r="L405" s="13"/>
      <c r="M405" s="13"/>
      <c r="N405" s="13"/>
      <c r="O405" s="89"/>
      <c r="P405" s="13"/>
      <c r="Q405" s="13"/>
      <c r="R405" s="13"/>
      <c r="S405" s="13"/>
      <c r="T405" s="13"/>
      <c r="U405" s="13"/>
      <c r="V405" s="13"/>
      <c r="W405" s="76"/>
      <c r="X405" s="76"/>
      <c r="Y405" s="76"/>
      <c r="Z405" s="76"/>
      <c r="AA405" s="76"/>
    </row>
    <row r="406" spans="5:27" ht="15" x14ac:dyDescent="0.25">
      <c r="E406" s="13"/>
      <c r="F406" s="13"/>
      <c r="G406" s="13" t="s">
        <v>32</v>
      </c>
      <c r="H406" s="2">
        <v>0</v>
      </c>
      <c r="I406" s="2">
        <v>0</v>
      </c>
      <c r="J406" s="2">
        <v>0</v>
      </c>
      <c r="K406" s="268">
        <f>+K415</f>
        <v>72772</v>
      </c>
      <c r="L406" s="268">
        <f>+K406*(1+$AC$28)</f>
        <v>74227.44</v>
      </c>
      <c r="M406" s="268">
        <f t="shared" ref="M406:M408" si="105">+L406*(1+$AC$28)</f>
        <v>75711.988800000006</v>
      </c>
      <c r="N406" s="13"/>
      <c r="O406" s="90"/>
      <c r="P406" s="13">
        <v>0.15</v>
      </c>
      <c r="Q406" s="13"/>
      <c r="R406" s="13" t="s">
        <v>32</v>
      </c>
      <c r="S406" s="151" t="s">
        <v>33</v>
      </c>
      <c r="T406" s="152"/>
      <c r="U406" s="153" t="s">
        <v>34</v>
      </c>
      <c r="V406" s="154">
        <v>0.15</v>
      </c>
      <c r="W406" s="13">
        <v>0.15</v>
      </c>
      <c r="X406" s="76"/>
      <c r="Y406" s="76"/>
      <c r="Z406" s="76"/>
      <c r="AA406" s="76"/>
    </row>
    <row r="407" spans="5:27" ht="15" x14ac:dyDescent="0.25">
      <c r="E407" s="13"/>
      <c r="F407" s="13"/>
      <c r="G407" s="13" t="s">
        <v>35</v>
      </c>
      <c r="H407" s="2">
        <v>0</v>
      </c>
      <c r="I407" s="2">
        <v>0</v>
      </c>
      <c r="J407" s="2">
        <v>0</v>
      </c>
      <c r="K407" s="268">
        <f>+K424</f>
        <v>83870</v>
      </c>
      <c r="L407" s="268">
        <f t="shared" ref="L407:L408" si="106">+K407*(1+$AC$28)</f>
        <v>85547.400000000009</v>
      </c>
      <c r="M407" s="268">
        <f t="shared" si="105"/>
        <v>87258.348000000013</v>
      </c>
      <c r="N407" s="13"/>
      <c r="O407" s="90"/>
      <c r="P407" s="13">
        <v>0.5</v>
      </c>
      <c r="Q407" s="91"/>
      <c r="R407" s="13" t="s">
        <v>35</v>
      </c>
      <c r="S407" s="151" t="s">
        <v>36</v>
      </c>
      <c r="T407" s="152"/>
      <c r="U407" s="153" t="s">
        <v>37</v>
      </c>
      <c r="V407" s="154">
        <v>0.5</v>
      </c>
      <c r="W407" s="13">
        <v>0.5</v>
      </c>
      <c r="X407" s="76"/>
      <c r="Y407" s="76"/>
      <c r="Z407" s="76"/>
      <c r="AA407" s="76"/>
    </row>
    <row r="408" spans="5:27" ht="15" x14ac:dyDescent="0.25">
      <c r="G408" s="13" t="s">
        <v>38</v>
      </c>
      <c r="H408" s="2">
        <v>0</v>
      </c>
      <c r="I408" s="2">
        <v>0</v>
      </c>
      <c r="J408" s="2">
        <v>0</v>
      </c>
      <c r="K408" s="268">
        <f>+K419</f>
        <v>13844</v>
      </c>
      <c r="L408" s="268">
        <f t="shared" si="106"/>
        <v>14120.880000000001</v>
      </c>
      <c r="M408" s="268">
        <f t="shared" si="105"/>
        <v>14403.297600000002</v>
      </c>
      <c r="Q408" s="13"/>
      <c r="R408" s="13" t="s">
        <v>38</v>
      </c>
      <c r="S408" s="151" t="s">
        <v>39</v>
      </c>
      <c r="T408" s="152"/>
      <c r="U408" s="153" t="s">
        <v>40</v>
      </c>
      <c r="V408" s="154">
        <v>0.1</v>
      </c>
      <c r="W408" s="13">
        <v>0.1</v>
      </c>
      <c r="X408" s="76"/>
      <c r="Y408" s="76"/>
      <c r="Z408" s="76"/>
      <c r="AA408" s="76"/>
    </row>
    <row r="409" spans="5:27" ht="15" x14ac:dyDescent="0.25">
      <c r="G409" s="13"/>
      <c r="H409" s="13"/>
      <c r="I409" s="13"/>
      <c r="J409" s="13"/>
      <c r="K409" s="13"/>
      <c r="M409" s="13"/>
      <c r="P409" s="15"/>
      <c r="Q409" s="13"/>
      <c r="R409" s="13"/>
      <c r="S409" s="13"/>
      <c r="T409" s="13"/>
      <c r="U409" s="13"/>
      <c r="V409" s="13"/>
      <c r="W409" s="76"/>
      <c r="X409" s="76"/>
      <c r="Y409" s="76"/>
      <c r="Z409" s="76"/>
      <c r="AA409" s="76"/>
    </row>
    <row r="410" spans="5:27" ht="15" x14ac:dyDescent="0.25">
      <c r="G410" s="13"/>
      <c r="H410" s="13"/>
      <c r="I410" s="13"/>
      <c r="J410" s="13"/>
      <c r="K410" s="13"/>
      <c r="M410" s="13"/>
      <c r="P410" s="15"/>
      <c r="Q410" s="13"/>
      <c r="R410" s="13"/>
      <c r="S410" s="13"/>
      <c r="T410" s="13"/>
      <c r="U410" s="13"/>
      <c r="V410" s="13"/>
      <c r="W410" s="76"/>
      <c r="X410" s="76"/>
      <c r="Y410" s="76"/>
      <c r="Z410" s="76"/>
      <c r="AA410" s="76"/>
    </row>
    <row r="411" spans="5:27" ht="15" x14ac:dyDescent="0.25">
      <c r="G411" s="13"/>
      <c r="H411" s="13"/>
      <c r="I411" s="13"/>
      <c r="J411" s="13"/>
      <c r="K411" s="13"/>
      <c r="L411" s="13"/>
      <c r="M411" s="13"/>
      <c r="P411" s="15"/>
      <c r="Q411" s="13"/>
      <c r="R411" s="13"/>
      <c r="S411" s="13"/>
      <c r="T411" s="13"/>
      <c r="U411" s="13"/>
      <c r="V411" s="13"/>
      <c r="W411" s="76"/>
      <c r="X411" s="76"/>
      <c r="Y411" s="76"/>
      <c r="Z411" s="76"/>
      <c r="AA411" s="76"/>
    </row>
    <row r="412" spans="5:27" ht="15" x14ac:dyDescent="0.25">
      <c r="G412" s="92" t="s">
        <v>167</v>
      </c>
      <c r="H412" s="93"/>
      <c r="I412" s="93"/>
      <c r="J412" s="93"/>
      <c r="K412" s="93"/>
      <c r="L412" s="269"/>
      <c r="M412" s="93"/>
      <c r="N412" s="270"/>
      <c r="P412" s="15"/>
      <c r="Q412" s="13"/>
      <c r="R412" s="13"/>
      <c r="S412" s="13"/>
      <c r="T412" s="13"/>
      <c r="U412" s="13"/>
      <c r="V412" s="13"/>
      <c r="W412" s="76"/>
      <c r="X412" s="76"/>
      <c r="Y412" s="76"/>
      <c r="Z412" s="76"/>
      <c r="AA412" s="76"/>
    </row>
    <row r="413" spans="5:27" ht="15" x14ac:dyDescent="0.25">
      <c r="G413" s="94"/>
      <c r="H413" s="13"/>
      <c r="I413" s="13"/>
      <c r="J413" s="13"/>
      <c r="K413" s="13"/>
      <c r="L413" s="13"/>
      <c r="M413" s="13"/>
      <c r="N413" s="271"/>
      <c r="P413" s="15"/>
      <c r="Q413" s="13"/>
      <c r="R413" s="13"/>
      <c r="S413" s="13"/>
      <c r="T413" s="13"/>
      <c r="U413" s="13"/>
      <c r="V413" s="13"/>
      <c r="W413" s="76"/>
      <c r="X413" s="76"/>
      <c r="Y413" s="76"/>
      <c r="Z413" s="76"/>
      <c r="AA413" s="76"/>
    </row>
    <row r="414" spans="5:27" ht="15" x14ac:dyDescent="0.25">
      <c r="G414" s="272"/>
      <c r="H414" s="4"/>
      <c r="I414" s="4"/>
      <c r="J414" s="4"/>
      <c r="K414" s="4"/>
      <c r="L414" s="4"/>
      <c r="M414" s="4"/>
      <c r="N414" s="271"/>
      <c r="P414" s="15"/>
      <c r="Q414" s="13"/>
      <c r="R414" s="13"/>
      <c r="S414" s="13"/>
      <c r="T414" s="13"/>
      <c r="U414" s="13"/>
      <c r="V414" s="13"/>
      <c r="W414" s="76"/>
      <c r="X414" s="76"/>
      <c r="Y414" s="76"/>
      <c r="Z414" s="76"/>
      <c r="AA414" s="76"/>
    </row>
    <row r="415" spans="5:27" ht="15" x14ac:dyDescent="0.25">
      <c r="G415" s="95" t="s">
        <v>168</v>
      </c>
      <c r="H415" s="96" t="s">
        <v>169</v>
      </c>
      <c r="I415" s="4"/>
      <c r="J415" s="96"/>
      <c r="K415" s="97">
        <v>72772</v>
      </c>
      <c r="L415" s="4"/>
      <c r="M415" s="4"/>
      <c r="N415" s="271"/>
      <c r="P415" s="15"/>
      <c r="Q415" s="13"/>
      <c r="R415" s="13"/>
      <c r="S415" s="13"/>
      <c r="T415" s="13"/>
      <c r="U415" s="13"/>
      <c r="V415" s="13"/>
      <c r="W415" s="76"/>
      <c r="X415" s="76"/>
      <c r="Y415" s="76"/>
      <c r="Z415" s="76"/>
      <c r="AA415" s="76"/>
    </row>
    <row r="416" spans="5:27" ht="15" x14ac:dyDescent="0.25">
      <c r="G416" s="95"/>
      <c r="H416" s="96"/>
      <c r="I416" s="4"/>
      <c r="J416" s="96"/>
      <c r="K416" s="97"/>
      <c r="L416" s="4"/>
      <c r="M416" s="4"/>
      <c r="N416" s="271"/>
      <c r="P416" s="15"/>
      <c r="Q416" s="13"/>
      <c r="R416" s="13"/>
      <c r="S416" s="13"/>
      <c r="T416" s="13"/>
      <c r="U416" s="13"/>
      <c r="V416" s="13"/>
      <c r="W416" s="76"/>
      <c r="X416" s="76"/>
      <c r="Y416" s="76"/>
      <c r="Z416" s="76"/>
      <c r="AA416" s="76"/>
    </row>
    <row r="417" spans="7:27" ht="15" x14ac:dyDescent="0.25">
      <c r="G417" s="95" t="s">
        <v>170</v>
      </c>
      <c r="H417" s="96" t="s">
        <v>171</v>
      </c>
      <c r="I417" s="4"/>
      <c r="J417" s="96"/>
      <c r="K417" s="97">
        <v>4364</v>
      </c>
      <c r="L417" s="4"/>
      <c r="M417" s="4"/>
      <c r="N417" s="271"/>
      <c r="P417" s="15"/>
      <c r="Q417" s="13"/>
      <c r="R417" s="13"/>
      <c r="S417" s="13"/>
      <c r="T417" s="13"/>
      <c r="U417" s="13"/>
      <c r="V417" s="13"/>
      <c r="W417" s="76"/>
      <c r="X417" s="76"/>
      <c r="Y417" s="76"/>
      <c r="Z417" s="76"/>
      <c r="AA417" s="76"/>
    </row>
    <row r="418" spans="7:27" ht="15" x14ac:dyDescent="0.25">
      <c r="G418" s="95" t="s">
        <v>170</v>
      </c>
      <c r="H418" s="96" t="s">
        <v>39</v>
      </c>
      <c r="I418" s="4"/>
      <c r="J418" s="96"/>
      <c r="K418" s="97">
        <v>9480</v>
      </c>
      <c r="L418" s="4"/>
      <c r="M418" s="4"/>
      <c r="N418" s="271"/>
      <c r="P418" s="15"/>
      <c r="Q418" s="13"/>
      <c r="R418" s="13"/>
      <c r="S418" s="13"/>
      <c r="T418" s="13"/>
      <c r="U418" s="13"/>
      <c r="V418" s="13"/>
      <c r="W418" s="76"/>
      <c r="X418" s="76"/>
      <c r="Y418" s="76"/>
      <c r="Z418" s="76"/>
      <c r="AA418" s="76"/>
    </row>
    <row r="419" spans="7:27" ht="15.75" thickBot="1" x14ac:dyDescent="0.3">
      <c r="G419" s="95"/>
      <c r="H419" s="96"/>
      <c r="I419" s="4"/>
      <c r="J419" s="96"/>
      <c r="K419" s="98">
        <v>13844</v>
      </c>
      <c r="L419" s="4"/>
      <c r="M419" s="4"/>
      <c r="N419" s="271"/>
      <c r="P419" s="15"/>
      <c r="Q419" s="13"/>
      <c r="R419" s="13"/>
      <c r="S419" s="13"/>
      <c r="T419" s="13"/>
      <c r="U419" s="13"/>
      <c r="V419" s="13"/>
      <c r="W419" s="76"/>
      <c r="X419" s="76"/>
      <c r="Y419" s="76"/>
      <c r="Z419" s="76"/>
      <c r="AA419" s="76"/>
    </row>
    <row r="420" spans="7:27" ht="15.75" thickTop="1" x14ac:dyDescent="0.25">
      <c r="G420" s="95"/>
      <c r="H420" s="96"/>
      <c r="I420" s="4"/>
      <c r="J420" s="96"/>
      <c r="K420" s="97"/>
      <c r="L420" s="4"/>
      <c r="M420" s="4"/>
      <c r="N420" s="271"/>
      <c r="P420" s="15"/>
      <c r="Q420" s="13"/>
      <c r="R420" s="13"/>
      <c r="S420" s="13"/>
      <c r="T420" s="13"/>
      <c r="U420" s="13"/>
      <c r="V420" s="13"/>
      <c r="W420" s="76"/>
      <c r="X420" s="76"/>
      <c r="Y420" s="76"/>
      <c r="Z420" s="76"/>
      <c r="AA420" s="76"/>
    </row>
    <row r="421" spans="7:27" ht="15" x14ac:dyDescent="0.25">
      <c r="G421" s="95" t="s">
        <v>172</v>
      </c>
      <c r="H421" s="96" t="s">
        <v>173</v>
      </c>
      <c r="I421" s="4"/>
      <c r="J421" s="96"/>
      <c r="K421" s="97">
        <v>69837</v>
      </c>
      <c r="L421" s="4"/>
      <c r="M421" s="4"/>
      <c r="N421" s="271"/>
      <c r="P421" s="15"/>
      <c r="Q421" s="13"/>
      <c r="R421" s="13"/>
      <c r="S421" s="13"/>
      <c r="T421" s="13"/>
      <c r="U421" s="13"/>
      <c r="V421" s="13"/>
      <c r="W421" s="76"/>
      <c r="X421" s="76"/>
      <c r="Y421" s="76"/>
      <c r="Z421" s="76"/>
      <c r="AA421" s="76"/>
    </row>
    <row r="422" spans="7:27" ht="15" x14ac:dyDescent="0.25">
      <c r="G422" s="95" t="s">
        <v>172</v>
      </c>
      <c r="H422" s="96" t="s">
        <v>174</v>
      </c>
      <c r="I422" s="4"/>
      <c r="J422" s="96"/>
      <c r="K422" s="97">
        <v>7002</v>
      </c>
      <c r="L422" s="4"/>
      <c r="M422" s="4"/>
      <c r="N422" s="271"/>
      <c r="P422" s="15"/>
      <c r="Q422" s="13"/>
      <c r="R422" s="13"/>
      <c r="S422" s="13"/>
      <c r="T422" s="13"/>
      <c r="U422" s="13"/>
      <c r="V422" s="13"/>
      <c r="W422" s="76"/>
      <c r="X422" s="76"/>
      <c r="Y422" s="76"/>
      <c r="Z422" s="76"/>
      <c r="AA422" s="76"/>
    </row>
    <row r="423" spans="7:27" ht="15" x14ac:dyDescent="0.25">
      <c r="G423" s="95" t="s">
        <v>172</v>
      </c>
      <c r="H423" s="96" t="s">
        <v>175</v>
      </c>
      <c r="I423" s="4"/>
      <c r="J423" s="96"/>
      <c r="K423" s="97">
        <v>7031</v>
      </c>
      <c r="L423" s="4"/>
      <c r="M423" s="4"/>
      <c r="N423" s="271"/>
      <c r="P423" s="15"/>
      <c r="Q423" s="13"/>
      <c r="R423" s="13"/>
      <c r="S423" s="13"/>
      <c r="T423" s="13"/>
      <c r="U423" s="13"/>
      <c r="V423" s="13"/>
      <c r="W423" s="76"/>
      <c r="X423" s="76"/>
      <c r="Y423" s="76"/>
      <c r="Z423" s="76"/>
      <c r="AA423" s="76"/>
    </row>
    <row r="424" spans="7:27" ht="15.75" thickBot="1" x14ac:dyDescent="0.3">
      <c r="G424" s="95"/>
      <c r="H424" s="96"/>
      <c r="I424" s="4"/>
      <c r="J424" s="4"/>
      <c r="K424" s="273">
        <v>83870</v>
      </c>
      <c r="L424" s="4"/>
      <c r="M424" s="4"/>
      <c r="N424" s="271"/>
      <c r="P424" s="15"/>
      <c r="Q424" s="13"/>
      <c r="R424" s="13"/>
      <c r="S424" s="13"/>
      <c r="T424" s="13"/>
      <c r="U424" s="13"/>
      <c r="V424" s="13"/>
      <c r="W424" s="76"/>
      <c r="X424" s="76"/>
      <c r="Y424" s="76"/>
      <c r="Z424" s="76"/>
      <c r="AA424" s="76"/>
    </row>
    <row r="425" spans="7:27" ht="15.75" thickTop="1" x14ac:dyDescent="0.25">
      <c r="G425" s="274"/>
      <c r="H425" s="275"/>
      <c r="I425" s="275"/>
      <c r="J425" s="275"/>
      <c r="K425" s="275"/>
      <c r="L425" s="275"/>
      <c r="M425" s="275"/>
      <c r="N425" s="276"/>
      <c r="P425" s="15"/>
      <c r="Q425" s="13"/>
      <c r="R425" s="13"/>
      <c r="S425" s="13"/>
      <c r="T425" s="13"/>
      <c r="U425" s="13"/>
      <c r="V425" s="13"/>
      <c r="W425" s="76"/>
      <c r="X425" s="76"/>
      <c r="Y425" s="76"/>
      <c r="Z425" s="76"/>
      <c r="AA425" s="76"/>
    </row>
    <row r="426" spans="7:27" ht="15" x14ac:dyDescent="0.25">
      <c r="P426" s="15"/>
      <c r="Q426" s="13"/>
      <c r="R426" s="13"/>
      <c r="S426" s="13"/>
      <c r="T426" s="13"/>
      <c r="U426" s="13"/>
      <c r="V426" s="13"/>
      <c r="W426" s="76"/>
      <c r="X426" s="76"/>
      <c r="Y426" s="76"/>
      <c r="Z426" s="76"/>
      <c r="AA426" s="76"/>
    </row>
    <row r="427" spans="7:27" ht="15" x14ac:dyDescent="0.25">
      <c r="P427" s="15"/>
      <c r="Q427" s="13"/>
      <c r="R427" s="13"/>
      <c r="S427" s="13"/>
      <c r="T427" s="13"/>
      <c r="U427" s="13"/>
      <c r="V427" s="13"/>
      <c r="W427" s="76"/>
      <c r="X427" s="76"/>
      <c r="Y427" s="76"/>
      <c r="Z427" s="76"/>
      <c r="AA427" s="76"/>
    </row>
    <row r="428" spans="7:27" ht="15" x14ac:dyDescent="0.25">
      <c r="P428" s="15"/>
      <c r="Q428" s="13"/>
      <c r="R428" s="13"/>
      <c r="S428" s="13"/>
      <c r="T428" s="13"/>
      <c r="U428" s="13"/>
      <c r="V428" s="13"/>
      <c r="W428" s="76"/>
      <c r="X428" s="76"/>
      <c r="Y428" s="76"/>
      <c r="Z428" s="76"/>
      <c r="AA428" s="76"/>
    </row>
    <row r="429" spans="7:27" ht="15" x14ac:dyDescent="0.25">
      <c r="P429" s="15"/>
      <c r="Q429" s="13"/>
      <c r="R429" s="13"/>
      <c r="S429" s="13"/>
      <c r="T429" s="13"/>
      <c r="U429" s="13"/>
      <c r="V429" s="13"/>
      <c r="W429" s="76"/>
      <c r="X429" s="76"/>
      <c r="Y429" s="76"/>
      <c r="Z429" s="76"/>
      <c r="AA429" s="76"/>
    </row>
    <row r="430" spans="7:27" ht="15" x14ac:dyDescent="0.25">
      <c r="P430" s="15"/>
      <c r="Q430" s="13"/>
      <c r="R430" s="13"/>
      <c r="S430" s="13"/>
      <c r="T430" s="13"/>
      <c r="U430" s="13"/>
      <c r="V430" s="13"/>
      <c r="W430" s="76"/>
      <c r="X430" s="76"/>
      <c r="Y430" s="76"/>
      <c r="Z430" s="76"/>
      <c r="AA430" s="76"/>
    </row>
    <row r="431" spans="7:27" ht="15" x14ac:dyDescent="0.25">
      <c r="P431" s="15"/>
      <c r="Q431" s="13"/>
      <c r="R431" s="13"/>
      <c r="S431" s="13"/>
      <c r="T431" s="13"/>
      <c r="U431" s="13"/>
      <c r="V431" s="13"/>
      <c r="W431" s="76"/>
      <c r="X431" s="76"/>
      <c r="Y431" s="76"/>
      <c r="Z431" s="76"/>
      <c r="AA431" s="76"/>
    </row>
    <row r="432" spans="7:27" ht="15" x14ac:dyDescent="0.25">
      <c r="P432" s="15"/>
      <c r="Q432" s="13"/>
      <c r="R432" s="13"/>
      <c r="S432" s="13"/>
      <c r="T432" s="13"/>
      <c r="U432" s="13"/>
      <c r="V432" s="13"/>
      <c r="W432" s="76"/>
      <c r="X432" s="76"/>
      <c r="Y432" s="76"/>
      <c r="Z432" s="76"/>
      <c r="AA432" s="76"/>
    </row>
    <row r="433" spans="5:27" ht="15" x14ac:dyDescent="0.25">
      <c r="P433" s="15"/>
      <c r="Q433" s="13"/>
      <c r="R433" s="13"/>
      <c r="S433" s="13"/>
      <c r="T433" s="13"/>
      <c r="U433" s="13"/>
      <c r="V433" s="13"/>
      <c r="W433" s="76"/>
      <c r="X433" s="76"/>
      <c r="Y433" s="76"/>
      <c r="Z433" s="76"/>
      <c r="AA433" s="76"/>
    </row>
    <row r="434" spans="5:27" ht="15" x14ac:dyDescent="0.25">
      <c r="P434" s="15"/>
      <c r="Q434" s="13"/>
      <c r="R434" s="13"/>
      <c r="S434" s="13"/>
      <c r="T434" s="13"/>
      <c r="U434" s="13"/>
      <c r="V434" s="13"/>
      <c r="W434" s="76"/>
      <c r="X434" s="76"/>
      <c r="Y434" s="76"/>
      <c r="Z434" s="76"/>
      <c r="AA434" s="76"/>
    </row>
    <row r="435" spans="5:27" ht="15" x14ac:dyDescent="0.25">
      <c r="P435" s="15"/>
      <c r="Q435" s="13"/>
      <c r="R435" s="13"/>
      <c r="S435" s="13"/>
      <c r="T435" s="13"/>
      <c r="U435" s="13"/>
      <c r="V435" s="13"/>
      <c r="W435" s="76"/>
      <c r="X435" s="76"/>
      <c r="Y435" s="76"/>
      <c r="Z435" s="76"/>
      <c r="AA435" s="76"/>
    </row>
    <row r="436" spans="5:27" ht="15" x14ac:dyDescent="0.25">
      <c r="P436" s="15"/>
      <c r="Q436" s="13"/>
      <c r="R436" s="13"/>
      <c r="S436" s="13"/>
      <c r="T436" s="13"/>
      <c r="U436" s="13"/>
      <c r="V436" s="13"/>
      <c r="W436" s="76"/>
      <c r="X436" s="76"/>
      <c r="Y436" s="76"/>
      <c r="Z436" s="76"/>
      <c r="AA436" s="76"/>
    </row>
    <row r="437" spans="5:27" ht="15" x14ac:dyDescent="0.25">
      <c r="P437" s="15"/>
      <c r="Q437" s="13"/>
      <c r="R437" s="13"/>
      <c r="S437" s="13"/>
      <c r="T437" s="13"/>
      <c r="U437" s="13"/>
      <c r="V437" s="13"/>
      <c r="W437" s="76"/>
      <c r="X437" s="76"/>
      <c r="Y437" s="76"/>
      <c r="Z437" s="76"/>
      <c r="AA437" s="76"/>
    </row>
    <row r="438" spans="5:27" ht="15" x14ac:dyDescent="0.25">
      <c r="J438" s="96"/>
      <c r="P438" s="15"/>
      <c r="Q438" s="13"/>
      <c r="R438" s="13"/>
      <c r="S438" s="13"/>
      <c r="T438" s="13"/>
      <c r="U438" s="13"/>
      <c r="V438" s="13"/>
      <c r="W438" s="76"/>
      <c r="X438" s="76"/>
      <c r="Y438" s="76"/>
      <c r="Z438" s="76"/>
      <c r="AA438" s="76"/>
    </row>
    <row r="439" spans="5:27" ht="15" x14ac:dyDescent="0.25">
      <c r="J439" s="96"/>
      <c r="P439" s="15"/>
      <c r="Q439" s="13"/>
      <c r="R439" s="13"/>
      <c r="S439" s="13"/>
      <c r="T439" s="13"/>
      <c r="U439" s="13"/>
      <c r="V439" s="13"/>
      <c r="W439" s="76"/>
      <c r="X439" s="76"/>
      <c r="Y439" s="76"/>
      <c r="Z439" s="76"/>
      <c r="AA439" s="76"/>
    </row>
    <row r="440" spans="5:27" ht="15" x14ac:dyDescent="0.25">
      <c r="F440" s="13"/>
      <c r="M440" s="13"/>
      <c r="N440" s="13"/>
      <c r="O440" s="13"/>
      <c r="P440" s="13"/>
      <c r="Q440" s="13"/>
      <c r="R440" s="13"/>
      <c r="S440" s="13"/>
      <c r="T440" s="13"/>
      <c r="U440" s="13"/>
      <c r="V440" s="13"/>
      <c r="W440" s="76"/>
      <c r="X440" s="76"/>
      <c r="Y440" s="76"/>
      <c r="Z440" s="76"/>
      <c r="AA440" s="76"/>
    </row>
    <row r="441" spans="5:27" ht="15" x14ac:dyDescent="0.25">
      <c r="F441" s="13"/>
      <c r="M441" s="13"/>
      <c r="N441" s="13"/>
      <c r="O441" s="13"/>
      <c r="P441" s="13"/>
      <c r="Q441" s="13"/>
      <c r="R441" s="13"/>
      <c r="S441" s="13"/>
      <c r="T441" s="13"/>
      <c r="U441" s="13"/>
      <c r="V441" s="13"/>
      <c r="W441" s="76"/>
      <c r="X441" s="76"/>
      <c r="Y441" s="76"/>
      <c r="Z441" s="76"/>
      <c r="AA441" s="76"/>
    </row>
    <row r="442" spans="5:27" ht="15" x14ac:dyDescent="0.25">
      <c r="F442" s="13"/>
      <c r="M442" s="13"/>
      <c r="N442" s="13"/>
      <c r="O442" s="13"/>
      <c r="P442" s="13"/>
      <c r="Q442" s="13"/>
      <c r="R442" s="13"/>
      <c r="S442" s="13"/>
      <c r="T442" s="13"/>
      <c r="U442" s="13"/>
      <c r="V442" s="13"/>
      <c r="W442" s="76"/>
      <c r="X442" s="76"/>
      <c r="Y442" s="76"/>
      <c r="Z442" s="76"/>
      <c r="AA442" s="76"/>
    </row>
    <row r="443" spans="5:27" ht="15" x14ac:dyDescent="0.25">
      <c r="E443" s="13"/>
      <c r="F443" s="13"/>
      <c r="G443" s="13"/>
      <c r="J443" s="13"/>
      <c r="K443" s="99"/>
      <c r="L443" s="13"/>
      <c r="M443" s="13"/>
      <c r="N443" s="13"/>
      <c r="O443" s="13"/>
      <c r="P443" s="13"/>
      <c r="Q443" s="13"/>
      <c r="R443" s="13"/>
      <c r="S443" s="13"/>
      <c r="T443" s="13"/>
      <c r="U443" s="13"/>
      <c r="V443" s="13"/>
      <c r="W443" s="76"/>
      <c r="X443" s="76"/>
      <c r="Y443" s="76"/>
      <c r="Z443" s="76"/>
      <c r="AA443" s="76"/>
    </row>
    <row r="444" spans="5:27" x14ac:dyDescent="0.2">
      <c r="G444" s="2" t="s">
        <v>176</v>
      </c>
      <c r="H444" s="2">
        <v>0</v>
      </c>
      <c r="I444" s="2">
        <v>0</v>
      </c>
      <c r="J444" s="2">
        <v>0</v>
      </c>
      <c r="K444" s="2">
        <v>70364</v>
      </c>
      <c r="L444" s="123"/>
      <c r="M444" s="76"/>
      <c r="N444" s="76"/>
      <c r="O444" s="76"/>
      <c r="P444" s="76"/>
      <c r="Q444" s="76"/>
      <c r="W444" s="76"/>
      <c r="X444" s="76"/>
      <c r="Y444" s="76"/>
      <c r="Z444" s="76"/>
      <c r="AA444" s="76"/>
    </row>
    <row r="445" spans="5:27" ht="15" x14ac:dyDescent="0.2">
      <c r="E445" s="100" t="s">
        <v>177</v>
      </c>
      <c r="F445" s="100"/>
      <c r="G445" s="100"/>
      <c r="H445" s="100"/>
      <c r="I445" s="100"/>
      <c r="J445" s="100"/>
      <c r="K445" s="100"/>
      <c r="L445" s="101">
        <v>6842383</v>
      </c>
      <c r="M445" s="101">
        <v>4742081</v>
      </c>
      <c r="N445" s="101">
        <v>11782781</v>
      </c>
      <c r="O445" s="101">
        <v>6795581</v>
      </c>
      <c r="P445" s="101">
        <v>4482781</v>
      </c>
      <c r="Q445" s="101">
        <v>4482781</v>
      </c>
      <c r="R445" s="101">
        <v>4482781</v>
      </c>
      <c r="S445" s="101">
        <v>4482781</v>
      </c>
      <c r="T445" s="101">
        <v>4482783</v>
      </c>
      <c r="U445" s="102"/>
      <c r="W445" s="76"/>
      <c r="X445" s="76"/>
      <c r="Y445" s="76"/>
      <c r="Z445" s="76"/>
      <c r="AA445" s="76"/>
    </row>
    <row r="446" spans="5:27" ht="15.75" thickBot="1" x14ac:dyDescent="0.25">
      <c r="E446" s="96"/>
      <c r="F446" s="96"/>
      <c r="G446" s="96"/>
      <c r="H446" s="96"/>
      <c r="I446" s="96"/>
      <c r="J446" s="96"/>
      <c r="K446" s="96"/>
      <c r="L446" s="96"/>
      <c r="M446" s="96"/>
      <c r="N446" s="96"/>
      <c r="O446" s="96"/>
      <c r="P446" s="76"/>
      <c r="Q446" s="76"/>
      <c r="W446" s="76"/>
      <c r="X446" s="76"/>
      <c r="Y446" s="76"/>
      <c r="Z446" s="76"/>
      <c r="AA446" s="76"/>
    </row>
    <row r="447" spans="5:27" ht="15" x14ac:dyDescent="0.25">
      <c r="E447" s="96"/>
      <c r="F447" s="96"/>
      <c r="H447" s="103">
        <v>2013</v>
      </c>
      <c r="I447" s="103">
        <v>2014</v>
      </c>
      <c r="J447" s="103">
        <v>2015</v>
      </c>
      <c r="K447" s="277">
        <v>2016</v>
      </c>
      <c r="L447" s="277">
        <v>2017</v>
      </c>
      <c r="M447" s="96"/>
      <c r="N447" s="96"/>
      <c r="O447" s="104" t="s">
        <v>178</v>
      </c>
      <c r="P447" s="76" t="s">
        <v>179</v>
      </c>
      <c r="Q447" s="76" t="s">
        <v>180</v>
      </c>
      <c r="W447" s="76"/>
      <c r="X447" s="76"/>
      <c r="Y447" s="76"/>
      <c r="Z447" s="76"/>
      <c r="AA447" s="76"/>
    </row>
    <row r="448" spans="5:27" ht="15" x14ac:dyDescent="0.2">
      <c r="E448" s="96"/>
      <c r="F448" s="96"/>
      <c r="H448" s="76"/>
      <c r="I448" s="76"/>
      <c r="J448" s="76"/>
      <c r="K448" s="76"/>
      <c r="L448" s="96"/>
      <c r="M448" s="96"/>
      <c r="N448" s="96"/>
      <c r="O448" s="105"/>
      <c r="P448" s="76"/>
      <c r="Q448" s="76"/>
      <c r="W448" s="76"/>
      <c r="X448" s="76"/>
      <c r="Y448" s="76"/>
      <c r="Z448" s="76"/>
      <c r="AA448" s="76"/>
    </row>
    <row r="449" spans="5:27" ht="15" x14ac:dyDescent="0.2">
      <c r="E449" s="96"/>
      <c r="F449" s="96"/>
      <c r="G449" s="2" t="s">
        <v>115</v>
      </c>
      <c r="H449" s="217">
        <v>0</v>
      </c>
      <c r="I449" s="217">
        <v>0</v>
      </c>
      <c r="J449" s="217">
        <v>0</v>
      </c>
      <c r="K449" s="108">
        <v>2866444</v>
      </c>
      <c r="L449" s="108">
        <f>+O449</f>
        <v>5294272</v>
      </c>
      <c r="M449" s="96"/>
      <c r="N449" s="96"/>
      <c r="O449" s="278">
        <v>5294272</v>
      </c>
      <c r="P449" s="108">
        <v>0</v>
      </c>
      <c r="Q449" s="76"/>
      <c r="W449" s="76"/>
      <c r="X449" s="76"/>
      <c r="Y449" s="76"/>
      <c r="Z449" s="76"/>
      <c r="AA449" s="76"/>
    </row>
    <row r="450" spans="5:27" ht="15" x14ac:dyDescent="0.2">
      <c r="E450" s="96"/>
      <c r="F450" s="96"/>
      <c r="G450" s="2" t="s">
        <v>116</v>
      </c>
      <c r="H450" s="217">
        <v>0</v>
      </c>
      <c r="I450" s="217">
        <v>0</v>
      </c>
      <c r="J450" s="217">
        <v>0</v>
      </c>
      <c r="K450" s="108">
        <v>1326291</v>
      </c>
      <c r="L450" s="108">
        <f>+O450</f>
        <v>1787134</v>
      </c>
      <c r="M450" s="96"/>
      <c r="N450" s="96"/>
      <c r="O450" s="278">
        <v>1787134</v>
      </c>
      <c r="P450" s="108">
        <v>0</v>
      </c>
      <c r="Q450" s="76"/>
      <c r="W450" s="76"/>
      <c r="X450" s="76"/>
      <c r="Y450" s="76"/>
      <c r="Z450" s="76"/>
      <c r="AA450" s="76"/>
    </row>
    <row r="451" spans="5:27" ht="15.75" thickBot="1" x14ac:dyDescent="0.4">
      <c r="E451" s="96"/>
      <c r="F451" s="96"/>
      <c r="G451" s="218" t="s">
        <v>117</v>
      </c>
      <c r="H451" s="219">
        <v>0</v>
      </c>
      <c r="I451" s="219">
        <v>0</v>
      </c>
      <c r="J451" s="219">
        <v>0</v>
      </c>
      <c r="K451" s="219">
        <f>+K449-K450</f>
        <v>1540153</v>
      </c>
      <c r="L451" s="219">
        <f>+L449-L450</f>
        <v>3507138</v>
      </c>
      <c r="M451" s="96"/>
      <c r="N451" s="96"/>
      <c r="O451" s="279">
        <f>+O449-O450</f>
        <v>3507138</v>
      </c>
      <c r="P451" s="219">
        <f>+P449-P450</f>
        <v>0</v>
      </c>
      <c r="Q451" s="280">
        <f>+O451-P451</f>
        <v>3507138</v>
      </c>
      <c r="W451" s="76"/>
      <c r="X451" s="76"/>
      <c r="Y451" s="76"/>
      <c r="Z451" s="76"/>
      <c r="AA451" s="76"/>
    </row>
    <row r="452" spans="5:27" ht="15.75" thickTop="1" x14ac:dyDescent="0.2">
      <c r="E452" s="96"/>
      <c r="F452" s="96"/>
      <c r="H452" s="76"/>
      <c r="I452" s="76"/>
      <c r="J452" s="76"/>
      <c r="K452" s="76"/>
      <c r="L452" s="76"/>
      <c r="M452" s="96"/>
      <c r="N452" s="96"/>
      <c r="O452" s="281"/>
      <c r="P452" s="76"/>
      <c r="Q452" s="76"/>
      <c r="W452" s="76"/>
      <c r="X452" s="76"/>
      <c r="Y452" s="76"/>
      <c r="Z452" s="76"/>
      <c r="AA452" s="76"/>
    </row>
    <row r="453" spans="5:27" ht="15" x14ac:dyDescent="0.25">
      <c r="E453" s="96"/>
      <c r="F453" s="96"/>
      <c r="G453" s="69" t="s">
        <v>118</v>
      </c>
      <c r="H453" s="217">
        <v>0</v>
      </c>
      <c r="I453" s="217">
        <v>0</v>
      </c>
      <c r="J453" s="217">
        <v>0</v>
      </c>
      <c r="K453" s="217">
        <v>0</v>
      </c>
      <c r="L453" s="217">
        <f>+K453</f>
        <v>0</v>
      </c>
      <c r="M453" s="96"/>
      <c r="N453" s="96"/>
      <c r="O453" s="278">
        <v>90876</v>
      </c>
      <c r="P453" s="76"/>
      <c r="Q453" s="76"/>
      <c r="W453" s="76"/>
      <c r="X453" s="76"/>
      <c r="Y453" s="76"/>
      <c r="Z453" s="76"/>
      <c r="AA453" s="76"/>
    </row>
    <row r="454" spans="5:27" ht="15.75" thickBot="1" x14ac:dyDescent="0.3">
      <c r="E454" s="96"/>
      <c r="F454" s="96"/>
      <c r="G454" s="69" t="s">
        <v>119</v>
      </c>
      <c r="H454" s="217">
        <v>0</v>
      </c>
      <c r="I454" s="217">
        <v>0</v>
      </c>
      <c r="J454" s="217">
        <v>0</v>
      </c>
      <c r="K454" s="217">
        <v>2952333</v>
      </c>
      <c r="L454" s="217">
        <v>0</v>
      </c>
      <c r="M454" s="96"/>
      <c r="N454" s="96"/>
      <c r="O454" s="106"/>
      <c r="P454" s="76"/>
      <c r="Q454" s="76"/>
      <c r="W454" s="76"/>
      <c r="X454" s="76"/>
      <c r="Y454" s="76"/>
      <c r="Z454" s="76"/>
      <c r="AA454" s="76"/>
    </row>
    <row r="455" spans="5:27" ht="15.75" thickBot="1" x14ac:dyDescent="0.25">
      <c r="E455" s="96"/>
      <c r="F455" s="96"/>
      <c r="G455" s="218" t="s">
        <v>120</v>
      </c>
      <c r="H455" s="219">
        <v>0</v>
      </c>
      <c r="I455" s="219">
        <v>0</v>
      </c>
      <c r="J455" s="219">
        <v>0</v>
      </c>
      <c r="K455" s="219">
        <f>SUM(K453:K454)</f>
        <v>2952333</v>
      </c>
      <c r="L455" s="219">
        <f>SUM(L453:L454)</f>
        <v>0</v>
      </c>
      <c r="M455" s="96"/>
      <c r="N455" s="96"/>
      <c r="O455" s="96"/>
      <c r="P455" s="76"/>
      <c r="Q455" s="76"/>
      <c r="W455" s="76"/>
      <c r="X455" s="76"/>
      <c r="Y455" s="76"/>
      <c r="Z455" s="76"/>
      <c r="AA455" s="76"/>
    </row>
    <row r="456" spans="5:27" ht="15.75" thickTop="1" x14ac:dyDescent="0.2">
      <c r="E456" s="96"/>
      <c r="F456" s="96"/>
      <c r="G456" s="96"/>
      <c r="H456" s="96"/>
      <c r="I456" s="96"/>
      <c r="J456" s="96"/>
      <c r="K456" s="96"/>
      <c r="L456" s="96"/>
      <c r="M456" s="96"/>
      <c r="N456" s="96"/>
      <c r="O456" s="96"/>
      <c r="P456" s="76"/>
      <c r="Q456" s="76"/>
      <c r="W456" s="76"/>
      <c r="X456" s="76"/>
      <c r="Y456" s="76"/>
      <c r="Z456" s="76"/>
      <c r="AA456" s="76"/>
    </row>
    <row r="457" spans="5:27" ht="15" x14ac:dyDescent="0.2">
      <c r="E457" s="87" t="s">
        <v>181</v>
      </c>
      <c r="F457" s="96"/>
      <c r="G457" s="96"/>
      <c r="H457" s="107">
        <v>0</v>
      </c>
      <c r="I457" s="107">
        <v>0</v>
      </c>
      <c r="J457" s="107">
        <v>0</v>
      </c>
      <c r="K457" s="107">
        <f>+K459/K449</f>
        <v>2.1088149637669532E-2</v>
      </c>
      <c r="L457" s="107">
        <f>+O453/O449</f>
        <v>1.7164966212540649E-2</v>
      </c>
      <c r="M457" s="96"/>
      <c r="N457" s="96"/>
      <c r="O457" s="96"/>
      <c r="P457" s="76"/>
      <c r="Q457" s="76"/>
      <c r="W457" s="76"/>
      <c r="X457" s="76"/>
      <c r="Y457" s="76"/>
      <c r="Z457" s="76"/>
      <c r="AA457" s="76"/>
    </row>
    <row r="458" spans="5:27" ht="15" x14ac:dyDescent="0.2">
      <c r="E458" s="96"/>
      <c r="F458" s="96"/>
      <c r="G458" s="96"/>
      <c r="H458" s="96"/>
      <c r="I458" s="96"/>
      <c r="J458" s="96"/>
      <c r="K458" s="96"/>
      <c r="L458" s="96"/>
      <c r="M458" s="96"/>
      <c r="N458" s="96"/>
      <c r="O458" s="96"/>
      <c r="P458" s="76"/>
      <c r="Q458" s="76"/>
      <c r="W458" s="76"/>
      <c r="X458" s="76"/>
      <c r="Y458" s="76"/>
      <c r="Z458" s="76"/>
      <c r="AA458" s="76"/>
    </row>
    <row r="459" spans="5:27" ht="15" x14ac:dyDescent="0.2">
      <c r="E459" s="96" t="s">
        <v>134</v>
      </c>
      <c r="F459" s="96"/>
      <c r="G459" s="96"/>
      <c r="H459" s="102">
        <v>0</v>
      </c>
      <c r="I459" s="102">
        <v>0</v>
      </c>
      <c r="J459" s="102">
        <v>0</v>
      </c>
      <c r="K459" s="102">
        <v>60448</v>
      </c>
      <c r="L459" s="282">
        <f>+O453</f>
        <v>90876</v>
      </c>
      <c r="M459" s="96"/>
      <c r="N459" s="96"/>
      <c r="O459" s="96"/>
      <c r="P459" s="76"/>
      <c r="Q459" s="76"/>
      <c r="W459" s="76"/>
      <c r="X459" s="76"/>
      <c r="Y459" s="76"/>
      <c r="Z459" s="76"/>
      <c r="AA459" s="76"/>
    </row>
    <row r="460" spans="5:27" ht="15" x14ac:dyDescent="0.2">
      <c r="E460" s="96"/>
      <c r="F460" s="96"/>
      <c r="G460" s="96"/>
      <c r="H460" s="96"/>
      <c r="I460" s="96"/>
      <c r="J460" s="96"/>
      <c r="K460" s="96"/>
      <c r="L460" s="96"/>
      <c r="M460" s="96"/>
      <c r="N460" s="96"/>
      <c r="O460" s="96"/>
      <c r="P460" s="76"/>
      <c r="Q460" s="76"/>
      <c r="W460" s="76"/>
      <c r="X460" s="76"/>
      <c r="Y460" s="76"/>
      <c r="Z460" s="76"/>
      <c r="AA460" s="76"/>
    </row>
    <row r="461" spans="5:27" ht="15" x14ac:dyDescent="0.2">
      <c r="E461" s="96"/>
      <c r="F461" s="96"/>
      <c r="G461" s="96"/>
      <c r="H461" s="96"/>
      <c r="I461" s="96"/>
      <c r="J461" s="96"/>
      <c r="K461" s="96"/>
      <c r="L461" s="96"/>
      <c r="M461" s="108"/>
      <c r="N461" s="96"/>
      <c r="O461" s="96"/>
      <c r="P461" s="76"/>
      <c r="Q461" s="76"/>
      <c r="W461" s="76"/>
      <c r="X461" s="76"/>
      <c r="Y461" s="76"/>
      <c r="Z461" s="76"/>
      <c r="AA461" s="76"/>
    </row>
  </sheetData>
  <mergeCells count="19">
    <mergeCell ref="H259:M259"/>
    <mergeCell ref="H251:M251"/>
    <mergeCell ref="H252:Q252"/>
    <mergeCell ref="H254:L254"/>
    <mergeCell ref="H256:M256"/>
    <mergeCell ref="H257:M257"/>
    <mergeCell ref="H258:M258"/>
    <mergeCell ref="H250:M250"/>
    <mergeCell ref="H204:M204"/>
    <mergeCell ref="H209:M209"/>
    <mergeCell ref="H213:M213"/>
    <mergeCell ref="H216:M216"/>
    <mergeCell ref="H218:M218"/>
    <mergeCell ref="H220:M220"/>
    <mergeCell ref="H222:M222"/>
    <mergeCell ref="H224:M224"/>
    <mergeCell ref="H225:M225"/>
    <mergeCell ref="H240:L240"/>
    <mergeCell ref="H246:M246"/>
  </mergeCells>
  <printOptions horizontalCentered="1"/>
  <pageMargins left="0.45" right="0.45" top="0.75" bottom="0.25" header="0.3" footer="0.3"/>
  <pageSetup scale="68" orientation="landscape" horizontalDpi="1200" verticalDpi="1200" r:id="rId1"/>
  <colBreaks count="1" manualBreakCount="1">
    <brk id="17" min="286" max="460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461"/>
  <sheetViews>
    <sheetView view="pageBreakPreview" topLeftCell="A287" zoomScale="60" zoomScaleNormal="100" workbookViewId="0">
      <selection activeCell="D322" sqref="D322"/>
    </sheetView>
  </sheetViews>
  <sheetFormatPr defaultColWidth="8.85546875" defaultRowHeight="12.75" x14ac:dyDescent="0.2"/>
  <cols>
    <col min="1" max="1" width="21.42578125" style="2" customWidth="1"/>
    <col min="2" max="2" width="8.85546875" style="25"/>
    <col min="3" max="3" width="22.7109375" style="2" customWidth="1"/>
    <col min="4" max="5" width="8.85546875" style="2"/>
    <col min="6" max="6" width="4.140625" style="2" customWidth="1"/>
    <col min="7" max="7" width="34.28515625" style="2" customWidth="1"/>
    <col min="8" max="14" width="13.7109375" style="2" customWidth="1"/>
    <col min="15" max="15" width="13.140625" style="2" customWidth="1"/>
    <col min="16" max="16" width="12.7109375" style="2" customWidth="1"/>
    <col min="17" max="17" width="14.140625" style="2" customWidth="1"/>
    <col min="18" max="18" width="16.28515625" style="2" customWidth="1"/>
    <col min="19" max="26" width="12.7109375" style="2" customWidth="1"/>
    <col min="27" max="27" width="10.140625" style="2" customWidth="1"/>
    <col min="28" max="28" width="11.7109375" style="2" customWidth="1"/>
    <col min="29" max="29" width="10.7109375" style="2" customWidth="1"/>
    <col min="30" max="30" width="12.28515625" style="2" customWidth="1"/>
    <col min="31" max="31" width="9.140625" style="2" customWidth="1"/>
    <col min="32" max="32" width="8.85546875" style="2"/>
    <col min="33" max="33" width="10.7109375" style="2" customWidth="1"/>
    <col min="34" max="34" width="8.85546875" style="2"/>
    <col min="35" max="35" width="12.7109375" style="2" customWidth="1"/>
    <col min="36" max="36" width="10.140625" style="2" bestFit="1" customWidth="1"/>
    <col min="37" max="37" width="10.140625" style="2" customWidth="1"/>
    <col min="38" max="38" width="10.28515625" style="2" customWidth="1"/>
    <col min="39" max="40" width="12.7109375" style="2" customWidth="1"/>
    <col min="41" max="41" width="9" style="2" customWidth="1"/>
    <col min="42" max="16384" width="8.85546875" style="2"/>
  </cols>
  <sheetData>
    <row r="1" spans="2:26" ht="15.75" x14ac:dyDescent="0.25">
      <c r="B1" s="2"/>
      <c r="G1" s="2" t="s">
        <v>0</v>
      </c>
      <c r="H1" s="118">
        <v>3.8399999999999997E-2</v>
      </c>
      <c r="I1" s="119">
        <v>43220</v>
      </c>
    </row>
    <row r="2" spans="2:26" ht="15.75" x14ac:dyDescent="0.25">
      <c r="B2" s="2"/>
      <c r="G2" s="120" t="s">
        <v>1</v>
      </c>
      <c r="H2" s="118">
        <v>7.1199999999999999E-2</v>
      </c>
      <c r="I2" s="119">
        <v>43220</v>
      </c>
    </row>
    <row r="3" spans="2:26" ht="15.75" x14ac:dyDescent="0.25">
      <c r="B3" s="2"/>
      <c r="G3" s="120" t="s">
        <v>3</v>
      </c>
      <c r="H3" s="118">
        <v>8.48E-2</v>
      </c>
      <c r="I3" s="119">
        <v>43220</v>
      </c>
    </row>
    <row r="4" spans="2:26" ht="15.75" x14ac:dyDescent="0.25">
      <c r="B4" s="2"/>
      <c r="G4" s="121" t="s">
        <v>4</v>
      </c>
      <c r="H4" s="2">
        <v>20.78</v>
      </c>
      <c r="I4" s="122" t="s">
        <v>5</v>
      </c>
      <c r="L4" s="123" t="str">
        <f>+C5&amp;" GROWTH:"</f>
        <v xml:space="preserve"> GROWTH:</v>
      </c>
      <c r="M4" s="124">
        <v>5.0000000000000001E-3</v>
      </c>
      <c r="N4" s="125"/>
    </row>
    <row r="5" spans="2:26" ht="15.75" x14ac:dyDescent="0.25">
      <c r="B5" s="2"/>
      <c r="G5" s="121" t="s">
        <v>7</v>
      </c>
      <c r="H5" s="2">
        <v>14.48</v>
      </c>
      <c r="I5" s="122" t="s">
        <v>5</v>
      </c>
      <c r="L5" s="123" t="str">
        <f>+C6&amp;" GROWTH:"</f>
        <v xml:space="preserve"> GROWTH:</v>
      </c>
      <c r="M5" s="124">
        <v>1.7999999999999999E-2</v>
      </c>
      <c r="N5" s="126"/>
    </row>
    <row r="6" spans="2:26" x14ac:dyDescent="0.2">
      <c r="B6" s="2"/>
      <c r="G6" s="2" t="s">
        <v>9</v>
      </c>
      <c r="H6" s="2">
        <v>0.7</v>
      </c>
      <c r="I6" s="122" t="s">
        <v>5</v>
      </c>
      <c r="L6" s="123" t="str">
        <f>+C7&amp;" GROWTH:"</f>
        <v xml:space="preserve"> GROWTH:</v>
      </c>
      <c r="M6" s="124">
        <v>0</v>
      </c>
      <c r="N6" s="126"/>
    </row>
    <row r="7" spans="2:26" ht="15.75" x14ac:dyDescent="0.25">
      <c r="B7" s="2"/>
      <c r="G7" s="121" t="s">
        <v>10</v>
      </c>
      <c r="H7" s="127">
        <v>14.6</v>
      </c>
      <c r="N7" s="1"/>
    </row>
    <row r="8" spans="2:26" ht="15.75" x14ac:dyDescent="0.25">
      <c r="B8" s="2"/>
      <c r="G8" s="121" t="s">
        <v>11</v>
      </c>
      <c r="H8" s="127">
        <v>10.1</v>
      </c>
      <c r="N8" s="128"/>
    </row>
    <row r="9" spans="2:26" ht="13.5" x14ac:dyDescent="0.25">
      <c r="C9" s="129" t="s">
        <v>12</v>
      </c>
      <c r="G9" s="2" t="s">
        <v>13</v>
      </c>
      <c r="H9" s="130">
        <f>IF(C10="IOU",M4,IF(C10="MUNI",M5,M6))</f>
        <v>1.7999999999999999E-2</v>
      </c>
    </row>
    <row r="10" spans="2:26" x14ac:dyDescent="0.2">
      <c r="C10" s="131" t="s">
        <v>8</v>
      </c>
      <c r="D10" s="66" t="s">
        <v>14</v>
      </c>
      <c r="G10" s="3"/>
      <c r="H10" s="3"/>
      <c r="I10" s="3"/>
      <c r="J10" s="3"/>
      <c r="K10" s="3"/>
      <c r="L10" s="3"/>
      <c r="M10" s="76" t="s">
        <v>15</v>
      </c>
      <c r="N10" s="3"/>
      <c r="O10" s="3"/>
      <c r="P10" s="3"/>
      <c r="Q10" s="3"/>
      <c r="R10" s="3"/>
      <c r="U10" s="76" t="str">
        <f>+M10</f>
        <v>Income Approach</v>
      </c>
    </row>
    <row r="11" spans="2:26" ht="15" x14ac:dyDescent="0.25">
      <c r="D11" s="132">
        <v>1</v>
      </c>
      <c r="G11" s="3"/>
      <c r="H11" s="3"/>
      <c r="I11" s="3"/>
      <c r="J11" s="3"/>
      <c r="K11" s="3"/>
      <c r="L11" s="3"/>
      <c r="M11" s="25" t="s">
        <v>184</v>
      </c>
      <c r="N11" s="3"/>
      <c r="O11" s="3"/>
      <c r="P11" s="3"/>
      <c r="Q11" s="3"/>
      <c r="R11" s="3"/>
      <c r="U11" s="25" t="str">
        <f t="shared" ref="U11:U14" si="0">+M11</f>
        <v>Township of Mahoning Sewer System Assets</v>
      </c>
    </row>
    <row r="12" spans="2:26" ht="15" x14ac:dyDescent="0.25">
      <c r="D12" s="132">
        <v>1</v>
      </c>
      <c r="G12" s="3"/>
      <c r="H12" s="3"/>
      <c r="I12" s="3"/>
      <c r="J12" s="3"/>
      <c r="K12" s="3"/>
      <c r="L12" s="3"/>
      <c r="M12" s="25" t="str">
        <f>IF($C$10="SUBJECT","Pro Forma Operations",IF($C$10="MUNI","Pro Forma and Estimted Operations With MUNI Ownership","Pro Forma and Estimted Operations With IOU Ownership"))</f>
        <v>Pro Forma and Estimted Operations With MUNI Ownership</v>
      </c>
      <c r="N12" s="3"/>
      <c r="O12" s="3"/>
      <c r="P12" s="3"/>
      <c r="Q12" s="3"/>
      <c r="R12" s="3"/>
      <c r="U12" s="25" t="str">
        <f t="shared" si="0"/>
        <v>Pro Forma and Estimted Operations With MUNI Ownership</v>
      </c>
    </row>
    <row r="13" spans="2:26" ht="15" x14ac:dyDescent="0.25">
      <c r="D13" s="132">
        <f>IF($C$10="SUBJECT",0,1)</f>
        <v>1</v>
      </c>
      <c r="G13" s="3"/>
      <c r="H13" s="3"/>
      <c r="I13" s="3"/>
      <c r="J13" s="3"/>
      <c r="K13" s="3"/>
      <c r="L13" s="3"/>
      <c r="M13" s="25" t="s">
        <v>16</v>
      </c>
      <c r="N13" s="3"/>
      <c r="O13" s="3"/>
      <c r="P13" s="3"/>
      <c r="Q13" s="3"/>
      <c r="R13" s="3"/>
      <c r="U13" s="25" t="str">
        <f t="shared" si="0"/>
        <v>DCF With Capitalization of Terminal Value Model and</v>
      </c>
    </row>
    <row r="14" spans="2:26" ht="15" x14ac:dyDescent="0.25">
      <c r="D14" s="132">
        <v>1</v>
      </c>
      <c r="G14" s="3"/>
      <c r="H14" s="3"/>
      <c r="I14" s="3"/>
      <c r="J14" s="3"/>
      <c r="K14" s="3"/>
      <c r="L14" s="3"/>
      <c r="M14" s="44" t="str">
        <f>IF($C$10="SUBJECT","Earnings Capitalization Model","DCF With EBIT &amp; EBITDA Terminal Value Model")</f>
        <v>DCF With EBIT &amp; EBITDA Terminal Value Model</v>
      </c>
      <c r="N14" s="3"/>
      <c r="O14" s="3"/>
      <c r="P14" s="3"/>
      <c r="Q14" s="3"/>
      <c r="R14" s="3"/>
      <c r="U14" s="44" t="str">
        <f t="shared" si="0"/>
        <v>DCF With EBIT &amp; EBITDA Terminal Value Model</v>
      </c>
    </row>
    <row r="15" spans="2:26" ht="15" x14ac:dyDescent="0.25">
      <c r="D15" s="132">
        <v>1</v>
      </c>
      <c r="F15" s="133"/>
      <c r="G15" s="3"/>
      <c r="H15" s="3"/>
      <c r="I15" s="3"/>
      <c r="J15" s="3"/>
      <c r="K15" s="3"/>
      <c r="L15" s="3"/>
      <c r="M15" s="134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</row>
    <row r="16" spans="2:26" ht="15.75" thickBot="1" x14ac:dyDescent="0.3">
      <c r="D16" s="132">
        <v>1</v>
      </c>
      <c r="E16" s="135" t="s">
        <v>17</v>
      </c>
      <c r="N16" s="4"/>
      <c r="O16" s="136"/>
      <c r="P16" s="136"/>
      <c r="Q16" s="136"/>
      <c r="R16" s="136"/>
    </row>
    <row r="17" spans="1:35" ht="15.75" thickBot="1" x14ac:dyDescent="0.3">
      <c r="B17" s="66" t="s">
        <v>18</v>
      </c>
      <c r="D17" s="132">
        <v>1</v>
      </c>
      <c r="M17" s="137" t="s">
        <v>19</v>
      </c>
      <c r="N17" s="137" t="s">
        <v>19</v>
      </c>
      <c r="O17" s="137" t="s">
        <v>19</v>
      </c>
      <c r="P17" s="137" t="s">
        <v>19</v>
      </c>
      <c r="Q17" s="137" t="s">
        <v>19</v>
      </c>
      <c r="R17" s="137" t="s">
        <v>19</v>
      </c>
      <c r="S17" s="137" t="s">
        <v>19</v>
      </c>
      <c r="T17" s="137" t="s">
        <v>19</v>
      </c>
      <c r="U17" s="137" t="s">
        <v>19</v>
      </c>
      <c r="V17" s="137" t="s">
        <v>19</v>
      </c>
      <c r="W17" s="137" t="s">
        <v>19</v>
      </c>
      <c r="X17" s="137" t="s">
        <v>19</v>
      </c>
      <c r="Y17" s="137" t="s">
        <v>19</v>
      </c>
      <c r="Z17" s="137" t="s">
        <v>19</v>
      </c>
      <c r="AA17" s="69"/>
      <c r="AB17" s="69"/>
    </row>
    <row r="18" spans="1:35" ht="15.75" thickBot="1" x14ac:dyDescent="0.3">
      <c r="C18" s="138">
        <f>IF(D18=0,F17,IF(ISBLANK(G18),F17,1+F17))</f>
        <v>0</v>
      </c>
      <c r="D18" s="132">
        <v>1</v>
      </c>
      <c r="E18" s="138"/>
      <c r="F18" s="139" t="str">
        <f>IF(ISBLANK(G18),"",C18)</f>
        <v/>
      </c>
      <c r="H18" s="140"/>
      <c r="I18" s="140" t="s">
        <v>20</v>
      </c>
      <c r="J18" s="141"/>
      <c r="K18" s="140" t="s">
        <v>20</v>
      </c>
      <c r="L18" s="142"/>
      <c r="M18" s="143" t="str">
        <f t="shared" ref="M18:Z18" si="1">"Year "&amp;M53+0.5</f>
        <v>Year 0</v>
      </c>
      <c r="N18" s="143" t="str">
        <f t="shared" si="1"/>
        <v>Year 1</v>
      </c>
      <c r="O18" s="143" t="str">
        <f t="shared" si="1"/>
        <v>Year 2</v>
      </c>
      <c r="P18" s="143" t="str">
        <f t="shared" si="1"/>
        <v>Year 3</v>
      </c>
      <c r="Q18" s="143" t="str">
        <f t="shared" si="1"/>
        <v>Year 4</v>
      </c>
      <c r="R18" s="143" t="str">
        <f t="shared" si="1"/>
        <v>Year 5</v>
      </c>
      <c r="S18" s="143" t="str">
        <f t="shared" si="1"/>
        <v>Year 6</v>
      </c>
      <c r="T18" s="143" t="str">
        <f t="shared" si="1"/>
        <v>Year 7</v>
      </c>
      <c r="U18" s="143" t="str">
        <f t="shared" si="1"/>
        <v>Year 8</v>
      </c>
      <c r="V18" s="143" t="str">
        <f t="shared" si="1"/>
        <v>Year 9</v>
      </c>
      <c r="W18" s="143" t="str">
        <f t="shared" si="1"/>
        <v>Year 10</v>
      </c>
      <c r="X18" s="143" t="str">
        <f t="shared" si="1"/>
        <v>Year 11</v>
      </c>
      <c r="Y18" s="143" t="str">
        <f t="shared" si="1"/>
        <v>Year 12</v>
      </c>
      <c r="Z18" s="143" t="str">
        <f t="shared" si="1"/>
        <v>Year 13</v>
      </c>
      <c r="AA18" s="69" t="s">
        <v>21</v>
      </c>
      <c r="AB18" s="69"/>
    </row>
    <row r="19" spans="1:35" ht="15" x14ac:dyDescent="0.25">
      <c r="C19" s="138">
        <f>IF(D19=0,C18,IF(ISBLANK(G19),C18,1+MAX(C$5:C18)))</f>
        <v>0</v>
      </c>
      <c r="D19" s="132">
        <v>1</v>
      </c>
      <c r="E19" s="138"/>
      <c r="F19" s="139" t="str">
        <f t="shared" ref="F19:F76" si="2">IF(ISBLANK(G19),"",C19)</f>
        <v/>
      </c>
      <c r="H19" s="76">
        <v>2013</v>
      </c>
      <c r="I19" s="76">
        <f t="shared" ref="I19:AA19" si="3">+H19+1</f>
        <v>2014</v>
      </c>
      <c r="J19" s="76">
        <f t="shared" si="3"/>
        <v>2015</v>
      </c>
      <c r="K19" s="76">
        <f t="shared" si="3"/>
        <v>2016</v>
      </c>
      <c r="L19" s="76">
        <f t="shared" si="3"/>
        <v>2017</v>
      </c>
      <c r="M19" s="76">
        <f t="shared" si="3"/>
        <v>2018</v>
      </c>
      <c r="N19" s="76">
        <f t="shared" si="3"/>
        <v>2019</v>
      </c>
      <c r="O19" s="76">
        <f t="shared" si="3"/>
        <v>2020</v>
      </c>
      <c r="P19" s="76">
        <f t="shared" si="3"/>
        <v>2021</v>
      </c>
      <c r="Q19" s="76">
        <f t="shared" si="3"/>
        <v>2022</v>
      </c>
      <c r="R19" s="76">
        <f t="shared" si="3"/>
        <v>2023</v>
      </c>
      <c r="S19" s="76">
        <f t="shared" si="3"/>
        <v>2024</v>
      </c>
      <c r="T19" s="76">
        <f t="shared" si="3"/>
        <v>2025</v>
      </c>
      <c r="U19" s="76">
        <f t="shared" si="3"/>
        <v>2026</v>
      </c>
      <c r="V19" s="76">
        <f t="shared" si="3"/>
        <v>2027</v>
      </c>
      <c r="W19" s="76">
        <f t="shared" si="3"/>
        <v>2028</v>
      </c>
      <c r="X19" s="76">
        <f t="shared" si="3"/>
        <v>2029</v>
      </c>
      <c r="Y19" s="76">
        <f t="shared" si="3"/>
        <v>2030</v>
      </c>
      <c r="Z19" s="76">
        <f t="shared" si="3"/>
        <v>2031</v>
      </c>
      <c r="AA19" s="76">
        <f t="shared" si="3"/>
        <v>2032</v>
      </c>
      <c r="AB19" s="69"/>
    </row>
    <row r="20" spans="1:35" ht="15" x14ac:dyDescent="0.25">
      <c r="A20" s="144" t="s">
        <v>22</v>
      </c>
      <c r="B20" s="66">
        <v>1</v>
      </c>
      <c r="C20" s="138">
        <f>IF(D20=0,C19,IF(ISBLANK(G20),C19,1+MAX(C$18:C19)))</f>
        <v>1</v>
      </c>
      <c r="D20" s="132">
        <v>1</v>
      </c>
      <c r="E20" s="138"/>
      <c r="F20" s="139">
        <v>1</v>
      </c>
      <c r="G20" s="144" t="str">
        <f>+A20&amp;" ("&amp;B20&amp;")"</f>
        <v>OPERATING REVENUES (1)</v>
      </c>
      <c r="AB20" s="69"/>
    </row>
    <row r="21" spans="1:35" ht="15" x14ac:dyDescent="0.25">
      <c r="C21" s="138">
        <f>IF(D21=0,C20,IF(ISBLANK(G21),C20,1+MAX(C$18:C20)))</f>
        <v>2</v>
      </c>
      <c r="D21" s="132">
        <v>1</v>
      </c>
      <c r="F21" s="139">
        <f t="shared" si="2"/>
        <v>2</v>
      </c>
      <c r="G21" s="145" t="s">
        <v>23</v>
      </c>
      <c r="H21" s="6">
        <v>0</v>
      </c>
      <c r="I21" s="6">
        <v>0</v>
      </c>
      <c r="J21" s="6">
        <v>0</v>
      </c>
      <c r="K21" s="6">
        <v>1115704</v>
      </c>
      <c r="L21" s="6">
        <f>$K21*(1+(((0*0.1)+(1*0.15))*(3/12)))</f>
        <v>1157542.9000000001</v>
      </c>
      <c r="M21" s="5">
        <f>$K21*(1+(((0*0.1)+(1*0.15))*(12/12)))</f>
        <v>1283059.5999999999</v>
      </c>
      <c r="N21" s="5">
        <f t="shared" ref="N21:O21" si="4">+N365</f>
        <v>1321737</v>
      </c>
      <c r="O21" s="5">
        <f t="shared" si="4"/>
        <v>1360492</v>
      </c>
      <c r="P21" s="5">
        <f>+P365</f>
        <v>1366977</v>
      </c>
      <c r="Q21" s="5">
        <f t="shared" ref="Q21:Z21" si="5">+Q365</f>
        <v>1604203</v>
      </c>
      <c r="R21" s="5">
        <f t="shared" si="5"/>
        <v>1612011</v>
      </c>
      <c r="S21" s="5">
        <f t="shared" si="5"/>
        <v>1620071</v>
      </c>
      <c r="T21" s="5">
        <f t="shared" si="5"/>
        <v>1690042</v>
      </c>
      <c r="U21" s="5">
        <f t="shared" si="5"/>
        <v>1698492</v>
      </c>
      <c r="V21" s="5">
        <f t="shared" si="5"/>
        <v>1706984</v>
      </c>
      <c r="W21" s="5">
        <f t="shared" si="5"/>
        <v>1784140</v>
      </c>
      <c r="X21" s="5">
        <f t="shared" si="5"/>
        <v>1793061</v>
      </c>
      <c r="Y21" s="5">
        <f t="shared" si="5"/>
        <v>1802026</v>
      </c>
      <c r="Z21" s="5">
        <f t="shared" si="5"/>
        <v>1881667</v>
      </c>
      <c r="AA21" s="5">
        <v>0</v>
      </c>
      <c r="AB21" s="69"/>
    </row>
    <row r="22" spans="1:35" ht="15" x14ac:dyDescent="0.25">
      <c r="C22" s="138">
        <f>IF(D22=0,C21,IF(ISBLANK(G22),C21,1+MAX(C$18:C21)))</f>
        <v>3</v>
      </c>
      <c r="D22" s="132">
        <v>1</v>
      </c>
      <c r="F22" s="139">
        <f t="shared" si="2"/>
        <v>3</v>
      </c>
      <c r="G22" s="145" t="s">
        <v>24</v>
      </c>
      <c r="H22" s="6">
        <v>0</v>
      </c>
      <c r="I22" s="6">
        <v>0</v>
      </c>
      <c r="J22" s="6">
        <v>0</v>
      </c>
      <c r="K22" s="6">
        <v>35512</v>
      </c>
      <c r="L22" s="6">
        <f>+K22</f>
        <v>35512</v>
      </c>
      <c r="M22" s="6">
        <f>+L22</f>
        <v>35512</v>
      </c>
      <c r="N22" s="6">
        <f t="shared" ref="N22:Z22" si="6">+M22</f>
        <v>35512</v>
      </c>
      <c r="O22" s="6">
        <f t="shared" si="6"/>
        <v>35512</v>
      </c>
      <c r="P22" s="6">
        <f t="shared" si="6"/>
        <v>35512</v>
      </c>
      <c r="Q22" s="6">
        <f t="shared" si="6"/>
        <v>35512</v>
      </c>
      <c r="R22" s="6">
        <f t="shared" si="6"/>
        <v>35512</v>
      </c>
      <c r="S22" s="6">
        <f t="shared" si="6"/>
        <v>35512</v>
      </c>
      <c r="T22" s="6">
        <f t="shared" si="6"/>
        <v>35512</v>
      </c>
      <c r="U22" s="6">
        <f t="shared" si="6"/>
        <v>35512</v>
      </c>
      <c r="V22" s="6">
        <f t="shared" si="6"/>
        <v>35512</v>
      </c>
      <c r="W22" s="6">
        <f t="shared" si="6"/>
        <v>35512</v>
      </c>
      <c r="X22" s="6">
        <f t="shared" si="6"/>
        <v>35512</v>
      </c>
      <c r="Y22" s="6">
        <f t="shared" si="6"/>
        <v>35512</v>
      </c>
      <c r="Z22" s="6">
        <f t="shared" si="6"/>
        <v>35512</v>
      </c>
      <c r="AA22" s="5"/>
      <c r="AB22" s="69"/>
    </row>
    <row r="23" spans="1:35" ht="15" x14ac:dyDescent="0.25">
      <c r="C23" s="138">
        <f>IF(D23=0,C22,IF(ISBLANK(G23),C22,1+MAX(C$18:C22)))</f>
        <v>4</v>
      </c>
      <c r="D23" s="132">
        <f>IF($C$10="SUBJECT",0,1)</f>
        <v>1</v>
      </c>
      <c r="F23" s="139">
        <f t="shared" si="2"/>
        <v>4</v>
      </c>
      <c r="G23" s="145" t="s">
        <v>25</v>
      </c>
      <c r="H23" s="6">
        <v>0</v>
      </c>
      <c r="I23" s="6">
        <v>0</v>
      </c>
      <c r="J23" s="6">
        <v>0</v>
      </c>
      <c r="K23" s="6">
        <v>0</v>
      </c>
      <c r="L23" s="6">
        <v>0</v>
      </c>
      <c r="M23" s="6">
        <v>0</v>
      </c>
      <c r="N23" s="6">
        <f t="shared" ref="N23:O23" si="7">+N366</f>
        <v>0</v>
      </c>
      <c r="O23" s="6">
        <f t="shared" si="7"/>
        <v>0</v>
      </c>
      <c r="P23" s="6">
        <f>+P366</f>
        <v>229652</v>
      </c>
      <c r="Q23" s="6">
        <f t="shared" ref="Q23:Z23" si="8">+Q366</f>
        <v>0</v>
      </c>
      <c r="R23" s="6">
        <f t="shared" si="8"/>
        <v>0</v>
      </c>
      <c r="S23" s="6">
        <f t="shared" si="8"/>
        <v>61563</v>
      </c>
      <c r="T23" s="6">
        <f t="shared" si="8"/>
        <v>0</v>
      </c>
      <c r="U23" s="6">
        <f t="shared" si="8"/>
        <v>0</v>
      </c>
      <c r="V23" s="6">
        <f t="shared" si="8"/>
        <v>68279</v>
      </c>
      <c r="W23" s="6">
        <f t="shared" si="8"/>
        <v>0</v>
      </c>
      <c r="X23" s="6">
        <f t="shared" si="8"/>
        <v>0</v>
      </c>
      <c r="Y23" s="6">
        <f t="shared" si="8"/>
        <v>70279</v>
      </c>
      <c r="Z23" s="6">
        <f t="shared" si="8"/>
        <v>0</v>
      </c>
      <c r="AA23" s="6">
        <v>0</v>
      </c>
      <c r="AB23" s="69"/>
    </row>
    <row r="24" spans="1:35" ht="15.75" thickBot="1" x14ac:dyDescent="0.3">
      <c r="C24" s="138">
        <f>IF(D24=0,C23,IF(ISBLANK(G24),C23,1+MAX(C$18:C23)))</f>
        <v>5</v>
      </c>
      <c r="D24" s="132">
        <v>1</v>
      </c>
      <c r="F24" s="139">
        <f t="shared" si="2"/>
        <v>5</v>
      </c>
      <c r="G24" s="146" t="s">
        <v>26</v>
      </c>
      <c r="H24" s="7">
        <f t="shared" ref="H24:Z24" si="9">SUM(H21:H23)</f>
        <v>0</v>
      </c>
      <c r="I24" s="7">
        <f t="shared" si="9"/>
        <v>0</v>
      </c>
      <c r="J24" s="7">
        <f t="shared" si="9"/>
        <v>0</v>
      </c>
      <c r="K24" s="7">
        <f t="shared" si="9"/>
        <v>1151216</v>
      </c>
      <c r="L24" s="7">
        <f t="shared" si="9"/>
        <v>1193054.9000000001</v>
      </c>
      <c r="M24" s="7">
        <f t="shared" si="9"/>
        <v>1318571.5999999999</v>
      </c>
      <c r="N24" s="7">
        <f t="shared" si="9"/>
        <v>1357249</v>
      </c>
      <c r="O24" s="7">
        <f t="shared" si="9"/>
        <v>1396004</v>
      </c>
      <c r="P24" s="7">
        <f t="shared" si="9"/>
        <v>1632141</v>
      </c>
      <c r="Q24" s="7">
        <f t="shared" si="9"/>
        <v>1639715</v>
      </c>
      <c r="R24" s="7">
        <f t="shared" si="9"/>
        <v>1647523</v>
      </c>
      <c r="S24" s="7">
        <f t="shared" si="9"/>
        <v>1717146</v>
      </c>
      <c r="T24" s="7">
        <f t="shared" si="9"/>
        <v>1725554</v>
      </c>
      <c r="U24" s="7">
        <f t="shared" si="9"/>
        <v>1734004</v>
      </c>
      <c r="V24" s="7">
        <f t="shared" si="9"/>
        <v>1810775</v>
      </c>
      <c r="W24" s="7">
        <f t="shared" si="9"/>
        <v>1819652</v>
      </c>
      <c r="X24" s="7">
        <f t="shared" si="9"/>
        <v>1828573</v>
      </c>
      <c r="Y24" s="7">
        <f t="shared" si="9"/>
        <v>1907817</v>
      </c>
      <c r="Z24" s="7">
        <f t="shared" si="9"/>
        <v>1917179</v>
      </c>
      <c r="AA24" s="7">
        <f t="shared" ref="AA24" si="10">SUM(AA21:AA23)</f>
        <v>0</v>
      </c>
      <c r="AB24" s="69"/>
    </row>
    <row r="25" spans="1:35" ht="15.75" thickTop="1" x14ac:dyDescent="0.25">
      <c r="C25" s="138">
        <f>IF(D25=0,C24,IF(ISBLANK(G25),C24,1+MAX(C$18:C24)))</f>
        <v>6</v>
      </c>
      <c r="D25" s="132">
        <v>1</v>
      </c>
      <c r="F25" s="139">
        <f t="shared" si="2"/>
        <v>6</v>
      </c>
      <c r="G25" s="147" t="s">
        <v>27</v>
      </c>
      <c r="H25" s="8"/>
      <c r="I25" s="8"/>
      <c r="J25" s="8"/>
      <c r="K25" s="8"/>
      <c r="L25" s="9"/>
      <c r="M25" s="9"/>
      <c r="N25" s="10" t="str">
        <f t="shared" ref="N25:Z25" si="11">IF(N23&gt;0,+N23/N21,"")</f>
        <v/>
      </c>
      <c r="O25" s="10" t="str">
        <f t="shared" si="11"/>
        <v/>
      </c>
      <c r="P25" s="10">
        <f t="shared" si="11"/>
        <v>0.16799990051039629</v>
      </c>
      <c r="Q25" s="10" t="str">
        <f t="shared" si="11"/>
        <v/>
      </c>
      <c r="R25" s="10" t="str">
        <f t="shared" si="11"/>
        <v/>
      </c>
      <c r="S25" s="10">
        <f t="shared" si="11"/>
        <v>3.8000186411583196E-2</v>
      </c>
      <c r="T25" s="10" t="str">
        <f t="shared" si="11"/>
        <v/>
      </c>
      <c r="U25" s="10" t="str">
        <f t="shared" si="11"/>
        <v/>
      </c>
      <c r="V25" s="10">
        <f t="shared" si="11"/>
        <v>3.9999789101713902E-2</v>
      </c>
      <c r="W25" s="10" t="str">
        <f t="shared" si="11"/>
        <v/>
      </c>
      <c r="X25" s="10" t="str">
        <f t="shared" si="11"/>
        <v/>
      </c>
      <c r="Y25" s="10">
        <f t="shared" si="11"/>
        <v>3.8999992230966701E-2</v>
      </c>
      <c r="Z25" s="10" t="str">
        <f t="shared" si="11"/>
        <v/>
      </c>
      <c r="AA25" s="10"/>
      <c r="AB25" s="69"/>
      <c r="AE25" s="148"/>
      <c r="AF25" s="148"/>
      <c r="AG25" s="148"/>
    </row>
    <row r="26" spans="1:35" ht="15" x14ac:dyDescent="0.25">
      <c r="C26" s="138">
        <f>IF(D26=0,C25,IF(ISBLANK(G26),C25,1+MAX(C$18:C25)))</f>
        <v>6</v>
      </c>
      <c r="D26" s="132">
        <v>1</v>
      </c>
      <c r="F26" s="139" t="str">
        <f t="shared" si="2"/>
        <v/>
      </c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B26" s="69"/>
      <c r="AE26" s="148"/>
      <c r="AF26" s="148"/>
      <c r="AG26" s="148"/>
    </row>
    <row r="27" spans="1:35" ht="15" x14ac:dyDescent="0.25">
      <c r="A27" s="144" t="s">
        <v>28</v>
      </c>
      <c r="B27" s="25">
        <v>1</v>
      </c>
      <c r="C27" s="138">
        <f>IF(D27=0,C26,IF(ISBLANK(G27),C26,1+MAX(C$18:C26)))</f>
        <v>7</v>
      </c>
      <c r="D27" s="132">
        <v>1</v>
      </c>
      <c r="F27" s="139">
        <f t="shared" si="2"/>
        <v>7</v>
      </c>
      <c r="G27" s="144" t="str">
        <f>+A27&amp;" ("&amp;B27&amp;")"</f>
        <v>OPERATING EXPENSES (1)</v>
      </c>
      <c r="H27" s="6"/>
      <c r="I27" s="6"/>
      <c r="J27" s="6"/>
      <c r="K27" s="6"/>
      <c r="L27" s="5"/>
      <c r="M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69"/>
      <c r="AB27" s="69"/>
      <c r="AC27" s="2" t="s">
        <v>29</v>
      </c>
    </row>
    <row r="28" spans="1:35" ht="15" x14ac:dyDescent="0.25">
      <c r="C28" s="138">
        <f>IF(D28=0,C27,IF(ISBLANK(G28),C27,1+MAX(C$18:C27)))</f>
        <v>8</v>
      </c>
      <c r="D28" s="132">
        <v>1</v>
      </c>
      <c r="F28" s="139">
        <f t="shared" si="2"/>
        <v>8</v>
      </c>
      <c r="G28" s="149" t="s">
        <v>30</v>
      </c>
      <c r="H28" s="6">
        <v>0</v>
      </c>
      <c r="I28" s="6">
        <v>0</v>
      </c>
      <c r="J28" s="6">
        <v>0</v>
      </c>
      <c r="K28" s="5">
        <v>1339822</v>
      </c>
      <c r="L28" s="6">
        <f t="shared" ref="L28:Z28" si="12">+K28*(1+$AC28)</f>
        <v>1366618.44</v>
      </c>
      <c r="M28" s="6">
        <f t="shared" si="12"/>
        <v>1393950.8088</v>
      </c>
      <c r="N28" s="6">
        <f t="shared" si="12"/>
        <v>1421829.824976</v>
      </c>
      <c r="O28" s="6">
        <f t="shared" si="12"/>
        <v>1450266.4214755201</v>
      </c>
      <c r="P28" s="6">
        <f t="shared" si="12"/>
        <v>1479271.7499050305</v>
      </c>
      <c r="Q28" s="6">
        <f t="shared" si="12"/>
        <v>1508857.1849031311</v>
      </c>
      <c r="R28" s="6">
        <f t="shared" si="12"/>
        <v>1539034.3286011938</v>
      </c>
      <c r="S28" s="6">
        <f t="shared" si="12"/>
        <v>1569815.0151732177</v>
      </c>
      <c r="T28" s="6">
        <f t="shared" si="12"/>
        <v>1601211.315476682</v>
      </c>
      <c r="U28" s="6">
        <f t="shared" si="12"/>
        <v>1633235.5417862157</v>
      </c>
      <c r="V28" s="6">
        <f t="shared" si="12"/>
        <v>1665900.2526219401</v>
      </c>
      <c r="W28" s="6">
        <f t="shared" si="12"/>
        <v>1699218.257674379</v>
      </c>
      <c r="X28" s="6">
        <f t="shared" si="12"/>
        <v>1733202.6228278666</v>
      </c>
      <c r="Y28" s="6">
        <f t="shared" si="12"/>
        <v>1767866.6752844239</v>
      </c>
      <c r="Z28" s="6">
        <f t="shared" si="12"/>
        <v>1803224.0087901123</v>
      </c>
      <c r="AA28" s="69"/>
      <c r="AB28" s="69"/>
      <c r="AC28" s="150">
        <v>0.02</v>
      </c>
    </row>
    <row r="29" spans="1:35" ht="15" x14ac:dyDescent="0.25">
      <c r="C29" s="138">
        <f>IF(D29=0,C28,IF(ISBLANK(G29),C28,1+MAX(C$18:C28)))</f>
        <v>9</v>
      </c>
      <c r="D29" s="132">
        <f>IF($C$10="SUBJECT",0,1)</f>
        <v>1</v>
      </c>
      <c r="F29" s="139">
        <f t="shared" si="2"/>
        <v>9</v>
      </c>
      <c r="G29" s="149" t="s">
        <v>31</v>
      </c>
      <c r="H29" s="11"/>
      <c r="I29" s="11"/>
      <c r="J29" s="11"/>
      <c r="K29" s="11"/>
      <c r="L29" s="11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9"/>
      <c r="AB29" s="69"/>
    </row>
    <row r="30" spans="1:35" ht="15" x14ac:dyDescent="0.25">
      <c r="C30" s="138">
        <f>IF(D30=0,C29,IF(ISBLANK(G30),C29,1+MAX(C$18:C29)))</f>
        <v>10</v>
      </c>
      <c r="D30" s="132">
        <f>IF($C$10="SUBJECT",0,1)</f>
        <v>1</v>
      </c>
      <c r="F30" s="139">
        <f t="shared" si="2"/>
        <v>10</v>
      </c>
      <c r="G30" s="12" t="s">
        <v>32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6">
        <f>+M406*(1+$AC30)*AH30*-1</f>
        <v>-17375.901429599999</v>
      </c>
      <c r="O30" s="6">
        <f t="shared" ref="O30:Z32" si="13">+N30*(1+$AC30)</f>
        <v>-17723.419458191998</v>
      </c>
      <c r="P30" s="6">
        <f t="shared" si="13"/>
        <v>-18077.88784735584</v>
      </c>
      <c r="Q30" s="6">
        <f t="shared" si="13"/>
        <v>-18439.445604302957</v>
      </c>
      <c r="R30" s="6">
        <f t="shared" si="13"/>
        <v>-18808.234516389017</v>
      </c>
      <c r="S30" s="6">
        <f t="shared" si="13"/>
        <v>-19184.399206716796</v>
      </c>
      <c r="T30" s="6">
        <f t="shared" si="13"/>
        <v>-19568.087190851133</v>
      </c>
      <c r="U30" s="6">
        <f t="shared" si="13"/>
        <v>-19959.448934668155</v>
      </c>
      <c r="V30" s="6">
        <f t="shared" si="13"/>
        <v>-20358.637913361519</v>
      </c>
      <c r="W30" s="6">
        <f t="shared" si="13"/>
        <v>-20765.810671628751</v>
      </c>
      <c r="X30" s="6">
        <f t="shared" si="13"/>
        <v>-21181.126885061327</v>
      </c>
      <c r="Y30" s="6">
        <f t="shared" si="13"/>
        <v>-21604.749422762554</v>
      </c>
      <c r="Z30" s="6">
        <f t="shared" si="13"/>
        <v>-22036.844411217804</v>
      </c>
      <c r="AA30" s="69"/>
      <c r="AB30" s="69"/>
      <c r="AC30" s="2">
        <f>+AC28</f>
        <v>0.02</v>
      </c>
      <c r="AE30" s="151" t="s">
        <v>33</v>
      </c>
      <c r="AF30" s="152"/>
      <c r="AG30" s="153" t="s">
        <v>34</v>
      </c>
      <c r="AH30" s="154">
        <v>0.15</v>
      </c>
      <c r="AI30" s="13">
        <v>0.15</v>
      </c>
    </row>
    <row r="31" spans="1:35" ht="15" x14ac:dyDescent="0.25">
      <c r="C31" s="138">
        <f>IF(D31=0,C30,IF(ISBLANK(G31),C30,1+MAX(C$18:C30)))</f>
        <v>11</v>
      </c>
      <c r="D31" s="132">
        <f t="shared" ref="D31:D32" si="14">IF($C$10="SUBJECT",0,1)</f>
        <v>1</v>
      </c>
      <c r="F31" s="139">
        <f t="shared" si="2"/>
        <v>11</v>
      </c>
      <c r="G31" s="12" t="s">
        <v>35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6">
        <f>+M407*(1+$AC31)*AH31*-1</f>
        <v>-72607.851359999986</v>
      </c>
      <c r="O31" s="6">
        <f t="shared" si="13"/>
        <v>-74060.008387199981</v>
      </c>
      <c r="P31" s="6">
        <f t="shared" si="13"/>
        <v>-75541.20855494398</v>
      </c>
      <c r="Q31" s="6">
        <f t="shared" si="13"/>
        <v>-77052.03272604286</v>
      </c>
      <c r="R31" s="6">
        <f t="shared" si="13"/>
        <v>-78593.073380563714</v>
      </c>
      <c r="S31" s="6">
        <f t="shared" si="13"/>
        <v>-80164.934848174991</v>
      </c>
      <c r="T31" s="6">
        <f t="shared" si="13"/>
        <v>-81768.233545138486</v>
      </c>
      <c r="U31" s="6">
        <f t="shared" si="13"/>
        <v>-83403.598216041253</v>
      </c>
      <c r="V31" s="6">
        <f t="shared" si="13"/>
        <v>-85071.670180362082</v>
      </c>
      <c r="W31" s="6">
        <f t="shared" si="13"/>
        <v>-86773.103583969321</v>
      </c>
      <c r="X31" s="6">
        <f t="shared" si="13"/>
        <v>-88508.565655648708</v>
      </c>
      <c r="Y31" s="6">
        <f t="shared" si="13"/>
        <v>-90278.736968761688</v>
      </c>
      <c r="Z31" s="6">
        <f t="shared" si="13"/>
        <v>-92084.311708136927</v>
      </c>
      <c r="AA31" s="69"/>
      <c r="AB31" s="69"/>
      <c r="AC31" s="2">
        <f>+AC30</f>
        <v>0.02</v>
      </c>
      <c r="AE31" s="151" t="s">
        <v>36</v>
      </c>
      <c r="AF31" s="152"/>
      <c r="AG31" s="153" t="s">
        <v>37</v>
      </c>
      <c r="AH31" s="154">
        <v>0.5</v>
      </c>
      <c r="AI31" s="13">
        <v>0.5</v>
      </c>
    </row>
    <row r="32" spans="1:35" ht="15" x14ac:dyDescent="0.25">
      <c r="C32" s="138">
        <f>IF(D32=0,C31,IF(ISBLANK(G32),C31,1+MAX(C$18:C31)))</f>
        <v>12</v>
      </c>
      <c r="D32" s="132">
        <f t="shared" si="14"/>
        <v>1</v>
      </c>
      <c r="F32" s="139">
        <f t="shared" si="2"/>
        <v>12</v>
      </c>
      <c r="G32" s="12" t="s">
        <v>38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6">
        <f>+M408*(1+$AC32)*AH32*-1</f>
        <v>-2396.9505096000003</v>
      </c>
      <c r="O32" s="6">
        <f t="shared" si="13"/>
        <v>-2444.8895197920001</v>
      </c>
      <c r="P32" s="6">
        <f t="shared" si="13"/>
        <v>-2493.7873101878399</v>
      </c>
      <c r="Q32" s="6">
        <f t="shared" si="13"/>
        <v>-2543.6630563915969</v>
      </c>
      <c r="R32" s="6">
        <f t="shared" si="13"/>
        <v>-2594.5363175194288</v>
      </c>
      <c r="S32" s="6">
        <f t="shared" si="13"/>
        <v>-2646.4270438698177</v>
      </c>
      <c r="T32" s="6">
        <f t="shared" si="13"/>
        <v>-2699.3555847472139</v>
      </c>
      <c r="U32" s="6">
        <f t="shared" si="13"/>
        <v>-2753.3426964421583</v>
      </c>
      <c r="V32" s="6">
        <f t="shared" si="13"/>
        <v>-2808.4095503710014</v>
      </c>
      <c r="W32" s="6">
        <f t="shared" si="13"/>
        <v>-2864.5777413784213</v>
      </c>
      <c r="X32" s="6">
        <f t="shared" si="13"/>
        <v>-2921.8692962059899</v>
      </c>
      <c r="Y32" s="6">
        <f t="shared" si="13"/>
        <v>-2980.3066821301099</v>
      </c>
      <c r="Z32" s="6">
        <f t="shared" si="13"/>
        <v>-3039.9128157727123</v>
      </c>
      <c r="AA32" s="69"/>
      <c r="AB32" s="69"/>
      <c r="AC32" s="2">
        <f t="shared" ref="AC32" si="15">+AC31</f>
        <v>0.02</v>
      </c>
      <c r="AE32" s="151" t="s">
        <v>39</v>
      </c>
      <c r="AF32" s="152"/>
      <c r="AG32" s="153" t="s">
        <v>40</v>
      </c>
      <c r="AH32" s="154">
        <v>0.1</v>
      </c>
      <c r="AI32" s="13">
        <v>0.1</v>
      </c>
    </row>
    <row r="33" spans="1:28" ht="15" x14ac:dyDescent="0.25">
      <c r="C33" s="138">
        <f>IF(D33=0,C32,IF(ISBLANK(G33),C32,1+MAX(C$18:C32)))</f>
        <v>12</v>
      </c>
      <c r="D33" s="132">
        <f>IF($C$10="IOU",1,0)</f>
        <v>0</v>
      </c>
      <c r="F33" s="139">
        <f t="shared" si="2"/>
        <v>12</v>
      </c>
      <c r="G33" s="12" t="s">
        <v>41</v>
      </c>
      <c r="H33" s="6"/>
      <c r="I33" s="6"/>
      <c r="J33" s="6"/>
      <c r="K33" s="6"/>
      <c r="L33" s="6"/>
      <c r="M33" s="6"/>
      <c r="N33" s="6">
        <f>IF($C$10="IOU",+N373,0)</f>
        <v>0</v>
      </c>
      <c r="O33" s="6">
        <f>IF($C$10="IOU",+O373,0)</f>
        <v>0</v>
      </c>
      <c r="P33" s="6">
        <f>IF($C$10="IOU",+P373,0)</f>
        <v>0</v>
      </c>
      <c r="Q33" s="6">
        <f>IF($C$10="IOU",+Q373,0)</f>
        <v>0</v>
      </c>
      <c r="R33" s="6">
        <f>IF($C$10="IOU",+R373,0)</f>
        <v>0</v>
      </c>
      <c r="S33" s="6">
        <f>IF($C$10="IOU",+S373,0)</f>
        <v>0</v>
      </c>
      <c r="T33" s="6">
        <f>IF($C$10="IOU",+T373,0)</f>
        <v>0</v>
      </c>
      <c r="U33" s="6">
        <f>IF($C$10="IOU",+U373,0)</f>
        <v>0</v>
      </c>
      <c r="V33" s="6">
        <f>IF($C$10="IOU",+V373,0)</f>
        <v>0</v>
      </c>
      <c r="W33" s="6">
        <f>IF($C$10="IOU",+W373,0)</f>
        <v>0</v>
      </c>
      <c r="X33" s="6">
        <f>IF($C$10="IOU",+X373,0)</f>
        <v>0</v>
      </c>
      <c r="Y33" s="6">
        <f>IF($C$10="IOU",+Y373,0)</f>
        <v>0</v>
      </c>
      <c r="Z33" s="6">
        <f>IF($C$10="IOU",+Z373,0)</f>
        <v>0</v>
      </c>
      <c r="AA33" s="69"/>
      <c r="AB33" s="69"/>
    </row>
    <row r="34" spans="1:28" ht="15" x14ac:dyDescent="0.25">
      <c r="C34" s="138">
        <f>IF(D34=0,C33,IF(ISBLANK(G34),C33,1+MAX(C$18:C33)))</f>
        <v>13</v>
      </c>
      <c r="D34" s="132">
        <v>1</v>
      </c>
      <c r="F34" s="139">
        <f t="shared" si="2"/>
        <v>13</v>
      </c>
      <c r="G34" s="155" t="s">
        <v>42</v>
      </c>
      <c r="H34" s="14">
        <f t="shared" ref="H34:Z34" si="16">SUM(H28:H33)</f>
        <v>0</v>
      </c>
      <c r="I34" s="14">
        <f t="shared" si="16"/>
        <v>0</v>
      </c>
      <c r="J34" s="14">
        <f t="shared" si="16"/>
        <v>0</v>
      </c>
      <c r="K34" s="14">
        <f t="shared" si="16"/>
        <v>1339822</v>
      </c>
      <c r="L34" s="14">
        <f t="shared" si="16"/>
        <v>1366618.44</v>
      </c>
      <c r="M34" s="14">
        <f t="shared" si="16"/>
        <v>1393950.8088</v>
      </c>
      <c r="N34" s="14">
        <f t="shared" si="16"/>
        <v>1329449.1216767998</v>
      </c>
      <c r="O34" s="14">
        <f t="shared" si="16"/>
        <v>1356038.1041103359</v>
      </c>
      <c r="P34" s="14">
        <f t="shared" si="16"/>
        <v>1383158.8661925427</v>
      </c>
      <c r="Q34" s="14">
        <f t="shared" si="16"/>
        <v>1410822.0435163938</v>
      </c>
      <c r="R34" s="14">
        <f t="shared" si="16"/>
        <v>1439038.4843867219</v>
      </c>
      <c r="S34" s="14">
        <f t="shared" si="16"/>
        <v>1467819.2540744562</v>
      </c>
      <c r="T34" s="14">
        <f t="shared" si="16"/>
        <v>1497175.6391559453</v>
      </c>
      <c r="U34" s="14">
        <f t="shared" si="16"/>
        <v>1527119.151939064</v>
      </c>
      <c r="V34" s="14">
        <f t="shared" si="16"/>
        <v>1557661.5349778454</v>
      </c>
      <c r="W34" s="14">
        <f t="shared" si="16"/>
        <v>1588814.7656774025</v>
      </c>
      <c r="X34" s="14">
        <f t="shared" si="16"/>
        <v>1620591.0609909506</v>
      </c>
      <c r="Y34" s="14">
        <f t="shared" si="16"/>
        <v>1653002.8822107695</v>
      </c>
      <c r="Z34" s="14">
        <f t="shared" si="16"/>
        <v>1686062.9398549849</v>
      </c>
      <c r="AA34" s="69"/>
      <c r="AB34" s="69"/>
    </row>
    <row r="35" spans="1:28" ht="15" x14ac:dyDescent="0.25">
      <c r="A35" s="145" t="s">
        <v>43</v>
      </c>
      <c r="B35" s="25">
        <f>MAX(B$20:B34)+1</f>
        <v>2</v>
      </c>
      <c r="C35" s="138">
        <f>IF(D35=0,C34,IF(ISBLANK(G35),C34,1+MAX(C$18:C34)))</f>
        <v>14</v>
      </c>
      <c r="D35" s="132">
        <v>1</v>
      </c>
      <c r="F35" s="139">
        <f t="shared" si="2"/>
        <v>14</v>
      </c>
      <c r="G35" s="4" t="str">
        <f>+A35&amp;" ("&amp;B35&amp;")"</f>
        <v>Depreciation (2)</v>
      </c>
      <c r="H35" s="5">
        <f>+H314</f>
        <v>0</v>
      </c>
      <c r="I35" s="5">
        <f t="shared" ref="I35:J35" si="17">+I314</f>
        <v>0</v>
      </c>
      <c r="J35" s="5">
        <f t="shared" si="17"/>
        <v>0</v>
      </c>
      <c r="K35" s="5">
        <f>+K459</f>
        <v>70773</v>
      </c>
      <c r="L35" s="5">
        <f>+L312</f>
        <v>70773</v>
      </c>
      <c r="M35" s="5">
        <f>+M312</f>
        <v>81865.373399999997</v>
      </c>
      <c r="N35" s="5">
        <f>+N312</f>
        <v>82317.717799999999</v>
      </c>
      <c r="O35" s="5">
        <f t="shared" ref="O35:Z35" si="18">+O312</f>
        <v>83417.015000000014</v>
      </c>
      <c r="P35" s="5">
        <f t="shared" si="18"/>
        <v>84526.843999999997</v>
      </c>
      <c r="Q35" s="5">
        <f t="shared" si="18"/>
        <v>85650.380600000004</v>
      </c>
      <c r="R35" s="5">
        <f t="shared" si="18"/>
        <v>86789.7742</v>
      </c>
      <c r="S35" s="5">
        <f t="shared" si="18"/>
        <v>87944.174200000009</v>
      </c>
      <c r="T35" s="5">
        <f t="shared" si="18"/>
        <v>89113.813000000009</v>
      </c>
      <c r="U35" s="5">
        <f t="shared" si="18"/>
        <v>90307.503400000001</v>
      </c>
      <c r="V35" s="5">
        <f t="shared" si="18"/>
        <v>91528.373800000001</v>
      </c>
      <c r="W35" s="5">
        <f t="shared" si="18"/>
        <v>92764.595200000011</v>
      </c>
      <c r="X35" s="5">
        <f t="shared" si="18"/>
        <v>94018.4</v>
      </c>
      <c r="Y35" s="5">
        <f t="shared" si="18"/>
        <v>95289.020599999989</v>
      </c>
      <c r="Z35" s="5">
        <f t="shared" si="18"/>
        <v>96577.6728</v>
      </c>
      <c r="AA35" s="69"/>
      <c r="AB35" s="69"/>
    </row>
    <row r="36" spans="1:28" ht="15.75" thickBot="1" x14ac:dyDescent="0.3">
      <c r="C36" s="138">
        <f>IF(D36=0,C35,IF(ISBLANK(G36),C35,1+MAX(C$18:C35)))</f>
        <v>15</v>
      </c>
      <c r="D36" s="132">
        <v>1</v>
      </c>
      <c r="F36" s="139">
        <f t="shared" si="2"/>
        <v>15</v>
      </c>
      <c r="G36" s="155" t="s">
        <v>44</v>
      </c>
      <c r="H36" s="7">
        <f t="shared" ref="H36:Z36" si="19">+H35+H34</f>
        <v>0</v>
      </c>
      <c r="I36" s="7">
        <f t="shared" si="19"/>
        <v>0</v>
      </c>
      <c r="J36" s="7">
        <f t="shared" si="19"/>
        <v>0</v>
      </c>
      <c r="K36" s="7">
        <f t="shared" si="19"/>
        <v>1410595</v>
      </c>
      <c r="L36" s="7">
        <f t="shared" si="19"/>
        <v>1437391.44</v>
      </c>
      <c r="M36" s="7">
        <f t="shared" si="19"/>
        <v>1475816.1821999999</v>
      </c>
      <c r="N36" s="7">
        <f t="shared" si="19"/>
        <v>1411766.8394767998</v>
      </c>
      <c r="O36" s="7">
        <f t="shared" si="19"/>
        <v>1439455.1191103361</v>
      </c>
      <c r="P36" s="7">
        <f t="shared" si="19"/>
        <v>1467685.7101925428</v>
      </c>
      <c r="Q36" s="7">
        <f t="shared" si="19"/>
        <v>1496472.4241163938</v>
      </c>
      <c r="R36" s="7">
        <f t="shared" si="19"/>
        <v>1525828.258586722</v>
      </c>
      <c r="S36" s="7">
        <f t="shared" si="19"/>
        <v>1555763.4282744562</v>
      </c>
      <c r="T36" s="7">
        <f t="shared" si="19"/>
        <v>1586289.4521559454</v>
      </c>
      <c r="U36" s="7">
        <f t="shared" si="19"/>
        <v>1617426.6553390641</v>
      </c>
      <c r="V36" s="7">
        <f t="shared" si="19"/>
        <v>1649189.9087778453</v>
      </c>
      <c r="W36" s="7">
        <f t="shared" si="19"/>
        <v>1681579.3608774026</v>
      </c>
      <c r="X36" s="7">
        <f t="shared" si="19"/>
        <v>1714609.4609909505</v>
      </c>
      <c r="Y36" s="7">
        <f t="shared" si="19"/>
        <v>1748291.9028107694</v>
      </c>
      <c r="Z36" s="7">
        <f t="shared" si="19"/>
        <v>1782640.6126549849</v>
      </c>
      <c r="AA36" s="69"/>
      <c r="AB36" s="69"/>
    </row>
    <row r="37" spans="1:28" ht="15.75" thickTop="1" x14ac:dyDescent="0.25">
      <c r="C37" s="138">
        <f>IF(D37=0,C36,IF(ISBLANK(G37),C36,1+MAX(C$18:C36)))</f>
        <v>15</v>
      </c>
      <c r="D37" s="132">
        <v>1</v>
      </c>
      <c r="F37" s="139" t="str">
        <f t="shared" si="2"/>
        <v/>
      </c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69"/>
      <c r="AB37" s="69"/>
    </row>
    <row r="38" spans="1:28" ht="15.75" thickBot="1" x14ac:dyDescent="0.3">
      <c r="C38" s="138">
        <f>IF(D38=0,C37,IF(ISBLANK(G38),C37,1+MAX(C$18:C37)))</f>
        <v>16</v>
      </c>
      <c r="D38" s="132">
        <v>1</v>
      </c>
      <c r="F38" s="139">
        <f t="shared" si="2"/>
        <v>16</v>
      </c>
      <c r="G38" s="146" t="s">
        <v>45</v>
      </c>
      <c r="H38" s="7">
        <f t="shared" ref="H38:Z38" si="20">+H24-H36</f>
        <v>0</v>
      </c>
      <c r="I38" s="7">
        <f t="shared" si="20"/>
        <v>0</v>
      </c>
      <c r="J38" s="7">
        <f t="shared" si="20"/>
        <v>0</v>
      </c>
      <c r="K38" s="7">
        <f t="shared" si="20"/>
        <v>-259379</v>
      </c>
      <c r="L38" s="7">
        <f t="shared" si="20"/>
        <v>-244336.5399999998</v>
      </c>
      <c r="M38" s="7">
        <f t="shared" si="20"/>
        <v>-157244.58220000006</v>
      </c>
      <c r="N38" s="7">
        <f t="shared" si="20"/>
        <v>-54517.839476799825</v>
      </c>
      <c r="O38" s="7">
        <f t="shared" si="20"/>
        <v>-43451.119110336062</v>
      </c>
      <c r="P38" s="7">
        <f t="shared" si="20"/>
        <v>164455.28980745724</v>
      </c>
      <c r="Q38" s="7">
        <f t="shared" si="20"/>
        <v>143242.57588360622</v>
      </c>
      <c r="R38" s="7">
        <f t="shared" si="20"/>
        <v>121694.74141327804</v>
      </c>
      <c r="S38" s="7">
        <f t="shared" si="20"/>
        <v>161382.57172554382</v>
      </c>
      <c r="T38" s="7">
        <f t="shared" si="20"/>
        <v>139264.54784405464</v>
      </c>
      <c r="U38" s="7">
        <f t="shared" si="20"/>
        <v>116577.34466093592</v>
      </c>
      <c r="V38" s="7">
        <f t="shared" si="20"/>
        <v>161585.09122215468</v>
      </c>
      <c r="W38" s="7">
        <f t="shared" si="20"/>
        <v>138072.63912259741</v>
      </c>
      <c r="X38" s="7">
        <f t="shared" si="20"/>
        <v>113963.53900904953</v>
      </c>
      <c r="Y38" s="7">
        <f t="shared" si="20"/>
        <v>159525.09718923061</v>
      </c>
      <c r="Z38" s="7">
        <f t="shared" si="20"/>
        <v>134538.38734501507</v>
      </c>
      <c r="AA38" s="69"/>
      <c r="AB38" s="69"/>
    </row>
    <row r="39" spans="1:28" ht="15.75" thickTop="1" x14ac:dyDescent="0.25">
      <c r="C39" s="138">
        <f>IF(D39=0,C38,IF(ISBLANK(G39),C38,1+MAX(C$18:C38)))</f>
        <v>16</v>
      </c>
      <c r="D39" s="132">
        <v>1</v>
      </c>
      <c r="F39" s="139" t="str">
        <f t="shared" si="2"/>
        <v/>
      </c>
      <c r="H39" s="6"/>
      <c r="I39" s="6"/>
      <c r="J39" s="6"/>
      <c r="K39" s="6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69"/>
    </row>
    <row r="40" spans="1:28" ht="15" x14ac:dyDescent="0.25">
      <c r="A40" s="4" t="s">
        <v>46</v>
      </c>
      <c r="B40" s="25">
        <f>MAX(B$20:B39)+1</f>
        <v>3</v>
      </c>
      <c r="C40" s="138">
        <f>IF(D40=0,C39,IF(ISBLANK(G40),C39,1+MAX(C$18:C39)))</f>
        <v>17</v>
      </c>
      <c r="D40" s="132">
        <v>1</v>
      </c>
      <c r="F40" s="139">
        <f t="shared" si="2"/>
        <v>17</v>
      </c>
      <c r="G40" s="4" t="str">
        <f t="shared" ref="G40:G42" si="21">+A40&amp;" ("&amp;B40&amp;")"</f>
        <v>Revenues (3)</v>
      </c>
      <c r="H40" s="6">
        <f t="shared" ref="H40:Z40" si="22">+H24</f>
        <v>0</v>
      </c>
      <c r="I40" s="6">
        <f t="shared" si="22"/>
        <v>0</v>
      </c>
      <c r="J40" s="6">
        <f t="shared" si="22"/>
        <v>0</v>
      </c>
      <c r="K40" s="6">
        <f t="shared" si="22"/>
        <v>1151216</v>
      </c>
      <c r="L40" s="6">
        <f t="shared" si="22"/>
        <v>1193054.9000000001</v>
      </c>
      <c r="M40" s="6">
        <f t="shared" si="22"/>
        <v>1318571.5999999999</v>
      </c>
      <c r="N40" s="6">
        <f t="shared" si="22"/>
        <v>1357249</v>
      </c>
      <c r="O40" s="6">
        <f t="shared" si="22"/>
        <v>1396004</v>
      </c>
      <c r="P40" s="6">
        <f t="shared" si="22"/>
        <v>1632141</v>
      </c>
      <c r="Q40" s="6">
        <f t="shared" si="22"/>
        <v>1639715</v>
      </c>
      <c r="R40" s="6">
        <f t="shared" si="22"/>
        <v>1647523</v>
      </c>
      <c r="S40" s="6">
        <f t="shared" si="22"/>
        <v>1717146</v>
      </c>
      <c r="T40" s="6">
        <f t="shared" si="22"/>
        <v>1725554</v>
      </c>
      <c r="U40" s="6">
        <f t="shared" si="22"/>
        <v>1734004</v>
      </c>
      <c r="V40" s="6">
        <f t="shared" si="22"/>
        <v>1810775</v>
      </c>
      <c r="W40" s="6">
        <f t="shared" si="22"/>
        <v>1819652</v>
      </c>
      <c r="X40" s="6">
        <f t="shared" si="22"/>
        <v>1828573</v>
      </c>
      <c r="Y40" s="6">
        <f t="shared" si="22"/>
        <v>1907817</v>
      </c>
      <c r="Z40" s="6">
        <f t="shared" si="22"/>
        <v>1917179</v>
      </c>
      <c r="AA40" s="69"/>
      <c r="AB40" s="69"/>
    </row>
    <row r="41" spans="1:28" ht="15" x14ac:dyDescent="0.25">
      <c r="A41" s="4" t="s">
        <v>7</v>
      </c>
      <c r="B41" s="25">
        <f>MAX(B$20:B40)+1</f>
        <v>4</v>
      </c>
      <c r="C41" s="138">
        <f>IF(D41=0,C40,IF(ISBLANK(G41),C40,1+MAX(C$18:C40)))</f>
        <v>18</v>
      </c>
      <c r="D41" s="132">
        <v>1</v>
      </c>
      <c r="F41" s="139">
        <f t="shared" si="2"/>
        <v>18</v>
      </c>
      <c r="G41" s="4" t="str">
        <f t="shared" si="21"/>
        <v>EBITDA (4)</v>
      </c>
      <c r="H41" s="6">
        <f t="shared" ref="H41:Z41" si="23">+H38+H35</f>
        <v>0</v>
      </c>
      <c r="I41" s="6">
        <f t="shared" si="23"/>
        <v>0</v>
      </c>
      <c r="J41" s="6">
        <f t="shared" si="23"/>
        <v>0</v>
      </c>
      <c r="K41" s="6">
        <f t="shared" si="23"/>
        <v>-188606</v>
      </c>
      <c r="L41" s="6">
        <f t="shared" si="23"/>
        <v>-173563.5399999998</v>
      </c>
      <c r="M41" s="6">
        <f t="shared" si="23"/>
        <v>-75379.208800000066</v>
      </c>
      <c r="N41" s="6">
        <f t="shared" si="23"/>
        <v>27799.878323200173</v>
      </c>
      <c r="O41" s="6">
        <f t="shared" si="23"/>
        <v>39965.895889663952</v>
      </c>
      <c r="P41" s="6">
        <f t="shared" si="23"/>
        <v>248982.13380745723</v>
      </c>
      <c r="Q41" s="6">
        <f t="shared" si="23"/>
        <v>228892.95648360622</v>
      </c>
      <c r="R41" s="6">
        <f t="shared" si="23"/>
        <v>208484.51561327802</v>
      </c>
      <c r="S41" s="6">
        <f t="shared" si="23"/>
        <v>249326.74592554383</v>
      </c>
      <c r="T41" s="6">
        <f t="shared" si="23"/>
        <v>228378.36084405467</v>
      </c>
      <c r="U41" s="6">
        <f t="shared" si="23"/>
        <v>206884.84806093591</v>
      </c>
      <c r="V41" s="6">
        <f t="shared" si="23"/>
        <v>253113.46502215468</v>
      </c>
      <c r="W41" s="6">
        <f t="shared" si="23"/>
        <v>230837.23432259742</v>
      </c>
      <c r="X41" s="6">
        <f t="shared" si="23"/>
        <v>207981.93900904953</v>
      </c>
      <c r="Y41" s="6">
        <f t="shared" si="23"/>
        <v>254814.1177892306</v>
      </c>
      <c r="Z41" s="6">
        <f t="shared" si="23"/>
        <v>231116.06014501507</v>
      </c>
      <c r="AA41" s="69"/>
      <c r="AB41" s="69"/>
    </row>
    <row r="42" spans="1:28" ht="15" x14ac:dyDescent="0.25">
      <c r="A42" s="4" t="s">
        <v>4</v>
      </c>
      <c r="B42" s="25">
        <f>MAX(B$20:B41)+1</f>
        <v>5</v>
      </c>
      <c r="C42" s="138">
        <f>IF(D42=0,C41,IF(ISBLANK(G42),C41,1+MAX(C$18:C41)))</f>
        <v>19</v>
      </c>
      <c r="D42" s="132">
        <v>1</v>
      </c>
      <c r="F42" s="139">
        <f t="shared" si="2"/>
        <v>19</v>
      </c>
      <c r="G42" s="4" t="str">
        <f t="shared" si="21"/>
        <v>EBIT (5)</v>
      </c>
      <c r="H42" s="6">
        <f t="shared" ref="H42:Z42" si="24">+H38</f>
        <v>0</v>
      </c>
      <c r="I42" s="6">
        <f t="shared" si="24"/>
        <v>0</v>
      </c>
      <c r="J42" s="6">
        <f t="shared" si="24"/>
        <v>0</v>
      </c>
      <c r="K42" s="6">
        <f t="shared" si="24"/>
        <v>-259379</v>
      </c>
      <c r="L42" s="6">
        <f t="shared" si="24"/>
        <v>-244336.5399999998</v>
      </c>
      <c r="M42" s="6">
        <f t="shared" si="24"/>
        <v>-157244.58220000006</v>
      </c>
      <c r="N42" s="6">
        <f t="shared" si="24"/>
        <v>-54517.839476799825</v>
      </c>
      <c r="O42" s="6">
        <f t="shared" si="24"/>
        <v>-43451.119110336062</v>
      </c>
      <c r="P42" s="6">
        <f t="shared" si="24"/>
        <v>164455.28980745724</v>
      </c>
      <c r="Q42" s="6">
        <f t="shared" si="24"/>
        <v>143242.57588360622</v>
      </c>
      <c r="R42" s="6">
        <f t="shared" si="24"/>
        <v>121694.74141327804</v>
      </c>
      <c r="S42" s="6">
        <f t="shared" si="24"/>
        <v>161382.57172554382</v>
      </c>
      <c r="T42" s="6">
        <f t="shared" si="24"/>
        <v>139264.54784405464</v>
      </c>
      <c r="U42" s="6">
        <f t="shared" si="24"/>
        <v>116577.34466093592</v>
      </c>
      <c r="V42" s="6">
        <f t="shared" si="24"/>
        <v>161585.09122215468</v>
      </c>
      <c r="W42" s="6">
        <f t="shared" si="24"/>
        <v>138072.63912259741</v>
      </c>
      <c r="X42" s="6">
        <f t="shared" si="24"/>
        <v>113963.53900904953</v>
      </c>
      <c r="Y42" s="6">
        <f t="shared" si="24"/>
        <v>159525.09718923061</v>
      </c>
      <c r="Z42" s="6">
        <f t="shared" si="24"/>
        <v>134538.38734501507</v>
      </c>
      <c r="AA42" s="69"/>
      <c r="AB42" s="69"/>
    </row>
    <row r="43" spans="1:28" ht="15" x14ac:dyDescent="0.25">
      <c r="C43" s="138">
        <f>IF(D43=0,C42,IF(ISBLANK(G43),C42,1+MAX(C$18:C42)))</f>
        <v>19</v>
      </c>
      <c r="D43" s="132">
        <v>1</v>
      </c>
      <c r="F43" s="139" t="str">
        <f t="shared" si="2"/>
        <v/>
      </c>
      <c r="G43" s="4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9"/>
    </row>
    <row r="44" spans="1:28" ht="15" x14ac:dyDescent="0.25">
      <c r="C44" s="138">
        <f>IF(D44=0,C43,IF(ISBLANK(G44),C43,1+MAX(C$18:C43)))</f>
        <v>20</v>
      </c>
      <c r="D44" s="132">
        <v>1</v>
      </c>
      <c r="F44" s="139">
        <f t="shared" si="2"/>
        <v>20</v>
      </c>
      <c r="G44" s="156" t="s">
        <v>4</v>
      </c>
      <c r="H44" s="17">
        <f t="shared" ref="H44:Z44" si="25">+H42</f>
        <v>0</v>
      </c>
      <c r="I44" s="17">
        <f t="shared" si="25"/>
        <v>0</v>
      </c>
      <c r="J44" s="17">
        <f t="shared" si="25"/>
        <v>0</v>
      </c>
      <c r="K44" s="17">
        <f t="shared" si="25"/>
        <v>-259379</v>
      </c>
      <c r="L44" s="17">
        <f t="shared" si="25"/>
        <v>-244336.5399999998</v>
      </c>
      <c r="M44" s="17">
        <f t="shared" si="25"/>
        <v>-157244.58220000006</v>
      </c>
      <c r="N44" s="17">
        <f t="shared" si="25"/>
        <v>-54517.839476799825</v>
      </c>
      <c r="O44" s="17">
        <f t="shared" si="25"/>
        <v>-43451.119110336062</v>
      </c>
      <c r="P44" s="17">
        <f t="shared" si="25"/>
        <v>164455.28980745724</v>
      </c>
      <c r="Q44" s="17">
        <f t="shared" si="25"/>
        <v>143242.57588360622</v>
      </c>
      <c r="R44" s="17">
        <f t="shared" si="25"/>
        <v>121694.74141327804</v>
      </c>
      <c r="S44" s="17">
        <f t="shared" si="25"/>
        <v>161382.57172554382</v>
      </c>
      <c r="T44" s="17">
        <f t="shared" si="25"/>
        <v>139264.54784405464</v>
      </c>
      <c r="U44" s="17">
        <f t="shared" si="25"/>
        <v>116577.34466093592</v>
      </c>
      <c r="V44" s="17">
        <f t="shared" si="25"/>
        <v>161585.09122215468</v>
      </c>
      <c r="W44" s="17">
        <f t="shared" si="25"/>
        <v>138072.63912259741</v>
      </c>
      <c r="X44" s="17">
        <f t="shared" si="25"/>
        <v>113963.53900904953</v>
      </c>
      <c r="Y44" s="17">
        <f t="shared" si="25"/>
        <v>159525.09718923061</v>
      </c>
      <c r="Z44" s="17">
        <f t="shared" si="25"/>
        <v>134538.38734501507</v>
      </c>
      <c r="AA44" s="69"/>
    </row>
    <row r="45" spans="1:28" ht="15" x14ac:dyDescent="0.25">
      <c r="C45" s="138">
        <f>IF(D45=0,C44,IF(ISBLANK(G45),C44,1+MAX(C$18:C44)))</f>
        <v>21</v>
      </c>
      <c r="D45" s="132">
        <v>1</v>
      </c>
      <c r="F45" s="139">
        <f t="shared" si="2"/>
        <v>21</v>
      </c>
      <c r="G45" s="17" t="s">
        <v>47</v>
      </c>
      <c r="H45" s="18">
        <v>0</v>
      </c>
      <c r="I45" s="18">
        <v>0</v>
      </c>
      <c r="J45" s="18">
        <v>0</v>
      </c>
      <c r="K45" s="18">
        <v>0</v>
      </c>
      <c r="L45" s="18">
        <v>0</v>
      </c>
      <c r="M45" s="18">
        <v>0</v>
      </c>
      <c r="N45" s="18">
        <f t="shared" ref="N45:Z45" si="26">IF($C$10="IOU",ROUND(+N44*$AB45,0),0)</f>
        <v>0</v>
      </c>
      <c r="O45" s="18">
        <f t="shared" si="26"/>
        <v>0</v>
      </c>
      <c r="P45" s="18">
        <f t="shared" si="26"/>
        <v>0</v>
      </c>
      <c r="Q45" s="18">
        <f t="shared" si="26"/>
        <v>0</v>
      </c>
      <c r="R45" s="18">
        <f t="shared" si="26"/>
        <v>0</v>
      </c>
      <c r="S45" s="18">
        <f t="shared" si="26"/>
        <v>0</v>
      </c>
      <c r="T45" s="18">
        <f t="shared" si="26"/>
        <v>0</v>
      </c>
      <c r="U45" s="18">
        <f t="shared" si="26"/>
        <v>0</v>
      </c>
      <c r="V45" s="18">
        <f t="shared" si="26"/>
        <v>0</v>
      </c>
      <c r="W45" s="18">
        <f t="shared" si="26"/>
        <v>0</v>
      </c>
      <c r="X45" s="18">
        <f t="shared" si="26"/>
        <v>0</v>
      </c>
      <c r="Y45" s="18">
        <f t="shared" si="26"/>
        <v>0</v>
      </c>
      <c r="Z45" s="18">
        <f t="shared" si="26"/>
        <v>0</v>
      </c>
      <c r="AA45" s="69"/>
      <c r="AB45" s="157">
        <v>0.28889999999999999</v>
      </c>
    </row>
    <row r="46" spans="1:28" ht="15" x14ac:dyDescent="0.25">
      <c r="C46" s="138">
        <f>IF(D46=0,C45,IF(ISBLANK(G46),C45,1+MAX(C$18:C45)))</f>
        <v>21</v>
      </c>
      <c r="D46" s="132">
        <v>1</v>
      </c>
      <c r="F46" s="139" t="str">
        <f t="shared" si="2"/>
        <v/>
      </c>
      <c r="G46" s="17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69"/>
      <c r="AB46" s="69"/>
    </row>
    <row r="47" spans="1:28" ht="15" x14ac:dyDescent="0.25">
      <c r="C47" s="138">
        <f>IF(D47=0,C46,IF(ISBLANK(G47),C46,1+MAX(C$18:C46)))</f>
        <v>22</v>
      </c>
      <c r="D47" s="132">
        <v>1</v>
      </c>
      <c r="F47" s="139">
        <f t="shared" si="2"/>
        <v>22</v>
      </c>
      <c r="G47" s="158" t="s">
        <v>48</v>
      </c>
      <c r="H47" s="17">
        <f t="shared" ref="H47:Z47" si="27">+H44-H45</f>
        <v>0</v>
      </c>
      <c r="I47" s="17">
        <f t="shared" si="27"/>
        <v>0</v>
      </c>
      <c r="J47" s="17">
        <f t="shared" si="27"/>
        <v>0</v>
      </c>
      <c r="K47" s="17">
        <f t="shared" si="27"/>
        <v>-259379</v>
      </c>
      <c r="L47" s="17">
        <f t="shared" si="27"/>
        <v>-244336.5399999998</v>
      </c>
      <c r="M47" s="17">
        <f t="shared" si="27"/>
        <v>-157244.58220000006</v>
      </c>
      <c r="N47" s="17">
        <f t="shared" si="27"/>
        <v>-54517.839476799825</v>
      </c>
      <c r="O47" s="17">
        <f t="shared" si="27"/>
        <v>-43451.119110336062</v>
      </c>
      <c r="P47" s="17">
        <f t="shared" si="27"/>
        <v>164455.28980745724</v>
      </c>
      <c r="Q47" s="17">
        <f t="shared" si="27"/>
        <v>143242.57588360622</v>
      </c>
      <c r="R47" s="17">
        <f t="shared" si="27"/>
        <v>121694.74141327804</v>
      </c>
      <c r="S47" s="17">
        <f t="shared" si="27"/>
        <v>161382.57172554382</v>
      </c>
      <c r="T47" s="17">
        <f t="shared" si="27"/>
        <v>139264.54784405464</v>
      </c>
      <c r="U47" s="17">
        <f t="shared" si="27"/>
        <v>116577.34466093592</v>
      </c>
      <c r="V47" s="17">
        <f t="shared" si="27"/>
        <v>161585.09122215468</v>
      </c>
      <c r="W47" s="17">
        <f t="shared" si="27"/>
        <v>138072.63912259741</v>
      </c>
      <c r="X47" s="17">
        <f t="shared" si="27"/>
        <v>113963.53900904953</v>
      </c>
      <c r="Y47" s="17">
        <f t="shared" si="27"/>
        <v>159525.09718923061</v>
      </c>
      <c r="Z47" s="17">
        <f t="shared" si="27"/>
        <v>134538.38734501507</v>
      </c>
      <c r="AA47" s="69"/>
      <c r="AB47" s="69"/>
    </row>
    <row r="48" spans="1:28" ht="15" x14ac:dyDescent="0.25">
      <c r="C48" s="138">
        <f>IF(D48=0,C47,IF(ISBLANK(G48),C47,1+MAX(C$18:C47)))</f>
        <v>23</v>
      </c>
      <c r="D48" s="132">
        <v>1</v>
      </c>
      <c r="F48" s="139">
        <f t="shared" si="2"/>
        <v>23</v>
      </c>
      <c r="G48" s="17" t="s">
        <v>49</v>
      </c>
      <c r="H48" s="17">
        <f t="shared" ref="H48:Z48" si="28">+H35</f>
        <v>0</v>
      </c>
      <c r="I48" s="17">
        <f t="shared" si="28"/>
        <v>0</v>
      </c>
      <c r="J48" s="17">
        <f t="shared" si="28"/>
        <v>0</v>
      </c>
      <c r="K48" s="17">
        <f t="shared" si="28"/>
        <v>70773</v>
      </c>
      <c r="L48" s="17">
        <f t="shared" si="28"/>
        <v>70773</v>
      </c>
      <c r="M48" s="17">
        <f t="shared" si="28"/>
        <v>81865.373399999997</v>
      </c>
      <c r="N48" s="17">
        <f t="shared" si="28"/>
        <v>82317.717799999999</v>
      </c>
      <c r="O48" s="17">
        <f t="shared" si="28"/>
        <v>83417.015000000014</v>
      </c>
      <c r="P48" s="17">
        <f t="shared" si="28"/>
        <v>84526.843999999997</v>
      </c>
      <c r="Q48" s="17">
        <f t="shared" si="28"/>
        <v>85650.380600000004</v>
      </c>
      <c r="R48" s="17">
        <f t="shared" si="28"/>
        <v>86789.7742</v>
      </c>
      <c r="S48" s="17">
        <f t="shared" si="28"/>
        <v>87944.174200000009</v>
      </c>
      <c r="T48" s="17">
        <f t="shared" si="28"/>
        <v>89113.813000000009</v>
      </c>
      <c r="U48" s="17">
        <f t="shared" si="28"/>
        <v>90307.503400000001</v>
      </c>
      <c r="V48" s="17">
        <f t="shared" si="28"/>
        <v>91528.373800000001</v>
      </c>
      <c r="W48" s="17">
        <f t="shared" si="28"/>
        <v>92764.595200000011</v>
      </c>
      <c r="X48" s="17">
        <f t="shared" si="28"/>
        <v>94018.4</v>
      </c>
      <c r="Y48" s="17">
        <f t="shared" si="28"/>
        <v>95289.020599999989</v>
      </c>
      <c r="Z48" s="17">
        <f t="shared" si="28"/>
        <v>96577.6728</v>
      </c>
      <c r="AA48" s="69"/>
      <c r="AB48" s="69"/>
    </row>
    <row r="49" spans="1:34" ht="15" x14ac:dyDescent="0.25">
      <c r="A49" s="17" t="s">
        <v>50</v>
      </c>
      <c r="B49" s="25">
        <f>MAX(B$20:B48)+1</f>
        <v>6</v>
      </c>
      <c r="C49" s="138">
        <f>IF(D49=0,C48,IF(ISBLANK(G49),C48,1+MAX(C$18:C48)))</f>
        <v>24</v>
      </c>
      <c r="D49" s="132">
        <v>1</v>
      </c>
      <c r="F49" s="139">
        <f t="shared" si="2"/>
        <v>24</v>
      </c>
      <c r="G49" s="4" t="str">
        <f t="shared" ref="G49:G50" si="29">+A49&amp;" ("&amp;B49&amp;")"</f>
        <v>(-)  Capital Expenditures (6)</v>
      </c>
      <c r="H49" s="17">
        <f>+H444</f>
        <v>0</v>
      </c>
      <c r="I49" s="17">
        <f t="shared" ref="I49:K49" si="30">+I444</f>
        <v>0</v>
      </c>
      <c r="J49" s="17">
        <f t="shared" si="30"/>
        <v>0</v>
      </c>
      <c r="K49" s="17">
        <f t="shared" si="30"/>
        <v>65544</v>
      </c>
      <c r="L49" s="17">
        <f>+L304</f>
        <v>0</v>
      </c>
      <c r="M49" s="17">
        <f t="shared" ref="M49:Z49" si="31">+M304</f>
        <v>0</v>
      </c>
      <c r="N49" s="17">
        <f t="shared" si="31"/>
        <v>77772</v>
      </c>
      <c r="O49" s="17">
        <f t="shared" si="31"/>
        <v>78202</v>
      </c>
      <c r="P49" s="17">
        <f t="shared" si="31"/>
        <v>79246</v>
      </c>
      <c r="Q49" s="17">
        <f t="shared" si="31"/>
        <v>80301</v>
      </c>
      <c r="R49" s="17">
        <f t="shared" si="31"/>
        <v>81368</v>
      </c>
      <c r="S49" s="17">
        <f t="shared" si="31"/>
        <v>82450</v>
      </c>
      <c r="T49" s="17">
        <f t="shared" si="31"/>
        <v>83547</v>
      </c>
      <c r="U49" s="17">
        <f t="shared" si="31"/>
        <v>86021</v>
      </c>
      <c r="V49" s="17">
        <f t="shared" si="31"/>
        <v>87183</v>
      </c>
      <c r="W49" s="17">
        <f t="shared" si="31"/>
        <v>88361</v>
      </c>
      <c r="X49" s="17">
        <f t="shared" si="31"/>
        <v>89556</v>
      </c>
      <c r="Y49" s="17">
        <f t="shared" si="31"/>
        <v>90766</v>
      </c>
      <c r="Z49" s="17">
        <f t="shared" si="31"/>
        <v>91993</v>
      </c>
      <c r="AA49" s="69"/>
      <c r="AB49" s="69"/>
      <c r="AC49" s="69"/>
      <c r="AE49" s="69"/>
    </row>
    <row r="50" spans="1:34" ht="15" x14ac:dyDescent="0.25">
      <c r="A50" s="17" t="s">
        <v>51</v>
      </c>
      <c r="B50" s="25">
        <f>MAX(B$20:B49)+1</f>
        <v>7</v>
      </c>
      <c r="C50" s="138">
        <f>IF(D50=0,C49,IF(ISBLANK(G50),C49,1+MAX(C$18:C49)))</f>
        <v>25</v>
      </c>
      <c r="D50" s="132">
        <v>1</v>
      </c>
      <c r="F50" s="139">
        <f t="shared" si="2"/>
        <v>25</v>
      </c>
      <c r="G50" s="4" t="str">
        <f t="shared" si="29"/>
        <v>(-)  Changes in Working Capital (7)</v>
      </c>
      <c r="H50" s="18">
        <f t="shared" ref="H50:J50" si="32">0.0024*H40</f>
        <v>0</v>
      </c>
      <c r="I50" s="18">
        <f t="shared" si="32"/>
        <v>0</v>
      </c>
      <c r="J50" s="18">
        <f t="shared" si="32"/>
        <v>0</v>
      </c>
      <c r="K50" s="18">
        <f>-0.0119*K40</f>
        <v>-13699.4704</v>
      </c>
      <c r="L50" s="18">
        <f t="shared" ref="L50:Z50" si="33">-0.0119*L40</f>
        <v>-14197.353310000002</v>
      </c>
      <c r="M50" s="18">
        <f t="shared" si="33"/>
        <v>-15691.002039999999</v>
      </c>
      <c r="N50" s="18">
        <f t="shared" si="33"/>
        <v>-16151.263100000002</v>
      </c>
      <c r="O50" s="18">
        <f t="shared" si="33"/>
        <v>-16612.4476</v>
      </c>
      <c r="P50" s="18">
        <f t="shared" si="33"/>
        <v>-19422.477900000002</v>
      </c>
      <c r="Q50" s="18">
        <f t="shared" si="33"/>
        <v>-19512.608500000002</v>
      </c>
      <c r="R50" s="18">
        <f t="shared" si="33"/>
        <v>-19605.523700000002</v>
      </c>
      <c r="S50" s="18">
        <f t="shared" si="33"/>
        <v>-20434.037400000001</v>
      </c>
      <c r="T50" s="18">
        <f t="shared" si="33"/>
        <v>-20534.0926</v>
      </c>
      <c r="U50" s="18">
        <f t="shared" si="33"/>
        <v>-20634.6476</v>
      </c>
      <c r="V50" s="18">
        <f t="shared" si="33"/>
        <v>-21548.2225</v>
      </c>
      <c r="W50" s="18">
        <f t="shared" si="33"/>
        <v>-21653.858800000002</v>
      </c>
      <c r="X50" s="18">
        <f t="shared" si="33"/>
        <v>-21760.018700000001</v>
      </c>
      <c r="Y50" s="18">
        <f t="shared" si="33"/>
        <v>-22703.022300000001</v>
      </c>
      <c r="Z50" s="18">
        <f t="shared" si="33"/>
        <v>-22814.430100000001</v>
      </c>
      <c r="AA50" s="69"/>
      <c r="AB50" s="69"/>
      <c r="AC50" s="69"/>
      <c r="AE50" s="69"/>
    </row>
    <row r="51" spans="1:34" ht="15" x14ac:dyDescent="0.25">
      <c r="C51" s="138">
        <f>IF(D51=0,C50,IF(ISBLANK(G51),C50,1+MAX(C$18:C50)))</f>
        <v>25</v>
      </c>
      <c r="D51" s="132">
        <v>1</v>
      </c>
      <c r="F51" s="139" t="str">
        <f t="shared" si="2"/>
        <v/>
      </c>
      <c r="G51" s="17"/>
      <c r="H51" s="16"/>
      <c r="I51" s="16"/>
      <c r="J51" s="16"/>
      <c r="K51" s="16"/>
      <c r="L51" s="16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16"/>
      <c r="AB51" s="16"/>
      <c r="AC51" s="16"/>
      <c r="AD51" s="16"/>
      <c r="AE51" s="16"/>
    </row>
    <row r="52" spans="1:34" ht="15.75" thickBot="1" x14ac:dyDescent="0.3">
      <c r="C52" s="138">
        <f>IF(D52=0,C51,IF(ISBLANK(G52),C51,1+MAX(C$18:C51)))</f>
        <v>26</v>
      </c>
      <c r="D52" s="132">
        <v>1</v>
      </c>
      <c r="F52" s="139">
        <f t="shared" si="2"/>
        <v>26</v>
      </c>
      <c r="G52" s="158" t="s">
        <v>52</v>
      </c>
      <c r="H52" s="20">
        <f>+H47+H48-H49-H50</f>
        <v>0</v>
      </c>
      <c r="I52" s="20">
        <f t="shared" ref="I52:Z52" si="34">+I47+I48-I49-I50</f>
        <v>0</v>
      </c>
      <c r="J52" s="20">
        <f t="shared" si="34"/>
        <v>0</v>
      </c>
      <c r="K52" s="20">
        <f t="shared" si="34"/>
        <v>-240450.52960000001</v>
      </c>
      <c r="L52" s="20">
        <f t="shared" si="34"/>
        <v>-159366.1866899998</v>
      </c>
      <c r="M52" s="20">
        <f t="shared" si="34"/>
        <v>-59688.206760000066</v>
      </c>
      <c r="N52" s="20">
        <f t="shared" si="34"/>
        <v>-33820.858576799823</v>
      </c>
      <c r="O52" s="20">
        <f t="shared" si="34"/>
        <v>-21623.656510336048</v>
      </c>
      <c r="P52" s="20">
        <f t="shared" si="34"/>
        <v>189158.61170745722</v>
      </c>
      <c r="Q52" s="20">
        <f t="shared" si="34"/>
        <v>168104.56498360622</v>
      </c>
      <c r="R52" s="20">
        <f t="shared" si="34"/>
        <v>146722.03931327802</v>
      </c>
      <c r="S52" s="20">
        <f t="shared" si="34"/>
        <v>187310.78332554383</v>
      </c>
      <c r="T52" s="20">
        <f t="shared" si="34"/>
        <v>165365.45344405467</v>
      </c>
      <c r="U52" s="20">
        <f t="shared" si="34"/>
        <v>141498.49566093591</v>
      </c>
      <c r="V52" s="20">
        <f t="shared" si="34"/>
        <v>187478.68752215468</v>
      </c>
      <c r="W52" s="20">
        <f t="shared" si="34"/>
        <v>164130.09312259743</v>
      </c>
      <c r="X52" s="20">
        <f t="shared" si="34"/>
        <v>140185.95770904951</v>
      </c>
      <c r="Y52" s="20">
        <f t="shared" si="34"/>
        <v>186751.14008923061</v>
      </c>
      <c r="Z52" s="20">
        <f t="shared" si="34"/>
        <v>161937.49024501507</v>
      </c>
      <c r="AA52" s="5"/>
      <c r="AB52" s="5">
        <f>+Z52</f>
        <v>161937.49024501507</v>
      </c>
      <c r="AC52" s="5"/>
      <c r="AE52" s="159"/>
    </row>
    <row r="53" spans="1:34" ht="15.75" thickTop="1" x14ac:dyDescent="0.25">
      <c r="C53" s="138">
        <f>IF(D53=0,C52,IF(ISBLANK(G53),C52,1+MAX(C$18:C52)))</f>
        <v>27</v>
      </c>
      <c r="D53" s="132">
        <f>IF($C$10="SUBJECT",0,1)</f>
        <v>1</v>
      </c>
      <c r="F53" s="139">
        <f t="shared" si="2"/>
        <v>27</v>
      </c>
      <c r="G53" s="160" t="s">
        <v>53</v>
      </c>
      <c r="H53" s="21"/>
      <c r="I53" s="22"/>
      <c r="J53" s="22"/>
      <c r="K53" s="22"/>
      <c r="L53" s="22"/>
      <c r="M53" s="23">
        <v>-0.5</v>
      </c>
      <c r="N53" s="24">
        <f t="shared" ref="N53:R53" si="35">+M53+1</f>
        <v>0.5</v>
      </c>
      <c r="O53" s="24">
        <f t="shared" si="35"/>
        <v>1.5</v>
      </c>
      <c r="P53" s="24">
        <f t="shared" si="35"/>
        <v>2.5</v>
      </c>
      <c r="Q53" s="24">
        <f t="shared" si="35"/>
        <v>3.5</v>
      </c>
      <c r="R53" s="24">
        <f t="shared" si="35"/>
        <v>4.5</v>
      </c>
      <c r="S53" s="24">
        <f>+R53+1</f>
        <v>5.5</v>
      </c>
      <c r="T53" s="24">
        <f>+S53+1</f>
        <v>6.5</v>
      </c>
      <c r="U53" s="24">
        <f>+T53+1</f>
        <v>7.5</v>
      </c>
      <c r="V53" s="24">
        <f>+U53+1</f>
        <v>8.5</v>
      </c>
      <c r="W53" s="24">
        <f t="shared" ref="W53:Z53" si="36">+V53+1</f>
        <v>9.5</v>
      </c>
      <c r="X53" s="24">
        <f t="shared" si="36"/>
        <v>10.5</v>
      </c>
      <c r="Y53" s="24">
        <f t="shared" si="36"/>
        <v>11.5</v>
      </c>
      <c r="Z53" s="24">
        <f t="shared" si="36"/>
        <v>12.5</v>
      </c>
      <c r="AA53" s="5"/>
      <c r="AB53" s="5"/>
      <c r="AC53" s="5"/>
    </row>
    <row r="54" spans="1:34" ht="15" x14ac:dyDescent="0.25">
      <c r="B54" s="25">
        <f>MAX(B$20:B53)+1</f>
        <v>8</v>
      </c>
      <c r="C54" s="138">
        <f>IF(D54=0,C53,IF(ISBLANK(G54),C53,1+MAX(C$18:C53)))</f>
        <v>27</v>
      </c>
      <c r="D54" s="132">
        <f t="shared" ref="D54:D68" si="37">IF($C$10="IOU",1,0)</f>
        <v>0</v>
      </c>
      <c r="F54" s="139">
        <f t="shared" si="2"/>
        <v>27</v>
      </c>
      <c r="G54" s="120" t="str">
        <f>+"Present Value Factor:   "&amp;TEXT(AC54,"0.00%")&amp;"  ("&amp;B54&amp;")"</f>
        <v>Present Value Factor:   7.12%  (8)</v>
      </c>
      <c r="J54" s="6"/>
      <c r="K54" s="6"/>
      <c r="L54" s="6"/>
      <c r="M54" s="6"/>
      <c r="N54" s="161">
        <f t="shared" ref="N54:Z54" si="38">ROUND((1/((1+$AC54)^N53)),4)</f>
        <v>0.96619999999999995</v>
      </c>
      <c r="O54" s="161">
        <f t="shared" si="38"/>
        <v>0.90200000000000002</v>
      </c>
      <c r="P54" s="161">
        <f t="shared" si="38"/>
        <v>0.84199999999999997</v>
      </c>
      <c r="Q54" s="161">
        <f t="shared" si="38"/>
        <v>0.78610000000000002</v>
      </c>
      <c r="R54" s="161">
        <f t="shared" si="38"/>
        <v>0.73380000000000001</v>
      </c>
      <c r="S54" s="161">
        <f t="shared" si="38"/>
        <v>0.68500000000000005</v>
      </c>
      <c r="T54" s="161">
        <f t="shared" si="38"/>
        <v>0.63949999999999996</v>
      </c>
      <c r="U54" s="161">
        <f t="shared" si="38"/>
        <v>0.59699999999999998</v>
      </c>
      <c r="V54" s="161">
        <f t="shared" si="38"/>
        <v>0.55730000000000002</v>
      </c>
      <c r="W54" s="161">
        <f t="shared" si="38"/>
        <v>0.52029999999999998</v>
      </c>
      <c r="X54" s="161">
        <f t="shared" si="38"/>
        <v>0.48570000000000002</v>
      </c>
      <c r="Y54" s="161">
        <f t="shared" si="38"/>
        <v>0.45340000000000003</v>
      </c>
      <c r="Z54" s="161">
        <f t="shared" si="38"/>
        <v>0.42330000000000001</v>
      </c>
      <c r="AC54" s="162">
        <f>+H2</f>
        <v>7.1199999999999999E-2</v>
      </c>
      <c r="AD54" s="163" t="s">
        <v>54</v>
      </c>
      <c r="AE54" s="5"/>
      <c r="AF54" s="5"/>
      <c r="AG54" s="5"/>
      <c r="AH54" s="5"/>
    </row>
    <row r="55" spans="1:34" ht="15" x14ac:dyDescent="0.25">
      <c r="C55" s="138">
        <f>IF(D55=0,C54,IF(ISBLANK(G55),C54,1+MAX(C$18:C54)))</f>
        <v>27</v>
      </c>
      <c r="D55" s="132">
        <f t="shared" si="37"/>
        <v>0</v>
      </c>
      <c r="F55" s="139" t="str">
        <f t="shared" si="2"/>
        <v/>
      </c>
      <c r="G55" s="120"/>
      <c r="H55" s="120"/>
      <c r="I55" s="164"/>
      <c r="J55" s="6"/>
      <c r="K55" s="6"/>
      <c r="L55" s="6"/>
      <c r="M55" s="6"/>
      <c r="N55" s="165"/>
      <c r="O55" s="165"/>
      <c r="P55" s="165"/>
      <c r="Q55" s="165"/>
      <c r="R55" s="165"/>
      <c r="S55" s="165"/>
      <c r="T55" s="165"/>
      <c r="U55" s="165"/>
      <c r="V55" s="165"/>
      <c r="W55" s="165"/>
      <c r="X55" s="165"/>
      <c r="Y55" s="165"/>
      <c r="Z55" s="165"/>
      <c r="AB55" s="5"/>
      <c r="AC55" s="5"/>
      <c r="AD55" s="5"/>
      <c r="AE55" s="5"/>
      <c r="AF55" s="5"/>
      <c r="AG55" s="5"/>
      <c r="AH55" s="5"/>
    </row>
    <row r="56" spans="1:34" ht="15.75" thickBot="1" x14ac:dyDescent="0.3">
      <c r="C56" s="138">
        <f>IF(D56=0,C55,IF(ISBLANK(G56),C55,1+MAX(C$18:C55)))</f>
        <v>27</v>
      </c>
      <c r="D56" s="132">
        <f t="shared" si="37"/>
        <v>0</v>
      </c>
      <c r="F56" s="139">
        <f t="shared" si="2"/>
        <v>27</v>
      </c>
      <c r="G56" s="120" t="s">
        <v>55</v>
      </c>
      <c r="H56" s="120"/>
      <c r="I56" s="33"/>
      <c r="J56" s="6"/>
      <c r="K56" s="6"/>
      <c r="L56" s="6"/>
      <c r="M56" s="6"/>
      <c r="N56" s="20">
        <f t="shared" ref="N56:R56" si="39">+N52*N54</f>
        <v>-32677.713556903986</v>
      </c>
      <c r="O56" s="20">
        <f t="shared" si="39"/>
        <v>-19504.538172323115</v>
      </c>
      <c r="P56" s="20">
        <f t="shared" si="39"/>
        <v>159271.55105767897</v>
      </c>
      <c r="Q56" s="20">
        <f t="shared" si="39"/>
        <v>132146.99853361284</v>
      </c>
      <c r="R56" s="20">
        <f t="shared" si="39"/>
        <v>107664.63244808342</v>
      </c>
      <c r="S56" s="20">
        <f>+S52*S54</f>
        <v>128307.88657799753</v>
      </c>
      <c r="T56" s="20">
        <f>+T52*T54</f>
        <v>105751.20747747296</v>
      </c>
      <c r="U56" s="20">
        <f>+U52*U54</f>
        <v>84474.601909578734</v>
      </c>
      <c r="V56" s="20">
        <f>+V52*V54</f>
        <v>104481.8725560968</v>
      </c>
      <c r="W56" s="20">
        <f t="shared" ref="W56:Z56" si="40">+W52*W54</f>
        <v>85396.887451687449</v>
      </c>
      <c r="X56" s="20">
        <f t="shared" si="40"/>
        <v>68088.319659285349</v>
      </c>
      <c r="Y56" s="20">
        <f t="shared" si="40"/>
        <v>84672.966916457168</v>
      </c>
      <c r="Z56" s="20">
        <f t="shared" si="40"/>
        <v>68548.139620714879</v>
      </c>
      <c r="AB56" s="17">
        <f>SUM(M56:Z56)</f>
        <v>1076622.812479439</v>
      </c>
      <c r="AC56" s="5"/>
      <c r="AD56" s="5"/>
      <c r="AE56" s="5"/>
      <c r="AF56" s="5"/>
      <c r="AG56" s="5"/>
      <c r="AH56" s="5"/>
    </row>
    <row r="57" spans="1:34" ht="15.75" thickTop="1" x14ac:dyDescent="0.25">
      <c r="C57" s="138">
        <f>IF(D57=0,C56,IF(ISBLANK(G57),C56,1+MAX(C$18:C56)))</f>
        <v>27</v>
      </c>
      <c r="D57" s="132">
        <f t="shared" si="37"/>
        <v>0</v>
      </c>
      <c r="F57" s="139" t="str">
        <f t="shared" si="2"/>
        <v/>
      </c>
      <c r="I57" s="6"/>
      <c r="J57" s="6"/>
      <c r="K57" s="6"/>
      <c r="L57" s="6"/>
      <c r="M57" s="6"/>
      <c r="N57" s="166">
        <f t="shared" ref="N57:R57" si="41">+N53</f>
        <v>0.5</v>
      </c>
      <c r="O57" s="166">
        <f t="shared" si="41"/>
        <v>1.5</v>
      </c>
      <c r="P57" s="166">
        <f t="shared" si="41"/>
        <v>2.5</v>
      </c>
      <c r="Q57" s="166">
        <f t="shared" si="41"/>
        <v>3.5</v>
      </c>
      <c r="R57" s="166">
        <f t="shared" si="41"/>
        <v>4.5</v>
      </c>
      <c r="S57" s="166">
        <f>+S53</f>
        <v>5.5</v>
      </c>
      <c r="T57" s="166">
        <f>+T53</f>
        <v>6.5</v>
      </c>
      <c r="U57" s="166">
        <f>+U53</f>
        <v>7.5</v>
      </c>
      <c r="V57" s="166">
        <f>+V53</f>
        <v>8.5</v>
      </c>
      <c r="W57" s="166">
        <f t="shared" ref="W57:Z57" si="42">+W53</f>
        <v>9.5</v>
      </c>
      <c r="X57" s="166">
        <f t="shared" si="42"/>
        <v>10.5</v>
      </c>
      <c r="Y57" s="166">
        <f t="shared" si="42"/>
        <v>11.5</v>
      </c>
      <c r="Z57" s="166">
        <f t="shared" si="42"/>
        <v>12.5</v>
      </c>
      <c r="AB57" s="5"/>
      <c r="AC57" s="5"/>
      <c r="AD57" s="5"/>
      <c r="AE57" s="5"/>
      <c r="AF57" s="5"/>
      <c r="AG57" s="5"/>
      <c r="AH57" s="5"/>
    </row>
    <row r="58" spans="1:34" ht="15" x14ac:dyDescent="0.25">
      <c r="B58" s="25">
        <f>MAX(B$20:B57)+1</f>
        <v>9</v>
      </c>
      <c r="C58" s="138">
        <f>IF(D58=0,C57,IF(ISBLANK(G58),C57,1+MAX(C$18:C57)))</f>
        <v>27</v>
      </c>
      <c r="D58" s="132">
        <f t="shared" si="37"/>
        <v>0</v>
      </c>
      <c r="F58" s="139">
        <f t="shared" si="2"/>
        <v>27</v>
      </c>
      <c r="G58" s="120" t="str">
        <f>+"Present Value Factor:   "&amp;TEXT(AC58,"0.00%")&amp;"  ("&amp;B58&amp;")"</f>
        <v>Present Value Factor:   8.48%  (9)</v>
      </c>
      <c r="J58" s="6"/>
      <c r="K58" s="6"/>
      <c r="L58" s="6"/>
      <c r="M58" s="6"/>
      <c r="N58" s="161">
        <f t="shared" ref="N58:Z58" si="43">ROUND((1/((1+$AC58)^N57)),4)</f>
        <v>0.96009999999999995</v>
      </c>
      <c r="O58" s="161">
        <f t="shared" si="43"/>
        <v>0.8851</v>
      </c>
      <c r="P58" s="161">
        <f t="shared" si="43"/>
        <v>0.81589999999999996</v>
      </c>
      <c r="Q58" s="161">
        <f t="shared" si="43"/>
        <v>0.75209999999999999</v>
      </c>
      <c r="R58" s="161">
        <f t="shared" si="43"/>
        <v>0.69330000000000003</v>
      </c>
      <c r="S58" s="161">
        <f t="shared" si="43"/>
        <v>0.6391</v>
      </c>
      <c r="T58" s="161">
        <f t="shared" si="43"/>
        <v>0.58919999999999995</v>
      </c>
      <c r="U58" s="161">
        <f t="shared" si="43"/>
        <v>0.54310000000000003</v>
      </c>
      <c r="V58" s="161">
        <f t="shared" si="43"/>
        <v>0.50060000000000004</v>
      </c>
      <c r="W58" s="161">
        <f t="shared" si="43"/>
        <v>0.46150000000000002</v>
      </c>
      <c r="X58" s="161">
        <f t="shared" si="43"/>
        <v>0.4254</v>
      </c>
      <c r="Y58" s="161">
        <f t="shared" si="43"/>
        <v>0.39219999999999999</v>
      </c>
      <c r="Z58" s="161">
        <f t="shared" si="43"/>
        <v>0.36149999999999999</v>
      </c>
      <c r="AB58" s="5"/>
      <c r="AC58" s="162">
        <f>+H3</f>
        <v>8.48E-2</v>
      </c>
      <c r="AD58" s="163" t="s">
        <v>56</v>
      </c>
      <c r="AE58" s="5"/>
      <c r="AF58" s="5"/>
      <c r="AG58" s="5"/>
      <c r="AH58" s="5"/>
    </row>
    <row r="59" spans="1:34" ht="15" x14ac:dyDescent="0.25">
      <c r="C59" s="138">
        <f>IF(D59=0,C58,IF(ISBLANK(G59),C58,1+MAX(C$18:C58)))</f>
        <v>27</v>
      </c>
      <c r="D59" s="132">
        <f t="shared" si="37"/>
        <v>0</v>
      </c>
      <c r="F59" s="139" t="str">
        <f t="shared" si="2"/>
        <v/>
      </c>
      <c r="G59" s="120"/>
      <c r="H59" s="120"/>
      <c r="I59" s="164"/>
      <c r="J59" s="6"/>
      <c r="K59" s="6"/>
      <c r="L59" s="6"/>
      <c r="M59" s="6"/>
      <c r="N59" s="165"/>
      <c r="O59" s="165"/>
      <c r="P59" s="165"/>
      <c r="Q59" s="165"/>
      <c r="R59" s="165"/>
      <c r="S59" s="165"/>
      <c r="T59" s="165"/>
      <c r="U59" s="165"/>
      <c r="V59" s="165"/>
      <c r="W59" s="165"/>
      <c r="X59" s="165"/>
      <c r="Y59" s="165"/>
      <c r="Z59" s="165"/>
      <c r="AB59" s="5"/>
      <c r="AC59" s="5"/>
      <c r="AD59" s="5"/>
      <c r="AE59" s="5"/>
      <c r="AF59" s="5"/>
      <c r="AG59" s="5"/>
      <c r="AH59" s="5"/>
    </row>
    <row r="60" spans="1:34" ht="15.75" thickBot="1" x14ac:dyDescent="0.3">
      <c r="C60" s="138">
        <f>IF(D60=0,C59,IF(ISBLANK(G60),C59,1+MAX(C$18:C59)))</f>
        <v>27</v>
      </c>
      <c r="D60" s="132">
        <f t="shared" si="37"/>
        <v>0</v>
      </c>
      <c r="F60" s="139">
        <f t="shared" si="2"/>
        <v>27</v>
      </c>
      <c r="G60" s="120" t="s">
        <v>55</v>
      </c>
      <c r="H60" s="120"/>
      <c r="I60" s="33"/>
      <c r="J60" s="6"/>
      <c r="K60" s="6"/>
      <c r="L60" s="6"/>
      <c r="M60" s="6"/>
      <c r="N60" s="20">
        <f t="shared" ref="N60:Z60" si="44">+N52*N58</f>
        <v>-32471.406319585509</v>
      </c>
      <c r="O60" s="20">
        <f t="shared" si="44"/>
        <v>-19139.098377298436</v>
      </c>
      <c r="P60" s="20">
        <f t="shared" si="44"/>
        <v>154334.51129211433</v>
      </c>
      <c r="Q60" s="20">
        <f t="shared" si="44"/>
        <v>126431.44332417024</v>
      </c>
      <c r="R60" s="20">
        <f t="shared" si="44"/>
        <v>101722.38985589566</v>
      </c>
      <c r="S60" s="20">
        <f t="shared" si="44"/>
        <v>119710.32162335506</v>
      </c>
      <c r="T60" s="20">
        <f t="shared" si="44"/>
        <v>97433.325169236996</v>
      </c>
      <c r="U60" s="20">
        <f t="shared" si="44"/>
        <v>76847.8329934543</v>
      </c>
      <c r="V60" s="20">
        <f t="shared" si="44"/>
        <v>93851.830973590637</v>
      </c>
      <c r="W60" s="20">
        <f t="shared" si="44"/>
        <v>75746.037976078718</v>
      </c>
      <c r="X60" s="20">
        <f t="shared" si="44"/>
        <v>59635.106409429667</v>
      </c>
      <c r="Y60" s="20">
        <f t="shared" si="44"/>
        <v>73243.797142996249</v>
      </c>
      <c r="Z60" s="20">
        <f t="shared" si="44"/>
        <v>58540.402723572945</v>
      </c>
      <c r="AB60" s="17">
        <f>SUM(M60:Z60)</f>
        <v>985886.49478701071</v>
      </c>
      <c r="AC60" s="5"/>
      <c r="AD60" s="5"/>
      <c r="AE60" s="5"/>
      <c r="AF60" s="5"/>
      <c r="AG60" s="5"/>
      <c r="AH60" s="5"/>
    </row>
    <row r="61" spans="1:34" ht="15.75" thickTop="1" x14ac:dyDescent="0.25">
      <c r="C61" s="138">
        <f>IF(D61=0,C60,IF(ISBLANK(G61),C60,1+MAX(C$18:C60)))</f>
        <v>27</v>
      </c>
      <c r="D61" s="132">
        <f t="shared" si="37"/>
        <v>0</v>
      </c>
      <c r="F61" s="139" t="str">
        <f t="shared" si="2"/>
        <v/>
      </c>
      <c r="I61" s="6"/>
      <c r="J61" s="6"/>
      <c r="K61" s="6"/>
      <c r="L61" s="6"/>
      <c r="M61" s="6"/>
      <c r="N61" s="167">
        <f t="shared" ref="N61:Z61" si="45">+N57</f>
        <v>0.5</v>
      </c>
      <c r="O61" s="167">
        <f t="shared" si="45"/>
        <v>1.5</v>
      </c>
      <c r="P61" s="167">
        <f t="shared" si="45"/>
        <v>2.5</v>
      </c>
      <c r="Q61" s="167">
        <f t="shared" si="45"/>
        <v>3.5</v>
      </c>
      <c r="R61" s="167">
        <f t="shared" si="45"/>
        <v>4.5</v>
      </c>
      <c r="S61" s="167">
        <f t="shared" si="45"/>
        <v>5.5</v>
      </c>
      <c r="T61" s="167">
        <f t="shared" si="45"/>
        <v>6.5</v>
      </c>
      <c r="U61" s="167">
        <f t="shared" si="45"/>
        <v>7.5</v>
      </c>
      <c r="V61" s="167">
        <f t="shared" si="45"/>
        <v>8.5</v>
      </c>
      <c r="W61" s="167">
        <f t="shared" si="45"/>
        <v>9.5</v>
      </c>
      <c r="X61" s="167">
        <f t="shared" si="45"/>
        <v>10.5</v>
      </c>
      <c r="Y61" s="167">
        <f t="shared" si="45"/>
        <v>11.5</v>
      </c>
      <c r="Z61" s="167">
        <f t="shared" si="45"/>
        <v>12.5</v>
      </c>
      <c r="AB61" s="5"/>
      <c r="AC61" s="5"/>
      <c r="AD61" s="5"/>
      <c r="AE61" s="5"/>
      <c r="AF61" s="5"/>
      <c r="AG61" s="5"/>
      <c r="AH61" s="5"/>
    </row>
    <row r="62" spans="1:34" ht="15" x14ac:dyDescent="0.25">
      <c r="B62" s="25">
        <f>+B$54</f>
        <v>8</v>
      </c>
      <c r="C62" s="138">
        <f>IF(D62=0,C61,IF(ISBLANK(G62),C61,1+MAX(C$18:C61)))</f>
        <v>27</v>
      </c>
      <c r="D62" s="132">
        <f t="shared" si="37"/>
        <v>0</v>
      </c>
      <c r="F62" s="139">
        <f t="shared" si="2"/>
        <v>27</v>
      </c>
      <c r="G62" s="120" t="str">
        <f>+"Present Value Factor:   "&amp;TEXT(AC62,"0.00%")&amp;"  ("&amp;B62&amp;")"</f>
        <v>Present Value Factor:   5.32%  (8)</v>
      </c>
      <c r="J62" s="6"/>
      <c r="K62" s="6"/>
      <c r="L62" s="6"/>
      <c r="M62" s="6"/>
      <c r="N62" s="161">
        <f t="shared" ref="N62:Z62" si="46">ROUND((1/((1+$AC62)^N61)),4)</f>
        <v>0.97440000000000004</v>
      </c>
      <c r="O62" s="161">
        <f t="shared" si="46"/>
        <v>0.92520000000000002</v>
      </c>
      <c r="P62" s="161">
        <f t="shared" si="46"/>
        <v>0.87849999999999995</v>
      </c>
      <c r="Q62" s="161">
        <f t="shared" si="46"/>
        <v>0.83409999999999995</v>
      </c>
      <c r="R62" s="161">
        <f t="shared" si="46"/>
        <v>0.79200000000000004</v>
      </c>
      <c r="S62" s="161">
        <f t="shared" si="46"/>
        <v>0.752</v>
      </c>
      <c r="T62" s="161">
        <f t="shared" si="46"/>
        <v>0.71399999999999997</v>
      </c>
      <c r="U62" s="161">
        <f t="shared" si="46"/>
        <v>0.67789999999999995</v>
      </c>
      <c r="V62" s="161">
        <f t="shared" si="46"/>
        <v>0.64370000000000005</v>
      </c>
      <c r="W62" s="161">
        <f t="shared" si="46"/>
        <v>0.61109999999999998</v>
      </c>
      <c r="X62" s="161">
        <f t="shared" si="46"/>
        <v>0.58030000000000004</v>
      </c>
      <c r="Y62" s="161">
        <f t="shared" si="46"/>
        <v>0.55100000000000005</v>
      </c>
      <c r="Z62" s="161">
        <f t="shared" si="46"/>
        <v>0.52310000000000001</v>
      </c>
      <c r="AC62" s="162">
        <f>+AC54-H9</f>
        <v>5.3199999999999997E-2</v>
      </c>
      <c r="AD62" s="163" t="s">
        <v>54</v>
      </c>
      <c r="AE62" s="5"/>
      <c r="AF62" s="5"/>
      <c r="AG62" s="5"/>
      <c r="AH62" s="5"/>
    </row>
    <row r="63" spans="1:34" ht="15" x14ac:dyDescent="0.25">
      <c r="C63" s="138">
        <f>IF(D63=0,C62,IF(ISBLANK(G63),C62,1+MAX(C$18:C62)))</f>
        <v>27</v>
      </c>
      <c r="D63" s="132">
        <f t="shared" si="37"/>
        <v>0</v>
      </c>
      <c r="F63" s="139" t="str">
        <f t="shared" si="2"/>
        <v/>
      </c>
      <c r="G63" s="120"/>
      <c r="H63" s="120"/>
      <c r="I63" s="164"/>
      <c r="J63" s="6"/>
      <c r="K63" s="6"/>
      <c r="L63" s="6"/>
      <c r="M63" s="6"/>
      <c r="N63" s="165"/>
      <c r="O63" s="165"/>
      <c r="P63" s="165"/>
      <c r="Q63" s="165"/>
      <c r="R63" s="165"/>
      <c r="S63" s="165"/>
      <c r="T63" s="165"/>
      <c r="U63" s="165"/>
      <c r="V63" s="165"/>
      <c r="W63" s="165"/>
      <c r="X63" s="165"/>
      <c r="Y63" s="165"/>
      <c r="Z63" s="165"/>
      <c r="AB63" s="5"/>
      <c r="AC63" s="5"/>
      <c r="AD63" s="5"/>
      <c r="AE63" s="5"/>
      <c r="AF63" s="5"/>
      <c r="AG63" s="5"/>
      <c r="AH63" s="5"/>
    </row>
    <row r="64" spans="1:34" ht="15.75" thickBot="1" x14ac:dyDescent="0.3">
      <c r="C64" s="138">
        <f>IF(D64=0,C63,IF(ISBLANK(G64),C63,1+MAX(C$18:C63)))</f>
        <v>27</v>
      </c>
      <c r="D64" s="132">
        <f t="shared" si="37"/>
        <v>0</v>
      </c>
      <c r="F64" s="139">
        <f t="shared" si="2"/>
        <v>27</v>
      </c>
      <c r="G64" s="120" t="s">
        <v>55</v>
      </c>
      <c r="H64" s="120"/>
      <c r="I64" s="33"/>
      <c r="J64" s="6"/>
      <c r="K64" s="6"/>
      <c r="L64" s="6"/>
      <c r="M64" s="6"/>
      <c r="N64" s="20">
        <f t="shared" ref="N64:Z64" si="47">+N$52*N62</f>
        <v>-32955.044597233747</v>
      </c>
      <c r="O64" s="20">
        <f t="shared" si="47"/>
        <v>-20006.207003362913</v>
      </c>
      <c r="P64" s="20">
        <f t="shared" si="47"/>
        <v>166175.84038500115</v>
      </c>
      <c r="Q64" s="20">
        <f t="shared" si="47"/>
        <v>140216.01765282595</v>
      </c>
      <c r="R64" s="20">
        <f t="shared" si="47"/>
        <v>116203.8551361162</v>
      </c>
      <c r="S64" s="20">
        <f t="shared" si="47"/>
        <v>140857.70906080896</v>
      </c>
      <c r="T64" s="20">
        <f t="shared" si="47"/>
        <v>118070.93375905503</v>
      </c>
      <c r="U64" s="20">
        <f t="shared" si="47"/>
        <v>95921.830208548447</v>
      </c>
      <c r="V64" s="20">
        <f t="shared" si="47"/>
        <v>120680.03115801097</v>
      </c>
      <c r="W64" s="20">
        <f t="shared" si="47"/>
        <v>100299.89990721928</v>
      </c>
      <c r="X64" s="20">
        <f t="shared" si="47"/>
        <v>81349.911258561435</v>
      </c>
      <c r="Y64" s="20">
        <f t="shared" si="47"/>
        <v>102899.87818916608</v>
      </c>
      <c r="Z64" s="20">
        <f t="shared" si="47"/>
        <v>84709.501147167379</v>
      </c>
      <c r="AB64" s="17">
        <f>SUM(M64:Z64)</f>
        <v>1214424.1562618841</v>
      </c>
      <c r="AC64" s="5"/>
      <c r="AD64" s="5"/>
      <c r="AE64" s="5"/>
      <c r="AF64" s="5"/>
      <c r="AG64" s="5"/>
      <c r="AH64" s="5"/>
    </row>
    <row r="65" spans="1:34" ht="15.75" thickTop="1" x14ac:dyDescent="0.25">
      <c r="C65" s="138">
        <f>IF(D65=0,C64,IF(ISBLANK(G65),C64,1+MAX(C$18:C64)))</f>
        <v>27</v>
      </c>
      <c r="D65" s="132">
        <f t="shared" si="37"/>
        <v>0</v>
      </c>
      <c r="F65" s="139" t="str">
        <f t="shared" si="2"/>
        <v/>
      </c>
      <c r="I65" s="6"/>
      <c r="J65" s="6"/>
      <c r="K65" s="6"/>
      <c r="L65" s="6"/>
      <c r="M65" s="6"/>
      <c r="N65" s="167">
        <f t="shared" ref="N65:Z65" si="48">+N61</f>
        <v>0.5</v>
      </c>
      <c r="O65" s="167">
        <f t="shared" si="48"/>
        <v>1.5</v>
      </c>
      <c r="P65" s="167">
        <f t="shared" si="48"/>
        <v>2.5</v>
      </c>
      <c r="Q65" s="167">
        <f t="shared" si="48"/>
        <v>3.5</v>
      </c>
      <c r="R65" s="167">
        <f t="shared" si="48"/>
        <v>4.5</v>
      </c>
      <c r="S65" s="167">
        <f t="shared" si="48"/>
        <v>5.5</v>
      </c>
      <c r="T65" s="167">
        <f t="shared" si="48"/>
        <v>6.5</v>
      </c>
      <c r="U65" s="167">
        <f t="shared" si="48"/>
        <v>7.5</v>
      </c>
      <c r="V65" s="167">
        <f t="shared" si="48"/>
        <v>8.5</v>
      </c>
      <c r="W65" s="167">
        <f t="shared" si="48"/>
        <v>9.5</v>
      </c>
      <c r="X65" s="167">
        <f t="shared" si="48"/>
        <v>10.5</v>
      </c>
      <c r="Y65" s="167">
        <f t="shared" si="48"/>
        <v>11.5</v>
      </c>
      <c r="Z65" s="167">
        <f t="shared" si="48"/>
        <v>12.5</v>
      </c>
      <c r="AB65" s="5"/>
      <c r="AC65" s="5"/>
      <c r="AD65" s="5"/>
      <c r="AE65" s="5"/>
      <c r="AF65" s="5"/>
      <c r="AG65" s="5"/>
      <c r="AH65" s="5"/>
    </row>
    <row r="66" spans="1:34" ht="15" x14ac:dyDescent="0.25">
      <c r="B66" s="25">
        <f>+B$58</f>
        <v>9</v>
      </c>
      <c r="C66" s="138">
        <f>IF(D66=0,C65,IF(ISBLANK(G66),C65,1+MAX(C$18:C65)))</f>
        <v>27</v>
      </c>
      <c r="D66" s="132">
        <f t="shared" si="37"/>
        <v>0</v>
      </c>
      <c r="F66" s="139">
        <f t="shared" si="2"/>
        <v>27</v>
      </c>
      <c r="G66" s="120" t="str">
        <f>+"Present Value Factor:   "&amp;TEXT(AC66,"0.00%")&amp;"  ("&amp;B66&amp;")"</f>
        <v>Present Value Factor:   6.68%  (9)</v>
      </c>
      <c r="J66" s="6"/>
      <c r="K66" s="6"/>
      <c r="L66" s="6"/>
      <c r="M66" s="6"/>
      <c r="N66" s="161">
        <f t="shared" ref="N66:Z66" si="49">ROUND((1/((1+$AC66)^N65)),4)</f>
        <v>0.96819999999999995</v>
      </c>
      <c r="O66" s="161">
        <f t="shared" si="49"/>
        <v>0.90759999999999996</v>
      </c>
      <c r="P66" s="161">
        <f t="shared" si="49"/>
        <v>0.85070000000000001</v>
      </c>
      <c r="Q66" s="161">
        <f t="shared" si="49"/>
        <v>0.79749999999999999</v>
      </c>
      <c r="R66" s="161">
        <f t="shared" si="49"/>
        <v>0.74750000000000005</v>
      </c>
      <c r="S66" s="161">
        <f t="shared" si="49"/>
        <v>0.70069999999999999</v>
      </c>
      <c r="T66" s="161">
        <f t="shared" si="49"/>
        <v>0.65680000000000005</v>
      </c>
      <c r="U66" s="161">
        <f t="shared" si="49"/>
        <v>0.61570000000000003</v>
      </c>
      <c r="V66" s="161">
        <f t="shared" si="49"/>
        <v>0.57720000000000005</v>
      </c>
      <c r="W66" s="161">
        <f t="shared" si="49"/>
        <v>0.54100000000000004</v>
      </c>
      <c r="X66" s="161">
        <f t="shared" si="49"/>
        <v>0.5071</v>
      </c>
      <c r="Y66" s="161">
        <f t="shared" si="49"/>
        <v>0.47539999999999999</v>
      </c>
      <c r="Z66" s="161">
        <f t="shared" si="49"/>
        <v>0.4456</v>
      </c>
      <c r="AB66" s="5"/>
      <c r="AC66" s="162">
        <f>+AC58-H9</f>
        <v>6.6799999999999998E-2</v>
      </c>
      <c r="AD66" s="163" t="s">
        <v>56</v>
      </c>
      <c r="AE66" s="5"/>
      <c r="AF66" s="5"/>
      <c r="AG66" s="5"/>
      <c r="AH66" s="5"/>
    </row>
    <row r="67" spans="1:34" ht="15" x14ac:dyDescent="0.25">
      <c r="C67" s="138">
        <f>IF(D67=0,C66,IF(ISBLANK(G67),C66,1+MAX(C$18:C66)))</f>
        <v>27</v>
      </c>
      <c r="D67" s="132">
        <f t="shared" si="37"/>
        <v>0</v>
      </c>
      <c r="F67" s="139" t="str">
        <f t="shared" si="2"/>
        <v/>
      </c>
      <c r="G67" s="120"/>
      <c r="H67" s="120"/>
      <c r="I67" s="164"/>
      <c r="J67" s="6"/>
      <c r="K67" s="6"/>
      <c r="L67" s="6"/>
      <c r="M67" s="6"/>
      <c r="N67" s="165"/>
      <c r="O67" s="165"/>
      <c r="P67" s="165"/>
      <c r="Q67" s="165"/>
      <c r="R67" s="165"/>
      <c r="S67" s="165"/>
      <c r="T67" s="165"/>
      <c r="U67" s="165"/>
      <c r="V67" s="165"/>
      <c r="W67" s="165"/>
      <c r="X67" s="165"/>
      <c r="Y67" s="165"/>
      <c r="Z67" s="165"/>
      <c r="AB67" s="5"/>
      <c r="AC67" s="5"/>
      <c r="AD67" s="5"/>
      <c r="AE67" s="5"/>
      <c r="AF67" s="5"/>
      <c r="AG67" s="5"/>
      <c r="AH67" s="5"/>
    </row>
    <row r="68" spans="1:34" ht="15.75" thickBot="1" x14ac:dyDescent="0.3">
      <c r="C68" s="138">
        <f>IF(D68=0,C67,IF(ISBLANK(G68),C67,1+MAX(C$18:C67)))</f>
        <v>27</v>
      </c>
      <c r="D68" s="132">
        <f t="shared" si="37"/>
        <v>0</v>
      </c>
      <c r="F68" s="139">
        <f t="shared" si="2"/>
        <v>27</v>
      </c>
      <c r="G68" s="120" t="s">
        <v>55</v>
      </c>
      <c r="H68" s="33"/>
      <c r="I68" s="33"/>
      <c r="J68" s="6"/>
      <c r="K68" s="6"/>
      <c r="L68" s="6"/>
      <c r="M68" s="6"/>
      <c r="N68" s="20">
        <f t="shared" ref="N68:Z68" si="50">+N$52*N66</f>
        <v>-32745.355274057587</v>
      </c>
      <c r="O68" s="20">
        <f t="shared" si="50"/>
        <v>-19625.630648780996</v>
      </c>
      <c r="P68" s="20">
        <f t="shared" si="50"/>
        <v>160917.23097953387</v>
      </c>
      <c r="Q68" s="20">
        <f t="shared" si="50"/>
        <v>134063.39057442595</v>
      </c>
      <c r="R68" s="20">
        <f t="shared" si="50"/>
        <v>109674.72438667533</v>
      </c>
      <c r="S68" s="20">
        <f t="shared" si="50"/>
        <v>131248.66587620857</v>
      </c>
      <c r="T68" s="20">
        <f t="shared" si="50"/>
        <v>108612.02982205512</v>
      </c>
      <c r="U68" s="20">
        <f t="shared" si="50"/>
        <v>87120.623778438239</v>
      </c>
      <c r="V68" s="20">
        <f t="shared" si="50"/>
        <v>108212.69843778769</v>
      </c>
      <c r="W68" s="20">
        <f t="shared" si="50"/>
        <v>88794.380379325215</v>
      </c>
      <c r="X68" s="20">
        <f t="shared" si="50"/>
        <v>71088.299154259003</v>
      </c>
      <c r="Y68" s="20">
        <f t="shared" si="50"/>
        <v>88781.491998420228</v>
      </c>
      <c r="Z68" s="20">
        <f t="shared" si="50"/>
        <v>72159.345653178709</v>
      </c>
      <c r="AB68" s="17">
        <f>SUM(M68:Z68)</f>
        <v>1108301.8951174694</v>
      </c>
      <c r="AC68" s="5"/>
      <c r="AD68" s="5"/>
      <c r="AE68" s="5"/>
      <c r="AF68" s="5"/>
      <c r="AG68" s="5"/>
      <c r="AH68" s="5"/>
    </row>
    <row r="69" spans="1:34" ht="15.75" thickTop="1" x14ac:dyDescent="0.25">
      <c r="C69" s="138">
        <f>IF(D69=0,C68,IF(ISBLANK(G69),C68,1+MAX(C$18:C68)))</f>
        <v>27</v>
      </c>
      <c r="D69" s="132">
        <f t="shared" ref="D69:D76" si="51">IF($C$10="MUNI",1,0)</f>
        <v>1</v>
      </c>
      <c r="F69" s="139" t="str">
        <f t="shared" si="2"/>
        <v/>
      </c>
      <c r="H69" s="6"/>
      <c r="I69" s="6"/>
      <c r="J69" s="6"/>
      <c r="K69" s="6"/>
      <c r="L69" s="6"/>
      <c r="M69" s="6"/>
      <c r="N69" s="167">
        <f t="shared" ref="N69:Z69" si="52">+N65</f>
        <v>0.5</v>
      </c>
      <c r="O69" s="167">
        <f t="shared" si="52"/>
        <v>1.5</v>
      </c>
      <c r="P69" s="167">
        <f t="shared" si="52"/>
        <v>2.5</v>
      </c>
      <c r="Q69" s="167">
        <f t="shared" si="52"/>
        <v>3.5</v>
      </c>
      <c r="R69" s="167">
        <f t="shared" si="52"/>
        <v>4.5</v>
      </c>
      <c r="S69" s="167">
        <f t="shared" si="52"/>
        <v>5.5</v>
      </c>
      <c r="T69" s="167">
        <f t="shared" si="52"/>
        <v>6.5</v>
      </c>
      <c r="U69" s="167">
        <f t="shared" si="52"/>
        <v>7.5</v>
      </c>
      <c r="V69" s="167">
        <f t="shared" si="52"/>
        <v>8.5</v>
      </c>
      <c r="W69" s="167">
        <f t="shared" si="52"/>
        <v>9.5</v>
      </c>
      <c r="X69" s="167">
        <f t="shared" si="52"/>
        <v>10.5</v>
      </c>
      <c r="Y69" s="167">
        <f t="shared" si="52"/>
        <v>11.5</v>
      </c>
      <c r="Z69" s="167">
        <f t="shared" si="52"/>
        <v>12.5</v>
      </c>
      <c r="AB69" s="5"/>
      <c r="AC69" s="5"/>
      <c r="AD69" s="5"/>
      <c r="AE69" s="5"/>
      <c r="AF69" s="5"/>
      <c r="AG69" s="5"/>
      <c r="AH69" s="5"/>
    </row>
    <row r="70" spans="1:34" ht="15" x14ac:dyDescent="0.25">
      <c r="B70" s="25">
        <f>+B$54</f>
        <v>8</v>
      </c>
      <c r="C70" s="138">
        <f>IF(D70=0,C69,IF(ISBLANK(G70),C69,1+MAX(C$18:C69)))</f>
        <v>28</v>
      </c>
      <c r="D70" s="132">
        <f t="shared" si="51"/>
        <v>1</v>
      </c>
      <c r="F70" s="139">
        <f t="shared" si="2"/>
        <v>28</v>
      </c>
      <c r="G70" s="120" t="str">
        <f>+"Present Value Factor:   "&amp;TEXT(AC70,"0.00%")&amp;"  ("&amp;B70&amp;")"</f>
        <v>Present Value Factor:   3.84%  (8)</v>
      </c>
      <c r="J70" s="6"/>
      <c r="K70" s="6"/>
      <c r="L70" s="6"/>
      <c r="M70" s="6"/>
      <c r="N70" s="161">
        <f t="shared" ref="N70:Z70" si="53">ROUND((1/((1+$AC70)^N69)),4)</f>
        <v>0.98129999999999995</v>
      </c>
      <c r="O70" s="161">
        <f t="shared" si="53"/>
        <v>0.94499999999999995</v>
      </c>
      <c r="P70" s="161">
        <f t="shared" si="53"/>
        <v>0.91010000000000002</v>
      </c>
      <c r="Q70" s="161">
        <f t="shared" si="53"/>
        <v>0.87639999999999996</v>
      </c>
      <c r="R70" s="161">
        <f t="shared" si="53"/>
        <v>0.84399999999999997</v>
      </c>
      <c r="S70" s="161">
        <f t="shared" si="53"/>
        <v>0.81279999999999997</v>
      </c>
      <c r="T70" s="161">
        <f t="shared" si="53"/>
        <v>0.78280000000000005</v>
      </c>
      <c r="U70" s="161">
        <f t="shared" si="53"/>
        <v>0.75380000000000003</v>
      </c>
      <c r="V70" s="161">
        <f t="shared" si="53"/>
        <v>0.72589999999999999</v>
      </c>
      <c r="W70" s="161">
        <f t="shared" si="53"/>
        <v>0.69910000000000005</v>
      </c>
      <c r="X70" s="161">
        <f t="shared" si="53"/>
        <v>0.67320000000000002</v>
      </c>
      <c r="Y70" s="161">
        <f t="shared" si="53"/>
        <v>0.64829999999999999</v>
      </c>
      <c r="Z70" s="161">
        <f t="shared" si="53"/>
        <v>0.62439999999999996</v>
      </c>
      <c r="AC70" s="162">
        <f>+H1</f>
        <v>3.8399999999999997E-2</v>
      </c>
      <c r="AD70" s="163" t="s">
        <v>54</v>
      </c>
      <c r="AE70" s="5"/>
      <c r="AF70" s="5"/>
      <c r="AG70" s="5"/>
      <c r="AH70" s="5"/>
    </row>
    <row r="71" spans="1:34" ht="15" x14ac:dyDescent="0.25">
      <c r="C71" s="138">
        <f>IF(D71=0,C70,IF(ISBLANK(G71),C70,1+MAX(C$18:C70)))</f>
        <v>28</v>
      </c>
      <c r="D71" s="132">
        <f t="shared" si="51"/>
        <v>1</v>
      </c>
      <c r="F71" s="139" t="str">
        <f t="shared" si="2"/>
        <v/>
      </c>
      <c r="G71" s="120"/>
      <c r="H71" s="164"/>
      <c r="I71" s="164"/>
      <c r="J71" s="6"/>
      <c r="K71" s="6"/>
      <c r="L71" s="6"/>
      <c r="M71" s="6"/>
      <c r="N71" s="165"/>
      <c r="O71" s="165"/>
      <c r="P71" s="165"/>
      <c r="Q71" s="165"/>
      <c r="R71" s="165"/>
      <c r="S71" s="165"/>
      <c r="T71" s="165"/>
      <c r="U71" s="165"/>
      <c r="V71" s="165"/>
      <c r="W71" s="165"/>
      <c r="X71" s="165"/>
      <c r="Y71" s="165"/>
      <c r="Z71" s="165"/>
      <c r="AB71" s="5"/>
      <c r="AC71" s="5"/>
      <c r="AD71" s="5"/>
      <c r="AE71" s="5"/>
      <c r="AF71" s="5"/>
      <c r="AG71" s="5"/>
      <c r="AH71" s="5"/>
    </row>
    <row r="72" spans="1:34" ht="15.75" thickBot="1" x14ac:dyDescent="0.3">
      <c r="C72" s="138">
        <f>IF(D72=0,C71,IF(ISBLANK(G72),C71,1+MAX(C$18:C71)))</f>
        <v>29</v>
      </c>
      <c r="D72" s="132">
        <f t="shared" si="51"/>
        <v>1</v>
      </c>
      <c r="F72" s="139">
        <f t="shared" si="2"/>
        <v>29</v>
      </c>
      <c r="G72" s="120" t="s">
        <v>55</v>
      </c>
      <c r="H72" s="33"/>
      <c r="I72" s="33"/>
      <c r="J72" s="6"/>
      <c r="K72" s="6"/>
      <c r="L72" s="6"/>
      <c r="M72" s="6"/>
      <c r="N72" s="20">
        <f t="shared" ref="N72:Z72" si="54">+N$52*N70</f>
        <v>-33188.408521413665</v>
      </c>
      <c r="O72" s="20">
        <f t="shared" si="54"/>
        <v>-20434.355402267563</v>
      </c>
      <c r="P72" s="20">
        <f t="shared" si="54"/>
        <v>172153.25251495681</v>
      </c>
      <c r="Q72" s="20">
        <f t="shared" si="54"/>
        <v>147326.8407516325</v>
      </c>
      <c r="R72" s="20">
        <f t="shared" si="54"/>
        <v>123833.40118040664</v>
      </c>
      <c r="S72" s="20">
        <f t="shared" si="54"/>
        <v>152246.20468700203</v>
      </c>
      <c r="T72" s="20">
        <f t="shared" si="54"/>
        <v>129448.076956006</v>
      </c>
      <c r="U72" s="20">
        <f t="shared" si="54"/>
        <v>106661.56602921349</v>
      </c>
      <c r="V72" s="20">
        <f t="shared" si="54"/>
        <v>136090.77927233209</v>
      </c>
      <c r="W72" s="20">
        <f t="shared" si="54"/>
        <v>114743.34810200788</v>
      </c>
      <c r="X72" s="20">
        <f t="shared" si="54"/>
        <v>94373.18672973213</v>
      </c>
      <c r="Y72" s="20">
        <f t="shared" si="54"/>
        <v>121070.7641198482</v>
      </c>
      <c r="Z72" s="20">
        <f t="shared" si="54"/>
        <v>101113.7689089874</v>
      </c>
      <c r="AB72" s="17">
        <f>SUM(M72:Z72)</f>
        <v>1345438.4253284438</v>
      </c>
      <c r="AC72" s="5"/>
      <c r="AD72" s="5"/>
      <c r="AE72" s="5"/>
      <c r="AF72" s="5"/>
      <c r="AG72" s="5"/>
      <c r="AH72" s="5"/>
    </row>
    <row r="73" spans="1:34" ht="15.75" thickTop="1" x14ac:dyDescent="0.25">
      <c r="C73" s="138">
        <f>IF(D73=0,C72,IF(ISBLANK(G73),C72,1+MAX(C$18:C72)))</f>
        <v>29</v>
      </c>
      <c r="D73" s="132">
        <f t="shared" si="51"/>
        <v>1</v>
      </c>
      <c r="F73" s="139" t="str">
        <f t="shared" si="2"/>
        <v/>
      </c>
      <c r="H73" s="6"/>
      <c r="I73" s="6"/>
      <c r="J73" s="6"/>
      <c r="K73" s="6"/>
      <c r="L73" s="6"/>
      <c r="M73" s="6"/>
      <c r="N73" s="167">
        <f t="shared" ref="N73:Z73" si="55">+N69</f>
        <v>0.5</v>
      </c>
      <c r="O73" s="167">
        <f t="shared" si="55"/>
        <v>1.5</v>
      </c>
      <c r="P73" s="167">
        <f t="shared" si="55"/>
        <v>2.5</v>
      </c>
      <c r="Q73" s="167">
        <f t="shared" si="55"/>
        <v>3.5</v>
      </c>
      <c r="R73" s="167">
        <f t="shared" si="55"/>
        <v>4.5</v>
      </c>
      <c r="S73" s="167">
        <f t="shared" si="55"/>
        <v>5.5</v>
      </c>
      <c r="T73" s="167">
        <f t="shared" si="55"/>
        <v>6.5</v>
      </c>
      <c r="U73" s="167">
        <f t="shared" si="55"/>
        <v>7.5</v>
      </c>
      <c r="V73" s="167">
        <f t="shared" si="55"/>
        <v>8.5</v>
      </c>
      <c r="W73" s="167">
        <f t="shared" si="55"/>
        <v>9.5</v>
      </c>
      <c r="X73" s="167">
        <f t="shared" si="55"/>
        <v>10.5</v>
      </c>
      <c r="Y73" s="167">
        <f t="shared" si="55"/>
        <v>11.5</v>
      </c>
      <c r="Z73" s="167">
        <f t="shared" si="55"/>
        <v>12.5</v>
      </c>
      <c r="AB73" s="5"/>
      <c r="AC73" s="5"/>
      <c r="AD73" s="5"/>
      <c r="AE73" s="5"/>
      <c r="AF73" s="5"/>
      <c r="AG73" s="5"/>
      <c r="AH73" s="5"/>
    </row>
    <row r="74" spans="1:34" ht="15" x14ac:dyDescent="0.25">
      <c r="B74" s="25">
        <f>+B$58</f>
        <v>9</v>
      </c>
      <c r="C74" s="138">
        <f>IF(D74=0,C73,IF(ISBLANK(G74),C73,1+MAX(C$18:C73)))</f>
        <v>30</v>
      </c>
      <c r="D74" s="132">
        <f t="shared" si="51"/>
        <v>1</v>
      </c>
      <c r="F74" s="139">
        <f t="shared" si="2"/>
        <v>30</v>
      </c>
      <c r="G74" s="120" t="str">
        <f>+"Present Value Factor:   "&amp;TEXT(AC74,"0.00%")&amp;"  ("&amp;B74&amp;")"</f>
        <v>Present Value Factor:   2.04%  (9)</v>
      </c>
      <c r="J74" s="6"/>
      <c r="K74" s="6"/>
      <c r="L74" s="6"/>
      <c r="M74" s="6"/>
      <c r="N74" s="161">
        <f t="shared" ref="N74:Z74" si="56">ROUND((1/((1+$AC74)^N73)),4)</f>
        <v>0.99</v>
      </c>
      <c r="O74" s="161">
        <f t="shared" si="56"/>
        <v>0.97019999999999995</v>
      </c>
      <c r="P74" s="161">
        <f t="shared" si="56"/>
        <v>0.95079999999999998</v>
      </c>
      <c r="Q74" s="161">
        <f t="shared" si="56"/>
        <v>0.93179999999999996</v>
      </c>
      <c r="R74" s="161">
        <f t="shared" si="56"/>
        <v>0.91310000000000002</v>
      </c>
      <c r="S74" s="161">
        <f t="shared" si="56"/>
        <v>0.89490000000000003</v>
      </c>
      <c r="T74" s="161">
        <f t="shared" si="56"/>
        <v>0.877</v>
      </c>
      <c r="U74" s="161">
        <f t="shared" si="56"/>
        <v>0.85950000000000004</v>
      </c>
      <c r="V74" s="161">
        <f t="shared" si="56"/>
        <v>0.84230000000000005</v>
      </c>
      <c r="W74" s="161">
        <f t="shared" si="56"/>
        <v>0.82540000000000002</v>
      </c>
      <c r="X74" s="161">
        <f t="shared" si="56"/>
        <v>0.80889999999999995</v>
      </c>
      <c r="Y74" s="161">
        <f t="shared" si="56"/>
        <v>0.79279999999999995</v>
      </c>
      <c r="Z74" s="161">
        <f t="shared" si="56"/>
        <v>0.77690000000000003</v>
      </c>
      <c r="AB74" s="5"/>
      <c r="AC74" s="162">
        <f>+AC70-H9</f>
        <v>2.0399999999999998E-2</v>
      </c>
      <c r="AD74" s="163" t="s">
        <v>56</v>
      </c>
      <c r="AE74" s="5"/>
      <c r="AF74" s="5"/>
      <c r="AG74" s="5"/>
      <c r="AH74" s="5"/>
    </row>
    <row r="75" spans="1:34" ht="15" x14ac:dyDescent="0.25">
      <c r="C75" s="138">
        <f>IF(D75=0,C74,IF(ISBLANK(G75),C74,1+MAX(C$18:C74)))</f>
        <v>30</v>
      </c>
      <c r="D75" s="132">
        <f t="shared" si="51"/>
        <v>1</v>
      </c>
      <c r="F75" s="139" t="str">
        <f t="shared" si="2"/>
        <v/>
      </c>
      <c r="G75" s="120"/>
      <c r="H75" s="164"/>
      <c r="I75" s="164"/>
      <c r="J75" s="6"/>
      <c r="K75" s="6"/>
      <c r="L75" s="6"/>
      <c r="M75" s="6"/>
      <c r="N75" s="165"/>
      <c r="O75" s="165"/>
      <c r="P75" s="165"/>
      <c r="Q75" s="165"/>
      <c r="R75" s="165"/>
      <c r="S75" s="165"/>
      <c r="T75" s="165"/>
      <c r="U75" s="165"/>
      <c r="V75" s="165"/>
      <c r="W75" s="165"/>
      <c r="X75" s="165"/>
      <c r="Y75" s="165"/>
      <c r="Z75" s="165"/>
      <c r="AB75" s="5"/>
      <c r="AC75" s="5"/>
      <c r="AD75" s="5"/>
      <c r="AE75" s="5"/>
      <c r="AF75" s="5"/>
      <c r="AG75" s="5"/>
      <c r="AH75" s="5"/>
    </row>
    <row r="76" spans="1:34" ht="15.75" thickBot="1" x14ac:dyDescent="0.3">
      <c r="C76" s="138">
        <f>IF(D76=0,C75,IF(ISBLANK(G76),C75,1+MAX(C$18:C75)))</f>
        <v>31</v>
      </c>
      <c r="D76" s="132">
        <f t="shared" si="51"/>
        <v>1</v>
      </c>
      <c r="F76" s="139">
        <f t="shared" si="2"/>
        <v>31</v>
      </c>
      <c r="G76" s="120" t="s">
        <v>55</v>
      </c>
      <c r="H76" s="33"/>
      <c r="I76" s="33"/>
      <c r="J76" s="6"/>
      <c r="K76" s="6"/>
      <c r="L76" s="6"/>
      <c r="M76" s="6"/>
      <c r="N76" s="20">
        <f t="shared" ref="N76:Z76" si="57">+N$52*N74</f>
        <v>-33482.649991031823</v>
      </c>
      <c r="O76" s="20">
        <f t="shared" si="57"/>
        <v>-20979.271546328033</v>
      </c>
      <c r="P76" s="20">
        <f t="shared" si="57"/>
        <v>179852.00801145032</v>
      </c>
      <c r="Q76" s="20">
        <f t="shared" si="57"/>
        <v>156639.83365172427</v>
      </c>
      <c r="R76" s="20">
        <f t="shared" si="57"/>
        <v>133971.89409695417</v>
      </c>
      <c r="S76" s="20">
        <f t="shared" si="57"/>
        <v>167624.41999802919</v>
      </c>
      <c r="T76" s="20">
        <f t="shared" si="57"/>
        <v>145025.50267043593</v>
      </c>
      <c r="U76" s="20">
        <f t="shared" si="57"/>
        <v>121617.95702057442</v>
      </c>
      <c r="V76" s="20">
        <f t="shared" si="57"/>
        <v>157913.29849991089</v>
      </c>
      <c r="W76" s="20">
        <f t="shared" si="57"/>
        <v>135472.97886339194</v>
      </c>
      <c r="X76" s="20">
        <f t="shared" si="57"/>
        <v>113396.42119085015</v>
      </c>
      <c r="Y76" s="20">
        <f t="shared" si="57"/>
        <v>148056.30386274203</v>
      </c>
      <c r="Z76" s="20">
        <f t="shared" si="57"/>
        <v>125809.23617135221</v>
      </c>
      <c r="AB76" s="17">
        <f>SUM(M76:Z76)</f>
        <v>1530917.932500056</v>
      </c>
      <c r="AC76" s="5"/>
      <c r="AD76" s="5"/>
      <c r="AE76" s="5"/>
      <c r="AF76" s="5"/>
      <c r="AG76" s="5"/>
      <c r="AH76" s="5"/>
    </row>
    <row r="77" spans="1:34" ht="17.25" thickTop="1" thickBot="1" x14ac:dyDescent="0.3">
      <c r="D77" s="132">
        <f>IF($C$10="SUBJECT",0,1)</f>
        <v>1</v>
      </c>
      <c r="G77" s="26"/>
      <c r="I77" s="27"/>
      <c r="J77" s="6"/>
      <c r="K77" s="28" t="s">
        <v>57</v>
      </c>
      <c r="L77" s="6"/>
      <c r="M77" s="6"/>
      <c r="N77" s="5"/>
      <c r="O77" s="5"/>
      <c r="P77" s="5"/>
      <c r="Q77" s="5"/>
      <c r="R77" s="5"/>
      <c r="S77" s="28" t="s">
        <v>57</v>
      </c>
      <c r="AB77" s="5"/>
      <c r="AC77" s="5"/>
      <c r="AD77" s="5"/>
      <c r="AE77" s="5"/>
      <c r="AF77" s="5"/>
      <c r="AG77" s="5"/>
      <c r="AH77" s="5"/>
    </row>
    <row r="78" spans="1:34" ht="15.75" thickBot="1" x14ac:dyDescent="0.3">
      <c r="C78" s="168" t="s">
        <v>58</v>
      </c>
      <c r="D78" s="132">
        <v>2</v>
      </c>
      <c r="H78" s="169"/>
      <c r="I78" s="170"/>
      <c r="J78" s="170"/>
      <c r="K78" s="34" t="str">
        <f>+"DCF With Capitalization of Terminal Value Model @ "&amp;TEXT(AB79,"0.00%")</f>
        <v>DCF With Capitalization of Terminal Value Model @ 7.12%</v>
      </c>
      <c r="L78" s="35"/>
      <c r="M78" s="35"/>
      <c r="N78" s="35"/>
      <c r="O78" s="36"/>
      <c r="P78" s="6"/>
      <c r="Q78" s="34" t="str">
        <f>+"DCF With EBIT &amp; EBITDA Terminal Value Model - Discount Rate of "&amp;TEXT(AD79,"0.00%")</f>
        <v>DCF With EBIT &amp; EBITDA Terminal Value Model - Discount Rate of 7.12%</v>
      </c>
      <c r="R78" s="35"/>
      <c r="S78" s="35"/>
      <c r="T78" s="35"/>
      <c r="U78" s="36"/>
      <c r="AB78" s="5"/>
      <c r="AC78" s="5"/>
      <c r="AD78" s="5"/>
      <c r="AE78" s="5"/>
      <c r="AF78" s="5"/>
      <c r="AG78" s="5"/>
      <c r="AH78" s="5"/>
    </row>
    <row r="79" spans="1:34" ht="15" x14ac:dyDescent="0.25">
      <c r="D79" s="132">
        <v>2</v>
      </c>
      <c r="G79" s="29"/>
      <c r="K79" s="37"/>
      <c r="L79" s="38"/>
      <c r="M79" s="39"/>
      <c r="N79" s="40" t="s">
        <v>59</v>
      </c>
      <c r="O79" s="41"/>
      <c r="Q79" s="37"/>
      <c r="R79" s="38"/>
      <c r="S79" s="39"/>
      <c r="T79" s="38"/>
      <c r="U79" s="42" t="s">
        <v>59</v>
      </c>
      <c r="AB79" s="171">
        <f>+AC54</f>
        <v>7.1199999999999999E-2</v>
      </c>
      <c r="AC79" s="5"/>
      <c r="AD79" s="171">
        <f>+AB79</f>
        <v>7.1199999999999999E-2</v>
      </c>
      <c r="AE79" s="5"/>
      <c r="AF79" s="5"/>
      <c r="AG79" s="5"/>
      <c r="AH79" s="5"/>
    </row>
    <row r="80" spans="1:34" ht="15" x14ac:dyDescent="0.25">
      <c r="A80" s="172" t="str">
        <f>TEXT(+Z53+0.5,0)</f>
        <v>13</v>
      </c>
      <c r="D80" s="132">
        <v>2</v>
      </c>
      <c r="K80" s="43"/>
      <c r="L80" s="32"/>
      <c r="M80" s="19"/>
      <c r="N80" s="44" t="s">
        <v>60</v>
      </c>
      <c r="O80" s="45"/>
      <c r="Q80" s="43"/>
      <c r="R80" s="32"/>
      <c r="S80" s="19"/>
      <c r="T80" s="44" t="str">
        <f>+"Multiples"&amp;" ("&amp;B105&amp;")"</f>
        <v>Multiples (13)</v>
      </c>
      <c r="U80" s="46" t="s">
        <v>60</v>
      </c>
      <c r="AB80" s="5"/>
      <c r="AC80" s="5"/>
      <c r="AD80" s="5"/>
      <c r="AE80" s="5"/>
      <c r="AF80" s="5"/>
      <c r="AG80" s="5"/>
      <c r="AH80" s="5"/>
    </row>
    <row r="81" spans="1:36" ht="15" x14ac:dyDescent="0.25">
      <c r="D81" s="132">
        <v>2</v>
      </c>
      <c r="K81" s="43"/>
      <c r="L81" s="32"/>
      <c r="M81" s="19"/>
      <c r="N81" s="32"/>
      <c r="O81" s="45"/>
      <c r="Q81" s="43"/>
      <c r="R81" s="32"/>
      <c r="S81" s="19"/>
      <c r="T81" s="32"/>
      <c r="U81" s="47"/>
      <c r="AB81" s="5"/>
      <c r="AC81" s="5"/>
      <c r="AD81" s="5"/>
      <c r="AE81" s="5"/>
      <c r="AF81" s="5"/>
      <c r="AG81" s="5"/>
      <c r="AH81" s="5"/>
    </row>
    <row r="82" spans="1:36" ht="15" x14ac:dyDescent="0.25">
      <c r="D82" s="132">
        <v>2</v>
      </c>
      <c r="K82" s="48" t="str">
        <f>+A83&amp;" ("&amp;B83&amp;")"</f>
        <v>Projected Debt Free Net Cash Flow (10)</v>
      </c>
      <c r="L82" s="32"/>
      <c r="M82" s="32"/>
      <c r="N82" s="32">
        <f>+AB83</f>
        <v>161937.49024501507</v>
      </c>
      <c r="O82" s="45"/>
      <c r="Q82" s="49" t="s">
        <v>61</v>
      </c>
      <c r="R82" s="32"/>
      <c r="S82" s="32">
        <f>+AD83</f>
        <v>134538.38734501507</v>
      </c>
      <c r="T82" s="50">
        <f>+AE83</f>
        <v>14.6</v>
      </c>
      <c r="U82" s="47">
        <f>+T82*S82</f>
        <v>1964260.45523722</v>
      </c>
      <c r="AB82" s="5"/>
      <c r="AC82" s="5"/>
      <c r="AD82" s="5"/>
      <c r="AE82" s="5"/>
      <c r="AF82" s="5"/>
      <c r="AG82" s="5"/>
      <c r="AH82" s="5"/>
    </row>
    <row r="83" spans="1:36" ht="16.899999999999999" customHeight="1" x14ac:dyDescent="0.25">
      <c r="A83" s="173" t="s">
        <v>62</v>
      </c>
      <c r="B83" s="25">
        <f>MAX(B$20:B82)+1</f>
        <v>10</v>
      </c>
      <c r="D83" s="132">
        <v>2</v>
      </c>
      <c r="K83" s="48" t="str">
        <f>+A84&amp;" ("&amp;B84&amp;")"</f>
        <v>Divided by Capitalization Factor (8)</v>
      </c>
      <c r="L83" s="32"/>
      <c r="M83" s="33"/>
      <c r="N83" s="51">
        <f>+AB79</f>
        <v>7.1199999999999999E-2</v>
      </c>
      <c r="O83" s="45"/>
      <c r="Q83" s="49" t="s">
        <v>63</v>
      </c>
      <c r="R83" s="32"/>
      <c r="S83" s="33">
        <f>+AD84</f>
        <v>231116.06014501507</v>
      </c>
      <c r="T83" s="50">
        <f>+AE84</f>
        <v>10.1</v>
      </c>
      <c r="U83" s="52">
        <f>+T83*S83</f>
        <v>2334272.2074646521</v>
      </c>
      <c r="V83" s="174"/>
      <c r="W83" s="174"/>
      <c r="X83" s="174"/>
      <c r="Y83" s="174"/>
      <c r="Z83" s="174"/>
      <c r="AB83" s="5">
        <f>+AB52</f>
        <v>161937.49024501507</v>
      </c>
      <c r="AC83" s="5"/>
      <c r="AD83" s="5">
        <f>+Z$42</f>
        <v>134538.38734501507</v>
      </c>
      <c r="AE83" s="5">
        <f>+H7</f>
        <v>14.6</v>
      </c>
      <c r="AF83" s="5"/>
      <c r="AG83" s="5"/>
      <c r="AH83" s="5"/>
    </row>
    <row r="84" spans="1:36" ht="16.899999999999999" customHeight="1" x14ac:dyDescent="0.25">
      <c r="A84" s="173" t="s">
        <v>64</v>
      </c>
      <c r="B84" s="25">
        <f>+B$54</f>
        <v>8</v>
      </c>
      <c r="D84" s="132">
        <v>2</v>
      </c>
      <c r="K84" s="175" t="str">
        <f>+A85</f>
        <v>13th Year Terminal Value</v>
      </c>
      <c r="L84" s="32"/>
      <c r="M84" s="19"/>
      <c r="N84" s="33">
        <f>+N82/N83</f>
        <v>2274402.9528794251</v>
      </c>
      <c r="O84" s="45"/>
      <c r="Q84" s="53" t="s">
        <v>65</v>
      </c>
      <c r="R84" s="32"/>
      <c r="S84" s="19"/>
      <c r="T84" s="32"/>
      <c r="U84" s="54">
        <f>ROUND((0.33*U82)+(0.67*U83),0)</f>
        <v>2212168</v>
      </c>
      <c r="AB84" s="5"/>
      <c r="AC84" s="5"/>
      <c r="AD84" s="5">
        <f>+Z$41</f>
        <v>231116.06014501507</v>
      </c>
      <c r="AE84" s="5">
        <f>+H8</f>
        <v>10.1</v>
      </c>
      <c r="AF84" s="5"/>
      <c r="AG84" s="5"/>
      <c r="AH84" s="5"/>
    </row>
    <row r="85" spans="1:36" ht="16.899999999999999" customHeight="1" x14ac:dyDescent="0.25">
      <c r="A85" s="2" t="str">
        <f>+A80&amp;"th Year Terminal Value"</f>
        <v>13th Year Terminal Value</v>
      </c>
      <c r="D85" s="132">
        <v>2</v>
      </c>
      <c r="K85" s="48" t="str">
        <f>+A86&amp;" ("&amp;B86&amp;")"</f>
        <v>13th Year Present Value Factor (11)</v>
      </c>
      <c r="L85" s="32"/>
      <c r="M85" s="19"/>
      <c r="N85" s="55">
        <f>+AB86</f>
        <v>0.42330000000000001</v>
      </c>
      <c r="O85" s="45"/>
      <c r="Q85" s="49" t="str">
        <f>+K85</f>
        <v>13th Year Present Value Factor (11)</v>
      </c>
      <c r="R85" s="32"/>
      <c r="S85" s="19"/>
      <c r="T85" s="32"/>
      <c r="U85" s="56">
        <f>+AB86</f>
        <v>0.42330000000000001</v>
      </c>
      <c r="AC85" s="5"/>
      <c r="AD85" s="5"/>
      <c r="AE85" s="5"/>
      <c r="AF85" s="5"/>
      <c r="AG85" s="5"/>
      <c r="AH85" s="5"/>
    </row>
    <row r="86" spans="1:36" ht="16.899999999999999" customHeight="1" x14ac:dyDescent="0.25">
      <c r="A86" s="173" t="str">
        <f>+TEXT(A80,0)&amp;"th Year Present Value Factor"</f>
        <v>13th Year Present Value Factor</v>
      </c>
      <c r="B86" s="25">
        <f>MAX(B$20:B85)+1</f>
        <v>11</v>
      </c>
      <c r="D86" s="132">
        <v>2</v>
      </c>
      <c r="K86" s="48" t="s">
        <v>66</v>
      </c>
      <c r="L86" s="57"/>
      <c r="M86" s="19"/>
      <c r="N86" s="58">
        <f>+N85*N84</f>
        <v>962754.76995386067</v>
      </c>
      <c r="O86" s="45"/>
      <c r="Q86" s="49" t="s">
        <v>66</v>
      </c>
      <c r="R86" s="57"/>
      <c r="S86" s="19"/>
      <c r="T86" s="33"/>
      <c r="U86" s="59">
        <f>+U85*U84</f>
        <v>936410.71440000006</v>
      </c>
      <c r="AB86" s="176">
        <f>+Z$54</f>
        <v>0.42330000000000001</v>
      </c>
      <c r="AC86" s="5"/>
      <c r="AD86" s="177"/>
      <c r="AE86" s="5"/>
      <c r="AF86" s="5"/>
      <c r="AG86" s="5"/>
      <c r="AH86" s="5"/>
    </row>
    <row r="87" spans="1:36" ht="16.899999999999999" customHeight="1" x14ac:dyDescent="0.25">
      <c r="D87" s="132">
        <v>2</v>
      </c>
      <c r="K87" s="48" t="s">
        <v>67</v>
      </c>
      <c r="L87" s="57"/>
      <c r="M87" s="19"/>
      <c r="N87" s="32"/>
      <c r="O87" s="45"/>
      <c r="Q87" s="49" t="s">
        <v>67</v>
      </c>
      <c r="R87" s="57"/>
      <c r="S87" s="19"/>
      <c r="T87" s="57"/>
      <c r="U87" s="47"/>
      <c r="AB87" s="5"/>
      <c r="AC87" s="5"/>
      <c r="AD87" s="5"/>
      <c r="AE87" s="5"/>
      <c r="AF87" s="5"/>
      <c r="AG87" s="5"/>
      <c r="AH87" s="5"/>
    </row>
    <row r="88" spans="1:36" ht="16.899999999999999" customHeight="1" x14ac:dyDescent="0.25">
      <c r="D88" s="132">
        <v>2</v>
      </c>
      <c r="K88" s="48" t="str">
        <f>+A89</f>
        <v>Cash Flow for 13 Years</v>
      </c>
      <c r="L88" s="57"/>
      <c r="M88" s="19"/>
      <c r="N88" s="60">
        <f>+AB89</f>
        <v>1076622.812479439</v>
      </c>
      <c r="O88" s="45"/>
      <c r="Q88" s="49" t="str">
        <f>+K88</f>
        <v>Cash Flow for 13 Years</v>
      </c>
      <c r="R88" s="57"/>
      <c r="S88" s="19"/>
      <c r="T88" s="33"/>
      <c r="U88" s="52">
        <f>+AB89</f>
        <v>1076622.812479439</v>
      </c>
      <c r="AB88" s="5"/>
      <c r="AC88" s="5"/>
      <c r="AD88" s="5"/>
      <c r="AE88" s="5"/>
      <c r="AF88" s="5"/>
      <c r="AG88" s="5"/>
      <c r="AH88" s="5"/>
    </row>
    <row r="89" spans="1:36" ht="16.899999999999999" customHeight="1" x14ac:dyDescent="0.25">
      <c r="A89" s="2" t="str">
        <f>+"Cash Flow for "&amp;TEXT(A80,0)&amp;" Years"</f>
        <v>Cash Flow for 13 Years</v>
      </c>
      <c r="D89" s="132">
        <v>2</v>
      </c>
      <c r="K89" s="48"/>
      <c r="L89" s="57"/>
      <c r="M89" s="19"/>
      <c r="N89" s="32"/>
      <c r="O89" s="45"/>
      <c r="Q89" s="49"/>
      <c r="R89" s="57"/>
      <c r="S89" s="19"/>
      <c r="T89" s="32"/>
      <c r="U89" s="47"/>
      <c r="AB89" s="5">
        <f>+AB56</f>
        <v>1076622.812479439</v>
      </c>
      <c r="AC89" s="5"/>
      <c r="AD89" s="5"/>
      <c r="AE89" s="5"/>
      <c r="AF89" s="5"/>
      <c r="AG89" s="5"/>
      <c r="AH89" s="5"/>
      <c r="AI89" s="5"/>
      <c r="AJ89" s="5"/>
    </row>
    <row r="90" spans="1:36" ht="16.899999999999999" customHeight="1" thickBot="1" x14ac:dyDescent="0.3">
      <c r="D90" s="132">
        <v>2</v>
      </c>
      <c r="K90" s="48" t="s">
        <v>68</v>
      </c>
      <c r="L90" s="57"/>
      <c r="M90" s="19"/>
      <c r="N90" s="20">
        <f>+N86+N88</f>
        <v>2039377.5824332996</v>
      </c>
      <c r="O90" s="45"/>
      <c r="Q90" s="49" t="s">
        <v>68</v>
      </c>
      <c r="R90" s="57"/>
      <c r="S90" s="19"/>
      <c r="T90" s="33"/>
      <c r="U90" s="61">
        <f>+U86+U88</f>
        <v>2013033.5268794391</v>
      </c>
      <c r="AB90" s="5"/>
      <c r="AC90" s="5"/>
      <c r="AD90" s="5"/>
      <c r="AE90" s="5"/>
      <c r="AF90" s="5"/>
      <c r="AG90" s="5"/>
      <c r="AH90" s="5"/>
      <c r="AI90" s="5"/>
      <c r="AJ90" s="5"/>
    </row>
    <row r="91" spans="1:36" ht="16.899999999999999" customHeight="1" thickTop="1" thickBot="1" x14ac:dyDescent="0.3">
      <c r="D91" s="132">
        <v>2</v>
      </c>
      <c r="K91" s="62"/>
      <c r="L91" s="63"/>
      <c r="M91" s="64"/>
      <c r="N91" s="63"/>
      <c r="O91" s="65"/>
      <c r="Q91" s="62"/>
      <c r="R91" s="63"/>
      <c r="S91" s="64"/>
      <c r="T91" s="63"/>
      <c r="U91" s="65"/>
      <c r="AB91" s="5"/>
      <c r="AC91" s="5"/>
      <c r="AD91" s="5"/>
      <c r="AE91" s="5"/>
      <c r="AF91" s="5"/>
      <c r="AG91" s="5"/>
      <c r="AH91" s="5"/>
      <c r="AI91" s="5"/>
      <c r="AJ91" s="5"/>
    </row>
    <row r="92" spans="1:36" ht="15" x14ac:dyDescent="0.25">
      <c r="D92" s="132">
        <v>2</v>
      </c>
      <c r="K92" s="6"/>
      <c r="L92" s="5"/>
      <c r="M92" s="5"/>
      <c r="N92" s="5"/>
      <c r="O92" s="5"/>
      <c r="P92" s="6"/>
      <c r="Q92" s="6"/>
      <c r="R92" s="5"/>
      <c r="S92" s="5"/>
      <c r="T92" s="5"/>
      <c r="U92" s="5"/>
      <c r="AB92" s="5"/>
      <c r="AC92" s="5"/>
      <c r="AD92" s="5"/>
      <c r="AE92" s="5"/>
      <c r="AF92" s="5"/>
      <c r="AG92" s="5"/>
      <c r="AH92" s="5"/>
      <c r="AI92" s="5"/>
      <c r="AJ92" s="5"/>
    </row>
    <row r="93" spans="1:36" ht="15.75" thickBot="1" x14ac:dyDescent="0.3">
      <c r="D93" s="132">
        <v>2</v>
      </c>
      <c r="K93" s="6"/>
      <c r="L93" s="5"/>
      <c r="M93" s="5"/>
      <c r="N93" s="5"/>
      <c r="O93" s="5"/>
      <c r="P93" s="6"/>
      <c r="Q93" s="6"/>
      <c r="R93" s="5"/>
      <c r="S93" s="5"/>
      <c r="T93" s="5"/>
      <c r="U93" s="5"/>
      <c r="AB93" s="5"/>
      <c r="AC93" s="5"/>
      <c r="AD93" s="5"/>
      <c r="AE93" s="5"/>
      <c r="AF93" s="5"/>
      <c r="AG93" s="5"/>
      <c r="AH93" s="5"/>
      <c r="AI93" s="5"/>
      <c r="AJ93" s="5"/>
    </row>
    <row r="94" spans="1:36" ht="15.75" thickBot="1" x14ac:dyDescent="0.3">
      <c r="D94" s="132">
        <v>2</v>
      </c>
      <c r="K94" s="34" t="str">
        <f>+"DCF With Capitalization of Terminal Value Model @ "&amp;TEXT(AB95,"0.00%")</f>
        <v>DCF With Capitalization of Terminal Value Model @ 8.48%</v>
      </c>
      <c r="L94" s="35"/>
      <c r="M94" s="35"/>
      <c r="N94" s="35"/>
      <c r="O94" s="36"/>
      <c r="P94" s="6"/>
      <c r="Q94" s="34" t="str">
        <f>+"DCF With EBIT &amp; EBITDA Terminal Value Model - Discount Rate of "&amp;TEXT(AD95,"0.00%")</f>
        <v>DCF With EBIT &amp; EBITDA Terminal Value Model - Discount Rate of 8.48%</v>
      </c>
      <c r="R94" s="35"/>
      <c r="S94" s="35"/>
      <c r="T94" s="35"/>
      <c r="U94" s="36"/>
      <c r="AB94" s="5"/>
      <c r="AC94" s="5"/>
      <c r="AD94" s="5"/>
      <c r="AE94" s="5"/>
      <c r="AF94" s="5"/>
      <c r="AG94" s="5"/>
      <c r="AH94" s="5"/>
      <c r="AI94" s="5"/>
      <c r="AJ94" s="5"/>
    </row>
    <row r="95" spans="1:36" ht="15" x14ac:dyDescent="0.25">
      <c r="D95" s="132">
        <v>2</v>
      </c>
      <c r="K95" s="37"/>
      <c r="L95" s="38"/>
      <c r="M95" s="39"/>
      <c r="N95" s="40" t="s">
        <v>59</v>
      </c>
      <c r="O95" s="41"/>
      <c r="P95" s="6"/>
      <c r="Q95" s="37"/>
      <c r="R95" s="38"/>
      <c r="S95" s="39"/>
      <c r="T95" s="38"/>
      <c r="U95" s="42" t="s">
        <v>59</v>
      </c>
      <c r="AB95" s="171">
        <f>+AC58</f>
        <v>8.48E-2</v>
      </c>
      <c r="AC95" s="5"/>
      <c r="AD95" s="171">
        <f>+AB95</f>
        <v>8.48E-2</v>
      </c>
      <c r="AE95" s="5"/>
      <c r="AF95" s="5"/>
      <c r="AG95" s="5"/>
      <c r="AH95" s="5"/>
      <c r="AI95" s="5"/>
      <c r="AJ95" s="5"/>
    </row>
    <row r="96" spans="1:36" ht="15" x14ac:dyDescent="0.25">
      <c r="D96" s="132">
        <v>2</v>
      </c>
      <c r="K96" s="43"/>
      <c r="L96" s="32"/>
      <c r="M96" s="19"/>
      <c r="N96" s="44" t="s">
        <v>60</v>
      </c>
      <c r="O96" s="45"/>
      <c r="P96" s="6"/>
      <c r="Q96" s="43"/>
      <c r="R96" s="32"/>
      <c r="S96" s="19"/>
      <c r="T96" s="44" t="str">
        <f>+T80</f>
        <v>Multiples (13)</v>
      </c>
      <c r="U96" s="46" t="s">
        <v>60</v>
      </c>
      <c r="AB96" s="5"/>
      <c r="AC96" s="5"/>
      <c r="AD96" s="5"/>
      <c r="AE96" s="5"/>
      <c r="AF96" s="5"/>
      <c r="AG96" s="5"/>
      <c r="AH96" s="5"/>
      <c r="AI96" s="5"/>
      <c r="AJ96" s="5"/>
    </row>
    <row r="97" spans="1:36" ht="15" x14ac:dyDescent="0.25">
      <c r="D97" s="132">
        <v>2</v>
      </c>
      <c r="K97" s="43"/>
      <c r="L97" s="32"/>
      <c r="M97" s="19"/>
      <c r="N97" s="32"/>
      <c r="O97" s="45"/>
      <c r="P97" s="6"/>
      <c r="Q97" s="43"/>
      <c r="R97" s="32"/>
      <c r="S97" s="19"/>
      <c r="T97" s="32"/>
      <c r="U97" s="47"/>
      <c r="AB97" s="5"/>
      <c r="AC97" s="5"/>
      <c r="AD97" s="5"/>
      <c r="AE97" s="5"/>
      <c r="AF97" s="5"/>
      <c r="AG97" s="5"/>
      <c r="AH97" s="5"/>
      <c r="AI97" s="5"/>
      <c r="AJ97" s="5"/>
    </row>
    <row r="98" spans="1:36" ht="15" x14ac:dyDescent="0.25">
      <c r="D98" s="132">
        <v>2</v>
      </c>
      <c r="K98" s="48" t="str">
        <f>+A99&amp;" ("&amp;B99&amp;")"</f>
        <v>Projected Debt Free Net Cash Flow (10)</v>
      </c>
      <c r="L98" s="32"/>
      <c r="M98" s="32"/>
      <c r="N98" s="32">
        <f>+AB99</f>
        <v>161937.49024501507</v>
      </c>
      <c r="O98" s="45"/>
      <c r="P98" s="6"/>
      <c r="Q98" s="49" t="s">
        <v>61</v>
      </c>
      <c r="R98" s="32"/>
      <c r="S98" s="32">
        <f>+AD99</f>
        <v>134538.38734501507</v>
      </c>
      <c r="T98" s="50">
        <f>+AE99</f>
        <v>14.6</v>
      </c>
      <c r="U98" s="47">
        <f>+T98*S98</f>
        <v>1964260.45523722</v>
      </c>
      <c r="AB98" s="5"/>
      <c r="AC98" s="5"/>
      <c r="AD98" s="5"/>
      <c r="AE98" s="5"/>
      <c r="AF98" s="5"/>
      <c r="AG98" s="5"/>
      <c r="AH98" s="5"/>
      <c r="AI98" s="5"/>
      <c r="AJ98" s="5"/>
    </row>
    <row r="99" spans="1:36" ht="16.899999999999999" customHeight="1" x14ac:dyDescent="0.25">
      <c r="A99" s="173" t="s">
        <v>62</v>
      </c>
      <c r="B99" s="25">
        <f>+B$83</f>
        <v>10</v>
      </c>
      <c r="D99" s="132">
        <v>2</v>
      </c>
      <c r="K99" s="48" t="str">
        <f>+A100&amp;" ("&amp;B100&amp;")"</f>
        <v>Divided by Capitalization Factor (9)</v>
      </c>
      <c r="L99" s="32"/>
      <c r="M99" s="33"/>
      <c r="N99" s="51">
        <f>+AB95</f>
        <v>8.48E-2</v>
      </c>
      <c r="O99" s="45"/>
      <c r="P99" s="6"/>
      <c r="Q99" s="49" t="s">
        <v>63</v>
      </c>
      <c r="R99" s="32"/>
      <c r="S99" s="33">
        <f>+AD100</f>
        <v>231116.06014501507</v>
      </c>
      <c r="T99" s="50">
        <f>+AE100</f>
        <v>10.1</v>
      </c>
      <c r="U99" s="52">
        <f>+T99*S99</f>
        <v>2334272.2074646521</v>
      </c>
      <c r="AB99" s="5">
        <f>+AB52</f>
        <v>161937.49024501507</v>
      </c>
      <c r="AC99" s="5"/>
      <c r="AD99" s="5">
        <f>+AD83</f>
        <v>134538.38734501507</v>
      </c>
      <c r="AE99" s="5">
        <f>+AE$83</f>
        <v>14.6</v>
      </c>
      <c r="AF99" s="5"/>
      <c r="AG99" s="5"/>
      <c r="AH99" s="5"/>
      <c r="AI99" s="5"/>
      <c r="AJ99" s="5"/>
    </row>
    <row r="100" spans="1:36" ht="16.899999999999999" customHeight="1" x14ac:dyDescent="0.25">
      <c r="A100" s="173" t="s">
        <v>64</v>
      </c>
      <c r="B100" s="25">
        <f>+B$58</f>
        <v>9</v>
      </c>
      <c r="D100" s="132">
        <v>2</v>
      </c>
      <c r="K100" s="175" t="str">
        <f>+K84</f>
        <v>13th Year Terminal Value</v>
      </c>
      <c r="L100" s="32"/>
      <c r="M100" s="19"/>
      <c r="N100" s="33">
        <f>+N98/N99</f>
        <v>1909640.2151534795</v>
      </c>
      <c r="O100" s="45"/>
      <c r="P100" s="6"/>
      <c r="Q100" s="53" t="s">
        <v>65</v>
      </c>
      <c r="R100" s="32"/>
      <c r="S100" s="19"/>
      <c r="T100" s="32"/>
      <c r="U100" s="54">
        <f>ROUND((0.33*U98)+(0.67*U99),0)</f>
        <v>2212168</v>
      </c>
      <c r="AB100" s="5"/>
      <c r="AC100" s="5"/>
      <c r="AD100" s="5">
        <f>+AD84</f>
        <v>231116.06014501507</v>
      </c>
      <c r="AE100" s="5">
        <f>+AE$84</f>
        <v>10.1</v>
      </c>
      <c r="AF100" s="5"/>
      <c r="AG100" s="5"/>
      <c r="AH100" s="5"/>
      <c r="AI100" s="5"/>
      <c r="AJ100" s="5"/>
    </row>
    <row r="101" spans="1:36" ht="16.899999999999999" customHeight="1" x14ac:dyDescent="0.25">
      <c r="D101" s="132">
        <v>2</v>
      </c>
      <c r="K101" s="48" t="str">
        <f>+A102&amp;" ("&amp;B102&amp;")"</f>
        <v>13th Year Present Value Factor (12)</v>
      </c>
      <c r="L101" s="32"/>
      <c r="M101" s="19"/>
      <c r="N101" s="55">
        <f>+AB102</f>
        <v>0.36149999999999999</v>
      </c>
      <c r="O101" s="45"/>
      <c r="P101" s="6"/>
      <c r="Q101" s="49" t="str">
        <f>+K101</f>
        <v>13th Year Present Value Factor (12)</v>
      </c>
      <c r="R101" s="32"/>
      <c r="S101" s="19"/>
      <c r="T101" s="32"/>
      <c r="U101" s="56">
        <f>+AB102</f>
        <v>0.36149999999999999</v>
      </c>
      <c r="AC101" s="5"/>
      <c r="AD101" s="5"/>
      <c r="AE101" s="5"/>
      <c r="AF101" s="5"/>
      <c r="AG101" s="5"/>
      <c r="AH101" s="5"/>
      <c r="AI101" s="5"/>
      <c r="AJ101" s="5"/>
    </row>
    <row r="102" spans="1:36" ht="16.899999999999999" customHeight="1" x14ac:dyDescent="0.25">
      <c r="A102" s="173" t="str">
        <f>+A86</f>
        <v>13th Year Present Value Factor</v>
      </c>
      <c r="B102" s="25">
        <f>MAX(B$20:B101)+1</f>
        <v>12</v>
      </c>
      <c r="D102" s="132">
        <v>2</v>
      </c>
      <c r="K102" s="48" t="s">
        <v>66</v>
      </c>
      <c r="L102" s="57"/>
      <c r="M102" s="19"/>
      <c r="N102" s="58">
        <f>+N101*N100</f>
        <v>690334.93777798279</v>
      </c>
      <c r="O102" s="45"/>
      <c r="P102" s="6"/>
      <c r="Q102" s="49" t="s">
        <v>66</v>
      </c>
      <c r="R102" s="57"/>
      <c r="S102" s="19"/>
      <c r="T102" s="33"/>
      <c r="U102" s="59">
        <f>+U101*U100</f>
        <v>799698.73199999996</v>
      </c>
      <c r="AB102" s="176">
        <f>+Z$58</f>
        <v>0.36149999999999999</v>
      </c>
      <c r="AC102" s="5"/>
      <c r="AD102" s="177"/>
      <c r="AE102" s="5"/>
      <c r="AF102" s="5"/>
      <c r="AG102" s="5"/>
      <c r="AH102" s="5"/>
      <c r="AI102" s="5"/>
      <c r="AJ102" s="5"/>
    </row>
    <row r="103" spans="1:36" ht="16.899999999999999" customHeight="1" x14ac:dyDescent="0.25">
      <c r="D103" s="132">
        <v>2</v>
      </c>
      <c r="K103" s="48" t="s">
        <v>67</v>
      </c>
      <c r="L103" s="57"/>
      <c r="M103" s="19"/>
      <c r="N103" s="32"/>
      <c r="O103" s="45"/>
      <c r="P103" s="6"/>
      <c r="Q103" s="49" t="s">
        <v>67</v>
      </c>
      <c r="R103" s="57"/>
      <c r="S103" s="19"/>
      <c r="T103" s="57"/>
      <c r="U103" s="47"/>
      <c r="AB103" s="5"/>
      <c r="AC103" s="5"/>
      <c r="AD103" s="5"/>
      <c r="AE103" s="5"/>
      <c r="AF103" s="5"/>
      <c r="AG103" s="5"/>
      <c r="AH103" s="5"/>
      <c r="AI103" s="5"/>
      <c r="AJ103" s="5"/>
    </row>
    <row r="104" spans="1:36" ht="16.899999999999999" customHeight="1" x14ac:dyDescent="0.25">
      <c r="D104" s="132">
        <v>2</v>
      </c>
      <c r="K104" s="48" t="str">
        <f>+K$88</f>
        <v>Cash Flow for 13 Years</v>
      </c>
      <c r="L104" s="57"/>
      <c r="M104" s="19"/>
      <c r="N104" s="60">
        <f>+AB105</f>
        <v>985886.49478701071</v>
      </c>
      <c r="O104" s="45"/>
      <c r="P104" s="6"/>
      <c r="Q104" s="49" t="str">
        <f>+Q$88</f>
        <v>Cash Flow for 13 Years</v>
      </c>
      <c r="R104" s="57"/>
      <c r="S104" s="19"/>
      <c r="T104" s="33"/>
      <c r="U104" s="52">
        <f>+AB105</f>
        <v>985886.49478701071</v>
      </c>
      <c r="AB104" s="5"/>
      <c r="AC104" s="5"/>
      <c r="AD104" s="5"/>
      <c r="AE104" s="5"/>
      <c r="AF104" s="5"/>
      <c r="AG104" s="5"/>
      <c r="AH104" s="5"/>
      <c r="AI104" s="5"/>
      <c r="AJ104" s="5"/>
    </row>
    <row r="105" spans="1:36" ht="16.899999999999999" customHeight="1" x14ac:dyDescent="0.25">
      <c r="B105" s="178">
        <f>MAX(B$20:B104)+1</f>
        <v>13</v>
      </c>
      <c r="D105" s="132">
        <v>2</v>
      </c>
      <c r="K105" s="48"/>
      <c r="L105" s="57"/>
      <c r="M105" s="19"/>
      <c r="N105" s="32"/>
      <c r="O105" s="45"/>
      <c r="P105" s="6"/>
      <c r="Q105" s="49"/>
      <c r="R105" s="57"/>
      <c r="S105" s="19"/>
      <c r="T105" s="32"/>
      <c r="U105" s="47"/>
      <c r="AB105" s="5">
        <f>+AB60</f>
        <v>985886.49478701071</v>
      </c>
      <c r="AC105" s="5"/>
      <c r="AD105" s="5"/>
      <c r="AE105" s="5"/>
      <c r="AF105" s="5"/>
      <c r="AG105" s="5"/>
      <c r="AH105" s="5"/>
      <c r="AI105" s="5"/>
      <c r="AJ105" s="5"/>
    </row>
    <row r="106" spans="1:36" ht="16.899999999999999" customHeight="1" thickBot="1" x14ac:dyDescent="0.3">
      <c r="D106" s="132">
        <v>2</v>
      </c>
      <c r="K106" s="48" t="s">
        <v>68</v>
      </c>
      <c r="L106" s="57"/>
      <c r="M106" s="19"/>
      <c r="N106" s="20">
        <f>+N102+N104</f>
        <v>1676221.4325649934</v>
      </c>
      <c r="O106" s="45"/>
      <c r="P106" s="6"/>
      <c r="Q106" s="49" t="s">
        <v>68</v>
      </c>
      <c r="R106" s="57"/>
      <c r="S106" s="19"/>
      <c r="T106" s="33"/>
      <c r="U106" s="61">
        <f>+U102+U104</f>
        <v>1785585.2267870107</v>
      </c>
      <c r="AB106" s="5"/>
      <c r="AC106" s="5"/>
      <c r="AD106" s="5"/>
      <c r="AE106" s="5"/>
      <c r="AF106" s="5"/>
      <c r="AG106" s="5"/>
      <c r="AH106" s="5"/>
      <c r="AI106" s="5"/>
      <c r="AJ106" s="5"/>
    </row>
    <row r="107" spans="1:36" ht="16.899999999999999" customHeight="1" thickTop="1" thickBot="1" x14ac:dyDescent="0.3">
      <c r="D107" s="132">
        <v>2</v>
      </c>
      <c r="K107" s="62"/>
      <c r="L107" s="63"/>
      <c r="M107" s="64"/>
      <c r="N107" s="63"/>
      <c r="O107" s="65"/>
      <c r="P107" s="6"/>
      <c r="Q107" s="62"/>
      <c r="R107" s="63"/>
      <c r="S107" s="64"/>
      <c r="T107" s="63"/>
      <c r="U107" s="65"/>
      <c r="AB107" s="5"/>
      <c r="AC107" s="5"/>
      <c r="AD107" s="5"/>
      <c r="AE107" s="5"/>
      <c r="AF107" s="5"/>
      <c r="AG107" s="5"/>
      <c r="AH107" s="5"/>
      <c r="AI107" s="5"/>
      <c r="AJ107" s="5"/>
    </row>
    <row r="108" spans="1:36" ht="15" x14ac:dyDescent="0.25">
      <c r="D108" s="132">
        <v>2</v>
      </c>
      <c r="K108" s="32"/>
      <c r="L108" s="32"/>
      <c r="M108" s="19"/>
      <c r="N108" s="6"/>
      <c r="O108" s="32"/>
      <c r="P108" s="6"/>
      <c r="Q108" s="6"/>
      <c r="R108" s="5"/>
      <c r="S108" s="5"/>
      <c r="T108" s="5"/>
      <c r="U108" s="5"/>
      <c r="AB108" s="5"/>
      <c r="AC108" s="5"/>
      <c r="AD108" s="5"/>
      <c r="AE108" s="5"/>
      <c r="AF108" s="5"/>
      <c r="AG108" s="5"/>
      <c r="AH108" s="5"/>
      <c r="AI108" s="5"/>
      <c r="AJ108" s="5"/>
    </row>
    <row r="109" spans="1:36" ht="15" x14ac:dyDescent="0.25">
      <c r="D109" s="132">
        <v>2</v>
      </c>
      <c r="K109" s="32"/>
      <c r="L109" s="32"/>
      <c r="M109" s="19"/>
      <c r="N109" s="6"/>
      <c r="O109" s="32"/>
      <c r="P109" s="6"/>
      <c r="Q109" s="6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G109" s="5"/>
      <c r="AH109" s="5"/>
      <c r="AI109" s="5"/>
      <c r="AJ109" s="5"/>
    </row>
    <row r="110" spans="1:36" ht="16.5" thickBot="1" x14ac:dyDescent="0.3">
      <c r="D110" s="132">
        <v>2</v>
      </c>
      <c r="G110" s="30"/>
      <c r="L110" s="6"/>
      <c r="M110" s="6"/>
      <c r="N110" s="6"/>
      <c r="O110" s="6"/>
      <c r="P110" s="6"/>
      <c r="Q110" s="6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G110" s="5"/>
      <c r="AH110" s="5"/>
      <c r="AI110" s="5"/>
      <c r="AJ110" s="5"/>
    </row>
    <row r="111" spans="1:36" ht="15.75" thickBot="1" x14ac:dyDescent="0.3">
      <c r="D111" s="132">
        <v>2</v>
      </c>
      <c r="G111" s="31"/>
      <c r="K111" s="34" t="str">
        <f>+"DCF With Capitalization of Terminal Value Model @ "&amp;TEXT(AB112,"0.00%")</f>
        <v>DCF With Capitalization of Terminal Value Model @ 5.32%</v>
      </c>
      <c r="L111" s="35"/>
      <c r="M111" s="35"/>
      <c r="N111" s="35"/>
      <c r="O111" s="36"/>
      <c r="P111" s="6"/>
      <c r="Q111" s="34" t="str">
        <f>+"DCF With Capitalization of Terminal Value Model @ "&amp;TEXT(AB128,"0.00%")</f>
        <v>DCF With Capitalization of Terminal Value Model @ 6.68%</v>
      </c>
      <c r="R111" s="35"/>
      <c r="S111" s="35"/>
      <c r="T111" s="35"/>
      <c r="U111" s="36"/>
      <c r="AB111" s="5"/>
      <c r="AC111" s="5"/>
      <c r="AD111" s="5"/>
      <c r="AE111" s="5"/>
      <c r="AF111" s="5"/>
      <c r="AG111" s="5"/>
      <c r="AH111" s="5"/>
      <c r="AI111" s="5"/>
      <c r="AJ111" s="5"/>
    </row>
    <row r="112" spans="1:36" ht="15" x14ac:dyDescent="0.25">
      <c r="C112" s="168" t="s">
        <v>69</v>
      </c>
      <c r="D112" s="132">
        <v>2</v>
      </c>
      <c r="G112" s="29"/>
      <c r="K112" s="37"/>
      <c r="L112" s="38"/>
      <c r="M112" s="39"/>
      <c r="N112" s="40" t="s">
        <v>59</v>
      </c>
      <c r="O112" s="41"/>
      <c r="Q112" s="37"/>
      <c r="R112" s="38"/>
      <c r="S112" s="39"/>
      <c r="T112" s="40" t="s">
        <v>59</v>
      </c>
      <c r="U112" s="41"/>
      <c r="AB112" s="171">
        <f>+AC62</f>
        <v>5.3199999999999997E-2</v>
      </c>
      <c r="AC112" s="5"/>
      <c r="AD112" s="171">
        <f>+AB112</f>
        <v>5.3199999999999997E-2</v>
      </c>
      <c r="AE112" s="5"/>
      <c r="AF112" s="5"/>
      <c r="AG112" s="5"/>
      <c r="AH112" s="5"/>
      <c r="AI112" s="5"/>
      <c r="AJ112" s="5"/>
    </row>
    <row r="113" spans="1:40" ht="15" x14ac:dyDescent="0.25">
      <c r="D113" s="132">
        <v>2</v>
      </c>
      <c r="K113" s="43"/>
      <c r="L113" s="32"/>
      <c r="M113" s="19"/>
      <c r="N113" s="44" t="s">
        <v>60</v>
      </c>
      <c r="O113" s="45"/>
      <c r="Q113" s="43"/>
      <c r="R113" s="32"/>
      <c r="S113" s="19"/>
      <c r="T113" s="44" t="s">
        <v>60</v>
      </c>
      <c r="U113" s="45"/>
      <c r="AB113" s="5"/>
      <c r="AC113" s="5"/>
      <c r="AD113" s="5"/>
      <c r="AE113" s="5"/>
      <c r="AF113" s="5"/>
      <c r="AG113" s="5"/>
      <c r="AH113" s="5"/>
      <c r="AI113" s="5"/>
      <c r="AJ113" s="5"/>
    </row>
    <row r="114" spans="1:40" ht="15" x14ac:dyDescent="0.25">
      <c r="D114" s="132">
        <v>2</v>
      </c>
      <c r="K114" s="43"/>
      <c r="L114" s="32"/>
      <c r="M114" s="19"/>
      <c r="N114" s="32"/>
      <c r="O114" s="45"/>
      <c r="Q114" s="43"/>
      <c r="R114" s="32"/>
      <c r="S114" s="19"/>
      <c r="T114" s="32"/>
      <c r="U114" s="45"/>
      <c r="AB114" s="5"/>
      <c r="AC114" s="5"/>
      <c r="AD114" s="5"/>
      <c r="AE114" s="5"/>
      <c r="AF114" s="5"/>
      <c r="AG114" s="5"/>
      <c r="AH114" s="5"/>
      <c r="AI114" s="5"/>
      <c r="AJ114" s="5"/>
    </row>
    <row r="115" spans="1:40" ht="15" x14ac:dyDescent="0.25">
      <c r="D115" s="132">
        <v>2</v>
      </c>
      <c r="K115" s="48" t="str">
        <f>+K82</f>
        <v>Projected Debt Free Net Cash Flow (10)</v>
      </c>
      <c r="L115" s="32"/>
      <c r="M115" s="32"/>
      <c r="N115" s="32">
        <f>+AB116</f>
        <v>161937.49024501507</v>
      </c>
      <c r="O115" s="45"/>
      <c r="Q115" s="48" t="str">
        <f t="shared" ref="Q115:Q121" si="58">+K98</f>
        <v>Projected Debt Free Net Cash Flow (10)</v>
      </c>
      <c r="R115" s="32"/>
      <c r="S115" s="32"/>
      <c r="T115" s="32">
        <f>+AB132</f>
        <v>161937.49024501507</v>
      </c>
      <c r="U115" s="45"/>
      <c r="AB115" s="5"/>
      <c r="AC115" s="5"/>
      <c r="AD115" s="5"/>
      <c r="AE115" s="5"/>
      <c r="AF115" s="5"/>
      <c r="AG115" s="5"/>
      <c r="AH115" s="5"/>
      <c r="AI115" s="5"/>
      <c r="AJ115" s="5"/>
    </row>
    <row r="116" spans="1:40" ht="16.899999999999999" customHeight="1" x14ac:dyDescent="0.25">
      <c r="A116" s="173" t="s">
        <v>62</v>
      </c>
      <c r="B116" s="25">
        <f>B$83</f>
        <v>10</v>
      </c>
      <c r="D116" s="132">
        <v>2</v>
      </c>
      <c r="K116" s="48" t="str">
        <f t="shared" ref="K116:K120" si="59">+K83</f>
        <v>Divided by Capitalization Factor (8)</v>
      </c>
      <c r="L116" s="32"/>
      <c r="M116" s="33"/>
      <c r="N116" s="51">
        <f>+AB112</f>
        <v>5.3199999999999997E-2</v>
      </c>
      <c r="O116" s="45"/>
      <c r="Q116" s="48" t="str">
        <f t="shared" si="58"/>
        <v>Divided by Capitalization Factor (9)</v>
      </c>
      <c r="R116" s="32"/>
      <c r="S116" s="33"/>
      <c r="T116" s="51">
        <f>+AB128</f>
        <v>6.6799999999999998E-2</v>
      </c>
      <c r="U116" s="45"/>
      <c r="AB116" s="5">
        <f>+AB$52</f>
        <v>161937.49024501507</v>
      </c>
      <c r="AC116" s="5"/>
      <c r="AD116" s="5">
        <f>+Z$42</f>
        <v>134538.38734501507</v>
      </c>
      <c r="AE116" s="5">
        <f>+AE$83</f>
        <v>14.6</v>
      </c>
      <c r="AF116" s="5"/>
      <c r="AG116" s="5"/>
      <c r="AH116" s="5"/>
      <c r="AI116" s="5"/>
      <c r="AJ116" s="5"/>
    </row>
    <row r="117" spans="1:40" ht="16.899999999999999" customHeight="1" x14ac:dyDescent="0.25">
      <c r="A117" s="173" t="s">
        <v>64</v>
      </c>
      <c r="B117" s="25">
        <f>+B$54</f>
        <v>8</v>
      </c>
      <c r="D117" s="132">
        <v>2</v>
      </c>
      <c r="K117" s="48" t="str">
        <f t="shared" si="59"/>
        <v>13th Year Terminal Value</v>
      </c>
      <c r="L117" s="32"/>
      <c r="M117" s="19"/>
      <c r="N117" s="33">
        <f>+N115/N116</f>
        <v>3043937.7865604339</v>
      </c>
      <c r="O117" s="45"/>
      <c r="Q117" s="48" t="str">
        <f t="shared" si="58"/>
        <v>13th Year Terminal Value</v>
      </c>
      <c r="R117" s="32"/>
      <c r="S117" s="19"/>
      <c r="T117" s="33">
        <f>+T115/T116</f>
        <v>2424213.9258235791</v>
      </c>
      <c r="U117" s="45"/>
      <c r="AB117" s="5"/>
      <c r="AC117" s="5"/>
      <c r="AD117" s="5">
        <f>+Z$41</f>
        <v>231116.06014501507</v>
      </c>
      <c r="AE117" s="5">
        <f>+AE$84</f>
        <v>10.1</v>
      </c>
      <c r="AF117" s="5"/>
      <c r="AG117" s="5"/>
      <c r="AH117" s="5"/>
      <c r="AI117" s="5"/>
      <c r="AJ117" s="5"/>
    </row>
    <row r="118" spans="1:40" ht="16.899999999999999" customHeight="1" x14ac:dyDescent="0.25">
      <c r="D118" s="132">
        <v>2</v>
      </c>
      <c r="K118" s="48" t="str">
        <f t="shared" si="59"/>
        <v>13th Year Present Value Factor (11)</v>
      </c>
      <c r="L118" s="32"/>
      <c r="M118" s="19"/>
      <c r="N118" s="55">
        <f>+N85</f>
        <v>0.42330000000000001</v>
      </c>
      <c r="O118" s="45"/>
      <c r="Q118" s="48" t="str">
        <f t="shared" si="58"/>
        <v>13th Year Present Value Factor (12)</v>
      </c>
      <c r="R118" s="32"/>
      <c r="S118" s="19"/>
      <c r="T118" s="55">
        <f>+N101</f>
        <v>0.36149999999999999</v>
      </c>
      <c r="U118" s="45"/>
      <c r="AC118" s="5"/>
      <c r="AD118" s="5"/>
      <c r="AE118" s="5"/>
      <c r="AF118" s="5"/>
      <c r="AG118" s="5"/>
      <c r="AH118" s="5"/>
      <c r="AI118" s="5"/>
      <c r="AJ118" s="5"/>
    </row>
    <row r="119" spans="1:40" ht="16.899999999999999" customHeight="1" x14ac:dyDescent="0.25">
      <c r="A119" s="173" t="s">
        <v>70</v>
      </c>
      <c r="B119" s="25">
        <f>B$86</f>
        <v>11</v>
      </c>
      <c r="D119" s="132">
        <v>2</v>
      </c>
      <c r="K119" s="48" t="str">
        <f t="shared" si="59"/>
        <v>Present Value of Terminal Value</v>
      </c>
      <c r="L119" s="57"/>
      <c r="M119" s="19"/>
      <c r="N119" s="58">
        <f>+N118*N117</f>
        <v>1288498.8650510318</v>
      </c>
      <c r="O119" s="45"/>
      <c r="Q119" s="48" t="str">
        <f t="shared" si="58"/>
        <v>Present Value of Terminal Value</v>
      </c>
      <c r="R119" s="57"/>
      <c r="S119" s="19"/>
      <c r="T119" s="58">
        <f>+T118*T117</f>
        <v>876353.33418522379</v>
      </c>
      <c r="U119" s="45"/>
      <c r="AB119" s="176">
        <f>+Z62</f>
        <v>0.52310000000000001</v>
      </c>
      <c r="AC119" s="5"/>
      <c r="AD119" s="177">
        <f>+AB119</f>
        <v>0.52310000000000001</v>
      </c>
      <c r="AE119" s="5"/>
      <c r="AF119" s="5"/>
      <c r="AG119" s="5"/>
      <c r="AH119" s="5"/>
      <c r="AI119" s="5"/>
      <c r="AJ119" s="5"/>
    </row>
    <row r="120" spans="1:40" ht="16.899999999999999" customHeight="1" x14ac:dyDescent="0.25">
      <c r="D120" s="132">
        <v>2</v>
      </c>
      <c r="K120" s="48" t="str">
        <f t="shared" si="59"/>
        <v>Present Value Debt Free Net</v>
      </c>
      <c r="L120" s="57"/>
      <c r="M120" s="19"/>
      <c r="N120" s="32"/>
      <c r="O120" s="45"/>
      <c r="Q120" s="48" t="str">
        <f t="shared" si="58"/>
        <v>Present Value Debt Free Net</v>
      </c>
      <c r="R120" s="57"/>
      <c r="S120" s="19"/>
      <c r="T120" s="32"/>
      <c r="U120" s="45"/>
      <c r="AB120" s="5"/>
      <c r="AC120" s="5"/>
      <c r="AD120" s="5"/>
      <c r="AE120" s="5"/>
      <c r="AF120" s="5"/>
      <c r="AG120" s="5"/>
      <c r="AH120" s="5"/>
      <c r="AI120" s="5"/>
      <c r="AJ120" s="5"/>
    </row>
    <row r="121" spans="1:40" ht="16.899999999999999" customHeight="1" x14ac:dyDescent="0.25">
      <c r="D121" s="132">
        <v>2</v>
      </c>
      <c r="K121" s="48" t="str">
        <f>+K$88</f>
        <v>Cash Flow for 13 Years</v>
      </c>
      <c r="L121" s="57"/>
      <c r="M121" s="19"/>
      <c r="N121" s="60">
        <f>+AB122</f>
        <v>1076622.812479439</v>
      </c>
      <c r="O121" s="45"/>
      <c r="Q121" s="48" t="str">
        <f t="shared" si="58"/>
        <v>Cash Flow for 13 Years</v>
      </c>
      <c r="R121" s="57"/>
      <c r="S121" s="19"/>
      <c r="T121" s="60">
        <f>+AB138</f>
        <v>985886.49478701071</v>
      </c>
      <c r="U121" s="45"/>
      <c r="V121" s="5"/>
      <c r="W121" s="5"/>
      <c r="X121" s="5"/>
      <c r="Y121" s="5"/>
      <c r="AB121" s="5"/>
      <c r="AC121" s="5"/>
      <c r="AD121" s="5"/>
      <c r="AE121" s="5"/>
      <c r="AF121" s="5"/>
      <c r="AG121" s="5"/>
      <c r="AH121" s="5"/>
      <c r="AI121" s="5"/>
      <c r="AJ121" s="5"/>
    </row>
    <row r="122" spans="1:40" ht="16.899999999999999" customHeight="1" x14ac:dyDescent="0.25">
      <c r="D122" s="132">
        <v>2</v>
      </c>
      <c r="K122" s="48"/>
      <c r="L122" s="57"/>
      <c r="M122" s="19"/>
      <c r="N122" s="32"/>
      <c r="O122" s="45"/>
      <c r="Q122" s="48"/>
      <c r="R122" s="57"/>
      <c r="S122" s="19"/>
      <c r="T122" s="32"/>
      <c r="U122" s="45"/>
      <c r="V122" s="5"/>
      <c r="W122" s="5"/>
      <c r="X122" s="5"/>
      <c r="Y122" s="5"/>
      <c r="AB122" s="5">
        <f>+AB56</f>
        <v>1076622.812479439</v>
      </c>
      <c r="AC122" s="5"/>
      <c r="AD122" s="5">
        <f>+AB122</f>
        <v>1076622.812479439</v>
      </c>
      <c r="AE122" s="5"/>
      <c r="AF122" s="5"/>
      <c r="AG122" s="5"/>
      <c r="AH122" s="5"/>
      <c r="AI122" s="5"/>
      <c r="AJ122" s="5"/>
    </row>
    <row r="123" spans="1:40" ht="16.899999999999999" customHeight="1" thickBot="1" x14ac:dyDescent="0.3">
      <c r="D123" s="132">
        <v>2</v>
      </c>
      <c r="K123" s="48" t="s">
        <v>68</v>
      </c>
      <c r="L123" s="57"/>
      <c r="M123" s="19"/>
      <c r="N123" s="20">
        <f>+N119+N121</f>
        <v>2365121.6775304708</v>
      </c>
      <c r="O123" s="45"/>
      <c r="Q123" s="48" t="s">
        <v>68</v>
      </c>
      <c r="R123" s="57"/>
      <c r="S123" s="19"/>
      <c r="T123" s="20">
        <f>+T119+T121</f>
        <v>1862239.8289722344</v>
      </c>
      <c r="U123" s="45"/>
      <c r="V123" s="5"/>
      <c r="W123" s="5"/>
      <c r="X123" s="5"/>
      <c r="Y123" s="5"/>
      <c r="AB123" s="5"/>
      <c r="AC123" s="5"/>
      <c r="AD123" s="5"/>
      <c r="AE123" s="5"/>
      <c r="AF123" s="5"/>
      <c r="AG123" s="5"/>
      <c r="AH123" s="5"/>
      <c r="AI123" s="5"/>
      <c r="AJ123" s="5"/>
    </row>
    <row r="124" spans="1:40" ht="16.899999999999999" customHeight="1" thickTop="1" thickBot="1" x14ac:dyDescent="0.3">
      <c r="D124" s="132">
        <v>2</v>
      </c>
      <c r="K124" s="62"/>
      <c r="L124" s="63"/>
      <c r="M124" s="64"/>
      <c r="N124" s="63"/>
      <c r="O124" s="65"/>
      <c r="Q124" s="62"/>
      <c r="R124" s="63"/>
      <c r="S124" s="64"/>
      <c r="T124" s="63"/>
      <c r="U124" s="65"/>
      <c r="V124" s="5"/>
      <c r="W124" s="5"/>
      <c r="X124" s="5"/>
      <c r="Y124" s="5"/>
      <c r="AB124" s="5"/>
      <c r="AC124" s="5"/>
      <c r="AD124" s="5"/>
      <c r="AE124" s="5"/>
      <c r="AF124" s="5"/>
      <c r="AG124" s="5"/>
      <c r="AH124" s="5"/>
      <c r="AI124" s="5"/>
      <c r="AJ124" s="5"/>
    </row>
    <row r="125" spans="1:40" ht="15" x14ac:dyDescent="0.25">
      <c r="D125" s="132">
        <v>2</v>
      </c>
      <c r="K125" s="6"/>
      <c r="L125" s="5"/>
      <c r="M125" s="5"/>
      <c r="N125" s="5"/>
      <c r="O125" s="5"/>
      <c r="P125" s="6"/>
      <c r="Q125" s="179"/>
      <c r="R125" s="180"/>
      <c r="S125" s="180"/>
      <c r="T125" s="180"/>
      <c r="U125" s="180"/>
      <c r="V125" s="5"/>
      <c r="W125" s="5"/>
      <c r="X125" s="5"/>
      <c r="Y125" s="5"/>
      <c r="AB125" s="5"/>
      <c r="AC125" s="5"/>
      <c r="AD125" s="5"/>
      <c r="AE125" s="5"/>
      <c r="AF125" s="5"/>
      <c r="AG125" s="5"/>
      <c r="AH125" s="5"/>
      <c r="AI125" s="5"/>
      <c r="AJ125" s="5"/>
    </row>
    <row r="126" spans="1:40" ht="15" x14ac:dyDescent="0.25">
      <c r="D126" s="132"/>
      <c r="K126" s="6"/>
      <c r="L126" s="5"/>
      <c r="M126" s="5"/>
      <c r="N126" s="5"/>
      <c r="O126" s="5"/>
      <c r="P126" s="6"/>
      <c r="Q126" s="179"/>
      <c r="R126" s="180"/>
      <c r="S126" s="180"/>
      <c r="T126" s="180"/>
      <c r="U126" s="180"/>
      <c r="V126" s="5"/>
      <c r="W126" s="5"/>
      <c r="X126" s="5"/>
      <c r="Y126" s="5"/>
      <c r="AB126" s="5"/>
      <c r="AC126" s="5"/>
      <c r="AD126" s="5"/>
      <c r="AE126" s="5"/>
      <c r="AF126" s="5"/>
      <c r="AG126" s="5"/>
      <c r="AH126" s="5"/>
      <c r="AI126" s="5"/>
      <c r="AJ126" s="5"/>
    </row>
    <row r="127" spans="1:40" ht="15" x14ac:dyDescent="0.25">
      <c r="D127" s="132"/>
      <c r="P127" s="6"/>
      <c r="Q127" s="181" t="str">
        <f>+"DCF With EBIT &amp; EBITDA Terminal Value Model - Discount Rate of "&amp;TEXT(AD128,"0.00%")</f>
        <v>DCF With EBIT &amp; EBITDA Terminal Value Model - Discount Rate of 6.68%</v>
      </c>
      <c r="R127" s="181"/>
      <c r="S127" s="181"/>
      <c r="T127" s="181"/>
      <c r="U127" s="181"/>
      <c r="V127" s="5"/>
      <c r="W127" s="5"/>
      <c r="X127" s="5"/>
      <c r="Y127" s="5"/>
      <c r="AB127" s="5"/>
      <c r="AC127" s="5"/>
      <c r="AD127" s="5"/>
      <c r="AE127" s="5"/>
      <c r="AF127" s="5"/>
      <c r="AG127" s="5"/>
      <c r="AH127" s="5"/>
      <c r="AI127" s="5"/>
      <c r="AJ127" s="5"/>
      <c r="AL127" s="174"/>
      <c r="AM127" s="31"/>
      <c r="AN127" s="31"/>
    </row>
    <row r="128" spans="1:40" ht="15" x14ac:dyDescent="0.25">
      <c r="D128" s="132"/>
      <c r="P128" s="6"/>
      <c r="Q128" s="182"/>
      <c r="R128" s="182"/>
      <c r="S128" s="183"/>
      <c r="T128" s="182"/>
      <c r="U128" s="184" t="s">
        <v>59</v>
      </c>
      <c r="V128" s="5"/>
      <c r="W128" s="5"/>
      <c r="X128" s="5"/>
      <c r="Y128" s="5"/>
      <c r="AB128" s="171">
        <f>+AC66</f>
        <v>6.6799999999999998E-2</v>
      </c>
      <c r="AC128" s="5"/>
      <c r="AD128" s="171">
        <f>+AB128</f>
        <v>6.6799999999999998E-2</v>
      </c>
      <c r="AE128" s="5"/>
      <c r="AF128" s="5"/>
      <c r="AG128" s="5"/>
      <c r="AH128" s="5"/>
      <c r="AI128" s="5"/>
      <c r="AJ128" s="5"/>
    </row>
    <row r="129" spans="4:36" ht="15" x14ac:dyDescent="0.25">
      <c r="D129" s="132"/>
      <c r="P129" s="6"/>
      <c r="Q129" s="182"/>
      <c r="R129" s="182"/>
      <c r="S129" s="183"/>
      <c r="T129" s="185" t="s">
        <v>71</v>
      </c>
      <c r="U129" s="185" t="s">
        <v>60</v>
      </c>
      <c r="V129" s="5"/>
      <c r="W129" s="5"/>
      <c r="X129" s="5"/>
      <c r="Y129" s="5"/>
      <c r="AB129" s="5"/>
      <c r="AC129" s="5"/>
      <c r="AD129" s="5"/>
      <c r="AE129" s="5"/>
      <c r="AF129" s="5"/>
      <c r="AG129" s="5"/>
      <c r="AH129" s="5"/>
      <c r="AI129" s="5"/>
      <c r="AJ129" s="5"/>
    </row>
    <row r="130" spans="4:36" ht="15" x14ac:dyDescent="0.25">
      <c r="D130" s="132"/>
      <c r="P130" s="6"/>
      <c r="Q130" s="182"/>
      <c r="R130" s="182"/>
      <c r="S130" s="183"/>
      <c r="T130" s="182"/>
      <c r="U130" s="182"/>
      <c r="V130" s="5"/>
      <c r="W130" s="5"/>
      <c r="X130" s="5"/>
      <c r="Y130" s="5"/>
      <c r="AB130" s="5"/>
      <c r="AC130" s="5"/>
      <c r="AD130" s="5"/>
      <c r="AE130" s="5"/>
      <c r="AF130" s="5"/>
      <c r="AG130" s="5"/>
      <c r="AH130" s="5"/>
      <c r="AI130" s="5"/>
      <c r="AJ130" s="5"/>
    </row>
    <row r="131" spans="4:36" ht="15" x14ac:dyDescent="0.25">
      <c r="D131" s="132"/>
      <c r="P131" s="6"/>
      <c r="Q131" s="186" t="s">
        <v>61</v>
      </c>
      <c r="R131" s="182"/>
      <c r="S131" s="182">
        <f>+AD132</f>
        <v>134538.38734501507</v>
      </c>
      <c r="T131" s="187">
        <f>+AE132</f>
        <v>14.6</v>
      </c>
      <c r="U131" s="182">
        <f>+T131*S131</f>
        <v>1964260.45523722</v>
      </c>
      <c r="V131" s="5"/>
      <c r="W131" s="5"/>
      <c r="X131" s="5"/>
      <c r="Y131" s="5"/>
      <c r="AB131" s="5"/>
      <c r="AC131" s="5"/>
      <c r="AD131" s="5"/>
      <c r="AE131" s="5"/>
      <c r="AF131" s="5"/>
      <c r="AG131" s="5"/>
      <c r="AH131" s="5"/>
      <c r="AI131" s="5"/>
      <c r="AJ131" s="5"/>
    </row>
    <row r="132" spans="4:36" ht="16.899999999999999" customHeight="1" x14ac:dyDescent="0.25">
      <c r="D132" s="132"/>
      <c r="P132" s="6"/>
      <c r="Q132" s="186" t="s">
        <v>63</v>
      </c>
      <c r="R132" s="182"/>
      <c r="S132" s="188">
        <f>+AD133</f>
        <v>231116.06014501507</v>
      </c>
      <c r="T132" s="187">
        <f>+AE133</f>
        <v>10.1</v>
      </c>
      <c r="U132" s="188">
        <f>+T132*S132</f>
        <v>2334272.2074646521</v>
      </c>
      <c r="V132" s="5"/>
      <c r="W132" s="5"/>
      <c r="X132" s="5"/>
      <c r="Y132" s="5"/>
      <c r="AB132" s="5">
        <f>+AB$52</f>
        <v>161937.49024501507</v>
      </c>
      <c r="AC132" s="5"/>
      <c r="AD132" s="5">
        <f>+AD116</f>
        <v>134538.38734501507</v>
      </c>
      <c r="AE132" s="5">
        <f>+AE$83</f>
        <v>14.6</v>
      </c>
      <c r="AF132" s="5"/>
      <c r="AG132" s="5"/>
      <c r="AH132" s="5"/>
      <c r="AI132" s="5"/>
      <c r="AJ132" s="5"/>
    </row>
    <row r="133" spans="4:36" ht="16.899999999999999" customHeight="1" x14ac:dyDescent="0.25">
      <c r="D133" s="132"/>
      <c r="P133" s="6"/>
      <c r="Q133" s="189" t="s">
        <v>65</v>
      </c>
      <c r="R133" s="182"/>
      <c r="S133" s="183"/>
      <c r="T133" s="182"/>
      <c r="U133" s="188">
        <f>ROUND((0.33*U131)+(0.67*U132),0)</f>
        <v>2212168</v>
      </c>
      <c r="V133" s="5"/>
      <c r="W133" s="5"/>
      <c r="X133" s="5"/>
      <c r="Y133" s="5"/>
      <c r="AB133" s="5"/>
      <c r="AC133" s="5"/>
      <c r="AD133" s="5">
        <f>+AD117</f>
        <v>231116.06014501507</v>
      </c>
      <c r="AE133" s="5">
        <f>+AE$84</f>
        <v>10.1</v>
      </c>
      <c r="AF133" s="5"/>
      <c r="AG133" s="5"/>
      <c r="AH133" s="5"/>
      <c r="AI133" s="5"/>
      <c r="AJ133" s="5"/>
    </row>
    <row r="134" spans="4:36" ht="16.899999999999999" customHeight="1" x14ac:dyDescent="0.25">
      <c r="D134" s="132"/>
      <c r="P134" s="6"/>
      <c r="Q134" s="186" t="str">
        <f>+Q118</f>
        <v>13th Year Present Value Factor (12)</v>
      </c>
      <c r="R134" s="182"/>
      <c r="S134" s="183"/>
      <c r="T134" s="182"/>
      <c r="U134" s="190">
        <f>+U101</f>
        <v>0.36149999999999999</v>
      </c>
      <c r="V134" s="5"/>
      <c r="W134" s="5"/>
      <c r="X134" s="5"/>
      <c r="Y134" s="5"/>
      <c r="AC134" s="5"/>
      <c r="AD134" s="5"/>
      <c r="AE134" s="5"/>
      <c r="AF134" s="5"/>
      <c r="AG134" s="5"/>
      <c r="AH134" s="5"/>
      <c r="AI134" s="5"/>
      <c r="AJ134" s="5"/>
    </row>
    <row r="135" spans="4:36" ht="16.899999999999999" customHeight="1" x14ac:dyDescent="0.25">
      <c r="D135" s="132"/>
      <c r="P135" s="6"/>
      <c r="Q135" s="186" t="s">
        <v>66</v>
      </c>
      <c r="R135" s="186"/>
      <c r="S135" s="183"/>
      <c r="T135" s="188"/>
      <c r="U135" s="188">
        <f>+U134*U133</f>
        <v>799698.73199999996</v>
      </c>
      <c r="V135" s="5"/>
      <c r="W135" s="5"/>
      <c r="X135" s="5"/>
      <c r="Y135" s="5"/>
      <c r="AB135" s="176">
        <f>+Z66</f>
        <v>0.4456</v>
      </c>
      <c r="AC135" s="5"/>
      <c r="AD135" s="177">
        <f>+AB135</f>
        <v>0.4456</v>
      </c>
      <c r="AE135" s="5"/>
      <c r="AF135" s="5"/>
      <c r="AG135" s="5"/>
      <c r="AH135" s="5"/>
      <c r="AI135" s="5"/>
      <c r="AJ135" s="5"/>
    </row>
    <row r="136" spans="4:36" ht="16.899999999999999" customHeight="1" x14ac:dyDescent="0.25">
      <c r="D136" s="132"/>
      <c r="P136" s="6"/>
      <c r="Q136" s="186" t="s">
        <v>67</v>
      </c>
      <c r="R136" s="186"/>
      <c r="S136" s="183"/>
      <c r="T136" s="186"/>
      <c r="U136" s="182"/>
      <c r="V136" s="5"/>
      <c r="W136" s="5"/>
      <c r="X136" s="5"/>
      <c r="Y136" s="5"/>
      <c r="AB136" s="5"/>
      <c r="AC136" s="5"/>
      <c r="AD136" s="5"/>
      <c r="AE136" s="5"/>
      <c r="AF136" s="5"/>
      <c r="AG136" s="5"/>
      <c r="AH136" s="5"/>
      <c r="AI136" s="5"/>
      <c r="AJ136" s="5"/>
    </row>
    <row r="137" spans="4:36" ht="16.899999999999999" customHeight="1" x14ac:dyDescent="0.25">
      <c r="D137" s="132"/>
      <c r="P137" s="6"/>
      <c r="Q137" s="186" t="str">
        <f>+Q$88</f>
        <v>Cash Flow for 13 Years</v>
      </c>
      <c r="R137" s="186"/>
      <c r="S137" s="183"/>
      <c r="T137" s="188"/>
      <c r="U137" s="188">
        <f>+AB138</f>
        <v>985886.49478701071</v>
      </c>
      <c r="V137" s="5"/>
      <c r="W137" s="5"/>
      <c r="X137" s="5"/>
      <c r="Y137" s="5"/>
      <c r="AB137" s="5"/>
      <c r="AC137" s="5"/>
      <c r="AD137" s="5"/>
      <c r="AE137" s="5"/>
      <c r="AF137" s="5"/>
      <c r="AG137" s="5"/>
      <c r="AH137" s="5"/>
      <c r="AI137" s="5"/>
      <c r="AJ137" s="5"/>
    </row>
    <row r="138" spans="4:36" ht="16.899999999999999" customHeight="1" x14ac:dyDescent="0.25">
      <c r="D138" s="132"/>
      <c r="P138" s="6"/>
      <c r="Q138" s="186"/>
      <c r="R138" s="186"/>
      <c r="S138" s="183"/>
      <c r="T138" s="182"/>
      <c r="U138" s="182"/>
      <c r="V138" s="5"/>
      <c r="W138" s="5"/>
      <c r="X138" s="5"/>
      <c r="Y138" s="5"/>
      <c r="AB138" s="5">
        <f>+AB60</f>
        <v>985886.49478701071</v>
      </c>
      <c r="AC138" s="5"/>
      <c r="AD138" s="5">
        <f>+AB138</f>
        <v>985886.49478701071</v>
      </c>
      <c r="AE138" s="5"/>
      <c r="AF138" s="5"/>
      <c r="AG138" s="5"/>
      <c r="AH138" s="5"/>
      <c r="AI138" s="5"/>
      <c r="AJ138" s="5"/>
    </row>
    <row r="139" spans="4:36" ht="16.899999999999999" customHeight="1" x14ac:dyDescent="0.25">
      <c r="D139" s="132"/>
      <c r="P139" s="6"/>
      <c r="Q139" s="186" t="s">
        <v>68</v>
      </c>
      <c r="R139" s="186"/>
      <c r="S139" s="183"/>
      <c r="T139" s="188"/>
      <c r="U139" s="182">
        <f>+U135+U137</f>
        <v>1785585.2267870107</v>
      </c>
      <c r="V139" s="5"/>
      <c r="W139" s="5"/>
      <c r="X139" s="5"/>
      <c r="Y139" s="5"/>
      <c r="AB139" s="5"/>
      <c r="AC139" s="5"/>
      <c r="AD139" s="5"/>
      <c r="AE139" s="5"/>
      <c r="AF139" s="5"/>
      <c r="AG139" s="5"/>
      <c r="AH139" s="5"/>
      <c r="AI139" s="5"/>
      <c r="AJ139" s="5"/>
    </row>
    <row r="140" spans="4:36" ht="16.899999999999999" customHeight="1" x14ac:dyDescent="0.25">
      <c r="D140" s="132"/>
      <c r="P140" s="6"/>
      <c r="Q140" s="182"/>
      <c r="R140" s="182"/>
      <c r="S140" s="183"/>
      <c r="T140" s="182"/>
      <c r="U140" s="182"/>
      <c r="V140" s="5"/>
      <c r="W140" s="5"/>
      <c r="X140" s="5"/>
      <c r="Y140" s="5"/>
      <c r="AB140" s="5"/>
      <c r="AC140" s="5"/>
      <c r="AD140" s="5"/>
      <c r="AE140" s="5"/>
      <c r="AF140" s="5"/>
      <c r="AG140" s="5"/>
      <c r="AH140" s="5"/>
      <c r="AI140" s="5"/>
      <c r="AJ140" s="5"/>
    </row>
    <row r="141" spans="4:36" ht="15" x14ac:dyDescent="0.25">
      <c r="D141" s="132"/>
      <c r="K141" s="32"/>
      <c r="L141" s="32"/>
      <c r="M141" s="19"/>
      <c r="N141" s="6"/>
      <c r="O141" s="32"/>
      <c r="P141" s="6"/>
      <c r="Q141" s="6"/>
      <c r="R141" s="5"/>
      <c r="S141" s="5"/>
      <c r="T141" s="5"/>
      <c r="U141" s="5"/>
      <c r="V141" s="5"/>
      <c r="W141" s="5"/>
      <c r="X141" s="5"/>
      <c r="Y141" s="5"/>
      <c r="AB141" s="5"/>
      <c r="AC141" s="5"/>
      <c r="AD141" s="5"/>
      <c r="AE141" s="5"/>
      <c r="AF141" s="5"/>
      <c r="AG141" s="5"/>
      <c r="AH141" s="5"/>
      <c r="AI141" s="5"/>
      <c r="AJ141" s="5"/>
    </row>
    <row r="142" spans="4:36" ht="15.75" x14ac:dyDescent="0.25">
      <c r="D142" s="132">
        <v>2</v>
      </c>
      <c r="L142" s="27" t="s">
        <v>72</v>
      </c>
      <c r="M142" s="19"/>
      <c r="N142" s="6"/>
      <c r="O142" s="32"/>
      <c r="P142" s="6"/>
      <c r="Q142" s="6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G142" s="5"/>
      <c r="AH142" s="5"/>
      <c r="AI142" s="5"/>
      <c r="AJ142" s="5"/>
    </row>
    <row r="143" spans="4:36" ht="16.5" thickBot="1" x14ac:dyDescent="0.3">
      <c r="D143" s="132">
        <v>2</v>
      </c>
      <c r="G143" s="27"/>
      <c r="L143" s="6"/>
      <c r="M143" s="6"/>
      <c r="N143" s="6"/>
      <c r="O143" s="6"/>
      <c r="P143" s="6"/>
      <c r="Q143" s="6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G143" s="5"/>
      <c r="AH143" s="5"/>
      <c r="AI143" s="5"/>
      <c r="AJ143" s="5"/>
    </row>
    <row r="144" spans="4:36" ht="15.75" thickBot="1" x14ac:dyDescent="0.3">
      <c r="D144" s="132">
        <v>3</v>
      </c>
      <c r="K144" s="34" t="str">
        <f>+"DCF With Capitalization of Terminal Value Model @ "&amp;TEXT(AB145,"0.00%")</f>
        <v>DCF With Capitalization of Terminal Value Model @ 3.84%</v>
      </c>
      <c r="L144" s="35"/>
      <c r="M144" s="35"/>
      <c r="N144" s="35"/>
      <c r="O144" s="36"/>
      <c r="P144" s="6"/>
      <c r="Q144" s="34" t="str">
        <f>+"DCF With EBIT &amp; EBITDA Terminal Value Model - Discount Rate of "&amp;TEXT(AD145,"0.00%")</f>
        <v>DCF With EBIT &amp; EBITDA Terminal Value Model - Discount Rate of 3.84%</v>
      </c>
      <c r="R144" s="35"/>
      <c r="S144" s="35"/>
      <c r="T144" s="35"/>
      <c r="U144" s="36"/>
      <c r="V144" s="5"/>
      <c r="W144" s="5"/>
      <c r="X144" s="5"/>
      <c r="Y144" s="5"/>
      <c r="AB144" s="5"/>
      <c r="AC144" s="5"/>
      <c r="AD144" s="5"/>
      <c r="AE144" s="5"/>
      <c r="AF144" s="5"/>
      <c r="AG144" s="5"/>
      <c r="AH144" s="5"/>
      <c r="AI144" s="5"/>
      <c r="AJ144" s="5"/>
    </row>
    <row r="145" spans="3:36" ht="15" x14ac:dyDescent="0.25">
      <c r="C145" s="168" t="s">
        <v>73</v>
      </c>
      <c r="D145" s="132">
        <v>3</v>
      </c>
      <c r="G145" s="29"/>
      <c r="K145" s="37"/>
      <c r="L145" s="38"/>
      <c r="M145" s="39"/>
      <c r="N145" s="40" t="s">
        <v>59</v>
      </c>
      <c r="O145" s="41"/>
      <c r="Q145" s="37"/>
      <c r="R145" s="38"/>
      <c r="S145" s="39"/>
      <c r="T145" s="38"/>
      <c r="U145" s="42" t="s">
        <v>59</v>
      </c>
      <c r="V145" s="5"/>
      <c r="W145" s="5"/>
      <c r="X145" s="5"/>
      <c r="Y145" s="5"/>
      <c r="AB145" s="171">
        <f>+AC70</f>
        <v>3.8399999999999997E-2</v>
      </c>
      <c r="AC145" s="5"/>
      <c r="AD145" s="171">
        <f>+AB145</f>
        <v>3.8399999999999997E-2</v>
      </c>
      <c r="AE145" s="5"/>
      <c r="AF145" s="5"/>
      <c r="AG145" s="5"/>
      <c r="AH145" s="5"/>
      <c r="AI145" s="5"/>
      <c r="AJ145" s="5"/>
    </row>
    <row r="146" spans="3:36" ht="15" x14ac:dyDescent="0.25">
      <c r="D146" s="132">
        <v>3</v>
      </c>
      <c r="K146" s="43"/>
      <c r="L146" s="32"/>
      <c r="M146" s="19"/>
      <c r="N146" s="44" t="s">
        <v>60</v>
      </c>
      <c r="O146" s="45"/>
      <c r="Q146" s="43"/>
      <c r="R146" s="32"/>
      <c r="S146" s="19"/>
      <c r="T146" s="44" t="str">
        <f>+T96</f>
        <v>Multiples (13)</v>
      </c>
      <c r="U146" s="46" t="s">
        <v>60</v>
      </c>
      <c r="V146" s="5"/>
      <c r="W146" s="5"/>
      <c r="X146" s="5"/>
      <c r="Y146" s="5"/>
      <c r="AB146" s="5"/>
      <c r="AC146" s="5"/>
      <c r="AD146" s="5"/>
      <c r="AE146" s="5"/>
      <c r="AF146" s="5"/>
      <c r="AG146" s="5"/>
      <c r="AH146" s="5"/>
      <c r="AI146" s="5"/>
      <c r="AJ146" s="5"/>
    </row>
    <row r="147" spans="3:36" ht="15" x14ac:dyDescent="0.25">
      <c r="D147" s="132">
        <v>3</v>
      </c>
      <c r="K147" s="43"/>
      <c r="L147" s="32"/>
      <c r="M147" s="19"/>
      <c r="N147" s="32"/>
      <c r="O147" s="45"/>
      <c r="Q147" s="43"/>
      <c r="R147" s="32"/>
      <c r="S147" s="19"/>
      <c r="T147" s="32"/>
      <c r="U147" s="47"/>
      <c r="V147" s="5"/>
      <c r="W147" s="5"/>
      <c r="X147" s="5"/>
      <c r="Y147" s="5"/>
      <c r="AB147" s="5"/>
      <c r="AC147" s="5"/>
      <c r="AD147" s="5"/>
      <c r="AE147" s="5"/>
      <c r="AF147" s="5"/>
      <c r="AG147" s="5"/>
      <c r="AH147" s="5"/>
      <c r="AI147" s="5"/>
      <c r="AJ147" s="5"/>
    </row>
    <row r="148" spans="3:36" ht="15" x14ac:dyDescent="0.25">
      <c r="D148" s="132">
        <v>3</v>
      </c>
      <c r="K148" s="48" t="str">
        <f t="shared" ref="K148:K154" si="60">+K115</f>
        <v>Projected Debt Free Net Cash Flow (10)</v>
      </c>
      <c r="L148" s="32"/>
      <c r="M148" s="32"/>
      <c r="N148" s="32">
        <f>+AB149</f>
        <v>161937.49024501507</v>
      </c>
      <c r="O148" s="45"/>
      <c r="Q148" s="49" t="s">
        <v>61</v>
      </c>
      <c r="R148" s="32"/>
      <c r="S148" s="32">
        <f>+AD149</f>
        <v>134538.38734501507</v>
      </c>
      <c r="T148" s="50">
        <f>+AE149</f>
        <v>14.6</v>
      </c>
      <c r="U148" s="47">
        <f>+T148*S148</f>
        <v>1964260.45523722</v>
      </c>
      <c r="V148" s="5"/>
      <c r="W148" s="5"/>
      <c r="X148" s="5"/>
      <c r="Y148" s="5"/>
      <c r="AB148" s="5"/>
      <c r="AC148" s="5"/>
      <c r="AD148" s="5"/>
      <c r="AE148" s="5"/>
      <c r="AF148" s="5"/>
      <c r="AG148" s="5"/>
      <c r="AH148" s="5"/>
      <c r="AI148" s="5"/>
      <c r="AJ148" s="5"/>
    </row>
    <row r="149" spans="3:36" ht="16.899999999999999" customHeight="1" x14ac:dyDescent="0.25">
      <c r="D149" s="132">
        <v>3</v>
      </c>
      <c r="K149" s="48" t="str">
        <f t="shared" si="60"/>
        <v>Divided by Capitalization Factor (8)</v>
      </c>
      <c r="L149" s="32"/>
      <c r="M149" s="33"/>
      <c r="N149" s="51">
        <f>+AB145</f>
        <v>3.8399999999999997E-2</v>
      </c>
      <c r="O149" s="45"/>
      <c r="Q149" s="49" t="s">
        <v>63</v>
      </c>
      <c r="R149" s="32"/>
      <c r="S149" s="33">
        <f>+AD150</f>
        <v>231116.06014501507</v>
      </c>
      <c r="T149" s="50">
        <f>+AE150</f>
        <v>10.1</v>
      </c>
      <c r="U149" s="52">
        <f>+T149*S149</f>
        <v>2334272.2074646521</v>
      </c>
      <c r="V149" s="5"/>
      <c r="W149" s="5"/>
      <c r="X149" s="5"/>
      <c r="Y149" s="5"/>
      <c r="AB149" s="5">
        <f>+AB$52</f>
        <v>161937.49024501507</v>
      </c>
      <c r="AC149" s="5"/>
      <c r="AD149" s="5">
        <f>+Z$42</f>
        <v>134538.38734501507</v>
      </c>
      <c r="AE149" s="5">
        <f>+AE$83</f>
        <v>14.6</v>
      </c>
      <c r="AF149" s="5"/>
      <c r="AG149" s="5"/>
      <c r="AH149" s="5"/>
      <c r="AI149" s="5"/>
      <c r="AJ149" s="5"/>
    </row>
    <row r="150" spans="3:36" ht="16.899999999999999" customHeight="1" x14ac:dyDescent="0.25">
      <c r="D150" s="132">
        <v>3</v>
      </c>
      <c r="K150" s="48" t="str">
        <f t="shared" si="60"/>
        <v>13th Year Terminal Value</v>
      </c>
      <c r="L150" s="32"/>
      <c r="M150" s="19"/>
      <c r="N150" s="33">
        <f>+N148/N149</f>
        <v>4217122.1417972678</v>
      </c>
      <c r="O150" s="45"/>
      <c r="Q150" s="53" t="s">
        <v>65</v>
      </c>
      <c r="R150" s="32"/>
      <c r="S150" s="19"/>
      <c r="T150" s="32"/>
      <c r="U150" s="54">
        <f>ROUND((0.33*U148)+(0.67*U149),0)</f>
        <v>2212168</v>
      </c>
      <c r="V150" s="5"/>
      <c r="W150" s="5"/>
      <c r="X150" s="5"/>
      <c r="Y150" s="5"/>
      <c r="AB150" s="5"/>
      <c r="AC150" s="5"/>
      <c r="AD150" s="5">
        <f>+Z$41</f>
        <v>231116.06014501507</v>
      </c>
      <c r="AE150" s="5">
        <f>+AE$84</f>
        <v>10.1</v>
      </c>
      <c r="AF150" s="5"/>
      <c r="AG150" s="5"/>
      <c r="AH150" s="5"/>
      <c r="AI150" s="5"/>
      <c r="AJ150" s="5"/>
    </row>
    <row r="151" spans="3:36" ht="16.899999999999999" customHeight="1" x14ac:dyDescent="0.25">
      <c r="D151" s="132">
        <v>3</v>
      </c>
      <c r="K151" s="48" t="str">
        <f t="shared" si="60"/>
        <v>13th Year Present Value Factor (11)</v>
      </c>
      <c r="L151" s="32"/>
      <c r="M151" s="19"/>
      <c r="N151" s="55">
        <f>+AB152</f>
        <v>0.62439999999999996</v>
      </c>
      <c r="O151" s="45"/>
      <c r="Q151" s="49" t="str">
        <f>+K151</f>
        <v>13th Year Present Value Factor (11)</v>
      </c>
      <c r="R151" s="32"/>
      <c r="S151" s="19"/>
      <c r="T151" s="32"/>
      <c r="U151" s="56">
        <f>+AD152</f>
        <v>0.62439999999999996</v>
      </c>
      <c r="V151" s="5"/>
      <c r="W151" s="5"/>
      <c r="X151" s="5"/>
      <c r="Y151" s="5"/>
      <c r="AC151" s="5"/>
      <c r="AD151" s="5"/>
      <c r="AE151" s="5"/>
      <c r="AF151" s="5"/>
      <c r="AG151" s="5"/>
      <c r="AH151" s="5"/>
      <c r="AI151" s="5"/>
      <c r="AJ151" s="5"/>
    </row>
    <row r="152" spans="3:36" ht="16.899999999999999" customHeight="1" x14ac:dyDescent="0.25">
      <c r="D152" s="132">
        <v>3</v>
      </c>
      <c r="K152" s="48" t="str">
        <f t="shared" si="60"/>
        <v>Present Value of Terminal Value</v>
      </c>
      <c r="L152" s="57"/>
      <c r="M152" s="19"/>
      <c r="N152" s="58">
        <f>+N151*N150</f>
        <v>2633171.0653382139</v>
      </c>
      <c r="O152" s="45"/>
      <c r="Q152" s="49" t="s">
        <v>66</v>
      </c>
      <c r="R152" s="57"/>
      <c r="S152" s="19"/>
      <c r="T152" s="33"/>
      <c r="U152" s="59">
        <f>+U151*U150</f>
        <v>1381277.6991999999</v>
      </c>
      <c r="V152" s="5"/>
      <c r="W152" s="5"/>
      <c r="X152" s="5"/>
      <c r="Y152" s="5"/>
      <c r="AA152" s="2" t="s">
        <v>74</v>
      </c>
      <c r="AB152" s="176">
        <f>+Z70</f>
        <v>0.62439999999999996</v>
      </c>
      <c r="AC152" s="5"/>
      <c r="AD152" s="177">
        <f>+AB152</f>
        <v>0.62439999999999996</v>
      </c>
      <c r="AE152" s="5"/>
      <c r="AF152" s="5"/>
      <c r="AG152" s="5"/>
      <c r="AH152" s="5"/>
      <c r="AI152" s="5"/>
      <c r="AJ152" s="5"/>
    </row>
    <row r="153" spans="3:36" ht="16.899999999999999" customHeight="1" x14ac:dyDescent="0.25">
      <c r="D153" s="132">
        <v>3</v>
      </c>
      <c r="K153" s="48" t="str">
        <f t="shared" si="60"/>
        <v>Present Value Debt Free Net</v>
      </c>
      <c r="L153" s="57"/>
      <c r="M153" s="19"/>
      <c r="N153" s="32"/>
      <c r="O153" s="45"/>
      <c r="Q153" s="49" t="s">
        <v>67</v>
      </c>
      <c r="R153" s="57"/>
      <c r="S153" s="19"/>
      <c r="T153" s="57"/>
      <c r="U153" s="47"/>
      <c r="V153" s="5"/>
      <c r="W153" s="5"/>
      <c r="X153" s="5"/>
      <c r="Y153" s="5"/>
      <c r="AB153" s="5"/>
      <c r="AC153" s="5"/>
      <c r="AD153" s="5"/>
      <c r="AE153" s="5"/>
      <c r="AF153" s="5"/>
      <c r="AG153" s="5"/>
      <c r="AH153" s="5"/>
      <c r="AI153" s="5"/>
      <c r="AJ153" s="5"/>
    </row>
    <row r="154" spans="3:36" ht="16.899999999999999" customHeight="1" x14ac:dyDescent="0.25">
      <c r="D154" s="132">
        <v>3</v>
      </c>
      <c r="K154" s="48" t="str">
        <f t="shared" si="60"/>
        <v>Cash Flow for 13 Years</v>
      </c>
      <c r="L154" s="57"/>
      <c r="M154" s="19"/>
      <c r="N154" s="60">
        <f>+AB155</f>
        <v>1345438.4253284438</v>
      </c>
      <c r="O154" s="45"/>
      <c r="Q154" s="49" t="str">
        <f>+Q$88</f>
        <v>Cash Flow for 13 Years</v>
      </c>
      <c r="R154" s="57"/>
      <c r="S154" s="19"/>
      <c r="T154" s="33"/>
      <c r="U154" s="52">
        <f>+AD155</f>
        <v>1345438.4253284438</v>
      </c>
      <c r="V154" s="5"/>
      <c r="W154" s="5"/>
      <c r="X154" s="5"/>
      <c r="Y154" s="5"/>
      <c r="AB154" s="5"/>
      <c r="AC154" s="5"/>
      <c r="AD154" s="5"/>
      <c r="AE154" s="5"/>
      <c r="AF154" s="5"/>
      <c r="AG154" s="5"/>
      <c r="AH154" s="5"/>
    </row>
    <row r="155" spans="3:36" ht="16.899999999999999" customHeight="1" x14ac:dyDescent="0.25">
      <c r="D155" s="132">
        <v>3</v>
      </c>
      <c r="K155" s="48"/>
      <c r="L155" s="57"/>
      <c r="M155" s="19"/>
      <c r="N155" s="32"/>
      <c r="O155" s="45"/>
      <c r="Q155" s="49"/>
      <c r="R155" s="57"/>
      <c r="S155" s="19"/>
      <c r="T155" s="32"/>
      <c r="U155" s="47"/>
      <c r="V155" s="5"/>
      <c r="W155" s="5"/>
      <c r="X155" s="5"/>
      <c r="Y155" s="5"/>
      <c r="AB155" s="5">
        <f>+AB72</f>
        <v>1345438.4253284438</v>
      </c>
      <c r="AC155" s="5"/>
      <c r="AD155" s="5">
        <f>+AB155</f>
        <v>1345438.4253284438</v>
      </c>
      <c r="AE155" s="5"/>
      <c r="AF155" s="5"/>
      <c r="AG155" s="5"/>
      <c r="AH155" s="5"/>
    </row>
    <row r="156" spans="3:36" ht="16.899999999999999" customHeight="1" thickBot="1" x14ac:dyDescent="0.3">
      <c r="D156" s="132">
        <v>3</v>
      </c>
      <c r="K156" s="48" t="s">
        <v>68</v>
      </c>
      <c r="L156" s="57"/>
      <c r="M156" s="19"/>
      <c r="N156" s="20">
        <f>+N152+N154</f>
        <v>3978609.4906666577</v>
      </c>
      <c r="O156" s="45"/>
      <c r="Q156" s="49" t="s">
        <v>68</v>
      </c>
      <c r="R156" s="57"/>
      <c r="S156" s="19"/>
      <c r="T156" s="33"/>
      <c r="U156" s="61">
        <f>+U152+U154</f>
        <v>2726716.1245284434</v>
      </c>
      <c r="V156" s="5"/>
      <c r="W156" s="5"/>
      <c r="X156" s="5"/>
      <c r="Y156" s="5"/>
      <c r="AB156" s="5"/>
      <c r="AC156" s="5"/>
      <c r="AD156" s="5"/>
      <c r="AE156" s="5"/>
      <c r="AF156" s="5"/>
      <c r="AG156" s="5"/>
      <c r="AH156" s="5"/>
    </row>
    <row r="157" spans="3:36" ht="16.899999999999999" customHeight="1" thickTop="1" thickBot="1" x14ac:dyDescent="0.3">
      <c r="D157" s="132">
        <v>3</v>
      </c>
      <c r="K157" s="62"/>
      <c r="L157" s="63"/>
      <c r="M157" s="64"/>
      <c r="N157" s="63"/>
      <c r="O157" s="65"/>
      <c r="Q157" s="62"/>
      <c r="R157" s="63"/>
      <c r="S157" s="64"/>
      <c r="T157" s="63"/>
      <c r="U157" s="65"/>
      <c r="V157" s="5"/>
      <c r="W157" s="5"/>
      <c r="X157" s="5"/>
      <c r="Y157" s="5"/>
      <c r="AB157" s="5"/>
      <c r="AC157" s="5"/>
      <c r="AD157" s="5"/>
      <c r="AE157" s="5"/>
      <c r="AF157" s="5"/>
      <c r="AG157" s="5"/>
      <c r="AH157" s="5"/>
    </row>
    <row r="158" spans="3:36" ht="15" x14ac:dyDescent="0.25">
      <c r="D158" s="132">
        <v>3</v>
      </c>
      <c r="K158" s="6"/>
      <c r="L158" s="5"/>
      <c r="M158" s="5"/>
      <c r="N158" s="5"/>
      <c r="O158" s="5"/>
      <c r="P158" s="6"/>
      <c r="Q158" s="6"/>
      <c r="R158" s="5"/>
      <c r="S158" s="5"/>
      <c r="T158" s="5"/>
      <c r="U158" s="5"/>
      <c r="V158" s="5"/>
      <c r="W158" s="5"/>
      <c r="X158" s="5"/>
      <c r="Y158" s="5"/>
      <c r="AB158" s="5"/>
      <c r="AC158" s="5"/>
      <c r="AD158" s="5"/>
      <c r="AE158" s="5"/>
      <c r="AF158" s="5"/>
      <c r="AG158" s="5"/>
      <c r="AH158" s="5"/>
    </row>
    <row r="159" spans="3:36" ht="15.75" thickBot="1" x14ac:dyDescent="0.3">
      <c r="D159" s="132">
        <v>3</v>
      </c>
      <c r="K159" s="6"/>
      <c r="L159" s="5"/>
      <c r="M159" s="5"/>
      <c r="N159" s="5"/>
      <c r="O159" s="5"/>
      <c r="P159" s="6"/>
      <c r="Q159" s="6"/>
      <c r="R159" s="5"/>
      <c r="S159" s="5"/>
      <c r="T159" s="5"/>
      <c r="U159" s="5"/>
      <c r="V159" s="5"/>
      <c r="W159" s="5"/>
      <c r="X159" s="5"/>
      <c r="Y159" s="5"/>
      <c r="AB159" s="5"/>
      <c r="AC159" s="5"/>
      <c r="AD159" s="5"/>
      <c r="AE159" s="5"/>
      <c r="AF159" s="5"/>
      <c r="AG159" s="5"/>
      <c r="AH159" s="5"/>
    </row>
    <row r="160" spans="3:36" ht="15.75" thickBot="1" x14ac:dyDescent="0.3">
      <c r="D160" s="132">
        <v>3</v>
      </c>
      <c r="K160" s="34" t="str">
        <f>+"DCF With Capitalization of Terminal Value Model @ "&amp;TEXT(AB161,"0.00%")</f>
        <v>DCF With Capitalization of Terminal Value Model @ 2.04%</v>
      </c>
      <c r="L160" s="35"/>
      <c r="M160" s="35"/>
      <c r="N160" s="35"/>
      <c r="O160" s="36"/>
      <c r="P160" s="6"/>
      <c r="Q160" s="34" t="str">
        <f>+"DCF With EBIT &amp; EBITDA Terminal Value Model - Discount Rate of "&amp;TEXT(AD161,"0.00%")</f>
        <v>DCF With EBIT &amp; EBITDA Terminal Value Model - Discount Rate of 2.04%</v>
      </c>
      <c r="R160" s="35"/>
      <c r="S160" s="35"/>
      <c r="T160" s="35"/>
      <c r="U160" s="36"/>
      <c r="V160" s="5"/>
      <c r="W160" s="5"/>
      <c r="X160" s="5"/>
      <c r="Y160" s="5"/>
      <c r="AB160" s="5"/>
      <c r="AC160" s="5"/>
      <c r="AD160" s="5"/>
      <c r="AE160" s="5"/>
      <c r="AF160" s="5"/>
      <c r="AG160" s="5"/>
      <c r="AH160" s="5"/>
    </row>
    <row r="161" spans="3:34" ht="15" x14ac:dyDescent="0.25">
      <c r="C161" s="168" t="s">
        <v>75</v>
      </c>
      <c r="D161" s="132">
        <v>3</v>
      </c>
      <c r="K161" s="37"/>
      <c r="L161" s="38"/>
      <c r="M161" s="39"/>
      <c r="N161" s="40" t="s">
        <v>59</v>
      </c>
      <c r="O161" s="41"/>
      <c r="P161" s="6"/>
      <c r="Q161" s="37"/>
      <c r="R161" s="38"/>
      <c r="S161" s="39"/>
      <c r="T161" s="38"/>
      <c r="U161" s="42" t="s">
        <v>59</v>
      </c>
      <c r="V161" s="5"/>
      <c r="W161" s="5"/>
      <c r="X161" s="5"/>
      <c r="Y161" s="5"/>
      <c r="AB161" s="171">
        <f>+AC74</f>
        <v>2.0399999999999998E-2</v>
      </c>
      <c r="AC161" s="5"/>
      <c r="AD161" s="171">
        <f>+AB161</f>
        <v>2.0399999999999998E-2</v>
      </c>
      <c r="AE161" s="5"/>
      <c r="AF161" s="5"/>
      <c r="AG161" s="5"/>
      <c r="AH161" s="5"/>
    </row>
    <row r="162" spans="3:34" ht="15" x14ac:dyDescent="0.25">
      <c r="D162" s="132">
        <v>3</v>
      </c>
      <c r="K162" s="43"/>
      <c r="L162" s="32"/>
      <c r="M162" s="19"/>
      <c r="N162" s="44" t="s">
        <v>60</v>
      </c>
      <c r="O162" s="45"/>
      <c r="P162" s="6"/>
      <c r="Q162" s="43"/>
      <c r="R162" s="32"/>
      <c r="S162" s="19"/>
      <c r="T162" s="44" t="str">
        <f>+T146</f>
        <v>Multiples (13)</v>
      </c>
      <c r="U162" s="46" t="s">
        <v>60</v>
      </c>
      <c r="V162" s="5"/>
      <c r="W162" s="5"/>
      <c r="X162" s="5"/>
      <c r="Y162" s="5"/>
      <c r="AB162" s="5"/>
      <c r="AC162" s="5"/>
      <c r="AD162" s="5"/>
      <c r="AE162" s="5"/>
      <c r="AF162" s="5"/>
      <c r="AG162" s="5"/>
      <c r="AH162" s="5"/>
    </row>
    <row r="163" spans="3:34" ht="15" x14ac:dyDescent="0.25">
      <c r="D163" s="132">
        <v>3</v>
      </c>
      <c r="K163" s="43"/>
      <c r="L163" s="32"/>
      <c r="M163" s="19"/>
      <c r="N163" s="32"/>
      <c r="O163" s="45"/>
      <c r="P163" s="6"/>
      <c r="Q163" s="43"/>
      <c r="R163" s="32"/>
      <c r="S163" s="19"/>
      <c r="T163" s="32"/>
      <c r="U163" s="47"/>
      <c r="V163" s="5"/>
      <c r="W163" s="5"/>
      <c r="X163" s="5"/>
      <c r="Y163" s="5"/>
      <c r="AB163" s="5"/>
      <c r="AC163" s="5"/>
      <c r="AD163" s="5"/>
      <c r="AE163" s="5"/>
      <c r="AF163" s="5"/>
      <c r="AG163" s="5"/>
      <c r="AH163" s="5"/>
    </row>
    <row r="164" spans="3:34" ht="15" x14ac:dyDescent="0.25">
      <c r="D164" s="132">
        <v>3</v>
      </c>
      <c r="K164" s="48" t="str">
        <f t="shared" ref="K164:K170" si="61">+Q115</f>
        <v>Projected Debt Free Net Cash Flow (10)</v>
      </c>
      <c r="L164" s="32"/>
      <c r="M164" s="32"/>
      <c r="N164" s="32">
        <f>+AB165</f>
        <v>161937.49024501507</v>
      </c>
      <c r="O164" s="45"/>
      <c r="P164" s="6"/>
      <c r="Q164" s="49" t="s">
        <v>61</v>
      </c>
      <c r="R164" s="32"/>
      <c r="S164" s="32">
        <f>+AD165</f>
        <v>134538.38734501507</v>
      </c>
      <c r="T164" s="50">
        <f>+AE165</f>
        <v>14.6</v>
      </c>
      <c r="U164" s="47">
        <f>+T164*S164</f>
        <v>1964260.45523722</v>
      </c>
      <c r="V164" s="5"/>
      <c r="W164" s="5"/>
      <c r="X164" s="5"/>
      <c r="Y164" s="5"/>
      <c r="AB164" s="5"/>
      <c r="AC164" s="5"/>
      <c r="AD164" s="5"/>
      <c r="AE164" s="5"/>
      <c r="AF164" s="5"/>
      <c r="AG164" s="5"/>
      <c r="AH164" s="5"/>
    </row>
    <row r="165" spans="3:34" ht="16.899999999999999" customHeight="1" x14ac:dyDescent="0.25">
      <c r="D165" s="132">
        <v>3</v>
      </c>
      <c r="K165" s="48" t="str">
        <f t="shared" si="61"/>
        <v>Divided by Capitalization Factor (9)</v>
      </c>
      <c r="L165" s="32"/>
      <c r="M165" s="33"/>
      <c r="N165" s="51">
        <f>+AB161</f>
        <v>2.0399999999999998E-2</v>
      </c>
      <c r="O165" s="45"/>
      <c r="P165" s="6"/>
      <c r="Q165" s="49" t="s">
        <v>63</v>
      </c>
      <c r="R165" s="32"/>
      <c r="S165" s="33">
        <f>+AD166</f>
        <v>231116.06014501507</v>
      </c>
      <c r="T165" s="50">
        <f>+AE166</f>
        <v>10.1</v>
      </c>
      <c r="U165" s="52">
        <f>+T165*S165</f>
        <v>2334272.2074646521</v>
      </c>
      <c r="V165" s="5"/>
      <c r="W165" s="5"/>
      <c r="X165" s="5"/>
      <c r="Y165" s="5"/>
      <c r="AB165" s="5">
        <f>+AB$52</f>
        <v>161937.49024501507</v>
      </c>
      <c r="AC165" s="5"/>
      <c r="AD165" s="5">
        <f>+AD149</f>
        <v>134538.38734501507</v>
      </c>
      <c r="AE165" s="5">
        <f>+AE$83</f>
        <v>14.6</v>
      </c>
      <c r="AF165" s="5"/>
      <c r="AG165" s="5"/>
      <c r="AH165" s="5"/>
    </row>
    <row r="166" spans="3:34" ht="16.899999999999999" customHeight="1" x14ac:dyDescent="0.25">
      <c r="D166" s="132">
        <v>3</v>
      </c>
      <c r="K166" s="48" t="str">
        <f t="shared" si="61"/>
        <v>13th Year Terminal Value</v>
      </c>
      <c r="L166" s="32"/>
      <c r="M166" s="19"/>
      <c r="N166" s="33">
        <f>+N164/N165</f>
        <v>7938112.2669125041</v>
      </c>
      <c r="O166" s="45"/>
      <c r="P166" s="6"/>
      <c r="Q166" s="53" t="s">
        <v>65</v>
      </c>
      <c r="R166" s="32"/>
      <c r="S166" s="19"/>
      <c r="T166" s="32"/>
      <c r="U166" s="54">
        <f>ROUND((0.33*U164)+(0.67*U165),0)</f>
        <v>2212168</v>
      </c>
      <c r="V166" s="5"/>
      <c r="W166" s="5"/>
      <c r="X166" s="5"/>
      <c r="Y166" s="5"/>
      <c r="AB166" s="5"/>
      <c r="AC166" s="5"/>
      <c r="AD166" s="5">
        <f>+AD150</f>
        <v>231116.06014501507</v>
      </c>
      <c r="AE166" s="5">
        <f>+AE$84</f>
        <v>10.1</v>
      </c>
      <c r="AF166" s="5"/>
      <c r="AG166" s="5"/>
      <c r="AH166" s="5"/>
    </row>
    <row r="167" spans="3:34" ht="16.899999999999999" customHeight="1" x14ac:dyDescent="0.25">
      <c r="D167" s="132">
        <v>3</v>
      </c>
      <c r="K167" s="48" t="str">
        <f t="shared" si="61"/>
        <v>13th Year Present Value Factor (12)</v>
      </c>
      <c r="L167" s="32"/>
      <c r="M167" s="19"/>
      <c r="N167" s="55">
        <f>+N151</f>
        <v>0.62439999999999996</v>
      </c>
      <c r="O167" s="45"/>
      <c r="P167" s="6"/>
      <c r="Q167" s="49" t="str">
        <f>+K167</f>
        <v>13th Year Present Value Factor (12)</v>
      </c>
      <c r="R167" s="32"/>
      <c r="S167" s="19"/>
      <c r="T167" s="32"/>
      <c r="U167" s="56">
        <f>+AD168</f>
        <v>0.62439999999999996</v>
      </c>
      <c r="V167" s="5"/>
      <c r="W167" s="5"/>
      <c r="X167" s="5"/>
      <c r="Y167" s="5"/>
      <c r="AC167" s="5"/>
      <c r="AD167" s="5"/>
      <c r="AE167" s="5"/>
      <c r="AF167" s="5"/>
      <c r="AG167" s="5"/>
      <c r="AH167" s="5"/>
    </row>
    <row r="168" spans="3:34" ht="16.899999999999999" customHeight="1" x14ac:dyDescent="0.25">
      <c r="D168" s="132">
        <v>3</v>
      </c>
      <c r="K168" s="48" t="str">
        <f t="shared" si="61"/>
        <v>Present Value of Terminal Value</v>
      </c>
      <c r="L168" s="57"/>
      <c r="M168" s="19"/>
      <c r="N168" s="58">
        <f>+N167*N166</f>
        <v>4956557.2994601671</v>
      </c>
      <c r="O168" s="45"/>
      <c r="P168" s="6"/>
      <c r="Q168" s="49" t="s">
        <v>66</v>
      </c>
      <c r="R168" s="57"/>
      <c r="S168" s="19"/>
      <c r="T168" s="33"/>
      <c r="U168" s="59">
        <f>+U167*U166</f>
        <v>1381277.6991999999</v>
      </c>
      <c r="V168" s="5"/>
      <c r="W168" s="5"/>
      <c r="X168" s="5"/>
      <c r="Y168" s="5"/>
      <c r="AB168" s="176">
        <f>+Z70</f>
        <v>0.62439999999999996</v>
      </c>
      <c r="AC168" s="5"/>
      <c r="AD168" s="177">
        <f>+AB168</f>
        <v>0.62439999999999996</v>
      </c>
      <c r="AE168" s="5"/>
      <c r="AF168" s="5"/>
      <c r="AG168" s="5"/>
      <c r="AH168" s="5"/>
    </row>
    <row r="169" spans="3:34" ht="16.899999999999999" customHeight="1" x14ac:dyDescent="0.25">
      <c r="D169" s="132">
        <v>3</v>
      </c>
      <c r="K169" s="48" t="str">
        <f t="shared" si="61"/>
        <v>Present Value Debt Free Net</v>
      </c>
      <c r="L169" s="57"/>
      <c r="M169" s="19"/>
      <c r="N169" s="32"/>
      <c r="O169" s="45"/>
      <c r="P169" s="6"/>
      <c r="Q169" s="49" t="s">
        <v>67</v>
      </c>
      <c r="R169" s="57"/>
      <c r="S169" s="19"/>
      <c r="T169" s="57"/>
      <c r="U169" s="47"/>
      <c r="V169" s="5"/>
      <c r="W169" s="5"/>
      <c r="X169" s="5"/>
      <c r="Y169" s="5"/>
      <c r="AB169" s="5"/>
      <c r="AC169" s="5"/>
      <c r="AD169" s="5"/>
      <c r="AE169" s="5"/>
      <c r="AF169" s="5"/>
      <c r="AG169" s="5"/>
      <c r="AH169" s="5"/>
    </row>
    <row r="170" spans="3:34" ht="16.899999999999999" customHeight="1" x14ac:dyDescent="0.25">
      <c r="D170" s="132">
        <v>3</v>
      </c>
      <c r="K170" s="48" t="str">
        <f t="shared" si="61"/>
        <v>Cash Flow for 13 Years</v>
      </c>
      <c r="L170" s="57"/>
      <c r="M170" s="19"/>
      <c r="N170" s="60">
        <f>+AB171</f>
        <v>1345438.4253284438</v>
      </c>
      <c r="O170" s="45"/>
      <c r="P170" s="6"/>
      <c r="Q170" s="49" t="str">
        <f>+Q$88</f>
        <v>Cash Flow for 13 Years</v>
      </c>
      <c r="R170" s="57"/>
      <c r="S170" s="19"/>
      <c r="T170" s="33"/>
      <c r="U170" s="52">
        <f>+AD171</f>
        <v>1345438.4253284438</v>
      </c>
      <c r="V170" s="5"/>
      <c r="W170" s="5"/>
      <c r="X170" s="5"/>
      <c r="Y170" s="5"/>
      <c r="AB170" s="5"/>
      <c r="AC170" s="5"/>
      <c r="AD170" s="5"/>
      <c r="AE170" s="5"/>
      <c r="AF170" s="5"/>
      <c r="AG170" s="5"/>
      <c r="AH170" s="5"/>
    </row>
    <row r="171" spans="3:34" ht="16.899999999999999" customHeight="1" x14ac:dyDescent="0.25">
      <c r="D171" s="132">
        <v>3</v>
      </c>
      <c r="K171" s="48"/>
      <c r="L171" s="57"/>
      <c r="M171" s="19"/>
      <c r="N171" s="32"/>
      <c r="O171" s="45"/>
      <c r="P171" s="6"/>
      <c r="Q171" s="49"/>
      <c r="R171" s="57"/>
      <c r="S171" s="19"/>
      <c r="T171" s="32"/>
      <c r="U171" s="47"/>
      <c r="V171" s="5"/>
      <c r="W171" s="5"/>
      <c r="X171" s="5"/>
      <c r="Y171" s="5"/>
      <c r="AB171" s="5">
        <f>+AB72</f>
        <v>1345438.4253284438</v>
      </c>
      <c r="AC171" s="5"/>
      <c r="AD171" s="5">
        <f>+AB171</f>
        <v>1345438.4253284438</v>
      </c>
      <c r="AE171" s="5"/>
      <c r="AF171" s="5"/>
      <c r="AG171" s="5"/>
      <c r="AH171" s="5"/>
    </row>
    <row r="172" spans="3:34" ht="16.899999999999999" customHeight="1" thickBot="1" x14ac:dyDescent="0.3">
      <c r="D172" s="132">
        <v>3</v>
      </c>
      <c r="K172" s="48" t="s">
        <v>68</v>
      </c>
      <c r="L172" s="57"/>
      <c r="M172" s="19"/>
      <c r="N172" s="20">
        <f>+N168+N170</f>
        <v>6301995.7247886108</v>
      </c>
      <c r="O172" s="45"/>
      <c r="P172" s="6"/>
      <c r="Q172" s="49" t="s">
        <v>68</v>
      </c>
      <c r="R172" s="57"/>
      <c r="S172" s="19"/>
      <c r="T172" s="33"/>
      <c r="U172" s="61">
        <f>+U168+U170</f>
        <v>2726716.1245284434</v>
      </c>
      <c r="V172" s="5"/>
      <c r="W172" s="5"/>
      <c r="X172" s="5"/>
      <c r="Y172" s="5"/>
      <c r="AB172" s="5"/>
      <c r="AC172" s="5"/>
      <c r="AD172" s="5"/>
      <c r="AE172" s="5"/>
      <c r="AF172" s="5"/>
      <c r="AG172" s="5"/>
      <c r="AH172" s="5"/>
    </row>
    <row r="173" spans="3:34" ht="16.899999999999999" customHeight="1" thickTop="1" thickBot="1" x14ac:dyDescent="0.3">
      <c r="D173" s="132">
        <v>3</v>
      </c>
      <c r="K173" s="62"/>
      <c r="L173" s="63"/>
      <c r="M173" s="64"/>
      <c r="N173" s="63"/>
      <c r="O173" s="65"/>
      <c r="P173" s="6"/>
      <c r="Q173" s="62"/>
      <c r="R173" s="63"/>
      <c r="S173" s="64"/>
      <c r="T173" s="63"/>
      <c r="U173" s="65"/>
      <c r="V173" s="5"/>
      <c r="W173" s="5"/>
      <c r="X173" s="5"/>
      <c r="Y173" s="5"/>
      <c r="AB173" s="5"/>
      <c r="AC173" s="5"/>
      <c r="AD173" s="5"/>
      <c r="AE173" s="5"/>
      <c r="AF173" s="5"/>
      <c r="AG173" s="5"/>
      <c r="AH173" s="5"/>
    </row>
    <row r="174" spans="3:34" ht="15" x14ac:dyDescent="0.25">
      <c r="D174" s="132">
        <v>3</v>
      </c>
      <c r="S174" s="5"/>
      <c r="T174" s="5"/>
      <c r="U174" s="5"/>
      <c r="V174" s="5"/>
      <c r="W174" s="5"/>
      <c r="X174" s="5"/>
      <c r="Y174" s="5"/>
      <c r="AB174" s="5"/>
      <c r="AC174" s="5"/>
      <c r="AD174" s="5"/>
      <c r="AE174" s="5"/>
      <c r="AF174" s="5"/>
      <c r="AG174" s="5"/>
      <c r="AH174" s="5"/>
    </row>
    <row r="175" spans="3:34" ht="15" x14ac:dyDescent="0.25">
      <c r="D175" s="132">
        <v>3</v>
      </c>
      <c r="H175" s="32"/>
      <c r="I175" s="32"/>
      <c r="J175" s="19"/>
      <c r="K175" s="6"/>
      <c r="L175" s="32"/>
      <c r="M175" s="6"/>
      <c r="N175" s="6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</row>
    <row r="176" spans="3:34" ht="15.75" x14ac:dyDescent="0.25">
      <c r="D176" s="132">
        <v>3</v>
      </c>
      <c r="G176" s="26" t="s">
        <v>57</v>
      </c>
      <c r="H176" s="32"/>
      <c r="I176" s="32"/>
      <c r="J176" s="19"/>
      <c r="K176" s="6"/>
      <c r="L176" s="32"/>
      <c r="M176" s="6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</row>
    <row r="177" spans="1:29" ht="15" x14ac:dyDescent="0.25">
      <c r="D177" s="132">
        <v>4</v>
      </c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</row>
    <row r="178" spans="1:29" ht="31.5" customHeight="1" x14ac:dyDescent="0.25">
      <c r="D178" s="132">
        <v>4</v>
      </c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</row>
    <row r="179" spans="1:29" ht="15" x14ac:dyDescent="0.25">
      <c r="D179" s="132">
        <v>4</v>
      </c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</row>
    <row r="180" spans="1:29" ht="55.5" customHeight="1" x14ac:dyDescent="0.25">
      <c r="A180" s="66" t="s">
        <v>76</v>
      </c>
      <c r="D180" s="132">
        <v>4</v>
      </c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</row>
    <row r="181" spans="1:29" ht="15" x14ac:dyDescent="0.25">
      <c r="D181" s="132">
        <v>4</v>
      </c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</row>
    <row r="182" spans="1:29" ht="15" x14ac:dyDescent="0.25">
      <c r="A182" s="191" t="s">
        <v>52</v>
      </c>
      <c r="B182" s="25">
        <f>MAX(B$20:B58)+1</f>
        <v>10</v>
      </c>
      <c r="C182" s="138">
        <f>IF(D182=0,C52,IF(ISBLANK(G182),C52,1+MAX(C$20:C52)))</f>
        <v>26</v>
      </c>
      <c r="D182" s="132">
        <v>4</v>
      </c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</row>
    <row r="183" spans="1:29" ht="15" x14ac:dyDescent="0.25">
      <c r="A183" s="192"/>
      <c r="C183" s="138">
        <f>IF(D183=0,C182,IF(ISBLANK(G183),C182,1+MAX(C$20:C182)))</f>
        <v>26</v>
      </c>
      <c r="D183" s="132">
        <v>4</v>
      </c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</row>
    <row r="184" spans="1:29" ht="15" x14ac:dyDescent="0.25">
      <c r="A184" s="191" t="s">
        <v>77</v>
      </c>
      <c r="B184" s="25">
        <f>+B$54</f>
        <v>8</v>
      </c>
      <c r="C184" s="138">
        <f>IF(D184=0,C183,IF(ISBLANK(G184),C183,1+MAX(C$182:C183)))</f>
        <v>26</v>
      </c>
      <c r="D184" s="132">
        <v>4</v>
      </c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</row>
    <row r="185" spans="1:29" ht="15" x14ac:dyDescent="0.25">
      <c r="A185" s="191"/>
      <c r="C185" s="138">
        <f>IF(D185=0,C184,IF(ISBLANK(G185),C184,1+MAX(C$182:C184)))</f>
        <v>26</v>
      </c>
      <c r="D185" s="132">
        <v>4</v>
      </c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</row>
    <row r="186" spans="1:29" ht="15" x14ac:dyDescent="0.25">
      <c r="C186" s="138">
        <f>IF(D186=0,C185,IF(ISBLANK(G186),C185,1+MAX(C$182:C185)))</f>
        <v>26</v>
      </c>
      <c r="D186" s="132">
        <v>4</v>
      </c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</row>
    <row r="187" spans="1:29" ht="15" x14ac:dyDescent="0.25">
      <c r="C187" s="138">
        <f>IF(D187=0,C186,IF(ISBLANK(G187),C186,1+MAX(C$182:C186)))</f>
        <v>26</v>
      </c>
      <c r="D187" s="132">
        <v>4</v>
      </c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</row>
    <row r="188" spans="1:29" ht="15" x14ac:dyDescent="0.25">
      <c r="C188" s="138">
        <f>IF(D188=0,C187,IF(ISBLANK(G188),C187,1+MAX(C$182:C187)))</f>
        <v>26</v>
      </c>
      <c r="D188" s="132">
        <v>4</v>
      </c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</row>
    <row r="189" spans="1:29" ht="57" customHeight="1" x14ac:dyDescent="0.25">
      <c r="C189" s="138">
        <f>IF(D189=0,C188,IF(ISBLANK(G189),C188,1+MAX(C$182:C188)))</f>
        <v>26</v>
      </c>
      <c r="D189" s="132">
        <v>4</v>
      </c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</row>
    <row r="190" spans="1:29" ht="15" x14ac:dyDescent="0.25">
      <c r="C190" s="138">
        <f>IF(D190=0,C189,IF(ISBLANK(G190),C189,1+MAX(C$182:C189)))</f>
        <v>26</v>
      </c>
      <c r="D190" s="132">
        <v>4</v>
      </c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</row>
    <row r="191" spans="1:29" ht="15" x14ac:dyDescent="0.25">
      <c r="B191" s="25">
        <f>+B$182</f>
        <v>10</v>
      </c>
      <c r="C191" s="138">
        <f>IF(D191=0,C190,IF(ISBLANK(G191),C190,1+MAX(C$182:C190)))</f>
        <v>26</v>
      </c>
      <c r="D191" s="132">
        <v>4</v>
      </c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</row>
    <row r="192" spans="1:29" ht="15" x14ac:dyDescent="0.25">
      <c r="C192" s="138">
        <f>IF(D192=0,C191,IF(ISBLANK(G192),C191,1+MAX(C$182:C191)))</f>
        <v>26</v>
      </c>
      <c r="D192" s="132">
        <v>4</v>
      </c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</row>
    <row r="193" spans="1:29" ht="15" x14ac:dyDescent="0.25">
      <c r="A193" s="191" t="s">
        <v>77</v>
      </c>
      <c r="B193" s="25">
        <f>+B$58</f>
        <v>9</v>
      </c>
      <c r="C193" s="138">
        <f>IF(D193=0,C192,IF(ISBLANK(G193),C192,1+MAX(C$182:C192)))</f>
        <v>26</v>
      </c>
      <c r="D193" s="132">
        <v>4</v>
      </c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</row>
    <row r="194" spans="1:29" ht="15" x14ac:dyDescent="0.25">
      <c r="C194" s="138">
        <f>IF(D194=0,C193,IF(ISBLANK(G194),C193,1+MAX(C$182:C193)))</f>
        <v>26</v>
      </c>
      <c r="D194" s="132">
        <v>4</v>
      </c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</row>
    <row r="195" spans="1:29" ht="15" x14ac:dyDescent="0.25">
      <c r="C195" s="138">
        <f>IF(D195=0,C194,IF(ISBLANK(G195),C194,1+MAX(C$182:C194)))</f>
        <v>26</v>
      </c>
      <c r="D195" s="132">
        <v>4</v>
      </c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</row>
    <row r="196" spans="1:29" ht="15" x14ac:dyDescent="0.25">
      <c r="D196" s="132">
        <v>0</v>
      </c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</row>
    <row r="197" spans="1:29" ht="15" x14ac:dyDescent="0.25">
      <c r="D197" s="132">
        <v>0</v>
      </c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</row>
    <row r="198" spans="1:29" ht="15" x14ac:dyDescent="0.25">
      <c r="D198" s="132">
        <v>0</v>
      </c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</row>
    <row r="199" spans="1:29" ht="15" x14ac:dyDescent="0.25">
      <c r="D199" s="132">
        <v>0</v>
      </c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</row>
    <row r="200" spans="1:29" ht="15.75" x14ac:dyDescent="0.25">
      <c r="D200" s="132">
        <v>0</v>
      </c>
      <c r="G200" s="193" t="s">
        <v>78</v>
      </c>
      <c r="H200" s="194" t="s">
        <v>74</v>
      </c>
      <c r="I200" s="194" t="s">
        <v>74</v>
      </c>
      <c r="J200" s="194" t="s">
        <v>74</v>
      </c>
      <c r="K200" s="194" t="s">
        <v>74</v>
      </c>
      <c r="L200" s="194" t="s">
        <v>74</v>
      </c>
      <c r="M200" s="194" t="s">
        <v>74</v>
      </c>
      <c r="N200" s="194" t="s">
        <v>74</v>
      </c>
      <c r="O200" s="194" t="s">
        <v>74</v>
      </c>
      <c r="P200" s="194" t="s">
        <v>74</v>
      </c>
      <c r="Q200" s="194" t="s">
        <v>74</v>
      </c>
      <c r="R200" s="194" t="s">
        <v>74</v>
      </c>
      <c r="S200" s="194" t="s">
        <v>74</v>
      </c>
      <c r="T200" s="194" t="s">
        <v>74</v>
      </c>
      <c r="U200" s="194" t="s">
        <v>74</v>
      </c>
      <c r="V200" s="194" t="s">
        <v>74</v>
      </c>
      <c r="W200" s="194" t="s">
        <v>74</v>
      </c>
      <c r="X200" s="194" t="s">
        <v>74</v>
      </c>
      <c r="Y200" s="194" t="s">
        <v>74</v>
      </c>
      <c r="Z200" s="194" t="s">
        <v>74</v>
      </c>
      <c r="AA200" s="5"/>
      <c r="AB200" s="5"/>
      <c r="AC200" s="5"/>
    </row>
    <row r="201" spans="1:29" ht="15.75" x14ac:dyDescent="0.25">
      <c r="D201" s="132">
        <v>1</v>
      </c>
      <c r="G201" s="27"/>
      <c r="H201" s="32"/>
      <c r="I201" s="32"/>
      <c r="J201" s="19"/>
      <c r="K201" s="6"/>
      <c r="L201" s="32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5"/>
      <c r="AB201" s="5"/>
      <c r="AC201" s="5"/>
    </row>
    <row r="202" spans="1:29" ht="15.75" x14ac:dyDescent="0.25">
      <c r="D202" s="132">
        <v>1</v>
      </c>
      <c r="G202" s="27"/>
      <c r="H202" s="32"/>
      <c r="I202" s="32"/>
      <c r="J202" s="19"/>
      <c r="K202" s="6"/>
      <c r="L202" s="32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5"/>
      <c r="AB202" s="5"/>
      <c r="AC202" s="5"/>
    </row>
    <row r="203" spans="1:29" ht="24" customHeight="1" x14ac:dyDescent="0.25">
      <c r="D203" s="132">
        <v>1</v>
      </c>
      <c r="G203" s="195" t="s">
        <v>79</v>
      </c>
      <c r="H203" s="196" t="s">
        <v>80</v>
      </c>
      <c r="J203" s="19"/>
      <c r="K203" s="6"/>
      <c r="L203" s="32"/>
      <c r="M203" s="6"/>
      <c r="N203" s="6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69"/>
      <c r="AB203" s="5"/>
      <c r="AC203" s="5"/>
    </row>
    <row r="204" spans="1:29" ht="30.75" customHeight="1" x14ac:dyDescent="0.25">
      <c r="D204" s="132">
        <f>IF($C$10="SUBJECT",1,0)</f>
        <v>0</v>
      </c>
      <c r="H204" s="113" t="s">
        <v>81</v>
      </c>
      <c r="I204" s="113"/>
      <c r="J204" s="113"/>
      <c r="K204" s="113"/>
      <c r="L204" s="113"/>
      <c r="M204" s="113"/>
      <c r="N204" s="110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69"/>
      <c r="AB204" s="5"/>
      <c r="AC204" s="5"/>
    </row>
    <row r="205" spans="1:29" ht="15" x14ac:dyDescent="0.25">
      <c r="D205" s="132">
        <v>0</v>
      </c>
      <c r="H205" s="197"/>
      <c r="J205" s="68"/>
      <c r="K205" s="6"/>
      <c r="L205" s="32"/>
      <c r="M205" s="6"/>
      <c r="N205" s="6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69"/>
      <c r="AB205" s="5"/>
      <c r="AC205" s="5"/>
    </row>
    <row r="206" spans="1:29" ht="15" x14ac:dyDescent="0.25">
      <c r="D206" s="132"/>
      <c r="G206" s="66" t="s">
        <v>2</v>
      </c>
      <c r="H206" s="67" t="s">
        <v>82</v>
      </c>
      <c r="J206" s="68"/>
      <c r="K206" s="6"/>
      <c r="L206" s="32"/>
      <c r="M206" s="6"/>
      <c r="N206" s="6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69"/>
      <c r="AB206" s="5"/>
      <c r="AC206" s="5"/>
    </row>
    <row r="207" spans="1:29" ht="15" x14ac:dyDescent="0.25">
      <c r="D207" s="132">
        <v>0</v>
      </c>
      <c r="G207" s="150"/>
      <c r="H207" s="197"/>
      <c r="J207" s="68"/>
      <c r="K207" s="6"/>
      <c r="L207" s="32"/>
      <c r="M207" s="6"/>
      <c r="N207" s="6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69"/>
      <c r="AB207" s="5"/>
      <c r="AC207" s="5"/>
    </row>
    <row r="208" spans="1:29" ht="24" customHeight="1" x14ac:dyDescent="0.25">
      <c r="D208" s="132">
        <v>0</v>
      </c>
      <c r="G208" s="195"/>
      <c r="H208" s="196"/>
      <c r="J208" s="19"/>
      <c r="K208" s="6"/>
      <c r="L208" s="32"/>
      <c r="M208" s="6"/>
      <c r="N208" s="6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69"/>
      <c r="AB208" s="5"/>
      <c r="AC208" s="5"/>
    </row>
    <row r="209" spans="4:29" ht="42.75" customHeight="1" x14ac:dyDescent="0.25">
      <c r="D209" s="132">
        <f>IF($C$10="IOU",1,0)</f>
        <v>0</v>
      </c>
      <c r="H209" s="113" t="s">
        <v>83</v>
      </c>
      <c r="I209" s="113"/>
      <c r="J209" s="113"/>
      <c r="K209" s="113"/>
      <c r="L209" s="113"/>
      <c r="M209" s="113"/>
      <c r="N209" s="110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69"/>
      <c r="AB209" s="5"/>
      <c r="AC209" s="5"/>
    </row>
    <row r="210" spans="4:29" ht="15" x14ac:dyDescent="0.25">
      <c r="D210" s="132">
        <v>0</v>
      </c>
      <c r="H210" s="197"/>
      <c r="J210" s="68"/>
      <c r="K210" s="6"/>
      <c r="L210" s="32"/>
      <c r="M210" s="6"/>
      <c r="N210" s="6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69"/>
      <c r="AB210" s="5"/>
      <c r="AC210" s="5"/>
    </row>
    <row r="211" spans="4:29" ht="15" x14ac:dyDescent="0.25">
      <c r="D211" s="132"/>
      <c r="G211" s="66" t="s">
        <v>2</v>
      </c>
      <c r="H211" s="67" t="s">
        <v>84</v>
      </c>
      <c r="J211" s="68"/>
      <c r="K211" s="6"/>
      <c r="L211" s="32"/>
      <c r="M211" s="6"/>
      <c r="N211" s="6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69"/>
      <c r="AB211" s="5"/>
      <c r="AC211" s="5"/>
    </row>
    <row r="212" spans="4:29" ht="15" x14ac:dyDescent="0.25">
      <c r="D212" s="132">
        <v>0</v>
      </c>
      <c r="G212" s="150"/>
      <c r="H212" s="197"/>
      <c r="J212" s="68"/>
      <c r="K212" s="6"/>
      <c r="L212" s="32"/>
      <c r="M212" s="6"/>
      <c r="N212" s="6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69"/>
      <c r="AB212" s="5"/>
      <c r="AC212" s="5"/>
    </row>
    <row r="213" spans="4:29" ht="60" customHeight="1" x14ac:dyDescent="0.25">
      <c r="D213" s="132">
        <f>IF($C$10="IOU",1,0)</f>
        <v>0</v>
      </c>
      <c r="G213" s="150"/>
      <c r="H213" s="113" t="s">
        <v>85</v>
      </c>
      <c r="I213" s="113"/>
      <c r="J213" s="113"/>
      <c r="K213" s="113"/>
      <c r="L213" s="113"/>
      <c r="M213" s="113"/>
      <c r="N213" s="110"/>
      <c r="O213" s="110"/>
      <c r="P213" s="110"/>
      <c r="Q213" s="110"/>
      <c r="R213" s="110"/>
      <c r="S213" s="110"/>
      <c r="T213" s="5"/>
      <c r="U213" s="5"/>
      <c r="V213" s="5"/>
      <c r="W213" s="5"/>
      <c r="X213" s="5"/>
      <c r="Y213" s="5"/>
      <c r="Z213" s="5"/>
      <c r="AA213" s="69"/>
      <c r="AB213" s="5"/>
      <c r="AC213" s="5"/>
    </row>
    <row r="214" spans="4:29" ht="15" x14ac:dyDescent="0.25">
      <c r="D214" s="132">
        <v>0</v>
      </c>
      <c r="G214" s="198"/>
      <c r="J214" s="19"/>
      <c r="K214" s="6"/>
      <c r="L214" s="32"/>
      <c r="M214" s="6"/>
      <c r="N214" s="6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69"/>
      <c r="AB214" s="5"/>
      <c r="AC214" s="5"/>
    </row>
    <row r="215" spans="4:29" ht="15" x14ac:dyDescent="0.25">
      <c r="D215" s="132">
        <v>0</v>
      </c>
      <c r="G215" s="198"/>
      <c r="J215" s="19"/>
      <c r="K215" s="6"/>
      <c r="L215" s="32"/>
      <c r="M215" s="6"/>
      <c r="N215" s="6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69"/>
      <c r="AB215" s="5"/>
      <c r="AC215" s="5"/>
    </row>
    <row r="216" spans="4:29" ht="45.75" customHeight="1" x14ac:dyDescent="0.25">
      <c r="D216" s="132">
        <f>IF($C$10="MUNI",1,0)</f>
        <v>1</v>
      </c>
      <c r="H216" s="113" t="s">
        <v>83</v>
      </c>
      <c r="I216" s="113"/>
      <c r="J216" s="113"/>
      <c r="K216" s="113"/>
      <c r="L216" s="113"/>
      <c r="M216" s="113"/>
      <c r="N216" s="110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69"/>
      <c r="AB216" s="5"/>
      <c r="AC216" s="5"/>
    </row>
    <row r="217" spans="4:29" ht="15" x14ac:dyDescent="0.25">
      <c r="D217" s="132">
        <v>0</v>
      </c>
      <c r="H217" s="197"/>
      <c r="J217" s="68"/>
      <c r="K217" s="6"/>
      <c r="L217" s="32"/>
      <c r="M217" s="6"/>
      <c r="N217" s="6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69"/>
      <c r="AB217" s="5"/>
      <c r="AC217" s="5"/>
    </row>
    <row r="218" spans="4:29" ht="30.75" customHeight="1" x14ac:dyDescent="0.25">
      <c r="D218" s="132"/>
      <c r="G218" s="66" t="s">
        <v>2</v>
      </c>
      <c r="H218" s="113" t="s">
        <v>86</v>
      </c>
      <c r="I218" s="113"/>
      <c r="J218" s="113"/>
      <c r="K218" s="113"/>
      <c r="L218" s="113"/>
      <c r="M218" s="113"/>
      <c r="N218" s="6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69"/>
      <c r="AB218" s="5"/>
      <c r="AC218" s="5"/>
    </row>
    <row r="219" spans="4:29" ht="15" x14ac:dyDescent="0.25">
      <c r="D219" s="132">
        <v>0</v>
      </c>
      <c r="G219" s="150"/>
      <c r="H219" s="197"/>
      <c r="J219" s="68"/>
      <c r="K219" s="6"/>
      <c r="L219" s="32"/>
      <c r="M219" s="6"/>
      <c r="N219" s="6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69"/>
      <c r="AB219" s="5"/>
      <c r="AC219" s="5"/>
    </row>
    <row r="220" spans="4:29" ht="66.75" customHeight="1" x14ac:dyDescent="0.25">
      <c r="D220" s="132">
        <f>IF($C$10="MUNI",1,0)</f>
        <v>1</v>
      </c>
      <c r="G220" s="150"/>
      <c r="H220" s="113" t="s">
        <v>87</v>
      </c>
      <c r="I220" s="113"/>
      <c r="J220" s="113"/>
      <c r="K220" s="113"/>
      <c r="L220" s="113"/>
      <c r="M220" s="113"/>
      <c r="N220" s="110"/>
      <c r="O220" s="110"/>
      <c r="P220" s="110"/>
      <c r="Q220" s="110"/>
      <c r="R220" s="110"/>
      <c r="S220" s="110"/>
      <c r="T220" s="5"/>
      <c r="U220" s="5"/>
      <c r="V220" s="5"/>
      <c r="W220" s="5"/>
      <c r="X220" s="5"/>
      <c r="Y220" s="5"/>
      <c r="Z220" s="5"/>
      <c r="AA220" s="69"/>
      <c r="AB220" s="5"/>
      <c r="AC220" s="5"/>
    </row>
    <row r="221" spans="4:29" ht="15" x14ac:dyDescent="0.25">
      <c r="D221" s="132">
        <v>0</v>
      </c>
      <c r="G221" s="150"/>
      <c r="H221" s="197"/>
      <c r="J221" s="68"/>
      <c r="K221" s="6"/>
      <c r="L221" s="32"/>
      <c r="M221" s="6"/>
      <c r="N221" s="6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69"/>
      <c r="AB221" s="5"/>
      <c r="AC221" s="5"/>
    </row>
    <row r="222" spans="4:29" ht="30" customHeight="1" x14ac:dyDescent="0.25">
      <c r="D222" s="132">
        <v>1</v>
      </c>
      <c r="G222" s="150"/>
      <c r="H222" s="114" t="s">
        <v>88</v>
      </c>
      <c r="I222" s="114"/>
      <c r="J222" s="114"/>
      <c r="K222" s="114"/>
      <c r="L222" s="114"/>
      <c r="M222" s="114"/>
      <c r="N222" s="111"/>
      <c r="O222" s="111"/>
      <c r="P222" s="111"/>
      <c r="Q222" s="111"/>
      <c r="R222" s="25"/>
      <c r="S222" s="25"/>
      <c r="T222" s="5"/>
      <c r="U222" s="5"/>
      <c r="V222" s="5"/>
      <c r="W222" s="5"/>
      <c r="X222" s="5"/>
      <c r="Y222" s="5"/>
      <c r="Z222" s="5"/>
      <c r="AA222" s="69"/>
      <c r="AB222" s="5"/>
      <c r="AC222" s="5"/>
    </row>
    <row r="223" spans="4:29" ht="15" customHeight="1" x14ac:dyDescent="0.25">
      <c r="D223" s="132"/>
      <c r="G223" s="150"/>
      <c r="H223" s="197"/>
      <c r="I223" s="111"/>
      <c r="J223" s="111"/>
      <c r="K223" s="111"/>
      <c r="L223" s="111"/>
      <c r="M223" s="111"/>
      <c r="N223" s="111"/>
      <c r="O223" s="111"/>
      <c r="P223" s="111"/>
      <c r="Q223" s="111"/>
      <c r="R223" s="111"/>
      <c r="S223" s="25"/>
      <c r="T223" s="5"/>
      <c r="U223" s="5"/>
      <c r="V223" s="5"/>
      <c r="W223" s="5"/>
      <c r="X223" s="5"/>
      <c r="Y223" s="5"/>
      <c r="Z223" s="5"/>
      <c r="AA223" s="69"/>
      <c r="AB223" s="5"/>
      <c r="AC223" s="5"/>
    </row>
    <row r="224" spans="4:29" ht="27" customHeight="1" x14ac:dyDescent="0.25">
      <c r="D224" s="199">
        <f>IF($C$10="SUBJECT",0,1)</f>
        <v>1</v>
      </c>
      <c r="G224" s="150"/>
      <c r="H224" s="114" t="s">
        <v>89</v>
      </c>
      <c r="I224" s="114"/>
      <c r="J224" s="114"/>
      <c r="K224" s="114"/>
      <c r="L224" s="114"/>
      <c r="M224" s="114"/>
      <c r="N224" s="111"/>
      <c r="O224" s="111"/>
      <c r="P224" s="111"/>
      <c r="Q224" s="111"/>
      <c r="R224" s="111"/>
      <c r="S224" s="25"/>
      <c r="T224" s="5"/>
      <c r="U224" s="5"/>
      <c r="V224" s="5"/>
      <c r="W224" s="5"/>
      <c r="X224" s="5"/>
      <c r="Y224" s="5"/>
      <c r="Z224" s="5"/>
      <c r="AA224" s="69"/>
      <c r="AB224" s="5"/>
      <c r="AC224" s="5"/>
    </row>
    <row r="225" spans="4:29" ht="29.25" customHeight="1" x14ac:dyDescent="0.25">
      <c r="D225" s="199">
        <f>IF($C$10="SUBJECT",0,1)</f>
        <v>1</v>
      </c>
      <c r="G225" s="150"/>
      <c r="H225" s="114" t="s">
        <v>90</v>
      </c>
      <c r="I225" s="114"/>
      <c r="J225" s="114"/>
      <c r="K225" s="114"/>
      <c r="L225" s="114"/>
      <c r="M225" s="114"/>
      <c r="N225" s="111"/>
      <c r="O225" s="111"/>
      <c r="P225" s="111"/>
      <c r="Q225" s="111"/>
      <c r="R225" s="111"/>
      <c r="S225" s="25"/>
      <c r="T225" s="5"/>
      <c r="U225" s="5"/>
      <c r="V225" s="5"/>
      <c r="W225" s="5"/>
      <c r="X225" s="5"/>
      <c r="Y225" s="5"/>
      <c r="Z225" s="5"/>
      <c r="AA225" s="69"/>
      <c r="AB225" s="5"/>
      <c r="AC225" s="5"/>
    </row>
    <row r="226" spans="4:29" ht="15" customHeight="1" x14ac:dyDescent="0.25">
      <c r="D226" s="199">
        <v>1</v>
      </c>
      <c r="G226" s="150"/>
      <c r="H226" s="197" t="s">
        <v>91</v>
      </c>
      <c r="I226" s="111"/>
      <c r="J226" s="111"/>
      <c r="K226" s="111"/>
      <c r="L226" s="111"/>
      <c r="M226" s="111"/>
      <c r="N226" s="111"/>
      <c r="O226" s="111"/>
      <c r="P226" s="111"/>
      <c r="Q226" s="111"/>
      <c r="R226" s="111"/>
      <c r="S226" s="25"/>
      <c r="T226" s="5"/>
      <c r="U226" s="5"/>
      <c r="V226" s="5"/>
      <c r="W226" s="5"/>
      <c r="X226" s="5"/>
      <c r="Y226" s="5"/>
      <c r="Z226" s="5"/>
      <c r="AA226" s="69"/>
      <c r="AB226" s="5"/>
      <c r="AC226" s="5"/>
    </row>
    <row r="227" spans="4:29" ht="15" customHeight="1" x14ac:dyDescent="0.25">
      <c r="D227" s="199"/>
      <c r="G227" s="150"/>
      <c r="H227" s="197"/>
      <c r="I227" s="111"/>
      <c r="J227" s="111"/>
      <c r="K227" s="111"/>
      <c r="L227" s="111"/>
      <c r="M227" s="111"/>
      <c r="N227" s="111"/>
      <c r="O227" s="111"/>
      <c r="P227" s="111"/>
      <c r="Q227" s="111"/>
      <c r="R227" s="111"/>
      <c r="S227" s="25"/>
      <c r="T227" s="5"/>
      <c r="U227" s="5"/>
      <c r="V227" s="5"/>
      <c r="W227" s="5"/>
      <c r="X227" s="5"/>
      <c r="Y227" s="5"/>
      <c r="Z227" s="5"/>
      <c r="AA227" s="69"/>
      <c r="AB227" s="5"/>
      <c r="AC227" s="5"/>
    </row>
    <row r="228" spans="4:29" ht="15" customHeight="1" x14ac:dyDescent="0.25">
      <c r="D228" s="199"/>
      <c r="G228" s="150"/>
      <c r="H228" s="197"/>
      <c r="I228" s="111"/>
      <c r="J228" s="111"/>
      <c r="K228" s="111"/>
      <c r="L228" s="111"/>
      <c r="M228" s="111"/>
      <c r="N228" s="111"/>
      <c r="O228" s="111"/>
      <c r="P228" s="111"/>
      <c r="Q228" s="111"/>
      <c r="R228" s="111"/>
      <c r="S228" s="25"/>
      <c r="T228" s="5"/>
      <c r="U228" s="5"/>
      <c r="V228" s="5"/>
      <c r="W228" s="5"/>
      <c r="X228" s="5"/>
      <c r="Y228" s="5"/>
      <c r="Z228" s="5"/>
      <c r="AA228" s="69"/>
      <c r="AB228" s="5"/>
      <c r="AC228" s="5"/>
    </row>
    <row r="229" spans="4:29" ht="15" customHeight="1" x14ac:dyDescent="0.25">
      <c r="D229" s="132"/>
      <c r="G229" s="150"/>
      <c r="H229" s="197"/>
      <c r="I229" s="111"/>
      <c r="J229" s="111"/>
      <c r="K229" s="111"/>
      <c r="L229" s="111"/>
      <c r="M229" s="111"/>
      <c r="N229" s="111"/>
      <c r="O229" s="111"/>
      <c r="P229" s="111"/>
      <c r="Q229" s="111"/>
      <c r="R229" s="25"/>
      <c r="S229" s="25"/>
      <c r="T229" s="5"/>
      <c r="U229" s="5"/>
      <c r="V229" s="5"/>
      <c r="W229" s="5"/>
      <c r="X229" s="5"/>
      <c r="Y229" s="5"/>
      <c r="Z229" s="5"/>
      <c r="AA229" s="69"/>
      <c r="AB229" s="5"/>
      <c r="AC229" s="5"/>
    </row>
    <row r="230" spans="4:29" ht="15" customHeight="1" x14ac:dyDescent="0.25">
      <c r="D230" s="132"/>
      <c r="G230" s="150"/>
      <c r="H230" s="197"/>
      <c r="I230" s="111"/>
      <c r="J230" s="111"/>
      <c r="K230" s="111"/>
      <c r="L230" s="111"/>
      <c r="M230" s="111"/>
      <c r="N230" s="111"/>
      <c r="O230" s="111"/>
      <c r="P230" s="111"/>
      <c r="Q230" s="111"/>
      <c r="R230" s="25"/>
      <c r="S230" s="25"/>
      <c r="T230" s="5"/>
      <c r="U230" s="5"/>
      <c r="V230" s="5"/>
      <c r="W230" s="5"/>
      <c r="X230" s="5"/>
      <c r="Y230" s="5"/>
      <c r="Z230" s="5"/>
      <c r="AA230" s="69"/>
      <c r="AB230" s="5"/>
      <c r="AC230" s="5"/>
    </row>
    <row r="231" spans="4:29" ht="15" customHeight="1" x14ac:dyDescent="0.25">
      <c r="D231" s="132"/>
      <c r="G231" s="150"/>
      <c r="H231" s="197"/>
      <c r="I231" s="111"/>
      <c r="J231" s="111"/>
      <c r="K231" s="111"/>
      <c r="L231" s="111"/>
      <c r="M231" s="111"/>
      <c r="N231" s="111"/>
      <c r="O231" s="111"/>
      <c r="P231" s="111"/>
      <c r="Q231" s="111"/>
      <c r="R231" s="25"/>
      <c r="S231" s="25"/>
      <c r="T231" s="5"/>
      <c r="U231" s="5"/>
      <c r="V231" s="5"/>
      <c r="W231" s="5"/>
      <c r="X231" s="5"/>
      <c r="Y231" s="5"/>
      <c r="Z231" s="5"/>
      <c r="AA231" s="69"/>
      <c r="AB231" s="5"/>
      <c r="AC231" s="5"/>
    </row>
    <row r="232" spans="4:29" ht="15" customHeight="1" x14ac:dyDescent="0.25">
      <c r="D232" s="132">
        <v>0</v>
      </c>
      <c r="G232" s="150"/>
      <c r="H232" s="197"/>
      <c r="I232" s="111"/>
      <c r="J232" s="111"/>
      <c r="K232" s="111"/>
      <c r="L232" s="111"/>
      <c r="M232" s="111"/>
      <c r="N232" s="111"/>
      <c r="O232" s="111"/>
      <c r="P232" s="111"/>
      <c r="Q232" s="111"/>
      <c r="R232" s="25"/>
      <c r="S232" s="25"/>
      <c r="T232" s="5"/>
      <c r="U232" s="5"/>
      <c r="V232" s="5"/>
      <c r="W232" s="5"/>
      <c r="X232" s="5"/>
      <c r="Y232" s="5"/>
      <c r="Z232" s="5"/>
      <c r="AA232" s="69"/>
      <c r="AB232" s="5"/>
      <c r="AC232" s="5"/>
    </row>
    <row r="233" spans="4:29" ht="15" customHeight="1" x14ac:dyDescent="0.25">
      <c r="D233" s="132">
        <f>IF($C$10="IOU",1,0)</f>
        <v>0</v>
      </c>
      <c r="G233" s="150"/>
      <c r="H233" s="197" t="s">
        <v>92</v>
      </c>
      <c r="I233" s="111"/>
      <c r="J233" s="111"/>
      <c r="K233" s="111"/>
      <c r="L233" s="111"/>
      <c r="M233" s="111"/>
      <c r="N233" s="111"/>
      <c r="O233" s="111"/>
      <c r="P233" s="111"/>
      <c r="Q233" s="111"/>
      <c r="R233" s="25"/>
      <c r="S233" s="25"/>
      <c r="T233" s="5"/>
      <c r="U233" s="5"/>
      <c r="V233" s="5"/>
      <c r="W233" s="5"/>
      <c r="X233" s="5"/>
      <c r="Y233" s="5"/>
      <c r="Z233" s="5"/>
      <c r="AA233" s="69"/>
      <c r="AB233" s="5"/>
      <c r="AC233" s="5"/>
    </row>
    <row r="234" spans="4:29" ht="15" x14ac:dyDescent="0.25">
      <c r="D234" s="132">
        <v>0</v>
      </c>
      <c r="G234" s="150"/>
      <c r="H234" s="197"/>
      <c r="J234" s="68"/>
      <c r="K234" s="6"/>
      <c r="L234" s="32"/>
      <c r="M234" s="6"/>
      <c r="N234" s="6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69"/>
      <c r="AB234" s="5"/>
      <c r="AC234" s="5"/>
    </row>
    <row r="235" spans="4:29" ht="15" x14ac:dyDescent="0.25">
      <c r="D235" s="132">
        <v>0</v>
      </c>
      <c r="G235" s="150"/>
      <c r="H235" s="197"/>
      <c r="J235" s="68"/>
      <c r="K235" s="6"/>
      <c r="L235" s="32"/>
      <c r="M235" s="6"/>
      <c r="N235" s="6"/>
      <c r="O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69"/>
      <c r="AB235" s="5"/>
      <c r="AC235" s="5"/>
    </row>
    <row r="236" spans="4:29" ht="15" x14ac:dyDescent="0.25">
      <c r="D236" s="132">
        <v>0</v>
      </c>
      <c r="G236" s="150"/>
      <c r="H236" s="197"/>
      <c r="J236" s="68"/>
      <c r="K236" s="6"/>
      <c r="L236" s="32"/>
      <c r="M236" s="6"/>
      <c r="N236" s="6"/>
      <c r="O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69"/>
      <c r="AB236" s="5"/>
      <c r="AC236" s="5"/>
    </row>
    <row r="237" spans="4:29" ht="15" x14ac:dyDescent="0.25">
      <c r="D237" s="132">
        <v>0</v>
      </c>
      <c r="G237" s="150"/>
      <c r="H237" s="197"/>
      <c r="J237" s="68"/>
      <c r="K237" s="6"/>
      <c r="L237" s="32"/>
      <c r="M237" s="6"/>
      <c r="N237" s="6"/>
      <c r="O237" s="5"/>
      <c r="Q237" s="5"/>
      <c r="R237" s="5"/>
      <c r="T237" s="5"/>
      <c r="U237" s="5"/>
      <c r="V237" s="5"/>
      <c r="W237" s="5"/>
      <c r="X237" s="5"/>
      <c r="Y237" s="5"/>
      <c r="Z237" s="5"/>
      <c r="AA237" s="69"/>
      <c r="AB237" s="5"/>
      <c r="AC237" s="5"/>
    </row>
    <row r="238" spans="4:29" ht="15" x14ac:dyDescent="0.25">
      <c r="D238" s="132">
        <v>0</v>
      </c>
      <c r="G238" s="150"/>
      <c r="H238" s="197"/>
      <c r="J238" s="68"/>
      <c r="K238" s="6"/>
      <c r="L238" s="32"/>
      <c r="M238" s="6"/>
      <c r="N238" s="6"/>
      <c r="O238" s="5"/>
      <c r="Q238" s="5"/>
      <c r="T238" s="5"/>
      <c r="U238" s="5"/>
      <c r="V238" s="5"/>
      <c r="W238" s="5"/>
      <c r="X238" s="5"/>
      <c r="Y238" s="5"/>
      <c r="Z238" s="5"/>
      <c r="AA238" s="69"/>
      <c r="AB238" s="5"/>
      <c r="AC238" s="5"/>
    </row>
    <row r="239" spans="4:29" ht="15" x14ac:dyDescent="0.25">
      <c r="D239" s="132">
        <v>0</v>
      </c>
      <c r="G239" s="150"/>
      <c r="H239" s="197"/>
      <c r="J239" s="68"/>
      <c r="K239" s="6"/>
      <c r="L239" s="32"/>
      <c r="M239" s="6"/>
      <c r="N239" s="6"/>
      <c r="O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69"/>
      <c r="AB239" s="5"/>
      <c r="AC239" s="5"/>
    </row>
    <row r="240" spans="4:29" ht="27" customHeight="1" x14ac:dyDescent="0.25">
      <c r="D240" s="132">
        <v>0</v>
      </c>
      <c r="G240" s="150"/>
      <c r="H240" s="114" t="s">
        <v>93</v>
      </c>
      <c r="I240" s="114"/>
      <c r="J240" s="114"/>
      <c r="K240" s="114"/>
      <c r="L240" s="114"/>
      <c r="M240" s="6"/>
      <c r="N240" s="6"/>
      <c r="O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69"/>
      <c r="AB240" s="5"/>
      <c r="AC240" s="5"/>
    </row>
    <row r="241" spans="1:29" ht="15" x14ac:dyDescent="0.25">
      <c r="D241" s="132">
        <v>0</v>
      </c>
      <c r="G241" s="150"/>
      <c r="J241" s="68"/>
      <c r="K241" s="6"/>
      <c r="L241" s="32"/>
      <c r="M241" s="6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69"/>
      <c r="AB241" s="5"/>
      <c r="AC241" s="5"/>
    </row>
    <row r="242" spans="1:29" ht="15" x14ac:dyDescent="0.25">
      <c r="D242" s="132">
        <v>0</v>
      </c>
      <c r="G242" s="150"/>
      <c r="J242" s="68"/>
      <c r="K242" s="6"/>
      <c r="L242" s="32"/>
      <c r="M242" s="6"/>
      <c r="O242" s="5"/>
      <c r="P242" s="5"/>
      <c r="Q242" s="5"/>
      <c r="R242" s="5"/>
      <c r="S242" s="70"/>
      <c r="T242" s="5"/>
      <c r="U242" s="5"/>
      <c r="V242" s="5"/>
      <c r="W242" s="5"/>
      <c r="X242" s="5"/>
      <c r="Y242" s="5"/>
      <c r="Z242" s="5"/>
      <c r="AA242" s="69"/>
      <c r="AB242" s="5"/>
      <c r="AC242" s="5"/>
    </row>
    <row r="243" spans="1:29" ht="15" x14ac:dyDescent="0.25">
      <c r="D243" s="132">
        <v>0</v>
      </c>
      <c r="G243" s="150"/>
      <c r="J243" s="68"/>
      <c r="K243" s="6"/>
      <c r="L243" s="32"/>
      <c r="M243" s="6"/>
      <c r="N243" s="6"/>
      <c r="O243" s="5"/>
      <c r="P243" s="5"/>
      <c r="Q243" s="5"/>
      <c r="R243" s="5"/>
      <c r="S243" s="70"/>
      <c r="T243" s="5"/>
      <c r="U243" s="5"/>
      <c r="V243" s="5"/>
      <c r="W243" s="5"/>
      <c r="X243" s="5"/>
      <c r="Y243" s="5"/>
      <c r="Z243" s="5"/>
      <c r="AA243" s="69"/>
      <c r="AB243" s="5"/>
      <c r="AC243" s="5"/>
    </row>
    <row r="244" spans="1:29" ht="15" x14ac:dyDescent="0.25">
      <c r="D244" s="132">
        <v>0</v>
      </c>
      <c r="G244" s="150"/>
      <c r="J244" s="68"/>
      <c r="K244" s="6"/>
      <c r="L244" s="32"/>
      <c r="M244" s="6"/>
      <c r="N244" s="6"/>
      <c r="O244" s="5"/>
      <c r="P244" s="5"/>
      <c r="Q244" s="5"/>
      <c r="R244" s="5"/>
      <c r="T244" s="5"/>
      <c r="U244" s="5"/>
      <c r="V244" s="5"/>
      <c r="W244" s="5"/>
      <c r="X244" s="5"/>
      <c r="Y244" s="5"/>
      <c r="Z244" s="5"/>
      <c r="AA244" s="69"/>
      <c r="AB244" s="5"/>
      <c r="AC244" s="5"/>
    </row>
    <row r="245" spans="1:29" ht="15" x14ac:dyDescent="0.25">
      <c r="D245" s="132">
        <v>0</v>
      </c>
      <c r="J245" s="68"/>
      <c r="K245" s="6"/>
      <c r="L245" s="32"/>
      <c r="M245" s="6"/>
      <c r="N245" s="6"/>
      <c r="O245" s="5"/>
      <c r="P245" s="5"/>
      <c r="Q245" s="5"/>
      <c r="R245" s="5"/>
      <c r="T245" s="5"/>
      <c r="U245" s="5"/>
      <c r="V245" s="5"/>
      <c r="W245" s="5"/>
      <c r="X245" s="5"/>
      <c r="Y245" s="5"/>
      <c r="Z245" s="5"/>
      <c r="AA245" s="69"/>
      <c r="AB245" s="5"/>
      <c r="AC245" s="5"/>
    </row>
    <row r="246" spans="1:29" ht="15" x14ac:dyDescent="0.25">
      <c r="A246" s="200">
        <v>2</v>
      </c>
      <c r="D246" s="132">
        <v>1</v>
      </c>
      <c r="G246" s="201" t="str">
        <f t="shared" ref="G246:G252" si="62">"("&amp;TEXT(A246,0)&amp;")"</f>
        <v>(2)</v>
      </c>
      <c r="H246" s="115" t="s">
        <v>94</v>
      </c>
      <c r="I246" s="115"/>
      <c r="J246" s="115"/>
      <c r="K246" s="115"/>
      <c r="L246" s="115"/>
      <c r="M246" s="115"/>
      <c r="N246" s="6"/>
      <c r="O246" s="5"/>
      <c r="P246" s="5"/>
      <c r="Q246" s="5"/>
      <c r="R246" s="5"/>
      <c r="S246" s="70"/>
      <c r="T246" s="5"/>
      <c r="U246" s="5"/>
      <c r="V246" s="5"/>
      <c r="W246" s="5"/>
      <c r="X246" s="5"/>
      <c r="Y246" s="5"/>
      <c r="Z246" s="5"/>
      <c r="AB246" s="5"/>
      <c r="AC246" s="5"/>
    </row>
    <row r="247" spans="1:29" ht="15" x14ac:dyDescent="0.25">
      <c r="A247" s="200">
        <v>3</v>
      </c>
      <c r="B247" s="202">
        <f>+F24</f>
        <v>5</v>
      </c>
      <c r="D247" s="132">
        <v>1</v>
      </c>
      <c r="G247" s="203" t="str">
        <f t="shared" si="62"/>
        <v>(3)</v>
      </c>
      <c r="H247" s="2" t="str">
        <f>+"Line "&amp;B247&amp;"."</f>
        <v>Line 5.</v>
      </c>
      <c r="J247" s="68"/>
      <c r="K247" s="6"/>
      <c r="L247" s="32"/>
      <c r="M247" s="6"/>
      <c r="N247" s="6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B247" s="5"/>
      <c r="AC247" s="5"/>
    </row>
    <row r="248" spans="1:29" ht="15" x14ac:dyDescent="0.25">
      <c r="A248" s="200">
        <v>4</v>
      </c>
      <c r="B248" s="202">
        <f>+F38</f>
        <v>16</v>
      </c>
      <c r="D248" s="132">
        <v>1</v>
      </c>
      <c r="G248" s="203" t="str">
        <f t="shared" si="62"/>
        <v>(4)</v>
      </c>
      <c r="H248" s="2" t="str">
        <f>+"Line "&amp;B248&amp;" + line "&amp;B248-2&amp;"."</f>
        <v>Line 16 + line 14.</v>
      </c>
      <c r="J248" s="68"/>
      <c r="K248" s="6"/>
      <c r="L248" s="32"/>
      <c r="M248" s="6"/>
      <c r="N248" s="6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B248" s="5"/>
      <c r="AC248" s="5"/>
    </row>
    <row r="249" spans="1:29" ht="15" x14ac:dyDescent="0.25">
      <c r="A249" s="200">
        <v>5</v>
      </c>
      <c r="B249" s="202">
        <f>+B248</f>
        <v>16</v>
      </c>
      <c r="D249" s="132">
        <v>1</v>
      </c>
      <c r="G249" s="203" t="str">
        <f t="shared" si="62"/>
        <v>(5)</v>
      </c>
      <c r="H249" s="2" t="str">
        <f>+"Line "&amp;B249&amp;"."</f>
        <v>Line 16.</v>
      </c>
      <c r="J249" s="68"/>
      <c r="K249" s="6"/>
      <c r="L249" s="32"/>
      <c r="M249" s="6"/>
      <c r="N249" s="6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B249" s="5"/>
      <c r="AC249" s="5"/>
    </row>
    <row r="250" spans="1:29" ht="30" customHeight="1" x14ac:dyDescent="0.25">
      <c r="A250" s="200">
        <v>6</v>
      </c>
      <c r="D250" s="132">
        <f>IF($C$10="IOU",0,1)</f>
        <v>1</v>
      </c>
      <c r="G250" s="201" t="str">
        <f t="shared" si="62"/>
        <v>(6)</v>
      </c>
      <c r="H250" s="112" t="str">
        <f>+"Capital Expenditures - Are estimates at "&amp;TEXT(Q303,"0.00%")&amp;" of prior year-end GROSS Property, plant and equipment."</f>
        <v>Capital Expenditures - Are estimates at 1.59% of prior year-end GROSS Property, plant and equipment.</v>
      </c>
      <c r="I250" s="112"/>
      <c r="J250" s="112"/>
      <c r="K250" s="112"/>
      <c r="L250" s="112"/>
      <c r="M250" s="112"/>
      <c r="N250" s="109"/>
      <c r="O250" s="109"/>
      <c r="P250" s="109"/>
      <c r="Q250" s="109"/>
      <c r="R250" s="5"/>
      <c r="S250" s="5"/>
      <c r="T250" s="5" t="s">
        <v>95</v>
      </c>
      <c r="U250" s="5" t="s">
        <v>95</v>
      </c>
      <c r="V250" s="5" t="s">
        <v>95</v>
      </c>
      <c r="W250" s="5" t="s">
        <v>95</v>
      </c>
      <c r="X250" s="5" t="s">
        <v>95</v>
      </c>
      <c r="Y250" s="5" t="s">
        <v>95</v>
      </c>
      <c r="Z250" s="5" t="s">
        <v>95</v>
      </c>
      <c r="AA250" s="5" t="s">
        <v>95</v>
      </c>
      <c r="AB250" s="5"/>
      <c r="AC250" s="5"/>
    </row>
    <row r="251" spans="1:29" ht="30.75" customHeight="1" x14ac:dyDescent="0.25">
      <c r="A251" s="200">
        <v>6</v>
      </c>
      <c r="D251" s="132">
        <f>IF($C$10="IOU",1,0)</f>
        <v>0</v>
      </c>
      <c r="F251" s="150"/>
      <c r="G251" s="201" t="str">
        <f t="shared" si="62"/>
        <v>(6)</v>
      </c>
      <c r="H251" s="116" t="str">
        <f>+"Capital Expenditures - Are estimates at "&amp;TEXT(Q303,"0.00%")&amp;" of prior year-end GROSS Property, plant and equipment."</f>
        <v>Capital Expenditures - Are estimates at 1.59% of prior year-end GROSS Property, plant and equipment.</v>
      </c>
      <c r="I251" s="116"/>
      <c r="J251" s="116"/>
      <c r="K251" s="116"/>
      <c r="L251" s="116"/>
      <c r="M251" s="116"/>
      <c r="N251" s="109"/>
      <c r="O251" s="109"/>
      <c r="P251" s="109"/>
      <c r="Q251" s="109"/>
      <c r="R251" s="5"/>
      <c r="T251" s="204" t="str">
        <f>+"reduction in cost due to the fact governmental agencies must pay prevailing wages while private companies do not. Post-2020 years are estimates at "&amp;TEXT(Q303,"0.00%")&amp;" of prior year-end GROSS Property, plant and equipment."</f>
        <v>reduction in cost due to the fact governmental agencies must pay prevailing wages while private companies do not. Post-2020 years are estimates at 1.59% of prior year-end GROSS Property, plant and equipment.</v>
      </c>
      <c r="U251" s="5"/>
      <c r="V251" s="5"/>
      <c r="W251" s="5"/>
      <c r="X251" s="5"/>
      <c r="Y251" s="5"/>
      <c r="Z251" s="5"/>
      <c r="AB251" s="5"/>
      <c r="AC251" s="5"/>
    </row>
    <row r="252" spans="1:29" ht="17.25" customHeight="1" x14ac:dyDescent="0.25">
      <c r="A252" s="200">
        <v>7</v>
      </c>
      <c r="D252" s="132">
        <v>1</v>
      </c>
      <c r="G252" s="201" t="str">
        <f t="shared" si="62"/>
        <v>(7)</v>
      </c>
      <c r="H252" s="205" t="s">
        <v>96</v>
      </c>
      <c r="I252" s="205"/>
      <c r="J252" s="205"/>
      <c r="K252" s="205"/>
      <c r="L252" s="205"/>
      <c r="M252" s="205"/>
      <c r="N252" s="205"/>
      <c r="O252" s="205"/>
      <c r="P252" s="205"/>
      <c r="Q252" s="205"/>
      <c r="R252" s="206"/>
      <c r="S252" s="206"/>
      <c r="T252" s="5" t="str">
        <f>+"Capital Expenditures - Year 2016 are from Engineers Assessment inventory post-2015 additions. Years 2017 - 2020 are from Engineers Assessment CIP @ 30%. "&amp;T251</f>
        <v>Capital Expenditures - Year 2016 are from Engineers Assessment inventory post-2015 additions. Years 2017 - 2020 are from Engineers Assessment CIP @ 30%. reduction in cost due to the fact governmental agencies must pay prevailing wages while private companies do not. Post-2020 years are estimates at 1.59% of prior year-end GROSS Property, plant and equipment.</v>
      </c>
      <c r="U252" s="5"/>
      <c r="V252" s="5"/>
      <c r="W252" s="5"/>
      <c r="X252" s="5"/>
      <c r="Y252" s="5"/>
      <c r="Z252" s="5"/>
      <c r="AB252" s="5"/>
      <c r="AC252" s="5"/>
    </row>
    <row r="253" spans="1:29" ht="15" x14ac:dyDescent="0.25">
      <c r="D253" s="132">
        <v>0</v>
      </c>
    </row>
    <row r="254" spans="1:29" ht="30.75" customHeight="1" x14ac:dyDescent="0.25">
      <c r="A254" s="5">
        <v>0</v>
      </c>
      <c r="D254" s="132">
        <v>0</v>
      </c>
      <c r="G254" s="201"/>
      <c r="H254" s="207" t="s">
        <v>97</v>
      </c>
      <c r="I254" s="207"/>
      <c r="J254" s="207"/>
      <c r="K254" s="207"/>
      <c r="L254" s="207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B254" s="5"/>
      <c r="AC254" s="5"/>
    </row>
    <row r="255" spans="1:29" ht="15" x14ac:dyDescent="0.25">
      <c r="A255" s="5">
        <v>0</v>
      </c>
      <c r="D255" s="132">
        <v>0</v>
      </c>
      <c r="G255" s="203"/>
      <c r="H255" s="2" t="s">
        <v>98</v>
      </c>
      <c r="I255" s="6"/>
      <c r="J255" s="208"/>
      <c r="K255" s="6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B255" s="5"/>
      <c r="AC255" s="5"/>
    </row>
    <row r="256" spans="1:29" ht="30" customHeight="1" x14ac:dyDescent="0.25">
      <c r="A256" s="5">
        <v>8</v>
      </c>
      <c r="D256" s="132">
        <f>IF($C$10="IOU",1,0)</f>
        <v>0</v>
      </c>
      <c r="G256" s="201" t="str">
        <f t="shared" ref="G256:G264" si="63">"("&amp;TEXT(A256,0)&amp;")"</f>
        <v>(8)</v>
      </c>
      <c r="H256" s="207" t="s">
        <v>99</v>
      </c>
      <c r="I256" s="207"/>
      <c r="J256" s="207"/>
      <c r="K256" s="207"/>
      <c r="L256" s="207"/>
      <c r="M256" s="207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B256" s="5"/>
      <c r="AC256" s="5"/>
    </row>
    <row r="257" spans="1:29" ht="30" customHeight="1" x14ac:dyDescent="0.25">
      <c r="A257" s="5">
        <v>9</v>
      </c>
      <c r="D257" s="132">
        <f>IF($C$10="IOU",1,0)</f>
        <v>0</v>
      </c>
      <c r="G257" s="201" t="str">
        <f t="shared" si="63"/>
        <v>(9)</v>
      </c>
      <c r="H257" s="207" t="s">
        <v>100</v>
      </c>
      <c r="I257" s="207"/>
      <c r="J257" s="207"/>
      <c r="K257" s="207"/>
      <c r="L257" s="207"/>
      <c r="M257" s="207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B257" s="5"/>
      <c r="AC257" s="5"/>
    </row>
    <row r="258" spans="1:29" ht="30" customHeight="1" x14ac:dyDescent="0.25">
      <c r="A258" s="5">
        <v>8</v>
      </c>
      <c r="D258" s="132">
        <f>IF($C$10="IOU",0,1)</f>
        <v>1</v>
      </c>
      <c r="G258" s="201" t="str">
        <f t="shared" si="63"/>
        <v>(8)</v>
      </c>
      <c r="H258" s="207" t="s">
        <v>101</v>
      </c>
      <c r="I258" s="207"/>
      <c r="J258" s="207"/>
      <c r="K258" s="207"/>
      <c r="L258" s="207"/>
      <c r="M258" s="207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B258" s="5"/>
      <c r="AC258" s="5"/>
    </row>
    <row r="259" spans="1:29" ht="30" customHeight="1" x14ac:dyDescent="0.25">
      <c r="A259" s="5">
        <v>9</v>
      </c>
      <c r="D259" s="132">
        <f>IF($C$10="MUNI",1,0)</f>
        <v>1</v>
      </c>
      <c r="G259" s="201" t="str">
        <f t="shared" si="63"/>
        <v>(9)</v>
      </c>
      <c r="H259" s="207" t="s">
        <v>102</v>
      </c>
      <c r="I259" s="207"/>
      <c r="J259" s="207"/>
      <c r="K259" s="207"/>
      <c r="L259" s="207"/>
      <c r="M259" s="207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B259" s="5"/>
      <c r="AC259" s="5"/>
    </row>
    <row r="260" spans="1:29" ht="15" x14ac:dyDescent="0.25">
      <c r="A260" s="5">
        <v>10</v>
      </c>
      <c r="B260" s="202">
        <f>+F52</f>
        <v>26</v>
      </c>
      <c r="D260" s="132">
        <v>1</v>
      </c>
      <c r="G260" s="203" t="str">
        <f t="shared" si="63"/>
        <v>(10)</v>
      </c>
      <c r="H260" s="2" t="str">
        <f>+"Final year shown, line "&amp;B260&amp;"."</f>
        <v>Final year shown, line 26.</v>
      </c>
      <c r="I260" s="6"/>
      <c r="J260" s="208"/>
      <c r="K260" s="6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B260" s="5"/>
      <c r="AC260" s="5"/>
    </row>
    <row r="261" spans="1:29" ht="15" x14ac:dyDescent="0.25">
      <c r="A261" s="5">
        <v>11</v>
      </c>
      <c r="B261" s="202">
        <f>IF($C$10="IOU",+F54,+F70)</f>
        <v>28</v>
      </c>
      <c r="D261" s="132">
        <f>IF($C$10="SUBJECT",0,1)</f>
        <v>1</v>
      </c>
      <c r="G261" s="203" t="str">
        <f t="shared" si="63"/>
        <v>(11)</v>
      </c>
      <c r="H261" s="2" t="str">
        <f>+"Final year shown, line "&amp;B261&amp;"."</f>
        <v>Final year shown, line 28.</v>
      </c>
      <c r="I261" s="6"/>
      <c r="J261" s="208"/>
      <c r="K261" s="6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B261" s="5"/>
      <c r="AC261" s="5"/>
    </row>
    <row r="262" spans="1:29" ht="15" x14ac:dyDescent="0.25">
      <c r="A262" s="5">
        <v>12</v>
      </c>
      <c r="B262" s="202">
        <f>IF($C$10="IOU",+F58,+F70)</f>
        <v>28</v>
      </c>
      <c r="D262" s="132">
        <f>IF($C$10="SUBJECT",0,1)</f>
        <v>1</v>
      </c>
      <c r="G262" s="203" t="str">
        <f t="shared" si="63"/>
        <v>(12)</v>
      </c>
      <c r="H262" s="2" t="str">
        <f>+"Final year shown, line "&amp;B262&amp;"."</f>
        <v>Final year shown, line 28.</v>
      </c>
      <c r="I262" s="6"/>
      <c r="J262" s="208"/>
      <c r="K262" s="6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B262" s="5"/>
      <c r="AC262" s="5"/>
    </row>
    <row r="263" spans="1:29" ht="15" x14ac:dyDescent="0.25">
      <c r="A263" s="5">
        <v>13</v>
      </c>
      <c r="B263" s="2"/>
      <c r="D263" s="132">
        <f>IF($C$10="SUBJECT",0,1)</f>
        <v>1</v>
      </c>
      <c r="G263" s="203" t="str">
        <f t="shared" si="63"/>
        <v>(13)</v>
      </c>
      <c r="H263" s="2" t="s">
        <v>103</v>
      </c>
      <c r="I263" s="6"/>
      <c r="J263" s="208"/>
      <c r="K263" s="6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B263" s="5"/>
      <c r="AC263" s="5"/>
    </row>
    <row r="264" spans="1:29" ht="15" x14ac:dyDescent="0.25">
      <c r="A264" s="5">
        <v>11</v>
      </c>
      <c r="D264" s="132"/>
      <c r="G264" s="203" t="str">
        <f t="shared" si="63"/>
        <v>(11)</v>
      </c>
      <c r="H264" s="2" t="s">
        <v>104</v>
      </c>
      <c r="I264" s="6"/>
      <c r="J264" s="208"/>
      <c r="K264" s="6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</row>
    <row r="265" spans="1:29" ht="15" x14ac:dyDescent="0.25">
      <c r="D265" s="132">
        <v>0</v>
      </c>
      <c r="G265" s="203"/>
      <c r="I265" s="6"/>
      <c r="J265" s="208"/>
      <c r="K265" s="6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</row>
    <row r="266" spans="1:29" ht="15" x14ac:dyDescent="0.25">
      <c r="B266" s="2"/>
      <c r="D266" s="132">
        <v>0</v>
      </c>
      <c r="G266" s="209"/>
      <c r="I266" s="6"/>
      <c r="J266" s="208"/>
      <c r="K266" s="6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</row>
    <row r="267" spans="1:29" ht="15" x14ac:dyDescent="0.25">
      <c r="D267" s="132">
        <v>1</v>
      </c>
      <c r="G267" s="209"/>
      <c r="H267" s="208"/>
      <c r="I267" s="6"/>
      <c r="J267" s="208"/>
      <c r="K267" s="6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</row>
    <row r="268" spans="1:29" ht="15" x14ac:dyDescent="0.25">
      <c r="D268" s="132">
        <v>1</v>
      </c>
      <c r="G268" s="210" t="s">
        <v>105</v>
      </c>
      <c r="I268" s="6"/>
      <c r="J268" s="208"/>
      <c r="K268" s="6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</row>
    <row r="269" spans="1:29" ht="15" x14ac:dyDescent="0.25">
      <c r="D269" s="132">
        <v>1</v>
      </c>
      <c r="G269" s="210"/>
      <c r="H269" s="2" t="s">
        <v>106</v>
      </c>
      <c r="I269" s="6"/>
      <c r="J269" s="208"/>
      <c r="K269" s="6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</row>
    <row r="270" spans="1:29" ht="15" x14ac:dyDescent="0.25">
      <c r="D270" s="132">
        <v>1</v>
      </c>
      <c r="G270" s="210"/>
      <c r="H270" s="2" t="s">
        <v>107</v>
      </c>
      <c r="I270" s="6"/>
      <c r="J270" s="208"/>
      <c r="K270" s="6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</row>
    <row r="271" spans="1:29" ht="15" x14ac:dyDescent="0.25">
      <c r="D271" s="132">
        <v>1</v>
      </c>
      <c r="G271" s="210"/>
      <c r="H271" s="2" t="s">
        <v>108</v>
      </c>
      <c r="I271" s="6"/>
      <c r="J271" s="208"/>
      <c r="K271" s="6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</row>
    <row r="272" spans="1:29" ht="15" x14ac:dyDescent="0.25">
      <c r="D272" s="132">
        <v>1</v>
      </c>
      <c r="G272" s="209"/>
      <c r="H272" s="2" t="s">
        <v>109</v>
      </c>
      <c r="I272" s="6"/>
      <c r="J272" s="208"/>
      <c r="K272" s="6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</row>
    <row r="273" spans="4:29" ht="15" x14ac:dyDescent="0.25">
      <c r="D273" s="132">
        <v>1</v>
      </c>
      <c r="G273" s="211"/>
      <c r="H273" s="2" t="s">
        <v>110</v>
      </c>
      <c r="I273" s="6"/>
      <c r="J273" s="6"/>
      <c r="K273" s="6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</row>
    <row r="274" spans="4:29" ht="15" x14ac:dyDescent="0.25">
      <c r="D274" s="132">
        <v>1</v>
      </c>
      <c r="G274" s="211"/>
      <c r="H274" s="2" t="s">
        <v>111</v>
      </c>
      <c r="I274" s="6"/>
      <c r="J274" s="6"/>
      <c r="K274" s="6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</row>
    <row r="275" spans="4:29" ht="15" x14ac:dyDescent="0.25">
      <c r="D275" s="132">
        <v>1</v>
      </c>
      <c r="G275" s="211"/>
      <c r="H275" s="2" t="s">
        <v>112</v>
      </c>
      <c r="I275" s="6"/>
      <c r="J275" s="6"/>
      <c r="K275" s="6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</row>
    <row r="276" spans="4:29" ht="15" x14ac:dyDescent="0.25">
      <c r="D276" s="132">
        <v>0</v>
      </c>
      <c r="G276" s="211"/>
      <c r="H276" s="2" t="s">
        <v>113</v>
      </c>
      <c r="I276" s="6"/>
      <c r="J276" s="6"/>
      <c r="K276" s="6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</row>
    <row r="277" spans="4:29" ht="15" x14ac:dyDescent="0.25">
      <c r="D277" s="132">
        <v>0</v>
      </c>
      <c r="G277" s="211"/>
      <c r="I277" s="6"/>
      <c r="J277" s="6"/>
      <c r="K277" s="6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</row>
    <row r="278" spans="4:29" ht="15" x14ac:dyDescent="0.25">
      <c r="D278" s="132">
        <v>0</v>
      </c>
      <c r="G278" s="211">
        <v>13</v>
      </c>
      <c r="H278" s="208"/>
      <c r="I278" s="6"/>
      <c r="J278" s="6"/>
      <c r="K278" s="6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</row>
    <row r="279" spans="4:29" ht="15" x14ac:dyDescent="0.25">
      <c r="D279" s="132">
        <v>0</v>
      </c>
      <c r="G279" s="211">
        <v>14</v>
      </c>
      <c r="H279" s="6"/>
      <c r="I279" s="6"/>
      <c r="J279" s="6"/>
      <c r="K279" s="6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</row>
    <row r="280" spans="4:29" ht="15" x14ac:dyDescent="0.25">
      <c r="D280" s="132">
        <v>0</v>
      </c>
      <c r="G280" s="211">
        <v>15</v>
      </c>
      <c r="H280" s="6"/>
      <c r="I280" s="6"/>
      <c r="J280" s="6"/>
      <c r="K280" s="6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</row>
    <row r="281" spans="4:29" ht="15" x14ac:dyDescent="0.25">
      <c r="D281" s="132">
        <v>0</v>
      </c>
      <c r="G281" s="211">
        <v>16</v>
      </c>
      <c r="H281" s="6"/>
      <c r="I281" s="6"/>
      <c r="J281" s="6"/>
      <c r="K281" s="6"/>
      <c r="L281" s="5"/>
      <c r="N281" s="5"/>
      <c r="R281" s="5"/>
      <c r="AA281" s="5"/>
      <c r="AB281" s="5"/>
      <c r="AC281" s="5"/>
    </row>
    <row r="282" spans="4:29" ht="15" x14ac:dyDescent="0.25">
      <c r="D282" s="132">
        <v>0</v>
      </c>
      <c r="G282" s="211">
        <v>17</v>
      </c>
      <c r="H282" s="6"/>
      <c r="I282" s="15"/>
      <c r="J282" s="15"/>
      <c r="K282" s="15"/>
      <c r="L282" s="15"/>
      <c r="M282" s="15"/>
      <c r="N282" s="15"/>
      <c r="O282" s="15"/>
      <c r="P282" s="15"/>
      <c r="R282" s="5"/>
      <c r="AA282" s="5"/>
      <c r="AB282" s="5"/>
      <c r="AC282" s="5"/>
    </row>
    <row r="283" spans="4:29" ht="15.75" thickBot="1" x14ac:dyDescent="0.3">
      <c r="D283" s="132">
        <v>0</v>
      </c>
      <c r="H283" s="6"/>
      <c r="I283" s="6"/>
      <c r="J283" s="6"/>
      <c r="K283" s="6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</row>
    <row r="284" spans="4:29" ht="13.5" thickBot="1" x14ac:dyDescent="0.25">
      <c r="G284" s="212" t="s">
        <v>114</v>
      </c>
      <c r="H284" s="213"/>
      <c r="I284" s="213"/>
      <c r="J284" s="213"/>
      <c r="K284" s="213"/>
      <c r="L284" s="213"/>
      <c r="M284" s="213"/>
      <c r="N284" s="214"/>
      <c r="O284" s="215" t="s">
        <v>114</v>
      </c>
      <c r="P284" s="35"/>
      <c r="Q284" s="35"/>
      <c r="R284" s="35"/>
      <c r="S284" s="35"/>
      <c r="T284" s="35"/>
      <c r="U284" s="35"/>
      <c r="V284" s="36"/>
      <c r="W284" s="5"/>
      <c r="X284" s="5"/>
      <c r="Y284" s="5"/>
      <c r="Z284" s="5"/>
      <c r="AA284" s="5"/>
      <c r="AB284" s="5"/>
      <c r="AC284" s="5"/>
    </row>
    <row r="285" spans="4:29" x14ac:dyDescent="0.2">
      <c r="H285" s="76">
        <f t="shared" ref="H285:Z285" si="64">+H19</f>
        <v>2013</v>
      </c>
      <c r="I285" s="76">
        <f t="shared" si="64"/>
        <v>2014</v>
      </c>
      <c r="J285" s="76">
        <f t="shared" si="64"/>
        <v>2015</v>
      </c>
      <c r="K285" s="76">
        <f t="shared" si="64"/>
        <v>2016</v>
      </c>
      <c r="L285" s="76">
        <f t="shared" si="64"/>
        <v>2017</v>
      </c>
      <c r="M285" s="76">
        <f t="shared" si="64"/>
        <v>2018</v>
      </c>
      <c r="N285" s="216">
        <f t="shared" si="64"/>
        <v>2019</v>
      </c>
      <c r="O285" s="216">
        <f t="shared" si="64"/>
        <v>2020</v>
      </c>
      <c r="P285" s="76">
        <f t="shared" si="64"/>
        <v>2021</v>
      </c>
      <c r="Q285" s="76">
        <f t="shared" si="64"/>
        <v>2022</v>
      </c>
      <c r="R285" s="76">
        <f t="shared" si="64"/>
        <v>2023</v>
      </c>
      <c r="S285" s="76">
        <f t="shared" si="64"/>
        <v>2024</v>
      </c>
      <c r="T285" s="76">
        <f t="shared" si="64"/>
        <v>2025</v>
      </c>
      <c r="U285" s="76">
        <f t="shared" si="64"/>
        <v>2026</v>
      </c>
      <c r="V285" s="76">
        <f t="shared" si="64"/>
        <v>2027</v>
      </c>
      <c r="W285" s="76">
        <f t="shared" si="64"/>
        <v>2028</v>
      </c>
      <c r="X285" s="76">
        <f t="shared" si="64"/>
        <v>2029</v>
      </c>
      <c r="Y285" s="76">
        <f t="shared" si="64"/>
        <v>2030</v>
      </c>
      <c r="Z285" s="76">
        <f t="shared" si="64"/>
        <v>2031</v>
      </c>
      <c r="AA285" s="76">
        <f t="shared" ref="AA285" si="65">+Z285+1</f>
        <v>2032</v>
      </c>
    </row>
    <row r="286" spans="4:29" x14ac:dyDescent="0.2">
      <c r="H286" s="76"/>
      <c r="I286" s="76"/>
      <c r="J286" s="76"/>
      <c r="K286" s="76"/>
      <c r="L286" s="76"/>
      <c r="M286" s="76"/>
      <c r="N286" s="76"/>
      <c r="O286" s="76"/>
      <c r="P286" s="76"/>
      <c r="Q286" s="76"/>
      <c r="R286" s="76"/>
      <c r="S286" s="76"/>
      <c r="T286" s="76"/>
      <c r="U286" s="76"/>
      <c r="V286" s="76"/>
      <c r="W286" s="76"/>
      <c r="X286" s="76"/>
      <c r="Y286" s="76"/>
      <c r="Z286" s="76"/>
      <c r="AA286" s="76"/>
    </row>
    <row r="287" spans="4:29" x14ac:dyDescent="0.2">
      <c r="G287" s="2" t="s">
        <v>115</v>
      </c>
      <c r="H287" s="217">
        <f>+H449</f>
        <v>0</v>
      </c>
      <c r="I287" s="217">
        <f t="shared" ref="I287:J287" si="66">+I449</f>
        <v>0</v>
      </c>
      <c r="J287" s="217">
        <f t="shared" si="66"/>
        <v>0</v>
      </c>
      <c r="K287" s="217"/>
      <c r="L287" s="217">
        <v>4931649</v>
      </c>
      <c r="M287" s="217">
        <f>+L287+M304-M309</f>
        <v>4931649</v>
      </c>
      <c r="N287" s="217">
        <f>+M287+N304-N309</f>
        <v>4997755</v>
      </c>
      <c r="O287" s="217">
        <f>+N287+O304-O309</f>
        <v>5064227</v>
      </c>
      <c r="P287" s="217">
        <f>+O287+P304-P309</f>
        <v>5131586</v>
      </c>
      <c r="Q287" s="217">
        <f>+P287+Q304-Q309</f>
        <v>5199842</v>
      </c>
      <c r="R287" s="217">
        <f>+Q287+R304-R309</f>
        <v>5269005</v>
      </c>
      <c r="S287" s="217">
        <f>+R287+S304-S309</f>
        <v>5339087</v>
      </c>
      <c r="T287" s="217">
        <f>+S287+T304-T309</f>
        <v>5410102</v>
      </c>
      <c r="U287" s="217">
        <f>+T287+U304-U309</f>
        <v>5483220</v>
      </c>
      <c r="V287" s="217">
        <f>+U287+V304-V309</f>
        <v>5557326</v>
      </c>
      <c r="W287" s="217">
        <f>+V287+W304-W309</f>
        <v>5632433</v>
      </c>
      <c r="X287" s="217">
        <f>+W287+X304-X309</f>
        <v>5708556</v>
      </c>
      <c r="Y287" s="217">
        <f>+X287+Y304-Y309</f>
        <v>5785707</v>
      </c>
      <c r="Z287" s="217">
        <f>+Y287+Z304-Z309</f>
        <v>5863901</v>
      </c>
      <c r="AA287" s="76"/>
    </row>
    <row r="288" spans="4:29" x14ac:dyDescent="0.2">
      <c r="G288" s="2" t="s">
        <v>116</v>
      </c>
      <c r="H288" s="217">
        <f t="shared" ref="H288:J288" si="67">+H450</f>
        <v>0</v>
      </c>
      <c r="I288" s="217">
        <f t="shared" si="67"/>
        <v>0</v>
      </c>
      <c r="J288" s="217">
        <f t="shared" si="67"/>
        <v>0</v>
      </c>
      <c r="K288" s="217"/>
      <c r="L288" s="217">
        <v>1696790</v>
      </c>
      <c r="M288" s="217">
        <f>+L288+M312-M309</f>
        <v>1778655.3733999999</v>
      </c>
      <c r="N288" s="217">
        <f>+M288+N312-N309</f>
        <v>1849307.0911999999</v>
      </c>
      <c r="O288" s="217">
        <f>+N288+O312-O309</f>
        <v>1920994.1061999998</v>
      </c>
      <c r="P288" s="217">
        <f>+O288+P312-P309</f>
        <v>1993633.9501999998</v>
      </c>
      <c r="Q288" s="217">
        <f>+P288+Q312-Q309</f>
        <v>2067239.3307999999</v>
      </c>
      <c r="R288" s="217">
        <f>+Q288+R312-R309</f>
        <v>2141824.105</v>
      </c>
      <c r="S288" s="217">
        <f>+R288+S312-S309</f>
        <v>2217400.2791999998</v>
      </c>
      <c r="T288" s="217">
        <f>+S288+T312-T309</f>
        <v>2293982.0921999998</v>
      </c>
      <c r="U288" s="217">
        <f>+T288+U312-U309</f>
        <v>2371386.5955999997</v>
      </c>
      <c r="V288" s="217">
        <f>+U288+V312-V309</f>
        <v>2449837.9693999998</v>
      </c>
      <c r="W288" s="217">
        <f>+V288+W312-W309</f>
        <v>2529348.5645999997</v>
      </c>
      <c r="X288" s="217">
        <f>+W288+X312-X309</f>
        <v>2609933.9645999996</v>
      </c>
      <c r="Y288" s="217">
        <f>+X288+Y312-Y309</f>
        <v>2691607.9851999995</v>
      </c>
      <c r="Z288" s="217">
        <f>+Y288+Z312-Z309</f>
        <v>2774386.6579999994</v>
      </c>
      <c r="AA288" s="76"/>
    </row>
    <row r="289" spans="4:27" ht="13.5" thickBot="1" x14ac:dyDescent="0.25">
      <c r="G289" s="218" t="s">
        <v>117</v>
      </c>
      <c r="H289" s="219">
        <f>+H287-H288</f>
        <v>0</v>
      </c>
      <c r="I289" s="219">
        <f t="shared" ref="I289:Z289" si="68">+I287-I288</f>
        <v>0</v>
      </c>
      <c r="J289" s="219">
        <f t="shared" si="68"/>
        <v>0</v>
      </c>
      <c r="K289" s="219"/>
      <c r="L289" s="219">
        <v>3234859</v>
      </c>
      <c r="M289" s="219">
        <f t="shared" si="68"/>
        <v>3152993.6266000001</v>
      </c>
      <c r="N289" s="219">
        <f t="shared" si="68"/>
        <v>3148447.9088000003</v>
      </c>
      <c r="O289" s="219">
        <f t="shared" si="68"/>
        <v>3143232.8938000002</v>
      </c>
      <c r="P289" s="219">
        <f t="shared" si="68"/>
        <v>3137952.0498000002</v>
      </c>
      <c r="Q289" s="219">
        <f t="shared" si="68"/>
        <v>3132602.6692000004</v>
      </c>
      <c r="R289" s="219">
        <f t="shared" si="68"/>
        <v>3127180.895</v>
      </c>
      <c r="S289" s="219">
        <f t="shared" si="68"/>
        <v>3121686.7208000002</v>
      </c>
      <c r="T289" s="219">
        <f t="shared" si="68"/>
        <v>3116119.9078000002</v>
      </c>
      <c r="U289" s="219">
        <f t="shared" si="68"/>
        <v>3111833.4044000003</v>
      </c>
      <c r="V289" s="219">
        <f t="shared" si="68"/>
        <v>3107488.0306000002</v>
      </c>
      <c r="W289" s="219">
        <f t="shared" si="68"/>
        <v>3103084.4354000003</v>
      </c>
      <c r="X289" s="219">
        <f t="shared" si="68"/>
        <v>3098622.0354000004</v>
      </c>
      <c r="Y289" s="219">
        <f t="shared" si="68"/>
        <v>3094099.0148000005</v>
      </c>
      <c r="Z289" s="219">
        <f t="shared" si="68"/>
        <v>3089514.3420000006</v>
      </c>
      <c r="AA289" s="76"/>
    </row>
    <row r="290" spans="4:27" ht="13.5" thickTop="1" x14ac:dyDescent="0.2">
      <c r="H290" s="76"/>
      <c r="I290" s="76"/>
      <c r="J290" s="76"/>
      <c r="K290" s="76"/>
      <c r="L290" s="220"/>
      <c r="M290" s="76"/>
      <c r="N290" s="76"/>
      <c r="O290" s="76"/>
      <c r="P290" s="76"/>
      <c r="Q290" s="76"/>
      <c r="R290" s="76"/>
      <c r="S290" s="76"/>
      <c r="T290" s="76"/>
      <c r="U290" s="76"/>
      <c r="V290" s="76"/>
      <c r="W290" s="76"/>
      <c r="X290" s="76"/>
      <c r="Y290" s="76"/>
      <c r="Z290" s="220"/>
      <c r="AA290" s="76"/>
    </row>
    <row r="291" spans="4:27" ht="15" x14ac:dyDescent="0.25">
      <c r="G291" s="69" t="s">
        <v>118</v>
      </c>
      <c r="H291" s="217">
        <f>+H453</f>
        <v>0</v>
      </c>
      <c r="I291" s="217">
        <f t="shared" ref="I291:K292" si="69">+I453</f>
        <v>0</v>
      </c>
      <c r="J291" s="217">
        <f t="shared" si="69"/>
        <v>0</v>
      </c>
      <c r="K291" s="217">
        <f t="shared" si="69"/>
        <v>0</v>
      </c>
      <c r="L291" s="221">
        <f>+K291</f>
        <v>0</v>
      </c>
      <c r="M291" s="222">
        <f>+L291</f>
        <v>0</v>
      </c>
      <c r="N291" s="222">
        <f>+M291</f>
        <v>0</v>
      </c>
      <c r="O291" s="223"/>
      <c r="P291" s="223"/>
      <c r="Q291" s="223"/>
      <c r="R291" s="223"/>
      <c r="S291" s="223"/>
      <c r="T291" s="223"/>
      <c r="U291" s="223"/>
      <c r="V291" s="223"/>
      <c r="W291" s="223"/>
      <c r="X291" s="223"/>
      <c r="Y291" s="223"/>
      <c r="Z291" s="223"/>
      <c r="AA291" s="76"/>
    </row>
    <row r="292" spans="4:27" ht="15" x14ac:dyDescent="0.25">
      <c r="D292" s="224"/>
      <c r="G292" s="69" t="s">
        <v>119</v>
      </c>
      <c r="H292" s="217">
        <f>+H454</f>
        <v>0</v>
      </c>
      <c r="I292" s="217">
        <f t="shared" si="69"/>
        <v>0</v>
      </c>
      <c r="J292" s="217">
        <f t="shared" si="69"/>
        <v>0</v>
      </c>
      <c r="K292" s="217">
        <f t="shared" si="69"/>
        <v>2723127</v>
      </c>
      <c r="L292" s="221">
        <f>+K292</f>
        <v>2723127</v>
      </c>
      <c r="M292" s="221">
        <f t="shared" ref="M292:N292" si="70">+L292</f>
        <v>2723127</v>
      </c>
      <c r="N292" s="221">
        <f t="shared" si="70"/>
        <v>2723127</v>
      </c>
      <c r="O292" s="223"/>
      <c r="P292" s="223"/>
      <c r="Q292" s="223"/>
      <c r="R292" s="223"/>
      <c r="S292" s="223"/>
      <c r="T292" s="223"/>
      <c r="U292" s="223"/>
      <c r="V292" s="223"/>
      <c r="W292" s="223"/>
      <c r="X292" s="223"/>
      <c r="Y292" s="223"/>
      <c r="Z292" s="223"/>
      <c r="AA292" s="76"/>
    </row>
    <row r="293" spans="4:27" ht="13.5" thickBot="1" x14ac:dyDescent="0.25">
      <c r="G293" s="218" t="s">
        <v>120</v>
      </c>
      <c r="H293" s="219">
        <f>SUM(H291:H292)</f>
        <v>0</v>
      </c>
      <c r="I293" s="219">
        <f t="shared" ref="I293:L293" si="71">SUM(I291:I292)</f>
        <v>0</v>
      </c>
      <c r="J293" s="219">
        <f t="shared" si="71"/>
        <v>0</v>
      </c>
      <c r="K293" s="219">
        <f t="shared" si="71"/>
        <v>2723127</v>
      </c>
      <c r="L293" s="219">
        <f t="shared" si="71"/>
        <v>2723127</v>
      </c>
      <c r="M293" s="225">
        <f>SUM(M291:M292)</f>
        <v>2723127</v>
      </c>
      <c r="N293" s="225">
        <f>SUM(N291:N292)</f>
        <v>2723127</v>
      </c>
      <c r="O293" s="219"/>
      <c r="P293" s="219"/>
      <c r="Q293" s="219"/>
      <c r="R293" s="219"/>
      <c r="S293" s="219"/>
      <c r="T293" s="219"/>
      <c r="U293" s="219"/>
      <c r="V293" s="219"/>
      <c r="W293" s="219"/>
      <c r="X293" s="219"/>
      <c r="Y293" s="219"/>
      <c r="Z293" s="219"/>
      <c r="AA293" s="76"/>
    </row>
    <row r="294" spans="4:27" ht="13.5" thickTop="1" x14ac:dyDescent="0.2">
      <c r="H294" s="76"/>
      <c r="I294" s="76"/>
      <c r="J294" s="76"/>
      <c r="K294" s="76"/>
      <c r="L294" s="76"/>
      <c r="M294" s="76"/>
      <c r="N294" s="76"/>
      <c r="O294" s="76"/>
      <c r="P294" s="76"/>
      <c r="Q294" s="76"/>
      <c r="R294" s="76"/>
      <c r="S294" s="76"/>
      <c r="T294" s="76"/>
      <c r="U294" s="76"/>
      <c r="V294" s="76"/>
      <c r="W294" s="76"/>
      <c r="X294" s="76"/>
      <c r="Y294" s="76"/>
      <c r="Z294" s="76"/>
      <c r="AA294" s="76"/>
    </row>
    <row r="295" spans="4:27" x14ac:dyDescent="0.2">
      <c r="H295" s="76"/>
      <c r="I295" s="76"/>
      <c r="J295" s="76"/>
      <c r="K295" s="76"/>
      <c r="L295" s="76"/>
      <c r="M295" s="76"/>
      <c r="O295" s="216"/>
      <c r="P295" s="76"/>
      <c r="Q295" s="76"/>
      <c r="R295" s="76"/>
      <c r="S295" s="76"/>
      <c r="T295" s="76"/>
      <c r="U295" s="76"/>
      <c r="V295" s="76"/>
      <c r="W295" s="76"/>
      <c r="X295" s="76"/>
      <c r="Y295" s="76"/>
      <c r="Z295" s="76"/>
      <c r="AA295" s="76"/>
    </row>
    <row r="296" spans="4:27" x14ac:dyDescent="0.2">
      <c r="G296" s="2" t="s">
        <v>121</v>
      </c>
      <c r="H296" s="71" t="e">
        <f>+H48/H287</f>
        <v>#DIV/0!</v>
      </c>
      <c r="I296" s="71" t="e">
        <f>+I48/I287</f>
        <v>#DIV/0!</v>
      </c>
      <c r="J296" s="71" t="e">
        <f>+J48/J287</f>
        <v>#DIV/0!</v>
      </c>
      <c r="K296" s="71">
        <f>+L296</f>
        <v>1.66E-2</v>
      </c>
      <c r="L296" s="71">
        <v>1.66E-2</v>
      </c>
      <c r="M296" s="71">
        <v>1.66E-2</v>
      </c>
      <c r="O296" s="216"/>
      <c r="P296" s="76"/>
      <c r="Q296" s="76"/>
      <c r="R296" s="76"/>
      <c r="S296" s="76"/>
      <c r="T296" s="76"/>
      <c r="U296" s="76"/>
      <c r="V296" s="76"/>
      <c r="W296" s="76"/>
      <c r="X296" s="76"/>
      <c r="Y296" s="76"/>
      <c r="Z296" s="76"/>
      <c r="AA296" s="76"/>
    </row>
    <row r="297" spans="4:27" x14ac:dyDescent="0.2">
      <c r="H297" s="76"/>
      <c r="I297" s="76"/>
      <c r="J297" s="76"/>
      <c r="K297" s="76"/>
      <c r="L297" s="76"/>
      <c r="M297" s="76"/>
      <c r="N297" s="76"/>
      <c r="O297" s="76"/>
      <c r="P297" s="76"/>
      <c r="Q297" s="76"/>
      <c r="R297" s="76"/>
      <c r="S297" s="76"/>
      <c r="T297" s="76"/>
      <c r="U297" s="76"/>
      <c r="V297" s="76"/>
      <c r="W297" s="76"/>
      <c r="X297" s="76"/>
      <c r="Y297" s="76"/>
      <c r="Z297" s="76"/>
      <c r="AA297" s="76"/>
    </row>
    <row r="298" spans="4:27" x14ac:dyDescent="0.2">
      <c r="H298" s="76"/>
      <c r="I298" s="76"/>
      <c r="J298" s="76"/>
      <c r="K298" s="76"/>
      <c r="L298" s="76"/>
      <c r="M298" s="76"/>
      <c r="N298" s="76"/>
      <c r="O298" s="76"/>
      <c r="P298" s="76"/>
      <c r="Q298" s="76"/>
      <c r="R298" s="76"/>
      <c r="S298" s="76"/>
      <c r="T298" s="76"/>
      <c r="U298" s="76"/>
      <c r="V298" s="76"/>
      <c r="W298" s="76"/>
      <c r="X298" s="76"/>
      <c r="Y298" s="76"/>
      <c r="Z298" s="76"/>
      <c r="AA298" s="76"/>
    </row>
    <row r="299" spans="4:27" x14ac:dyDescent="0.2">
      <c r="H299" s="76"/>
      <c r="I299" s="76"/>
      <c r="J299" s="76"/>
      <c r="K299" s="76"/>
      <c r="L299" s="76"/>
      <c r="M299" s="76"/>
      <c r="N299" s="76"/>
      <c r="O299" s="76"/>
      <c r="P299" s="76"/>
      <c r="Q299" s="76"/>
      <c r="R299" s="76"/>
      <c r="S299" s="76"/>
      <c r="T299" s="76"/>
      <c r="U299" s="76"/>
      <c r="V299" s="76"/>
      <c r="W299" s="76"/>
      <c r="X299" s="76"/>
      <c r="Y299" s="76"/>
      <c r="Z299" s="76"/>
      <c r="AA299" s="76"/>
    </row>
    <row r="300" spans="4:27" ht="13.5" thickBot="1" x14ac:dyDescent="0.25">
      <c r="H300" s="76"/>
      <c r="I300" s="76"/>
      <c r="J300" s="76"/>
      <c r="K300" s="123" t="s">
        <v>122</v>
      </c>
      <c r="L300" s="204">
        <f>+L323</f>
        <v>0</v>
      </c>
      <c r="M300" s="204">
        <f t="shared" ref="M300:T300" si="72">+M323</f>
        <v>0</v>
      </c>
      <c r="N300" s="204">
        <f t="shared" si="72"/>
        <v>77772.104729999992</v>
      </c>
      <c r="O300" s="204">
        <f t="shared" si="72"/>
        <v>78201.831909999994</v>
      </c>
      <c r="P300" s="204">
        <f t="shared" si="72"/>
        <v>79246.164250000016</v>
      </c>
      <c r="Q300" s="204">
        <f t="shared" si="72"/>
        <v>80300.501799999998</v>
      </c>
      <c r="R300" s="204">
        <f t="shared" si="72"/>
        <v>81367.861569999994</v>
      </c>
      <c r="S300" s="204">
        <f t="shared" si="72"/>
        <v>82450.285489999995</v>
      </c>
      <c r="T300" s="204">
        <f t="shared" si="72"/>
        <v>83546.965490000002</v>
      </c>
      <c r="U300" s="76"/>
      <c r="V300" s="76"/>
      <c r="W300" s="76"/>
      <c r="X300" s="76"/>
      <c r="Y300" s="76"/>
      <c r="Z300" s="76"/>
      <c r="AA300" s="76"/>
    </row>
    <row r="301" spans="4:27" ht="13.5" thickBot="1" x14ac:dyDescent="0.25">
      <c r="H301" s="76"/>
      <c r="I301" s="76"/>
      <c r="J301" s="2" t="s">
        <v>123</v>
      </c>
      <c r="K301" s="226">
        <v>0</v>
      </c>
      <c r="L301" s="76"/>
      <c r="M301" s="76"/>
      <c r="N301" s="117">
        <f t="shared" ref="N301:T301" si="73">IF($C$10="IOU",1-$K301,1)</f>
        <v>1</v>
      </c>
      <c r="O301" s="117">
        <f t="shared" si="73"/>
        <v>1</v>
      </c>
      <c r="P301" s="117">
        <f t="shared" si="73"/>
        <v>1</v>
      </c>
      <c r="Q301" s="117">
        <f t="shared" si="73"/>
        <v>1</v>
      </c>
      <c r="R301" s="117">
        <f t="shared" si="73"/>
        <v>1</v>
      </c>
      <c r="S301" s="117">
        <f t="shared" si="73"/>
        <v>1</v>
      </c>
      <c r="T301" s="117">
        <f t="shared" si="73"/>
        <v>1</v>
      </c>
      <c r="U301" s="76"/>
      <c r="V301" s="76"/>
      <c r="W301" s="76"/>
      <c r="X301" s="76"/>
      <c r="Y301" s="76"/>
      <c r="Z301" s="76"/>
      <c r="AA301" s="76"/>
    </row>
    <row r="302" spans="4:27" x14ac:dyDescent="0.2">
      <c r="H302" s="76"/>
      <c r="I302" s="76"/>
      <c r="J302" s="76"/>
      <c r="K302" s="76"/>
      <c r="L302" s="76"/>
      <c r="M302" s="76"/>
      <c r="N302" s="76"/>
      <c r="O302" s="76"/>
      <c r="P302" s="76"/>
      <c r="Q302" s="76"/>
      <c r="R302" s="76"/>
      <c r="S302" s="76"/>
      <c r="T302" s="76"/>
      <c r="U302" s="76"/>
      <c r="V302" s="76"/>
      <c r="W302" s="76"/>
      <c r="X302" s="76"/>
      <c r="Y302" s="76"/>
      <c r="Z302" s="76"/>
      <c r="AA302" s="76"/>
    </row>
    <row r="303" spans="4:27" ht="18.75" x14ac:dyDescent="0.3">
      <c r="H303" s="76"/>
      <c r="I303" s="76"/>
      <c r="J303" s="76"/>
      <c r="K303" s="123" t="s">
        <v>124</v>
      </c>
      <c r="M303" s="71"/>
      <c r="N303" s="71"/>
      <c r="O303" s="71"/>
      <c r="P303" s="71"/>
      <c r="Q303" s="227">
        <v>1.5900000000000001E-2</v>
      </c>
      <c r="R303" s="71">
        <f t="shared" ref="R303:Z303" si="74">+Q303</f>
        <v>1.5900000000000001E-2</v>
      </c>
      <c r="S303" s="71">
        <f t="shared" si="74"/>
        <v>1.5900000000000001E-2</v>
      </c>
      <c r="T303" s="71">
        <f t="shared" si="74"/>
        <v>1.5900000000000001E-2</v>
      </c>
      <c r="U303" s="71">
        <f t="shared" si="74"/>
        <v>1.5900000000000001E-2</v>
      </c>
      <c r="V303" s="71">
        <f t="shared" si="74"/>
        <v>1.5900000000000001E-2</v>
      </c>
      <c r="W303" s="71">
        <f t="shared" si="74"/>
        <v>1.5900000000000001E-2</v>
      </c>
      <c r="X303" s="71">
        <f t="shared" si="74"/>
        <v>1.5900000000000001E-2</v>
      </c>
      <c r="Y303" s="71">
        <f t="shared" si="74"/>
        <v>1.5900000000000001E-2</v>
      </c>
      <c r="Z303" s="71">
        <f t="shared" si="74"/>
        <v>1.5900000000000001E-2</v>
      </c>
      <c r="AA303" s="76"/>
    </row>
    <row r="304" spans="4:27" x14ac:dyDescent="0.2">
      <c r="H304" s="76"/>
      <c r="I304" s="76"/>
      <c r="J304" s="76"/>
      <c r="K304" s="123" t="s">
        <v>125</v>
      </c>
      <c r="L304" s="204">
        <f>+L323</f>
        <v>0</v>
      </c>
      <c r="M304" s="204">
        <f t="shared" ref="M304" si="75">+M323</f>
        <v>0</v>
      </c>
      <c r="N304" s="204">
        <f>+ROUND(+N301*N300,0)</f>
        <v>77772</v>
      </c>
      <c r="O304" s="204">
        <f t="shared" ref="O304:T304" si="76">+ROUND(+O301*O300,0)</f>
        <v>78202</v>
      </c>
      <c r="P304" s="204">
        <f t="shared" si="76"/>
        <v>79246</v>
      </c>
      <c r="Q304" s="204">
        <f t="shared" si="76"/>
        <v>80301</v>
      </c>
      <c r="R304" s="204">
        <f t="shared" si="76"/>
        <v>81368</v>
      </c>
      <c r="S304" s="204">
        <f t="shared" si="76"/>
        <v>82450</v>
      </c>
      <c r="T304" s="204">
        <f t="shared" si="76"/>
        <v>83547</v>
      </c>
      <c r="U304" s="72">
        <f>ROUND(+U303*T287,0)</f>
        <v>86021</v>
      </c>
      <c r="V304" s="72">
        <f>ROUND(+V303*U287,0)</f>
        <v>87183</v>
      </c>
      <c r="W304" s="72">
        <f>ROUND(+W303*V287,0)</f>
        <v>88361</v>
      </c>
      <c r="X304" s="72">
        <f>ROUND(+X303*W287,0)</f>
        <v>89556</v>
      </c>
      <c r="Y304" s="72">
        <f>ROUND(+Y303*X287,0)</f>
        <v>90766</v>
      </c>
      <c r="Z304" s="72">
        <f>ROUND(+Z303*Y287,0)</f>
        <v>91993</v>
      </c>
      <c r="AA304" s="76"/>
    </row>
    <row r="305" spans="7:27" x14ac:dyDescent="0.2">
      <c r="H305" s="76"/>
      <c r="I305" s="76"/>
      <c r="J305" s="76"/>
      <c r="K305" s="123" t="s">
        <v>126</v>
      </c>
      <c r="L305" s="228">
        <f>+K296</f>
        <v>1.66E-2</v>
      </c>
      <c r="M305" s="228">
        <f>+M296</f>
        <v>1.66E-2</v>
      </c>
      <c r="N305" s="228">
        <f>+M296</f>
        <v>1.66E-2</v>
      </c>
      <c r="O305" s="228">
        <f t="shared" ref="O305:Z305" si="77">+N305</f>
        <v>1.66E-2</v>
      </c>
      <c r="P305" s="228">
        <f t="shared" si="77"/>
        <v>1.66E-2</v>
      </c>
      <c r="Q305" s="228">
        <f t="shared" si="77"/>
        <v>1.66E-2</v>
      </c>
      <c r="R305" s="228">
        <f t="shared" si="77"/>
        <v>1.66E-2</v>
      </c>
      <c r="S305" s="228">
        <f t="shared" si="77"/>
        <v>1.66E-2</v>
      </c>
      <c r="T305" s="228">
        <f t="shared" si="77"/>
        <v>1.66E-2</v>
      </c>
      <c r="U305" s="228">
        <f t="shared" si="77"/>
        <v>1.66E-2</v>
      </c>
      <c r="V305" s="228">
        <f t="shared" si="77"/>
        <v>1.66E-2</v>
      </c>
      <c r="W305" s="228">
        <f t="shared" si="77"/>
        <v>1.66E-2</v>
      </c>
      <c r="X305" s="228">
        <f t="shared" si="77"/>
        <v>1.66E-2</v>
      </c>
      <c r="Y305" s="228">
        <f t="shared" si="77"/>
        <v>1.66E-2</v>
      </c>
      <c r="Z305" s="228">
        <f t="shared" si="77"/>
        <v>1.66E-2</v>
      </c>
      <c r="AA305" s="76"/>
    </row>
    <row r="306" spans="7:27" x14ac:dyDescent="0.2">
      <c r="H306" s="76"/>
      <c r="I306" s="76"/>
      <c r="J306" s="76"/>
      <c r="K306" s="123" t="s">
        <v>127</v>
      </c>
      <c r="L306" s="71">
        <f>+L305*0.5</f>
        <v>8.3000000000000001E-3</v>
      </c>
      <c r="M306" s="71">
        <f>+M305*0.5</f>
        <v>8.3000000000000001E-3</v>
      </c>
      <c r="N306" s="71">
        <f>+N305*0.5</f>
        <v>8.3000000000000001E-3</v>
      </c>
      <c r="O306" s="71">
        <f t="shared" ref="O306:Z306" si="78">+O305*0.5</f>
        <v>8.3000000000000001E-3</v>
      </c>
      <c r="P306" s="71">
        <f t="shared" si="78"/>
        <v>8.3000000000000001E-3</v>
      </c>
      <c r="Q306" s="71">
        <f t="shared" si="78"/>
        <v>8.3000000000000001E-3</v>
      </c>
      <c r="R306" s="71">
        <f t="shared" si="78"/>
        <v>8.3000000000000001E-3</v>
      </c>
      <c r="S306" s="71">
        <f t="shared" si="78"/>
        <v>8.3000000000000001E-3</v>
      </c>
      <c r="T306" s="71">
        <f t="shared" si="78"/>
        <v>8.3000000000000001E-3</v>
      </c>
      <c r="U306" s="71">
        <f t="shared" si="78"/>
        <v>8.3000000000000001E-3</v>
      </c>
      <c r="V306" s="71">
        <f t="shared" si="78"/>
        <v>8.3000000000000001E-3</v>
      </c>
      <c r="W306" s="71">
        <f t="shared" si="78"/>
        <v>8.3000000000000001E-3</v>
      </c>
      <c r="X306" s="71">
        <f t="shared" si="78"/>
        <v>8.3000000000000001E-3</v>
      </c>
      <c r="Y306" s="71">
        <f t="shared" si="78"/>
        <v>8.3000000000000001E-3</v>
      </c>
      <c r="Z306" s="71">
        <f t="shared" si="78"/>
        <v>8.3000000000000001E-3</v>
      </c>
      <c r="AA306" s="76"/>
    </row>
    <row r="307" spans="7:27" x14ac:dyDescent="0.2">
      <c r="H307" s="76"/>
      <c r="K307" s="123" t="s">
        <v>128</v>
      </c>
      <c r="L307" s="72">
        <f>ROUND(+L306*L304,0)</f>
        <v>0</v>
      </c>
      <c r="M307" s="72">
        <f>ROUND(+M306*M304,0)</f>
        <v>0</v>
      </c>
      <c r="N307" s="72">
        <f>ROUND(+N306*N304,0)</f>
        <v>646</v>
      </c>
      <c r="O307" s="72">
        <f t="shared" ref="O307:Z307" si="79">ROUND(+O306*O304,0)</f>
        <v>649</v>
      </c>
      <c r="P307" s="72">
        <f t="shared" si="79"/>
        <v>658</v>
      </c>
      <c r="Q307" s="72">
        <f t="shared" si="79"/>
        <v>666</v>
      </c>
      <c r="R307" s="72">
        <f t="shared" si="79"/>
        <v>675</v>
      </c>
      <c r="S307" s="72">
        <f t="shared" si="79"/>
        <v>684</v>
      </c>
      <c r="T307" s="72">
        <f t="shared" si="79"/>
        <v>693</v>
      </c>
      <c r="U307" s="72">
        <f t="shared" si="79"/>
        <v>714</v>
      </c>
      <c r="V307" s="72">
        <f t="shared" si="79"/>
        <v>724</v>
      </c>
      <c r="W307" s="72">
        <f t="shared" si="79"/>
        <v>733</v>
      </c>
      <c r="X307" s="72">
        <f t="shared" si="79"/>
        <v>743</v>
      </c>
      <c r="Y307" s="72">
        <f t="shared" si="79"/>
        <v>753</v>
      </c>
      <c r="Z307" s="72">
        <f t="shared" si="79"/>
        <v>764</v>
      </c>
      <c r="AA307" s="76"/>
    </row>
    <row r="308" spans="7:27" x14ac:dyDescent="0.2">
      <c r="H308" s="76"/>
      <c r="K308" s="123" t="s">
        <v>129</v>
      </c>
      <c r="L308" s="73">
        <v>0.15</v>
      </c>
      <c r="M308" s="73">
        <v>0.15</v>
      </c>
      <c r="N308" s="73">
        <f>+M308</f>
        <v>0.15</v>
      </c>
      <c r="O308" s="73">
        <f t="shared" ref="O308:Z308" si="80">+N308</f>
        <v>0.15</v>
      </c>
      <c r="P308" s="73">
        <f t="shared" si="80"/>
        <v>0.15</v>
      </c>
      <c r="Q308" s="73">
        <f t="shared" si="80"/>
        <v>0.15</v>
      </c>
      <c r="R308" s="73">
        <f t="shared" si="80"/>
        <v>0.15</v>
      </c>
      <c r="S308" s="73">
        <f t="shared" si="80"/>
        <v>0.15</v>
      </c>
      <c r="T308" s="73">
        <f t="shared" si="80"/>
        <v>0.15</v>
      </c>
      <c r="U308" s="73">
        <f t="shared" si="80"/>
        <v>0.15</v>
      </c>
      <c r="V308" s="73">
        <f t="shared" si="80"/>
        <v>0.15</v>
      </c>
      <c r="W308" s="73">
        <f t="shared" si="80"/>
        <v>0.15</v>
      </c>
      <c r="X308" s="73">
        <f t="shared" si="80"/>
        <v>0.15</v>
      </c>
      <c r="Y308" s="73">
        <f t="shared" si="80"/>
        <v>0.15</v>
      </c>
      <c r="Z308" s="73">
        <f t="shared" si="80"/>
        <v>0.15</v>
      </c>
      <c r="AA308" s="76"/>
    </row>
    <row r="309" spans="7:27" x14ac:dyDescent="0.2">
      <c r="H309" s="76"/>
      <c r="K309" s="123" t="s">
        <v>130</v>
      </c>
      <c r="L309" s="72">
        <f>ROUND(+L308*L304,0)</f>
        <v>0</v>
      </c>
      <c r="M309" s="72">
        <f>ROUND(+M308*M304,0)</f>
        <v>0</v>
      </c>
      <c r="N309" s="72">
        <f t="shared" ref="N309:Z309" si="81">ROUND(+N308*N304,0)</f>
        <v>11666</v>
      </c>
      <c r="O309" s="72">
        <f t="shared" si="81"/>
        <v>11730</v>
      </c>
      <c r="P309" s="72">
        <f t="shared" si="81"/>
        <v>11887</v>
      </c>
      <c r="Q309" s="72">
        <f t="shared" si="81"/>
        <v>12045</v>
      </c>
      <c r="R309" s="72">
        <f t="shared" si="81"/>
        <v>12205</v>
      </c>
      <c r="S309" s="72">
        <f t="shared" si="81"/>
        <v>12368</v>
      </c>
      <c r="T309" s="72">
        <f t="shared" si="81"/>
        <v>12532</v>
      </c>
      <c r="U309" s="72">
        <f t="shared" si="81"/>
        <v>12903</v>
      </c>
      <c r="V309" s="72">
        <f t="shared" si="81"/>
        <v>13077</v>
      </c>
      <c r="W309" s="72">
        <f t="shared" si="81"/>
        <v>13254</v>
      </c>
      <c r="X309" s="72">
        <f t="shared" si="81"/>
        <v>13433</v>
      </c>
      <c r="Y309" s="72">
        <f t="shared" si="81"/>
        <v>13615</v>
      </c>
      <c r="Z309" s="72">
        <f t="shared" si="81"/>
        <v>13799</v>
      </c>
      <c r="AA309" s="76"/>
    </row>
    <row r="310" spans="7:27" x14ac:dyDescent="0.2">
      <c r="H310" s="76"/>
      <c r="K310" s="123" t="s">
        <v>131</v>
      </c>
      <c r="L310" s="72">
        <f>+L309*L305</f>
        <v>0</v>
      </c>
      <c r="M310" s="72">
        <f t="shared" ref="M310:Z310" si="82">+M309*M305</f>
        <v>0</v>
      </c>
      <c r="N310" s="72">
        <f t="shared" si="82"/>
        <v>193.65559999999999</v>
      </c>
      <c r="O310" s="72">
        <f t="shared" si="82"/>
        <v>194.71799999999999</v>
      </c>
      <c r="P310" s="72">
        <f t="shared" si="82"/>
        <v>197.32419999999999</v>
      </c>
      <c r="Q310" s="72">
        <f t="shared" si="82"/>
        <v>199.947</v>
      </c>
      <c r="R310" s="72">
        <f t="shared" si="82"/>
        <v>202.60300000000001</v>
      </c>
      <c r="S310" s="72">
        <f t="shared" si="82"/>
        <v>205.30879999999999</v>
      </c>
      <c r="T310" s="72">
        <f t="shared" si="82"/>
        <v>208.03120000000001</v>
      </c>
      <c r="U310" s="72">
        <f t="shared" si="82"/>
        <v>214.18979999999999</v>
      </c>
      <c r="V310" s="72">
        <f t="shared" si="82"/>
        <v>217.07820000000001</v>
      </c>
      <c r="W310" s="72">
        <f t="shared" si="82"/>
        <v>220.0164</v>
      </c>
      <c r="X310" s="72">
        <f t="shared" si="82"/>
        <v>222.98779999999999</v>
      </c>
      <c r="Y310" s="72">
        <f t="shared" si="82"/>
        <v>226.00900000000001</v>
      </c>
      <c r="Z310" s="72">
        <f t="shared" si="82"/>
        <v>229.0634</v>
      </c>
      <c r="AA310" s="76"/>
    </row>
    <row r="311" spans="7:27" x14ac:dyDescent="0.2">
      <c r="H311" s="76"/>
      <c r="K311" s="123" t="s">
        <v>132</v>
      </c>
      <c r="L311" s="72">
        <f>+K314</f>
        <v>70773</v>
      </c>
      <c r="M311" s="72">
        <f>+M305*L287</f>
        <v>81865.373399999997</v>
      </c>
      <c r="N311" s="72">
        <f>+N305*M287</f>
        <v>81865.373399999997</v>
      </c>
      <c r="O311" s="72">
        <f>+O305*N287</f>
        <v>82962.733000000007</v>
      </c>
      <c r="P311" s="72">
        <f>+P305*O287</f>
        <v>84066.1682</v>
      </c>
      <c r="Q311" s="72">
        <f>+Q305*P287</f>
        <v>85184.327600000004</v>
      </c>
      <c r="R311" s="72">
        <f>+R305*Q287</f>
        <v>86317.377200000003</v>
      </c>
      <c r="S311" s="72">
        <f>+S305*R287</f>
        <v>87465.483000000007</v>
      </c>
      <c r="T311" s="72">
        <f>+T305*S287</f>
        <v>88628.844200000007</v>
      </c>
      <c r="U311" s="72">
        <f>+U305*T287</f>
        <v>89807.693199999994</v>
      </c>
      <c r="V311" s="72">
        <f>+V305*U287</f>
        <v>91021.452000000005</v>
      </c>
      <c r="W311" s="72">
        <f>+W305*V287</f>
        <v>92251.611600000004</v>
      </c>
      <c r="X311" s="72">
        <f>+X305*W287</f>
        <v>93498.387799999997</v>
      </c>
      <c r="Y311" s="72">
        <f>+Y305*X287</f>
        <v>94762.029599999994</v>
      </c>
      <c r="Z311" s="72">
        <f>+Z305*Y287</f>
        <v>96042.736199999999</v>
      </c>
      <c r="AA311" s="76"/>
    </row>
    <row r="312" spans="7:27" ht="13.5" thickBot="1" x14ac:dyDescent="0.25">
      <c r="H312" s="76"/>
      <c r="I312" s="76"/>
      <c r="J312" s="76"/>
      <c r="K312" s="123" t="s">
        <v>133</v>
      </c>
      <c r="L312" s="219">
        <f>+L311+L307-L310</f>
        <v>70773</v>
      </c>
      <c r="M312" s="219">
        <f t="shared" ref="M312:Z312" si="83">+M311+M307-M310</f>
        <v>81865.373399999997</v>
      </c>
      <c r="N312" s="219">
        <f t="shared" si="83"/>
        <v>82317.717799999999</v>
      </c>
      <c r="O312" s="219">
        <f t="shared" si="83"/>
        <v>83417.015000000014</v>
      </c>
      <c r="P312" s="219">
        <f t="shared" si="83"/>
        <v>84526.843999999997</v>
      </c>
      <c r="Q312" s="219">
        <f t="shared" si="83"/>
        <v>85650.380600000004</v>
      </c>
      <c r="R312" s="219">
        <f t="shared" si="83"/>
        <v>86789.7742</v>
      </c>
      <c r="S312" s="219">
        <f t="shared" si="83"/>
        <v>87944.174200000009</v>
      </c>
      <c r="T312" s="219">
        <f t="shared" si="83"/>
        <v>89113.813000000009</v>
      </c>
      <c r="U312" s="219">
        <f t="shared" si="83"/>
        <v>90307.503400000001</v>
      </c>
      <c r="V312" s="219">
        <f t="shared" si="83"/>
        <v>91528.373800000001</v>
      </c>
      <c r="W312" s="219">
        <f t="shared" si="83"/>
        <v>92764.595200000011</v>
      </c>
      <c r="X312" s="219">
        <f t="shared" si="83"/>
        <v>94018.4</v>
      </c>
      <c r="Y312" s="219">
        <f t="shared" si="83"/>
        <v>95289.020599999989</v>
      </c>
      <c r="Z312" s="219">
        <f t="shared" si="83"/>
        <v>96577.6728</v>
      </c>
      <c r="AA312" s="76"/>
    </row>
    <row r="313" spans="7:27" ht="13.5" thickTop="1" x14ac:dyDescent="0.2">
      <c r="H313" s="76"/>
      <c r="I313" s="76"/>
      <c r="J313" s="76"/>
      <c r="K313" s="123"/>
      <c r="M313" s="123"/>
      <c r="N313" s="123"/>
      <c r="O313" s="123"/>
      <c r="P313" s="123"/>
      <c r="Q313" s="123"/>
      <c r="R313" s="123"/>
      <c r="S313" s="123"/>
      <c r="T313" s="123"/>
      <c r="U313" s="123"/>
      <c r="V313" s="123"/>
      <c r="W313" s="123"/>
      <c r="X313" s="123"/>
      <c r="Y313" s="123"/>
      <c r="Z313" s="123"/>
      <c r="AA313" s="76"/>
    </row>
    <row r="314" spans="7:27" x14ac:dyDescent="0.2">
      <c r="G314" s="74" t="s">
        <v>134</v>
      </c>
      <c r="H314" s="74">
        <v>0</v>
      </c>
      <c r="I314" s="74">
        <v>0</v>
      </c>
      <c r="J314" s="74">
        <v>0</v>
      </c>
      <c r="K314" s="74">
        <f>+K459</f>
        <v>70773</v>
      </c>
      <c r="L314" s="74">
        <f>+L312</f>
        <v>70773</v>
      </c>
      <c r="R314" s="76"/>
      <c r="S314" s="76"/>
      <c r="T314" s="76"/>
      <c r="U314" s="76"/>
      <c r="V314" s="76"/>
      <c r="W314" s="76"/>
      <c r="X314" s="76"/>
      <c r="Y314" s="76"/>
      <c r="Z314" s="76"/>
      <c r="AA314" s="76"/>
    </row>
    <row r="315" spans="7:27" x14ac:dyDescent="0.2">
      <c r="H315" s="76"/>
      <c r="I315" s="76"/>
      <c r="J315" s="76"/>
      <c r="K315" s="76"/>
      <c r="L315" s="123"/>
      <c r="M315" s="76"/>
      <c r="N315" s="76"/>
      <c r="O315" s="76"/>
      <c r="P315" s="76"/>
      <c r="Q315" s="76"/>
      <c r="R315" s="76"/>
      <c r="S315" s="76"/>
      <c r="T315" s="76"/>
      <c r="U315" s="76"/>
      <c r="V315" s="76"/>
      <c r="W315" s="76"/>
      <c r="X315" s="76"/>
      <c r="Y315" s="76"/>
      <c r="Z315" s="76"/>
      <c r="AA315" s="76"/>
    </row>
    <row r="316" spans="7:27" x14ac:dyDescent="0.2">
      <c r="H316" s="76"/>
      <c r="I316" s="76"/>
      <c r="J316" s="76"/>
      <c r="K316" s="76"/>
      <c r="L316" s="123"/>
      <c r="M316" s="76"/>
      <c r="N316" s="76"/>
      <c r="O316" s="76"/>
      <c r="P316" s="76"/>
      <c r="Q316" s="76"/>
      <c r="R316" s="76"/>
      <c r="S316" s="76"/>
      <c r="T316" s="76"/>
      <c r="U316" s="76"/>
      <c r="V316" s="76"/>
      <c r="W316" s="76"/>
      <c r="X316" s="76"/>
      <c r="Y316" s="76"/>
      <c r="Z316" s="76"/>
      <c r="AA316" s="76"/>
    </row>
    <row r="317" spans="7:27" x14ac:dyDescent="0.2">
      <c r="H317" s="76"/>
      <c r="I317" s="76"/>
      <c r="J317" s="76"/>
      <c r="K317" s="2" t="s">
        <v>117</v>
      </c>
      <c r="M317" s="123" t="s">
        <v>135</v>
      </c>
      <c r="N317" s="25">
        <v>1.5277653962955469E-3</v>
      </c>
      <c r="O317" s="76"/>
      <c r="P317" s="76"/>
      <c r="Q317" s="76"/>
      <c r="R317" s="76"/>
      <c r="S317" s="76"/>
      <c r="T317" s="76"/>
      <c r="U317" s="76"/>
      <c r="V317" s="76"/>
      <c r="W317" s="76"/>
      <c r="X317" s="76"/>
      <c r="Y317" s="76"/>
      <c r="Z317" s="76"/>
      <c r="AA317" s="76"/>
    </row>
    <row r="318" spans="7:27" x14ac:dyDescent="0.2">
      <c r="H318" s="76"/>
      <c r="I318" s="76"/>
      <c r="J318" s="76"/>
      <c r="K318" s="2" t="s">
        <v>136</v>
      </c>
      <c r="M318" s="123" t="s">
        <v>137</v>
      </c>
      <c r="N318" s="25">
        <v>5.6525344234822491E-3</v>
      </c>
      <c r="O318" s="76"/>
      <c r="P318" s="76"/>
      <c r="Q318" s="76"/>
      <c r="R318" s="76"/>
      <c r="S318" s="76"/>
      <c r="T318" s="76"/>
      <c r="U318" s="76"/>
      <c r="V318" s="76"/>
      <c r="W318" s="76"/>
      <c r="X318" s="76"/>
      <c r="Y318" s="76"/>
      <c r="Z318" s="76"/>
      <c r="AA318" s="76"/>
    </row>
    <row r="319" spans="7:27" x14ac:dyDescent="0.2">
      <c r="H319" s="76"/>
      <c r="I319" s="76"/>
      <c r="J319" s="76"/>
      <c r="K319" s="76"/>
      <c r="L319" s="123"/>
      <c r="M319" s="76"/>
      <c r="N319" s="76"/>
      <c r="O319" s="76"/>
      <c r="P319" s="76"/>
      <c r="Q319" s="76"/>
      <c r="R319" s="76"/>
      <c r="S319" s="76"/>
      <c r="T319" s="76"/>
      <c r="U319" s="76"/>
      <c r="V319" s="76"/>
      <c r="W319" s="76"/>
      <c r="X319" s="76"/>
      <c r="Y319" s="76"/>
      <c r="Z319" s="76"/>
      <c r="AA319" s="76"/>
    </row>
    <row r="320" spans="7:27" x14ac:dyDescent="0.2">
      <c r="H320" s="76"/>
      <c r="I320" s="76"/>
      <c r="J320" s="76"/>
      <c r="K320" s="76"/>
      <c r="L320" s="123"/>
      <c r="M320" s="76"/>
      <c r="N320" s="76"/>
      <c r="O320" s="76"/>
      <c r="P320" s="76"/>
      <c r="Q320" s="76"/>
      <c r="R320" s="76"/>
      <c r="S320" s="76"/>
      <c r="T320" s="76"/>
      <c r="U320" s="76"/>
      <c r="V320" s="76"/>
      <c r="W320" s="76"/>
      <c r="X320" s="76"/>
      <c r="Y320" s="76"/>
      <c r="Z320" s="76"/>
      <c r="AA320" s="76"/>
    </row>
    <row r="321" spans="7:27" x14ac:dyDescent="0.2">
      <c r="H321" s="76"/>
      <c r="I321" s="76"/>
      <c r="J321" s="76"/>
      <c r="K321" s="76"/>
      <c r="L321" s="123"/>
      <c r="M321" s="76"/>
      <c r="N321" s="76"/>
      <c r="O321" s="76"/>
      <c r="P321" s="76"/>
      <c r="Q321" s="76"/>
      <c r="R321" s="76"/>
      <c r="S321" s="76"/>
      <c r="T321" s="76"/>
      <c r="U321" s="76"/>
      <c r="V321" s="76"/>
      <c r="W321" s="76"/>
      <c r="X321" s="76"/>
      <c r="Y321" s="76"/>
      <c r="Z321" s="76"/>
      <c r="AA321" s="76"/>
    </row>
    <row r="322" spans="7:27" x14ac:dyDescent="0.2">
      <c r="H322" s="76"/>
      <c r="I322" s="76"/>
      <c r="J322" s="76"/>
      <c r="K322" s="76"/>
      <c r="L322" s="229"/>
      <c r="M322" s="229"/>
      <c r="N322" s="230"/>
      <c r="O322" s="230"/>
      <c r="P322" s="230"/>
      <c r="Q322" s="230"/>
      <c r="R322" s="230"/>
      <c r="S322" s="230"/>
      <c r="T322" s="230"/>
      <c r="U322" s="76"/>
      <c r="V322" s="76"/>
      <c r="W322" s="76"/>
      <c r="X322" s="76"/>
      <c r="Y322" s="76"/>
      <c r="Z322" s="76"/>
      <c r="AA322" s="76"/>
    </row>
    <row r="323" spans="7:27" x14ac:dyDescent="0.2">
      <c r="H323" s="76"/>
      <c r="I323" s="76"/>
      <c r="J323" s="76"/>
      <c r="K323" s="66" t="s">
        <v>138</v>
      </c>
      <c r="L323" s="5">
        <v>0</v>
      </c>
      <c r="M323" s="2">
        <f>+L323</f>
        <v>0</v>
      </c>
      <c r="N323" s="72">
        <f>+M312*0.95</f>
        <v>77772.104729999992</v>
      </c>
      <c r="O323" s="72">
        <f>+N312*0.95</f>
        <v>78201.831909999994</v>
      </c>
      <c r="P323" s="72">
        <f>+O312*0.95</f>
        <v>79246.164250000016</v>
      </c>
      <c r="Q323" s="72">
        <f>+P312*0.95</f>
        <v>80300.501799999998</v>
      </c>
      <c r="R323" s="72">
        <f t="shared" ref="R323:T323" si="84">+Q312*0.95</f>
        <v>81367.861569999994</v>
      </c>
      <c r="S323" s="72">
        <f t="shared" si="84"/>
        <v>82450.285489999995</v>
      </c>
      <c r="T323" s="72">
        <f t="shared" si="84"/>
        <v>83546.965490000002</v>
      </c>
      <c r="U323" s="76"/>
      <c r="V323" s="76"/>
      <c r="W323" s="76"/>
      <c r="X323" s="76"/>
      <c r="Y323" s="76"/>
      <c r="Z323" s="76"/>
      <c r="AA323" s="76"/>
    </row>
    <row r="324" spans="7:27" x14ac:dyDescent="0.2">
      <c r="H324" s="76"/>
      <c r="I324" s="76"/>
      <c r="J324" s="76"/>
      <c r="K324" s="76"/>
      <c r="L324" s="123"/>
      <c r="M324" s="76"/>
      <c r="N324" s="76"/>
      <c r="O324" s="76"/>
      <c r="P324" s="76"/>
      <c r="Q324" s="76"/>
      <c r="R324" s="76"/>
      <c r="S324" s="76"/>
      <c r="T324" s="76"/>
      <c r="U324" s="76"/>
      <c r="V324" s="76"/>
      <c r="W324" s="76"/>
      <c r="X324" s="76"/>
      <c r="Y324" s="76"/>
      <c r="Z324" s="76"/>
      <c r="AA324" s="76"/>
    </row>
    <row r="325" spans="7:27" x14ac:dyDescent="0.2">
      <c r="H325" s="76"/>
      <c r="I325" s="76"/>
      <c r="J325" s="76"/>
      <c r="K325" s="76"/>
      <c r="L325" s="5" t="s">
        <v>139</v>
      </c>
      <c r="M325" s="76"/>
      <c r="N325" s="76"/>
      <c r="O325" s="76"/>
      <c r="P325" s="76"/>
      <c r="Q325" s="76"/>
      <c r="R325" s="76"/>
      <c r="S325" s="76"/>
      <c r="T325" s="76"/>
      <c r="U325" s="76"/>
      <c r="V325" s="76"/>
      <c r="W325" s="76"/>
      <c r="X325" s="76"/>
      <c r="Y325" s="76"/>
      <c r="Z325" s="76"/>
      <c r="AA325" s="76"/>
    </row>
    <row r="326" spans="7:27" x14ac:dyDescent="0.2">
      <c r="H326" s="76"/>
      <c r="I326" s="76"/>
      <c r="J326" s="76"/>
      <c r="K326" s="76"/>
      <c r="L326" s="2" t="s">
        <v>140</v>
      </c>
      <c r="M326" s="76"/>
      <c r="N326" s="76"/>
      <c r="O326" s="76"/>
      <c r="P326" s="76"/>
      <c r="Q326" s="76"/>
      <c r="R326" s="76"/>
      <c r="S326" s="76"/>
      <c r="T326" s="76"/>
      <c r="U326" s="76"/>
      <c r="V326" s="76"/>
      <c r="W326" s="76"/>
      <c r="X326" s="76"/>
      <c r="Y326" s="76"/>
      <c r="Z326" s="76"/>
      <c r="AA326" s="76"/>
    </row>
    <row r="327" spans="7:27" x14ac:dyDescent="0.2">
      <c r="H327" s="76"/>
      <c r="I327" s="76"/>
      <c r="J327" s="76"/>
      <c r="K327" s="76"/>
      <c r="L327" s="123"/>
      <c r="M327" s="76"/>
      <c r="N327" s="76"/>
      <c r="O327" s="76"/>
      <c r="P327" s="76"/>
      <c r="Q327" s="76"/>
      <c r="R327" s="76"/>
      <c r="S327" s="76"/>
      <c r="T327" s="76"/>
      <c r="U327" s="76"/>
      <c r="V327" s="76"/>
      <c r="W327" s="76"/>
      <c r="X327" s="76"/>
      <c r="Y327" s="76"/>
      <c r="Z327" s="76"/>
      <c r="AA327" s="76"/>
    </row>
    <row r="328" spans="7:27" x14ac:dyDescent="0.2">
      <c r="H328" s="76"/>
      <c r="I328" s="76"/>
      <c r="J328" s="76"/>
      <c r="K328" s="76"/>
      <c r="L328" s="123"/>
      <c r="M328" s="76"/>
      <c r="N328" s="76"/>
      <c r="O328" s="76"/>
      <c r="P328" s="76"/>
      <c r="Q328" s="76"/>
      <c r="R328" s="76"/>
      <c r="S328" s="76"/>
      <c r="T328" s="76"/>
      <c r="U328" s="76"/>
      <c r="V328" s="76"/>
      <c r="W328" s="76"/>
      <c r="X328" s="76"/>
      <c r="Y328" s="76"/>
      <c r="Z328" s="76"/>
      <c r="AA328" s="76"/>
    </row>
    <row r="329" spans="7:27" ht="13.5" thickBot="1" x14ac:dyDescent="0.25">
      <c r="H329" s="76"/>
      <c r="I329" s="76"/>
      <c r="J329" s="76"/>
      <c r="K329" s="76"/>
      <c r="L329" s="216">
        <f>+L285</f>
        <v>2017</v>
      </c>
      <c r="M329" s="216">
        <f>+M285</f>
        <v>2018</v>
      </c>
      <c r="N329" s="76"/>
      <c r="O329" s="76"/>
      <c r="P329" s="76"/>
      <c r="Q329" s="76"/>
      <c r="R329" s="76"/>
      <c r="S329" s="76"/>
      <c r="T329" s="76"/>
      <c r="U329" s="76"/>
      <c r="V329" s="76"/>
      <c r="W329" s="76"/>
      <c r="X329" s="76"/>
      <c r="Y329" s="76"/>
      <c r="Z329" s="76"/>
      <c r="AA329" s="76"/>
    </row>
    <row r="330" spans="7:27" ht="13.5" thickBot="1" x14ac:dyDescent="0.25">
      <c r="H330" s="76"/>
      <c r="I330" s="76"/>
      <c r="J330" s="76"/>
      <c r="K330" s="76"/>
      <c r="L330" s="123"/>
      <c r="M330" s="231">
        <f>4750*M334</f>
        <v>33250</v>
      </c>
      <c r="N330" s="231">
        <f t="shared" ref="N330:Q330" si="85">4750*N334</f>
        <v>33250</v>
      </c>
      <c r="O330" s="231">
        <f t="shared" si="85"/>
        <v>33250</v>
      </c>
      <c r="P330" s="231">
        <f t="shared" si="85"/>
        <v>33250</v>
      </c>
      <c r="Q330" s="231">
        <f t="shared" si="85"/>
        <v>33250</v>
      </c>
      <c r="R330" s="232">
        <f>4750*R334</f>
        <v>33250</v>
      </c>
      <c r="S330" s="232">
        <f t="shared" ref="S330:Z330" si="86">4750*S334</f>
        <v>33250</v>
      </c>
      <c r="T330" s="232">
        <f t="shared" si="86"/>
        <v>38000</v>
      </c>
      <c r="U330" s="232">
        <f t="shared" si="86"/>
        <v>38000</v>
      </c>
      <c r="V330" s="232">
        <f t="shared" si="86"/>
        <v>38000</v>
      </c>
      <c r="W330" s="232">
        <f t="shared" si="86"/>
        <v>38000</v>
      </c>
      <c r="X330" s="232">
        <f t="shared" si="86"/>
        <v>38000</v>
      </c>
      <c r="Y330" s="232">
        <f t="shared" si="86"/>
        <v>38000</v>
      </c>
      <c r="Z330" s="232">
        <f t="shared" si="86"/>
        <v>38000</v>
      </c>
      <c r="AA330" s="76"/>
    </row>
    <row r="331" spans="7:27" x14ac:dyDescent="0.2">
      <c r="R331" s="76"/>
      <c r="S331" s="76"/>
      <c r="T331" s="76"/>
      <c r="U331" s="76"/>
      <c r="V331" s="76"/>
      <c r="W331" s="76"/>
      <c r="X331" s="76"/>
      <c r="Y331" s="76"/>
      <c r="Z331" s="76"/>
      <c r="AA331" s="76"/>
    </row>
    <row r="332" spans="7:27" x14ac:dyDescent="0.2">
      <c r="G332" s="145" t="s">
        <v>141</v>
      </c>
      <c r="H332" s="6">
        <f>+H21</f>
        <v>0</v>
      </c>
      <c r="I332" s="6">
        <f>+I21</f>
        <v>0</v>
      </c>
      <c r="J332" s="6">
        <f>+J21</f>
        <v>0</v>
      </c>
      <c r="K332" s="6">
        <f>+K21</f>
        <v>1115704</v>
      </c>
      <c r="L332" s="6">
        <f>+L21</f>
        <v>1157542.9000000001</v>
      </c>
      <c r="M332" s="6">
        <f>+M21</f>
        <v>1283059.5999999999</v>
      </c>
      <c r="N332" s="6">
        <f>ROUND(+N335*N337,0)</f>
        <v>672290</v>
      </c>
      <c r="O332" s="6">
        <f>ROUND(+O335*O337,0)</f>
        <v>675510</v>
      </c>
      <c r="P332" s="6">
        <f>ROUND(+P335*P337,0)</f>
        <v>678730</v>
      </c>
      <c r="Q332" s="5">
        <f>ROUND(+Q335*Q337,0)</f>
        <v>681950</v>
      </c>
      <c r="R332" s="76"/>
      <c r="S332" s="76"/>
      <c r="T332" s="76"/>
      <c r="U332" s="76"/>
      <c r="V332" s="76"/>
      <c r="W332" s="76"/>
      <c r="X332" s="76"/>
      <c r="Y332" s="76"/>
      <c r="Z332" s="76"/>
      <c r="AA332" s="76"/>
    </row>
    <row r="333" spans="7:27" ht="13.5" thickBot="1" x14ac:dyDescent="0.25">
      <c r="G333" s="2" t="s">
        <v>142</v>
      </c>
      <c r="H333" s="2">
        <v>0</v>
      </c>
      <c r="I333" s="2">
        <v>0</v>
      </c>
      <c r="J333" s="2">
        <v>0</v>
      </c>
      <c r="K333" s="2">
        <f>+L333</f>
        <v>1451</v>
      </c>
      <c r="L333" s="2">
        <f>1451</f>
        <v>1451</v>
      </c>
      <c r="M333" s="2">
        <f t="shared" ref="M333:Z333" si="87">+L333+M334</f>
        <v>1458</v>
      </c>
      <c r="N333" s="2">
        <f t="shared" si="87"/>
        <v>1465</v>
      </c>
      <c r="O333" s="2">
        <f t="shared" si="87"/>
        <v>1472</v>
      </c>
      <c r="P333" s="2">
        <f t="shared" si="87"/>
        <v>1479</v>
      </c>
      <c r="Q333" s="2">
        <f t="shared" si="87"/>
        <v>1486</v>
      </c>
      <c r="R333" s="2">
        <f t="shared" si="87"/>
        <v>1493</v>
      </c>
      <c r="S333" s="2">
        <f t="shared" si="87"/>
        <v>1500</v>
      </c>
      <c r="T333" s="2">
        <f t="shared" si="87"/>
        <v>1508</v>
      </c>
      <c r="U333" s="2">
        <f t="shared" si="87"/>
        <v>1516</v>
      </c>
      <c r="V333" s="2">
        <f t="shared" si="87"/>
        <v>1524</v>
      </c>
      <c r="W333" s="2">
        <f t="shared" si="87"/>
        <v>1532</v>
      </c>
      <c r="X333" s="2">
        <f t="shared" si="87"/>
        <v>1540</v>
      </c>
      <c r="Y333" s="2">
        <f t="shared" si="87"/>
        <v>1548</v>
      </c>
      <c r="Z333" s="2">
        <f t="shared" si="87"/>
        <v>1556</v>
      </c>
      <c r="AA333" s="76"/>
    </row>
    <row r="334" spans="7:27" ht="13.5" thickBot="1" x14ac:dyDescent="0.25">
      <c r="L334" s="233">
        <v>0</v>
      </c>
      <c r="M334" s="234">
        <f>ROUND(0.005*L333,0)</f>
        <v>7</v>
      </c>
      <c r="N334" s="234">
        <f t="shared" ref="N334:Q334" si="88">ROUND(0.005*M333,0)</f>
        <v>7</v>
      </c>
      <c r="O334" s="234">
        <f t="shared" si="88"/>
        <v>7</v>
      </c>
      <c r="P334" s="234">
        <f t="shared" si="88"/>
        <v>7</v>
      </c>
      <c r="Q334" s="234">
        <f t="shared" si="88"/>
        <v>7</v>
      </c>
      <c r="R334" s="123">
        <f>ROUND(+Q333*(R344),0)</f>
        <v>7</v>
      </c>
      <c r="S334" s="123">
        <f t="shared" ref="S334:Z334" si="89">ROUND(+R333*(S344),0)</f>
        <v>7</v>
      </c>
      <c r="T334" s="123">
        <f t="shared" si="89"/>
        <v>8</v>
      </c>
      <c r="U334" s="123">
        <f t="shared" si="89"/>
        <v>8</v>
      </c>
      <c r="V334" s="123">
        <f t="shared" si="89"/>
        <v>8</v>
      </c>
      <c r="W334" s="123">
        <f t="shared" si="89"/>
        <v>8</v>
      </c>
      <c r="X334" s="123">
        <f t="shared" si="89"/>
        <v>8</v>
      </c>
      <c r="Y334" s="123">
        <f t="shared" si="89"/>
        <v>8</v>
      </c>
      <c r="Z334" s="123">
        <f t="shared" si="89"/>
        <v>8</v>
      </c>
      <c r="AA334" s="76"/>
    </row>
    <row r="335" spans="7:27" x14ac:dyDescent="0.2">
      <c r="I335" s="2">
        <f t="shared" ref="I335:Q335" si="90">AVERAGE(H333:I333)</f>
        <v>0</v>
      </c>
      <c r="J335" s="2">
        <f t="shared" si="90"/>
        <v>0</v>
      </c>
      <c r="K335" s="2">
        <f t="shared" si="90"/>
        <v>725.5</v>
      </c>
      <c r="L335" s="2">
        <f t="shared" si="90"/>
        <v>1451</v>
      </c>
      <c r="M335" s="2">
        <f t="shared" si="90"/>
        <v>1454.5</v>
      </c>
      <c r="N335" s="2">
        <f t="shared" si="90"/>
        <v>1461.5</v>
      </c>
      <c r="O335" s="2">
        <f t="shared" si="90"/>
        <v>1468.5</v>
      </c>
      <c r="P335" s="2">
        <f t="shared" si="90"/>
        <v>1475.5</v>
      </c>
      <c r="Q335" s="2">
        <f t="shared" si="90"/>
        <v>1482.5</v>
      </c>
      <c r="R335" s="76"/>
      <c r="S335" s="76"/>
      <c r="T335" s="76"/>
      <c r="U335" s="76"/>
      <c r="V335" s="76"/>
      <c r="W335" s="76"/>
      <c r="X335" s="76"/>
      <c r="Y335" s="76"/>
      <c r="Z335" s="76"/>
      <c r="AA335" s="76"/>
    </row>
    <row r="336" spans="7:27" x14ac:dyDescent="0.2">
      <c r="H336" s="2" t="e">
        <f>+H332/H333</f>
        <v>#DIV/0!</v>
      </c>
      <c r="I336" s="2" t="e">
        <f>+I332/I333</f>
        <v>#DIV/0!</v>
      </c>
      <c r="J336" s="2" t="e">
        <f>+J332/J333</f>
        <v>#DIV/0!</v>
      </c>
      <c r="K336" s="2">
        <f>+K332/K333</f>
        <v>768.92074431426602</v>
      </c>
      <c r="L336" s="2">
        <f>+L332/L333</f>
        <v>797.75527222605115</v>
      </c>
      <c r="R336" s="76"/>
      <c r="S336" s="76"/>
      <c r="T336" s="76"/>
      <c r="U336" s="76"/>
      <c r="V336" s="76"/>
      <c r="W336" s="76"/>
      <c r="X336" s="76"/>
      <c r="Y336" s="76"/>
      <c r="Z336" s="76"/>
      <c r="AA336" s="76"/>
    </row>
    <row r="337" spans="8:29" x14ac:dyDescent="0.2">
      <c r="M337" s="235">
        <v>460</v>
      </c>
      <c r="N337" s="235">
        <v>460</v>
      </c>
      <c r="O337" s="235">
        <v>460</v>
      </c>
      <c r="P337" s="235">
        <v>460</v>
      </c>
      <c r="Q337" s="235">
        <v>460</v>
      </c>
      <c r="R337" s="76"/>
      <c r="S337" s="76"/>
      <c r="T337" s="76"/>
      <c r="U337" s="76"/>
      <c r="V337" s="76"/>
      <c r="W337" s="76"/>
      <c r="X337" s="76"/>
      <c r="Y337" s="76"/>
      <c r="Z337" s="76"/>
      <c r="AA337" s="76"/>
    </row>
    <row r="338" spans="8:29" x14ac:dyDescent="0.2">
      <c r="I338" s="2" t="e">
        <f t="shared" ref="I338:M338" si="91">+I332/I335</f>
        <v>#DIV/0!</v>
      </c>
      <c r="J338" s="2" t="e">
        <f t="shared" si="91"/>
        <v>#DIV/0!</v>
      </c>
      <c r="K338" s="2">
        <f t="shared" si="91"/>
        <v>1537.841488628532</v>
      </c>
      <c r="L338" s="2">
        <f t="shared" si="91"/>
        <v>797.75527222605115</v>
      </c>
      <c r="M338" s="2">
        <f t="shared" si="91"/>
        <v>882.13104159504974</v>
      </c>
      <c r="R338" s="76"/>
      <c r="S338" s="76"/>
      <c r="T338" s="76"/>
      <c r="U338" s="76"/>
      <c r="V338" s="76"/>
      <c r="W338" s="76"/>
      <c r="X338" s="76"/>
      <c r="Y338" s="76"/>
      <c r="Z338" s="76"/>
      <c r="AA338" s="76"/>
    </row>
    <row r="339" spans="8:29" x14ac:dyDescent="0.2">
      <c r="H339" s="76"/>
      <c r="I339" s="76"/>
      <c r="J339" s="76"/>
      <c r="K339" s="76"/>
      <c r="L339" s="123"/>
      <c r="M339" s="76"/>
      <c r="N339" s="76"/>
      <c r="O339" s="76"/>
      <c r="P339" s="76"/>
      <c r="Q339" s="76"/>
      <c r="R339" s="76"/>
      <c r="S339" s="76"/>
      <c r="T339" s="76"/>
      <c r="U339" s="76"/>
      <c r="V339" s="76"/>
      <c r="W339" s="76"/>
      <c r="X339" s="76"/>
      <c r="Y339" s="76"/>
      <c r="Z339" s="76"/>
      <c r="AA339" s="76"/>
    </row>
    <row r="340" spans="8:29" x14ac:dyDescent="0.2">
      <c r="H340" s="76"/>
      <c r="I340" s="76"/>
      <c r="J340" s="76"/>
      <c r="K340" s="76"/>
      <c r="L340" s="25" t="s">
        <v>143</v>
      </c>
      <c r="M340" s="75">
        <v>1451</v>
      </c>
      <c r="N340" s="76"/>
      <c r="O340" s="76"/>
      <c r="P340" s="76"/>
      <c r="Q340" s="76"/>
      <c r="R340" s="76"/>
      <c r="S340" s="76"/>
      <c r="T340" s="76"/>
      <c r="U340" s="76"/>
      <c r="V340" s="76"/>
      <c r="W340" s="76"/>
      <c r="X340" s="76"/>
      <c r="Y340" s="76"/>
      <c r="Z340" s="76"/>
      <c r="AA340" s="76"/>
    </row>
    <row r="341" spans="8:29" x14ac:dyDescent="0.2">
      <c r="H341" s="76"/>
      <c r="I341" s="76"/>
      <c r="J341" s="76"/>
      <c r="K341" s="76"/>
      <c r="L341" s="25" t="s">
        <v>144</v>
      </c>
      <c r="M341" s="75">
        <v>1451</v>
      </c>
      <c r="N341" s="76"/>
      <c r="O341" s="76"/>
      <c r="P341" s="76"/>
      <c r="Q341" s="76"/>
      <c r="R341" s="76"/>
      <c r="S341" s="76"/>
      <c r="T341" s="76"/>
      <c r="U341" s="76"/>
      <c r="V341" s="76"/>
      <c r="W341" s="76"/>
      <c r="X341" s="76"/>
      <c r="Y341" s="76"/>
      <c r="Z341" s="76"/>
      <c r="AA341" s="76"/>
    </row>
    <row r="342" spans="8:29" x14ac:dyDescent="0.2">
      <c r="H342" s="76"/>
      <c r="I342" s="76"/>
      <c r="J342" s="76"/>
      <c r="K342" s="76"/>
      <c r="L342" s="76"/>
      <c r="M342" s="77">
        <f>+M340/M341</f>
        <v>1</v>
      </c>
      <c r="N342" s="76"/>
      <c r="O342" s="76"/>
      <c r="P342" s="76"/>
      <c r="Q342" s="76"/>
      <c r="R342" s="76"/>
      <c r="S342" s="76"/>
      <c r="T342" s="76"/>
      <c r="U342" s="76"/>
      <c r="V342" s="76"/>
      <c r="W342" s="76"/>
      <c r="X342" s="76"/>
      <c r="Y342" s="76"/>
      <c r="Z342" s="76"/>
      <c r="AA342" s="76"/>
    </row>
    <row r="343" spans="8:29" ht="13.5" thickBot="1" x14ac:dyDescent="0.25">
      <c r="H343" s="76"/>
      <c r="I343" s="76"/>
      <c r="J343" s="76"/>
      <c r="K343" s="25">
        <f>1.742*1000000</f>
        <v>1742000</v>
      </c>
      <c r="L343" s="76"/>
      <c r="M343" s="76"/>
      <c r="N343" s="76"/>
      <c r="O343" s="76"/>
      <c r="P343" s="76"/>
      <c r="Q343" s="76"/>
      <c r="R343" s="76"/>
      <c r="S343" s="76"/>
      <c r="T343" s="76"/>
      <c r="U343" s="76"/>
      <c r="V343" s="76"/>
      <c r="W343" s="76"/>
      <c r="X343" s="76"/>
      <c r="Y343" s="76"/>
      <c r="Z343" s="220"/>
      <c r="AA343" s="76"/>
    </row>
    <row r="344" spans="8:29" ht="13.5" thickBot="1" x14ac:dyDescent="0.25">
      <c r="H344" s="76"/>
      <c r="I344" s="25" t="s">
        <v>145</v>
      </c>
      <c r="J344" s="76"/>
      <c r="L344" s="123"/>
      <c r="M344" s="78">
        <f t="shared" ref="M344:Q344" si="92">+M334</f>
        <v>7</v>
      </c>
      <c r="N344" s="78">
        <f t="shared" si="92"/>
        <v>7</v>
      </c>
      <c r="O344" s="78">
        <f t="shared" si="92"/>
        <v>7</v>
      </c>
      <c r="P344" s="78">
        <f t="shared" si="92"/>
        <v>7</v>
      </c>
      <c r="Q344" s="78">
        <f t="shared" si="92"/>
        <v>7</v>
      </c>
      <c r="R344" s="71">
        <v>5.0000000000000001E-3</v>
      </c>
      <c r="S344" s="71">
        <f t="shared" ref="S344:Z344" si="93">+R344</f>
        <v>5.0000000000000001E-3</v>
      </c>
      <c r="T344" s="71">
        <f t="shared" si="93"/>
        <v>5.0000000000000001E-3</v>
      </c>
      <c r="U344" s="71">
        <f t="shared" si="93"/>
        <v>5.0000000000000001E-3</v>
      </c>
      <c r="V344" s="71">
        <f t="shared" si="93"/>
        <v>5.0000000000000001E-3</v>
      </c>
      <c r="W344" s="71">
        <f t="shared" si="93"/>
        <v>5.0000000000000001E-3</v>
      </c>
      <c r="X344" s="71">
        <f t="shared" si="93"/>
        <v>5.0000000000000001E-3</v>
      </c>
      <c r="Y344" s="71">
        <f t="shared" si="93"/>
        <v>5.0000000000000001E-3</v>
      </c>
      <c r="Z344" s="71">
        <f t="shared" si="93"/>
        <v>5.0000000000000001E-3</v>
      </c>
      <c r="AA344" s="76"/>
    </row>
    <row r="345" spans="8:29" ht="13.5" thickBot="1" x14ac:dyDescent="0.25">
      <c r="H345" s="76"/>
      <c r="I345" s="123" t="s">
        <v>146</v>
      </c>
      <c r="J345" s="82">
        <v>0</v>
      </c>
      <c r="K345" s="81">
        <f>(100000*2343)/K346</f>
        <v>161474.84493452791</v>
      </c>
      <c r="L345" s="79">
        <f>+L346*K350</f>
        <v>161474.84493452791</v>
      </c>
      <c r="M345" s="79">
        <f>+M346*L350</f>
        <v>162253.84142973239</v>
      </c>
      <c r="N345" s="79">
        <f t="shared" ref="N345:Z345" si="94">+N346*M350</f>
        <v>163032.83792493687</v>
      </c>
      <c r="O345" s="79">
        <f t="shared" si="94"/>
        <v>163811.83442014136</v>
      </c>
      <c r="P345" s="79">
        <f t="shared" si="94"/>
        <v>164590.83091534584</v>
      </c>
      <c r="Q345" s="79">
        <f t="shared" si="94"/>
        <v>165369.82741055032</v>
      </c>
      <c r="R345" s="79">
        <f t="shared" si="94"/>
        <v>166196.67654760307</v>
      </c>
      <c r="S345" s="79">
        <f t="shared" si="94"/>
        <v>167027.65993034106</v>
      </c>
      <c r="T345" s="79">
        <f t="shared" si="94"/>
        <v>167862.79822999274</v>
      </c>
      <c r="U345" s="79">
        <f t="shared" si="94"/>
        <v>168702.11222114271</v>
      </c>
      <c r="V345" s="79">
        <f t="shared" si="94"/>
        <v>169545.62278224839</v>
      </c>
      <c r="W345" s="79">
        <f t="shared" si="94"/>
        <v>170393.35089615959</v>
      </c>
      <c r="X345" s="79">
        <f t="shared" si="94"/>
        <v>171245.31765064038</v>
      </c>
      <c r="Y345" s="79">
        <f t="shared" si="94"/>
        <v>172101.54423889355</v>
      </c>
      <c r="Z345" s="79">
        <f t="shared" si="94"/>
        <v>172962.05196008799</v>
      </c>
      <c r="AA345" s="76"/>
    </row>
    <row r="346" spans="8:29" ht="13.5" thickBot="1" x14ac:dyDescent="0.25">
      <c r="H346" s="76"/>
      <c r="I346" s="25" t="s">
        <v>147</v>
      </c>
      <c r="J346" s="79">
        <v>1451</v>
      </c>
      <c r="K346" s="79">
        <v>1451</v>
      </c>
      <c r="L346" s="79">
        <v>1451</v>
      </c>
      <c r="M346" s="80">
        <f>+L346+($M342*M344)</f>
        <v>1458</v>
      </c>
      <c r="N346" s="80">
        <f t="shared" ref="N346:P346" si="95">+M346+($M342*N344)</f>
        <v>1465</v>
      </c>
      <c r="O346" s="80">
        <f t="shared" si="95"/>
        <v>1472</v>
      </c>
      <c r="P346" s="80">
        <f t="shared" si="95"/>
        <v>1479</v>
      </c>
      <c r="Q346" s="80">
        <f>+P346+($M342*Q344)</f>
        <v>1486</v>
      </c>
      <c r="R346" s="79">
        <f t="shared" ref="R346:Z346" si="96">+Q346*(1+R344)</f>
        <v>1493.4299999999998</v>
      </c>
      <c r="S346" s="79">
        <f t="shared" si="96"/>
        <v>1500.8971499999998</v>
      </c>
      <c r="T346" s="79">
        <f t="shared" si="96"/>
        <v>1508.4016357499995</v>
      </c>
      <c r="U346" s="79">
        <f t="shared" si="96"/>
        <v>1515.9436439287495</v>
      </c>
      <c r="V346" s="79">
        <f t="shared" si="96"/>
        <v>1523.5233621483931</v>
      </c>
      <c r="W346" s="79">
        <f t="shared" si="96"/>
        <v>1531.1409789591348</v>
      </c>
      <c r="X346" s="79">
        <f t="shared" si="96"/>
        <v>1538.7966838539303</v>
      </c>
      <c r="Y346" s="79">
        <f t="shared" si="96"/>
        <v>1546.4906672731997</v>
      </c>
      <c r="Z346" s="79">
        <f t="shared" si="96"/>
        <v>1554.2231206095655</v>
      </c>
      <c r="AA346" s="76"/>
    </row>
    <row r="347" spans="8:29" x14ac:dyDescent="0.2">
      <c r="H347" s="76"/>
      <c r="I347" s="198" t="s">
        <v>148</v>
      </c>
      <c r="J347" s="6">
        <f>+J24-0</f>
        <v>0</v>
      </c>
      <c r="K347" s="6">
        <f>+K24-0</f>
        <v>1151216</v>
      </c>
      <c r="L347" s="6">
        <f>+L24-0</f>
        <v>1193054.9000000001</v>
      </c>
      <c r="M347" s="6">
        <f>+M24-0</f>
        <v>1318571.5999999999</v>
      </c>
      <c r="N347" s="6">
        <f>+N24-0</f>
        <v>1357249</v>
      </c>
      <c r="O347" s="6">
        <f>+O24-0</f>
        <v>1396004</v>
      </c>
      <c r="P347" s="6">
        <f>+P24-0</f>
        <v>1632141</v>
      </c>
      <c r="Q347" s="6">
        <f>+Q24-0</f>
        <v>1639715</v>
      </c>
      <c r="R347" s="6">
        <f>+R24-0</f>
        <v>1647523</v>
      </c>
      <c r="S347" s="6">
        <f>+S24-0</f>
        <v>1717146</v>
      </c>
      <c r="T347" s="6">
        <f>+T24-0</f>
        <v>1725554</v>
      </c>
      <c r="U347" s="6">
        <f>+U24-0</f>
        <v>1734004</v>
      </c>
      <c r="V347" s="6">
        <f>+V24-0</f>
        <v>1810775</v>
      </c>
      <c r="W347" s="6">
        <f>+W24-0</f>
        <v>1819652</v>
      </c>
      <c r="X347" s="6">
        <f>+X24-0</f>
        <v>1828573</v>
      </c>
      <c r="Y347" s="6">
        <f>+Y24-0</f>
        <v>1907817</v>
      </c>
      <c r="Z347" s="6">
        <f>+Z24-0</f>
        <v>1917179</v>
      </c>
      <c r="AA347" s="76"/>
    </row>
    <row r="348" spans="8:29" x14ac:dyDescent="0.2">
      <c r="H348" s="76"/>
      <c r="I348" s="76"/>
      <c r="J348" s="76"/>
      <c r="K348" s="25"/>
      <c r="L348" s="123"/>
      <c r="M348" s="76"/>
      <c r="N348" s="76"/>
      <c r="O348" s="76"/>
      <c r="P348" s="76"/>
      <c r="Q348" s="236">
        <f>+Q349/P349</f>
        <v>0.99990803803985129</v>
      </c>
      <c r="R348" s="76"/>
      <c r="S348" s="76"/>
      <c r="T348" s="236">
        <f>+T349/S349</f>
        <v>0.99989701180264001</v>
      </c>
      <c r="U348" s="76"/>
      <c r="V348" s="76"/>
      <c r="W348" s="76"/>
      <c r="X348" s="76"/>
      <c r="Y348" s="76"/>
      <c r="Z348" s="76"/>
      <c r="AA348" s="76"/>
    </row>
    <row r="349" spans="8:29" x14ac:dyDescent="0.2">
      <c r="H349" s="76"/>
      <c r="I349" s="25" t="s">
        <v>149</v>
      </c>
      <c r="J349" s="81">
        <f>+J347/J346</f>
        <v>0</v>
      </c>
      <c r="K349" s="81">
        <f>+K347/K346</f>
        <v>793.39490006891799</v>
      </c>
      <c r="L349" s="81">
        <f>+L347/L346</f>
        <v>822.22942798070301</v>
      </c>
      <c r="M349" s="81">
        <f>+M347/M346</f>
        <v>904.3700960219478</v>
      </c>
      <c r="N349" s="81">
        <f t="shared" ref="N349:Z349" si="97">+N347/N346</f>
        <v>926.44982935153587</v>
      </c>
      <c r="O349" s="81">
        <f t="shared" si="97"/>
        <v>948.37228260869563</v>
      </c>
      <c r="P349" s="81">
        <f t="shared" si="97"/>
        <v>1103.5436105476674</v>
      </c>
      <c r="Q349" s="81">
        <f t="shared" si="97"/>
        <v>1103.4421265141318</v>
      </c>
      <c r="R349" s="81">
        <f t="shared" si="97"/>
        <v>1103.1805976845251</v>
      </c>
      <c r="S349" s="81">
        <f t="shared" si="97"/>
        <v>1144.0797259159299</v>
      </c>
      <c r="T349" s="81">
        <f t="shared" si="97"/>
        <v>1143.9618992073217</v>
      </c>
      <c r="U349" s="81">
        <f t="shared" si="97"/>
        <v>1143.8446323150386</v>
      </c>
      <c r="V349" s="81">
        <f t="shared" si="97"/>
        <v>1188.5442947501242</v>
      </c>
      <c r="W349" s="81">
        <f t="shared" si="97"/>
        <v>1188.4287763214293</v>
      </c>
      <c r="X349" s="81">
        <f t="shared" si="97"/>
        <v>1188.3135824157889</v>
      </c>
      <c r="Y349" s="81">
        <f t="shared" si="97"/>
        <v>1233.6427502429726</v>
      </c>
      <c r="Z349" s="81">
        <f t="shared" si="97"/>
        <v>1233.5288122905311</v>
      </c>
      <c r="AA349" s="76"/>
    </row>
    <row r="350" spans="8:29" x14ac:dyDescent="0.2">
      <c r="H350" s="76"/>
      <c r="I350" s="25" t="s">
        <v>150</v>
      </c>
      <c r="J350" s="82">
        <f>+J345/J346</f>
        <v>0</v>
      </c>
      <c r="K350" s="82">
        <f>+K345/K346</f>
        <v>111.28521360063949</v>
      </c>
      <c r="L350" s="82">
        <f>+L345/L346</f>
        <v>111.28521360063949</v>
      </c>
      <c r="M350" s="82">
        <f>+M345/M346</f>
        <v>111.28521360063949</v>
      </c>
      <c r="N350" s="82">
        <f t="shared" ref="N350:Z350" si="98">+N345/N346</f>
        <v>111.28521360063951</v>
      </c>
      <c r="O350" s="82">
        <f t="shared" si="98"/>
        <v>111.28521360063951</v>
      </c>
      <c r="P350" s="82">
        <f t="shared" si="98"/>
        <v>111.28521360063951</v>
      </c>
      <c r="Q350" s="82">
        <f t="shared" si="98"/>
        <v>111.28521360063952</v>
      </c>
      <c r="R350" s="82">
        <f t="shared" si="98"/>
        <v>111.28521360063952</v>
      </c>
      <c r="S350" s="82">
        <f t="shared" si="98"/>
        <v>111.28521360063951</v>
      </c>
      <c r="T350" s="82">
        <f t="shared" si="98"/>
        <v>111.28521360063952</v>
      </c>
      <c r="U350" s="82">
        <f t="shared" si="98"/>
        <v>111.28521360063952</v>
      </c>
      <c r="V350" s="82">
        <f t="shared" si="98"/>
        <v>111.28521360063951</v>
      </c>
      <c r="W350" s="82">
        <f t="shared" si="98"/>
        <v>111.28521360063951</v>
      </c>
      <c r="X350" s="82">
        <f t="shared" si="98"/>
        <v>111.28521360063951</v>
      </c>
      <c r="Y350" s="82">
        <f t="shared" si="98"/>
        <v>111.28521360063951</v>
      </c>
      <c r="Z350" s="82">
        <f t="shared" si="98"/>
        <v>111.28521360063951</v>
      </c>
      <c r="AA350" s="76"/>
      <c r="AC350" s="237"/>
    </row>
    <row r="351" spans="8:29" x14ac:dyDescent="0.2">
      <c r="H351" s="76"/>
      <c r="I351" s="25"/>
      <c r="J351" s="76"/>
      <c r="L351" s="123"/>
      <c r="M351" s="76"/>
      <c r="N351" s="76"/>
      <c r="O351" s="76"/>
      <c r="P351" s="76"/>
      <c r="Q351" s="76"/>
      <c r="R351" s="76"/>
      <c r="S351" s="76"/>
      <c r="T351" s="76"/>
      <c r="U351" s="76"/>
      <c r="V351" s="76"/>
      <c r="W351" s="76"/>
      <c r="X351" s="76"/>
      <c r="Y351" s="76"/>
      <c r="Z351" s="76"/>
      <c r="AA351" s="76"/>
    </row>
    <row r="352" spans="8:29" x14ac:dyDescent="0.2">
      <c r="H352" s="76"/>
      <c r="I352" s="25" t="s">
        <v>151</v>
      </c>
      <c r="J352" s="81" t="e">
        <f>+J347/J333</f>
        <v>#DIV/0!</v>
      </c>
      <c r="K352" s="81">
        <f t="shared" ref="K352:Z352" si="99">+K347/K333</f>
        <v>793.39490006891799</v>
      </c>
      <c r="L352" s="81">
        <f t="shared" si="99"/>
        <v>822.22942798070301</v>
      </c>
      <c r="M352" s="81">
        <f t="shared" si="99"/>
        <v>904.3700960219478</v>
      </c>
      <c r="N352" s="81">
        <f t="shared" si="99"/>
        <v>926.44982935153587</v>
      </c>
      <c r="O352" s="81">
        <f t="shared" si="99"/>
        <v>948.37228260869563</v>
      </c>
      <c r="P352" s="81">
        <f t="shared" si="99"/>
        <v>1103.5436105476674</v>
      </c>
      <c r="Q352" s="81">
        <f t="shared" si="99"/>
        <v>1103.4421265141318</v>
      </c>
      <c r="R352" s="81">
        <f t="shared" si="99"/>
        <v>1103.4983255190891</v>
      </c>
      <c r="S352" s="81">
        <f t="shared" si="99"/>
        <v>1144.7639999999999</v>
      </c>
      <c r="T352" s="81">
        <f t="shared" si="99"/>
        <v>1144.2665782493368</v>
      </c>
      <c r="U352" s="81">
        <f t="shared" si="99"/>
        <v>1143.8021108179419</v>
      </c>
      <c r="V352" s="81">
        <f t="shared" si="99"/>
        <v>1188.1725721784776</v>
      </c>
      <c r="W352" s="81">
        <f t="shared" si="99"/>
        <v>1187.7624020887729</v>
      </c>
      <c r="X352" s="81">
        <f t="shared" si="99"/>
        <v>1187.385064935065</v>
      </c>
      <c r="Y352" s="81">
        <f t="shared" si="99"/>
        <v>1232.4399224806202</v>
      </c>
      <c r="Z352" s="81">
        <f t="shared" si="99"/>
        <v>1232.1201799485862</v>
      </c>
      <c r="AA352" s="76"/>
    </row>
    <row r="353" spans="7:29" x14ac:dyDescent="0.2">
      <c r="H353" s="76"/>
      <c r="I353" s="25" t="s">
        <v>152</v>
      </c>
      <c r="J353" s="82" t="e">
        <f>+J345/J333</f>
        <v>#DIV/0!</v>
      </c>
      <c r="K353" s="82">
        <f t="shared" ref="K353:Z353" si="100">+K345/K333</f>
        <v>111.28521360063949</v>
      </c>
      <c r="L353" s="82">
        <f t="shared" si="100"/>
        <v>111.28521360063949</v>
      </c>
      <c r="M353" s="82">
        <f t="shared" si="100"/>
        <v>111.28521360063949</v>
      </c>
      <c r="N353" s="82">
        <f t="shared" si="100"/>
        <v>111.28521360063951</v>
      </c>
      <c r="O353" s="82">
        <f t="shared" si="100"/>
        <v>111.28521360063951</v>
      </c>
      <c r="P353" s="82">
        <f t="shared" si="100"/>
        <v>111.28521360063951</v>
      </c>
      <c r="Q353" s="82">
        <f t="shared" si="100"/>
        <v>111.28521360063952</v>
      </c>
      <c r="R353" s="82">
        <f t="shared" si="100"/>
        <v>111.31726493476428</v>
      </c>
      <c r="S353" s="82">
        <f t="shared" si="100"/>
        <v>111.35177328689404</v>
      </c>
      <c r="T353" s="82">
        <f t="shared" si="100"/>
        <v>111.31485293766097</v>
      </c>
      <c r="U353" s="82">
        <f t="shared" si="100"/>
        <v>111.2810766630229</v>
      </c>
      <c r="V353" s="82">
        <f t="shared" si="100"/>
        <v>111.25040864976928</v>
      </c>
      <c r="W353" s="82">
        <f t="shared" si="100"/>
        <v>111.22281390088746</v>
      </c>
      <c r="X353" s="82">
        <f t="shared" si="100"/>
        <v>111.19825821470155</v>
      </c>
      <c r="Y353" s="82">
        <f t="shared" si="100"/>
        <v>111.17670816465991</v>
      </c>
      <c r="Z353" s="82">
        <f t="shared" si="100"/>
        <v>111.15813107974807</v>
      </c>
      <c r="AA353" s="76"/>
    </row>
    <row r="354" spans="7:29" x14ac:dyDescent="0.2">
      <c r="H354" s="76"/>
      <c r="I354" s="25"/>
      <c r="J354" s="76"/>
      <c r="L354" s="123"/>
      <c r="M354" s="76"/>
      <c r="N354" s="76"/>
      <c r="O354" s="76"/>
      <c r="P354" s="76"/>
      <c r="Q354" s="76"/>
      <c r="R354" s="76"/>
      <c r="S354" s="76"/>
      <c r="T354" s="76"/>
      <c r="U354" s="76"/>
      <c r="V354" s="76"/>
      <c r="W354" s="76"/>
      <c r="X354" s="76"/>
      <c r="Y354" s="76"/>
      <c r="Z354" s="76"/>
      <c r="AA354" s="76"/>
    </row>
    <row r="355" spans="7:29" x14ac:dyDescent="0.2">
      <c r="H355" s="76"/>
      <c r="I355" s="25" t="s">
        <v>153</v>
      </c>
      <c r="J355" s="76"/>
      <c r="L355" s="123"/>
      <c r="M355" s="72">
        <f>+M346*L349</f>
        <v>1198810.505995865</v>
      </c>
      <c r="N355" s="72">
        <f>AVERAGE(M346:N346)*M349</f>
        <v>1321736.8953360766</v>
      </c>
      <c r="O355" s="72">
        <f t="shared" ref="O355:Z355" si="101">AVERAGE(N346:O346)*N349</f>
        <v>1360491.5744027304</v>
      </c>
      <c r="P355" s="72">
        <f t="shared" si="101"/>
        <v>1399323.3029891304</v>
      </c>
      <c r="Q355" s="72">
        <f t="shared" si="101"/>
        <v>1636003.4026369168</v>
      </c>
      <c r="R355" s="72">
        <f t="shared" si="101"/>
        <v>1643814.2874999999</v>
      </c>
      <c r="S355" s="72">
        <f t="shared" si="101"/>
        <v>1651641.8075000001</v>
      </c>
      <c r="T355" s="72">
        <f t="shared" si="101"/>
        <v>1721438.865</v>
      </c>
      <c r="U355" s="72">
        <f t="shared" si="101"/>
        <v>1729867.885</v>
      </c>
      <c r="V355" s="72">
        <f t="shared" si="101"/>
        <v>1738339.01</v>
      </c>
      <c r="W355" s="72">
        <f t="shared" si="101"/>
        <v>1815301.9374999998</v>
      </c>
      <c r="X355" s="72">
        <f t="shared" si="101"/>
        <v>1824201.1299999997</v>
      </c>
      <c r="Y355" s="72">
        <f t="shared" si="101"/>
        <v>1833144.4324999999</v>
      </c>
      <c r="Z355" s="72">
        <f t="shared" si="101"/>
        <v>1912586.5425</v>
      </c>
      <c r="AA355" s="76"/>
    </row>
    <row r="356" spans="7:29" x14ac:dyDescent="0.2">
      <c r="H356" s="76"/>
      <c r="I356" s="25"/>
      <c r="J356" s="76"/>
      <c r="L356" s="238"/>
      <c r="M356" s="72"/>
      <c r="N356" s="72"/>
      <c r="O356" s="72"/>
      <c r="P356" s="72"/>
      <c r="Q356" s="72"/>
      <c r="R356" s="72"/>
      <c r="S356" s="72"/>
      <c r="T356" s="72"/>
      <c r="U356" s="72"/>
      <c r="V356" s="72"/>
      <c r="W356" s="72"/>
      <c r="X356" s="72"/>
      <c r="Y356" s="72"/>
      <c r="Z356" s="72"/>
      <c r="AA356" s="76"/>
    </row>
    <row r="357" spans="7:29" x14ac:dyDescent="0.2">
      <c r="H357" s="76"/>
      <c r="I357" s="25"/>
      <c r="J357" s="76"/>
      <c r="L357" s="123"/>
      <c r="M357" s="72"/>
      <c r="N357" s="72"/>
      <c r="O357" s="72"/>
      <c r="P357" s="72"/>
      <c r="Q357" s="74" t="s">
        <v>155</v>
      </c>
      <c r="R357" s="72"/>
      <c r="S357" s="72"/>
      <c r="T357" s="72"/>
      <c r="U357" s="72"/>
      <c r="V357" s="72"/>
      <c r="W357" s="72"/>
      <c r="X357" s="72"/>
      <c r="Y357" s="72"/>
      <c r="Z357" s="72"/>
      <c r="AA357" s="76"/>
    </row>
    <row r="358" spans="7:29" x14ac:dyDescent="0.2">
      <c r="H358" s="76"/>
      <c r="I358" s="76"/>
      <c r="J358" s="76"/>
      <c r="K358" s="25"/>
      <c r="L358" s="123"/>
      <c r="M358" s="239">
        <f>+M285</f>
        <v>2018</v>
      </c>
      <c r="N358" s="239">
        <f>+N285</f>
        <v>2019</v>
      </c>
      <c r="O358" s="239">
        <f>+O285</f>
        <v>2020</v>
      </c>
      <c r="P358" s="239">
        <f>+P285</f>
        <v>2021</v>
      </c>
      <c r="Q358" s="239">
        <f>+Q285</f>
        <v>2022</v>
      </c>
      <c r="R358" s="239">
        <f>+R285</f>
        <v>2023</v>
      </c>
      <c r="S358" s="239">
        <f>+S285</f>
        <v>2024</v>
      </c>
      <c r="T358" s="239">
        <f>+T285</f>
        <v>2025</v>
      </c>
      <c r="U358" s="239">
        <f>+U285</f>
        <v>2026</v>
      </c>
      <c r="V358" s="239">
        <f>+V285</f>
        <v>2027</v>
      </c>
      <c r="W358" s="239">
        <f>+W285</f>
        <v>2028</v>
      </c>
      <c r="X358" s="239">
        <f>+X285</f>
        <v>2029</v>
      </c>
      <c r="Y358" s="239">
        <f>+Y285</f>
        <v>2030</v>
      </c>
      <c r="Z358" s="239">
        <f>+Z285</f>
        <v>2031</v>
      </c>
      <c r="AA358" s="76"/>
    </row>
    <row r="359" spans="7:29" ht="13.5" thickBot="1" x14ac:dyDescent="0.25">
      <c r="H359" s="76"/>
      <c r="I359" s="76"/>
      <c r="J359" s="76"/>
      <c r="K359" s="25"/>
      <c r="M359" s="2" t="s">
        <v>154</v>
      </c>
      <c r="N359" s="240"/>
      <c r="O359" s="240"/>
      <c r="P359" s="171">
        <v>0.16800000000000001</v>
      </c>
      <c r="Q359" s="171"/>
      <c r="R359" s="171"/>
      <c r="S359" s="171">
        <v>3.7999999999999999E-2</v>
      </c>
      <c r="T359" s="171"/>
      <c r="U359" s="171"/>
      <c r="V359" s="171">
        <v>0.04</v>
      </c>
      <c r="W359" s="171"/>
      <c r="X359" s="171"/>
      <c r="Y359" s="171">
        <v>3.9E-2</v>
      </c>
      <c r="Z359" s="240"/>
    </row>
    <row r="360" spans="7:29" ht="13.5" thickBot="1" x14ac:dyDescent="0.25">
      <c r="H360" s="76"/>
      <c r="I360" s="76"/>
      <c r="J360" s="76"/>
      <c r="K360" s="76"/>
      <c r="L360" s="241">
        <f>+L349</f>
        <v>822.22942798070301</v>
      </c>
      <c r="M360" s="241">
        <f>+M349</f>
        <v>904.3700960219478</v>
      </c>
      <c r="N360" s="241">
        <f>+N349</f>
        <v>926.44982935153587</v>
      </c>
      <c r="O360" s="242">
        <f>N360*(1+O359)</f>
        <v>926.44982935153587</v>
      </c>
      <c r="P360" s="243">
        <f t="shared" ref="P360:Z360" si="102">O360*(1+P359)</f>
        <v>1082.0934006825939</v>
      </c>
      <c r="Q360" s="243">
        <f t="shared" si="102"/>
        <v>1082.0934006825939</v>
      </c>
      <c r="R360" s="243">
        <f t="shared" si="102"/>
        <v>1082.0934006825939</v>
      </c>
      <c r="S360" s="243">
        <f t="shared" si="102"/>
        <v>1123.2129499085324</v>
      </c>
      <c r="T360" s="243">
        <f t="shared" si="102"/>
        <v>1123.2129499085324</v>
      </c>
      <c r="U360" s="243">
        <f t="shared" si="102"/>
        <v>1123.2129499085324</v>
      </c>
      <c r="V360" s="243">
        <f t="shared" si="102"/>
        <v>1168.1414679048737</v>
      </c>
      <c r="W360" s="243">
        <f t="shared" si="102"/>
        <v>1168.1414679048737</v>
      </c>
      <c r="X360" s="244">
        <f t="shared" si="102"/>
        <v>1168.1414679048737</v>
      </c>
      <c r="Y360" s="245">
        <f t="shared" si="102"/>
        <v>1213.6989851531637</v>
      </c>
      <c r="Z360" s="245">
        <f t="shared" si="102"/>
        <v>1213.6989851531637</v>
      </c>
      <c r="AA360" s="83">
        <f>1.04^10</f>
        <v>1.4802442849183446</v>
      </c>
      <c r="AB360" s="241">
        <f>+AA360*M360</f>
        <v>1338.6886660875427</v>
      </c>
      <c r="AC360" s="246">
        <f>+AB360-X360</f>
        <v>170.54719818266904</v>
      </c>
    </row>
    <row r="361" spans="7:29" x14ac:dyDescent="0.2">
      <c r="H361" s="76"/>
      <c r="I361" s="76"/>
      <c r="J361" s="76"/>
      <c r="K361" s="76"/>
      <c r="L361" s="123"/>
      <c r="M361" s="76"/>
      <c r="N361" s="76"/>
      <c r="O361" s="247">
        <f>+O360-N360</f>
        <v>0</v>
      </c>
      <c r="P361" s="247">
        <f>+P360-O360</f>
        <v>155.64357133105807</v>
      </c>
      <c r="Q361" s="247">
        <f>+Q360-P360</f>
        <v>0</v>
      </c>
      <c r="R361" s="247">
        <f t="shared" ref="R361:Z361" si="103">+R360-Q360</f>
        <v>0</v>
      </c>
      <c r="S361" s="247">
        <f t="shared" si="103"/>
        <v>41.119549225938499</v>
      </c>
      <c r="T361" s="247">
        <f t="shared" si="103"/>
        <v>0</v>
      </c>
      <c r="U361" s="247">
        <f t="shared" si="103"/>
        <v>0</v>
      </c>
      <c r="V361" s="247">
        <f t="shared" si="103"/>
        <v>44.92851799634127</v>
      </c>
      <c r="W361" s="247">
        <f t="shared" si="103"/>
        <v>0</v>
      </c>
      <c r="X361" s="247">
        <f t="shared" si="103"/>
        <v>0</v>
      </c>
      <c r="Y361" s="247">
        <f t="shared" si="103"/>
        <v>45.557517248289969</v>
      </c>
      <c r="Z361" s="247">
        <f t="shared" si="103"/>
        <v>0</v>
      </c>
      <c r="AA361" s="76"/>
    </row>
    <row r="362" spans="7:29" x14ac:dyDescent="0.2">
      <c r="H362" s="76"/>
      <c r="I362" s="76"/>
      <c r="J362" s="76"/>
      <c r="K362" s="76"/>
      <c r="L362" s="123"/>
      <c r="M362" s="76"/>
      <c r="N362" s="76"/>
      <c r="O362" s="76"/>
      <c r="P362" s="76"/>
      <c r="Q362" s="76"/>
      <c r="R362" s="76"/>
      <c r="S362" s="76"/>
      <c r="T362" s="76"/>
      <c r="U362" s="76"/>
      <c r="V362" s="76"/>
      <c r="W362" s="76"/>
      <c r="X362" s="76"/>
      <c r="Y362" s="76"/>
      <c r="Z362" s="76"/>
      <c r="AA362" s="76"/>
    </row>
    <row r="363" spans="7:29" ht="15" x14ac:dyDescent="0.25">
      <c r="G363" s="84"/>
      <c r="H363" s="85"/>
      <c r="J363" s="85"/>
      <c r="K363" s="85"/>
      <c r="L363" s="248"/>
      <c r="M363" s="248">
        <f>(((+M346-L346)/2)*L349)</f>
        <v>2877.8029979324606</v>
      </c>
      <c r="N363" s="248">
        <f>(((+N346-M346)/2)*M349)</f>
        <v>3165.2953360768174</v>
      </c>
      <c r="O363" s="248">
        <f>(((+O346-N346)/2)*N349)</f>
        <v>3242.5744027303754</v>
      </c>
      <c r="P363" s="248">
        <f>(((+P346-O346)/2)*P360)+(O346*P360)</f>
        <v>1596628.8127071674</v>
      </c>
      <c r="Q363" s="248">
        <f>(((+Q346-P346)/2)*P349)</f>
        <v>3862.4026369168359</v>
      </c>
      <c r="R363" s="248">
        <f>(((+R346-Q346)/2)*Q349)</f>
        <v>4099.2874999999094</v>
      </c>
      <c r="S363" s="248">
        <f>(((+S346-R346)/2)*R349)</f>
        <v>4118.8074999999717</v>
      </c>
      <c r="T363" s="248">
        <f>(((+T346-S346)/2)*S349)</f>
        <v>4292.864999999847</v>
      </c>
      <c r="U363" s="248">
        <f>(((+U346-T346)/2)*T349)</f>
        <v>4313.8849999999666</v>
      </c>
      <c r="V363" s="248">
        <f>(((+V346-U346)/2)*U349)</f>
        <v>4335.009999999922</v>
      </c>
      <c r="W363" s="248">
        <f>(((+W346-V346)/2)*V349)</f>
        <v>4526.9374999998809</v>
      </c>
      <c r="X363" s="248">
        <f>(((+X346-W346)/2)*W349)</f>
        <v>4549.1299999998737</v>
      </c>
      <c r="Y363" s="248">
        <f>(((+Y346-X346)/2)*X349)</f>
        <v>4571.4324999998762</v>
      </c>
      <c r="Z363" s="248">
        <f>(((+Z346-Y346)/2)*Y349)</f>
        <v>4769.542499999865</v>
      </c>
      <c r="AA363" s="76"/>
    </row>
    <row r="364" spans="7:29" ht="15" x14ac:dyDescent="0.25">
      <c r="G364" s="84"/>
      <c r="H364" s="85"/>
      <c r="J364" s="85"/>
      <c r="K364" s="85"/>
      <c r="L364" s="248"/>
      <c r="M364" s="248"/>
      <c r="N364" s="248"/>
      <c r="O364" s="248"/>
      <c r="P364" s="248"/>
      <c r="Q364" s="248"/>
      <c r="R364" s="248"/>
      <c r="S364" s="248"/>
      <c r="T364" s="248"/>
      <c r="U364" s="248"/>
      <c r="V364" s="248"/>
      <c r="W364" s="248"/>
      <c r="X364" s="248"/>
      <c r="Y364" s="248"/>
      <c r="Z364" s="248"/>
      <c r="AA364" s="76"/>
    </row>
    <row r="365" spans="7:29" ht="15" x14ac:dyDescent="0.25">
      <c r="G365" s="84"/>
      <c r="H365" s="85"/>
      <c r="J365" s="85"/>
      <c r="K365" s="85"/>
      <c r="L365" s="248"/>
      <c r="M365" s="248">
        <f>+ROUND((L360*(L346+((M346-L346)/2))),0)</f>
        <v>1195933</v>
      </c>
      <c r="N365" s="248">
        <f>+ROUND((M360*(M346+((N346-M346)/2))),0)</f>
        <v>1321737</v>
      </c>
      <c r="O365" s="248">
        <f>+ROUND((N360*(N346+((O346-N346)/2))),0)</f>
        <v>1360492</v>
      </c>
      <c r="P365" s="248">
        <f>+ROUND((O360*(O346+((P346-O346)/2))),0)</f>
        <v>1366977</v>
      </c>
      <c r="Q365" s="248">
        <f>+ROUND((P360*(P346+((Q346-P346)/2))),0)</f>
        <v>1604203</v>
      </c>
      <c r="R365" s="248">
        <f>+ROUND((Q360*(Q346+((R346-Q346)/2))),0)</f>
        <v>1612011</v>
      </c>
      <c r="S365" s="248">
        <f>+ROUND((R360*(R346+((S346-R346)/2))),0)</f>
        <v>1620071</v>
      </c>
      <c r="T365" s="248">
        <f>+ROUND((S360*(S346+((T346-S346)/2))),0)</f>
        <v>1690042</v>
      </c>
      <c r="U365" s="248">
        <f>+ROUND((T360*(T346+((U346-T346)/2))),0)</f>
        <v>1698492</v>
      </c>
      <c r="V365" s="248">
        <f>+ROUND((U360*(U346+((V346-U346)/2))),0)</f>
        <v>1706984</v>
      </c>
      <c r="W365" s="248">
        <f>+ROUND((V360*(V346+((W346-V346)/2))),0)</f>
        <v>1784140</v>
      </c>
      <c r="X365" s="248">
        <f>+ROUND((W360*(W346+((X346-W346)/2))),0)</f>
        <v>1793061</v>
      </c>
      <c r="Y365" s="248">
        <f>+ROUND((X360*(X346+((Y346-X346)/2))),0)</f>
        <v>1802026</v>
      </c>
      <c r="Z365" s="248">
        <f>+ROUND((Y360*(Y346+((Z346-Y346)/2))),0)</f>
        <v>1881667</v>
      </c>
      <c r="AA365" s="76"/>
    </row>
    <row r="366" spans="7:29" ht="15" x14ac:dyDescent="0.25">
      <c r="G366" s="84"/>
      <c r="H366" s="85"/>
      <c r="J366" s="85"/>
      <c r="K366" s="85"/>
      <c r="L366" s="248"/>
      <c r="M366" s="248">
        <f>+ROUND((+M361*(L346+((M346-L346)/2))),0)</f>
        <v>0</v>
      </c>
      <c r="N366" s="248">
        <f>+ROUND((+N361*(M346+((N346-M346)/2))),0)</f>
        <v>0</v>
      </c>
      <c r="O366" s="248">
        <f>+ROUND((+O361*(N346+((O346-N346)/2))),0)</f>
        <v>0</v>
      </c>
      <c r="P366" s="248">
        <f>+ROUND((+P361*(O346+((P346-O346)/2))),0)</f>
        <v>229652</v>
      </c>
      <c r="Q366" s="248">
        <f>+ROUND((+Q361*(P346+((Q346-P346)/2))),0)</f>
        <v>0</v>
      </c>
      <c r="R366" s="248">
        <f>+ROUND((+R361*(Q346+((R346-Q346)/2))),0)</f>
        <v>0</v>
      </c>
      <c r="S366" s="248">
        <f>+ROUND((+S361*(R346+((S346-R346)/2))),0)</f>
        <v>61563</v>
      </c>
      <c r="T366" s="248">
        <f>+ROUND((+T361*(S346+((T346-S346)/2))),0)</f>
        <v>0</v>
      </c>
      <c r="U366" s="248">
        <f>+ROUND((+U361*(T346+((U346-T346)/2))),0)</f>
        <v>0</v>
      </c>
      <c r="V366" s="248">
        <f>+ROUND((+V361*(U346+((V346-U346)/2))),0)</f>
        <v>68279</v>
      </c>
      <c r="W366" s="248">
        <f>+ROUND((+W361*(V346+((W346-V346)/2))),0)</f>
        <v>0</v>
      </c>
      <c r="X366" s="248">
        <f>+ROUND((+X361*(W346+((X346-W346)/2))),0)</f>
        <v>0</v>
      </c>
      <c r="Y366" s="248">
        <f>+ROUND((+Y361*(X346+((Y346-X346)/2))),0)</f>
        <v>70279</v>
      </c>
      <c r="Z366" s="248">
        <f>+ROUND((+Z361*(Y346+((Z346-Y346)/2))),0)</f>
        <v>0</v>
      </c>
      <c r="AA366" s="76"/>
    </row>
    <row r="367" spans="7:29" ht="15" x14ac:dyDescent="0.25">
      <c r="G367" s="84"/>
      <c r="H367" s="85"/>
      <c r="J367" s="85"/>
      <c r="K367" s="85"/>
      <c r="L367" s="85"/>
      <c r="M367" s="85"/>
      <c r="R367" s="76"/>
      <c r="S367" s="76"/>
      <c r="T367" s="76"/>
      <c r="U367" s="76"/>
      <c r="V367" s="76"/>
      <c r="W367" s="76"/>
      <c r="X367" s="76"/>
      <c r="Y367" s="76"/>
      <c r="Z367" s="76"/>
      <c r="AA367" s="76"/>
    </row>
    <row r="368" spans="7:29" ht="15.75" thickBot="1" x14ac:dyDescent="0.3">
      <c r="G368" s="85"/>
      <c r="H368" s="85"/>
      <c r="I368" s="85"/>
      <c r="J368" s="85"/>
      <c r="K368" s="85"/>
      <c r="L368" s="248"/>
      <c r="M368" s="248"/>
      <c r="R368" s="76"/>
      <c r="S368" s="76"/>
      <c r="T368" s="76"/>
      <c r="U368" s="76"/>
      <c r="V368" s="76"/>
      <c r="W368" s="76"/>
      <c r="X368" s="76"/>
      <c r="Y368" s="76"/>
      <c r="Z368" s="76"/>
      <c r="AA368" s="76"/>
    </row>
    <row r="369" spans="8:27" ht="15" x14ac:dyDescent="0.25">
      <c r="H369" s="249"/>
      <c r="I369" s="250"/>
      <c r="J369" s="251"/>
      <c r="K369" s="251"/>
      <c r="L369" s="251"/>
      <c r="M369" s="250"/>
      <c r="N369" s="250"/>
      <c r="O369" s="250"/>
      <c r="P369" s="250"/>
      <c r="Q369" s="250"/>
      <c r="R369" s="252"/>
      <c r="S369" s="252"/>
      <c r="T369" s="252"/>
      <c r="U369" s="252"/>
      <c r="V369" s="252"/>
      <c r="W369" s="252"/>
      <c r="X369" s="252"/>
      <c r="Y369" s="252"/>
      <c r="Z369" s="253"/>
      <c r="AA369" s="76"/>
    </row>
    <row r="370" spans="8:27" ht="15" x14ac:dyDescent="0.25">
      <c r="H370" s="86" t="s">
        <v>156</v>
      </c>
      <c r="I370" s="4"/>
      <c r="J370" s="4"/>
      <c r="K370" s="254"/>
      <c r="L370" s="254"/>
      <c r="M370" s="4"/>
      <c r="N370" s="4"/>
      <c r="O370" s="4"/>
      <c r="P370" s="4"/>
      <c r="Q370" s="4"/>
      <c r="R370" s="255"/>
      <c r="S370" s="255"/>
      <c r="T370" s="255"/>
      <c r="U370" s="255"/>
      <c r="V370" s="255"/>
      <c r="W370" s="255"/>
      <c r="X370" s="255"/>
      <c r="Y370" s="255"/>
      <c r="Z370" s="256"/>
      <c r="AA370" s="76"/>
    </row>
    <row r="371" spans="8:27" ht="15" x14ac:dyDescent="0.25">
      <c r="H371" s="86" t="s">
        <v>157</v>
      </c>
      <c r="I371" s="87" t="s">
        <v>135</v>
      </c>
      <c r="J371" s="257">
        <v>1.4319999999999999E-3</v>
      </c>
      <c r="K371" s="255"/>
      <c r="L371" s="258"/>
      <c r="M371" s="259">
        <f>ROUND(+$J371*L289,0)</f>
        <v>4632</v>
      </c>
      <c r="N371" s="259">
        <f>ROUND(+$J371*M289,0)</f>
        <v>4515</v>
      </c>
      <c r="O371" s="259">
        <f>ROUND(+$J371*N289,0)</f>
        <v>4509</v>
      </c>
      <c r="P371" s="259">
        <f>ROUND(+$J371*O289,0)</f>
        <v>4501</v>
      </c>
      <c r="Q371" s="259">
        <f>ROUND(+$J371*P289,0)</f>
        <v>4494</v>
      </c>
      <c r="R371" s="259">
        <f>ROUND(+$J371*Q289,0)</f>
        <v>4486</v>
      </c>
      <c r="S371" s="259">
        <f>ROUND(+$J371*R289,0)</f>
        <v>4478</v>
      </c>
      <c r="T371" s="259">
        <f>ROUND(+$J371*S289,0)</f>
        <v>4470</v>
      </c>
      <c r="U371" s="259">
        <f>ROUND(+$J371*T289,0)</f>
        <v>4462</v>
      </c>
      <c r="V371" s="259">
        <f>ROUND(+$J371*U289,0)</f>
        <v>4456</v>
      </c>
      <c r="W371" s="259">
        <f>ROUND(+$J371*V289,0)</f>
        <v>4450</v>
      </c>
      <c r="X371" s="259">
        <f>ROUND(+$J371*W289,0)</f>
        <v>4444</v>
      </c>
      <c r="Y371" s="259">
        <f>ROUND(+$J371*X289,0)</f>
        <v>4437</v>
      </c>
      <c r="Z371" s="260">
        <f>ROUND(+$J371*Y289,0)</f>
        <v>4431</v>
      </c>
      <c r="AA371" s="76"/>
    </row>
    <row r="372" spans="8:27" ht="15" x14ac:dyDescent="0.25">
      <c r="H372" s="86" t="s">
        <v>158</v>
      </c>
      <c r="I372" s="87" t="s">
        <v>159</v>
      </c>
      <c r="J372" s="257">
        <v>5.6899999999999997E-3</v>
      </c>
      <c r="K372" s="255"/>
      <c r="L372" s="258"/>
      <c r="M372" s="259">
        <f>ROUND(+$J372*L24,0)</f>
        <v>6788</v>
      </c>
      <c r="N372" s="259">
        <f>ROUND(+$J372*M24,0)</f>
        <v>7503</v>
      </c>
      <c r="O372" s="259">
        <f>ROUND(+$J372*N24,0)</f>
        <v>7723</v>
      </c>
      <c r="P372" s="259">
        <f>ROUND(+$J372*O24,0)</f>
        <v>7943</v>
      </c>
      <c r="Q372" s="259">
        <f>ROUND(+$J372*P24,0)</f>
        <v>9287</v>
      </c>
      <c r="R372" s="259">
        <f>ROUND(+$J372*Q24,0)</f>
        <v>9330</v>
      </c>
      <c r="S372" s="259">
        <f>ROUND(+$J372*R24,0)</f>
        <v>9374</v>
      </c>
      <c r="T372" s="259">
        <f>ROUND(+$J372*S24,0)</f>
        <v>9771</v>
      </c>
      <c r="U372" s="259">
        <f>ROUND(+$J372*T24,0)</f>
        <v>9818</v>
      </c>
      <c r="V372" s="259">
        <f>ROUND(+$J372*U24,0)</f>
        <v>9866</v>
      </c>
      <c r="W372" s="259">
        <f>ROUND(+$J372*V24,0)</f>
        <v>10303</v>
      </c>
      <c r="X372" s="259">
        <f>ROUND(+$J372*W24,0)</f>
        <v>10354</v>
      </c>
      <c r="Y372" s="259">
        <f>ROUND(+$J372*X24,0)</f>
        <v>10405</v>
      </c>
      <c r="Z372" s="260">
        <f>ROUND(+$J372*Y24,0)</f>
        <v>10855</v>
      </c>
      <c r="AA372" s="76"/>
    </row>
    <row r="373" spans="8:27" ht="15.75" thickBot="1" x14ac:dyDescent="0.3">
      <c r="H373" s="261"/>
      <c r="I373" s="255"/>
      <c r="J373" s="255"/>
      <c r="K373" s="255"/>
      <c r="L373" s="258"/>
      <c r="M373" s="262">
        <f>SUM(M371:M372)</f>
        <v>11420</v>
      </c>
      <c r="N373" s="262">
        <f t="shared" ref="N373:Z373" si="104">SUM(N371:N372)</f>
        <v>12018</v>
      </c>
      <c r="O373" s="262">
        <f t="shared" si="104"/>
        <v>12232</v>
      </c>
      <c r="P373" s="262">
        <f t="shared" si="104"/>
        <v>12444</v>
      </c>
      <c r="Q373" s="262">
        <f t="shared" si="104"/>
        <v>13781</v>
      </c>
      <c r="R373" s="262">
        <f t="shared" si="104"/>
        <v>13816</v>
      </c>
      <c r="S373" s="262">
        <f t="shared" si="104"/>
        <v>13852</v>
      </c>
      <c r="T373" s="262">
        <f t="shared" si="104"/>
        <v>14241</v>
      </c>
      <c r="U373" s="262">
        <f t="shared" si="104"/>
        <v>14280</v>
      </c>
      <c r="V373" s="262">
        <f t="shared" si="104"/>
        <v>14322</v>
      </c>
      <c r="W373" s="262">
        <f t="shared" si="104"/>
        <v>14753</v>
      </c>
      <c r="X373" s="262">
        <f t="shared" si="104"/>
        <v>14798</v>
      </c>
      <c r="Y373" s="262">
        <f t="shared" si="104"/>
        <v>14842</v>
      </c>
      <c r="Z373" s="263">
        <f t="shared" si="104"/>
        <v>15286</v>
      </c>
      <c r="AA373" s="76"/>
    </row>
    <row r="374" spans="8:27" ht="13.5" thickTop="1" x14ac:dyDescent="0.2">
      <c r="H374" s="261"/>
      <c r="I374" s="255"/>
      <c r="J374" s="255"/>
      <c r="K374" s="255"/>
      <c r="L374" s="258"/>
      <c r="M374" s="255"/>
      <c r="N374" s="255"/>
      <c r="O374" s="255"/>
      <c r="P374" s="255"/>
      <c r="Q374" s="255"/>
      <c r="R374" s="255"/>
      <c r="S374" s="255"/>
      <c r="T374" s="255"/>
      <c r="U374" s="255"/>
      <c r="V374" s="255"/>
      <c r="W374" s="255"/>
      <c r="X374" s="255"/>
      <c r="Y374" s="255"/>
      <c r="Z374" s="256"/>
      <c r="AA374" s="76"/>
    </row>
    <row r="375" spans="8:27" ht="13.5" thickBot="1" x14ac:dyDescent="0.25">
      <c r="H375" s="264"/>
      <c r="I375" s="265"/>
      <c r="J375" s="265"/>
      <c r="K375" s="265"/>
      <c r="L375" s="266"/>
      <c r="M375" s="265"/>
      <c r="N375" s="265"/>
      <c r="O375" s="265"/>
      <c r="P375" s="265"/>
      <c r="Q375" s="265"/>
      <c r="R375" s="265"/>
      <c r="S375" s="265"/>
      <c r="T375" s="265"/>
      <c r="U375" s="265"/>
      <c r="V375" s="265"/>
      <c r="W375" s="265"/>
      <c r="X375" s="265"/>
      <c r="Y375" s="265"/>
      <c r="Z375" s="267"/>
      <c r="AA375" s="76"/>
    </row>
    <row r="376" spans="8:27" ht="15" x14ac:dyDescent="0.25">
      <c r="H376" s="76"/>
      <c r="I376" s="76"/>
      <c r="J376" s="85"/>
      <c r="K376" s="76"/>
      <c r="L376" s="123"/>
      <c r="M376" s="76"/>
      <c r="N376" s="76"/>
      <c r="O376" s="76"/>
      <c r="P376" s="76"/>
      <c r="Q376" s="76"/>
      <c r="R376" s="76"/>
      <c r="S376" s="76"/>
      <c r="T376" s="76"/>
      <c r="U376" s="76"/>
      <c r="V376" s="76"/>
      <c r="W376" s="76"/>
      <c r="X376" s="76"/>
      <c r="Y376" s="76"/>
      <c r="Z376" s="76"/>
      <c r="AA376" s="76"/>
    </row>
    <row r="377" spans="8:27" ht="15" x14ac:dyDescent="0.25">
      <c r="H377" s="76"/>
      <c r="I377" s="76"/>
      <c r="J377" s="85"/>
      <c r="K377" s="76"/>
      <c r="L377" s="123"/>
      <c r="M377" s="76"/>
      <c r="N377" s="76"/>
      <c r="O377" s="76"/>
      <c r="P377" s="76"/>
      <c r="Q377" s="76"/>
      <c r="R377" s="76"/>
      <c r="S377" s="76"/>
      <c r="T377" s="76"/>
      <c r="U377" s="76"/>
      <c r="V377" s="76"/>
      <c r="W377" s="76"/>
      <c r="X377" s="76"/>
      <c r="Y377" s="76"/>
      <c r="Z377" s="76"/>
      <c r="AA377" s="76"/>
    </row>
    <row r="378" spans="8:27" ht="15" x14ac:dyDescent="0.25">
      <c r="H378" s="76"/>
      <c r="I378" s="76"/>
      <c r="J378" s="85"/>
      <c r="K378" s="76"/>
      <c r="L378" s="123"/>
      <c r="M378" s="76"/>
      <c r="N378" s="76"/>
      <c r="O378" s="76"/>
      <c r="P378" s="76"/>
      <c r="Q378" s="76"/>
      <c r="R378" s="76"/>
      <c r="S378" s="76"/>
      <c r="T378" s="76"/>
      <c r="U378" s="76"/>
      <c r="V378" s="76"/>
      <c r="W378" s="76"/>
      <c r="X378" s="76"/>
      <c r="Y378" s="76"/>
      <c r="Z378" s="76"/>
      <c r="AA378" s="76"/>
    </row>
    <row r="379" spans="8:27" ht="15" x14ac:dyDescent="0.25">
      <c r="H379" s="76"/>
      <c r="I379" s="76"/>
      <c r="J379" s="85"/>
      <c r="K379" s="76"/>
      <c r="L379" s="123"/>
      <c r="M379" s="76"/>
      <c r="N379" s="76"/>
      <c r="O379" s="76"/>
      <c r="P379" s="76"/>
      <c r="Q379" s="76"/>
      <c r="R379" s="76"/>
      <c r="S379" s="76"/>
      <c r="T379" s="76"/>
      <c r="U379" s="76"/>
      <c r="V379" s="76"/>
      <c r="W379" s="76"/>
      <c r="X379" s="76"/>
      <c r="Y379" s="76"/>
      <c r="Z379" s="76"/>
      <c r="AA379" s="76"/>
    </row>
    <row r="380" spans="8:27" x14ac:dyDescent="0.2">
      <c r="H380" s="76"/>
      <c r="I380" s="76"/>
      <c r="J380" s="87"/>
      <c r="K380" s="76"/>
      <c r="L380" s="123"/>
      <c r="M380" s="76"/>
      <c r="N380" s="76"/>
      <c r="O380" s="76"/>
      <c r="P380" s="76"/>
      <c r="Q380" s="76"/>
      <c r="R380" s="76"/>
      <c r="S380" s="76"/>
      <c r="T380" s="76"/>
      <c r="U380" s="76"/>
      <c r="V380" s="76"/>
      <c r="W380" s="76"/>
      <c r="X380" s="76"/>
      <c r="Y380" s="76"/>
      <c r="Z380" s="76"/>
      <c r="AA380" s="76"/>
    </row>
    <row r="381" spans="8:27" x14ac:dyDescent="0.2">
      <c r="H381" s="76"/>
      <c r="I381" s="76"/>
      <c r="J381" s="76"/>
      <c r="K381" s="76"/>
      <c r="L381" s="123"/>
      <c r="M381" s="76"/>
      <c r="N381" s="76"/>
      <c r="O381" s="76"/>
      <c r="P381" s="76"/>
      <c r="Q381" s="76"/>
      <c r="R381" s="76"/>
      <c r="S381" s="76"/>
      <c r="T381" s="76"/>
      <c r="U381" s="76"/>
      <c r="V381" s="76"/>
      <c r="W381" s="76"/>
      <c r="X381" s="76"/>
      <c r="Y381" s="76"/>
      <c r="Z381" s="76"/>
      <c r="AA381" s="76"/>
    </row>
    <row r="382" spans="8:27" x14ac:dyDescent="0.2">
      <c r="H382" s="76"/>
      <c r="I382" s="76"/>
      <c r="J382" s="76"/>
      <c r="K382" s="76"/>
      <c r="L382" s="123"/>
      <c r="M382" s="76"/>
      <c r="N382" s="76"/>
      <c r="O382" s="76"/>
      <c r="P382" s="76"/>
      <c r="Q382" s="76"/>
      <c r="R382" s="76"/>
      <c r="S382" s="76"/>
      <c r="T382" s="76"/>
      <c r="U382" s="76"/>
      <c r="V382" s="76"/>
      <c r="W382" s="76"/>
      <c r="X382" s="76"/>
      <c r="Y382" s="76"/>
      <c r="Z382" s="76"/>
      <c r="AA382" s="76"/>
    </row>
    <row r="383" spans="8:27" x14ac:dyDescent="0.2">
      <c r="H383" s="76"/>
      <c r="I383" s="76"/>
      <c r="J383" s="76"/>
      <c r="K383" s="2" t="s">
        <v>184</v>
      </c>
      <c r="O383" s="76"/>
      <c r="P383" s="76"/>
      <c r="Q383" s="76"/>
      <c r="R383" s="76"/>
      <c r="S383" s="76"/>
      <c r="T383" s="76"/>
      <c r="U383" s="76"/>
      <c r="V383" s="76"/>
      <c r="W383" s="76"/>
      <c r="X383" s="76"/>
      <c r="Y383" s="76"/>
      <c r="Z383" s="76"/>
      <c r="AA383" s="76"/>
    </row>
    <row r="384" spans="8:27" ht="15" x14ac:dyDescent="0.25">
      <c r="H384" s="76"/>
      <c r="I384" s="76"/>
      <c r="J384" s="76"/>
      <c r="K384" s="69" t="s">
        <v>160</v>
      </c>
      <c r="L384" s="224">
        <f>+L293</f>
        <v>2723127</v>
      </c>
      <c r="M384" s="76"/>
      <c r="O384" s="76"/>
      <c r="P384" s="76"/>
      <c r="Q384" s="76"/>
      <c r="R384" s="76"/>
      <c r="S384" s="76"/>
      <c r="T384" s="76"/>
      <c r="U384" s="76"/>
      <c r="V384" s="76"/>
      <c r="W384" s="76"/>
      <c r="X384" s="76"/>
      <c r="Y384" s="76"/>
      <c r="Z384" s="76"/>
      <c r="AA384" s="76"/>
    </row>
    <row r="385" spans="8:27" ht="15" x14ac:dyDescent="0.25">
      <c r="H385" s="76"/>
      <c r="I385" s="76"/>
      <c r="J385" s="76"/>
      <c r="K385" s="69" t="s">
        <v>161</v>
      </c>
      <c r="L385" s="5">
        <f>+L287</f>
        <v>4931649</v>
      </c>
      <c r="M385" s="76"/>
      <c r="N385" s="5"/>
      <c r="O385" s="76"/>
      <c r="P385" s="76"/>
      <c r="Q385" s="76"/>
      <c r="R385" s="76"/>
      <c r="S385" s="76"/>
      <c r="T385" s="76"/>
      <c r="U385" s="76"/>
      <c r="V385" s="76"/>
      <c r="W385" s="76"/>
      <c r="X385" s="76"/>
      <c r="Y385" s="76"/>
      <c r="Z385" s="76"/>
      <c r="AA385" s="76"/>
    </row>
    <row r="386" spans="8:27" ht="15" x14ac:dyDescent="0.25">
      <c r="H386" s="76"/>
      <c r="I386" s="76"/>
      <c r="J386" s="76"/>
      <c r="K386" s="69" t="s">
        <v>162</v>
      </c>
      <c r="L386" s="5">
        <f>+L289</f>
        <v>3234859</v>
      </c>
      <c r="M386" s="76"/>
      <c r="N386" s="5"/>
      <c r="O386" s="76"/>
      <c r="P386" s="76"/>
      <c r="Q386" s="76"/>
      <c r="R386" s="76"/>
      <c r="S386" s="76"/>
      <c r="T386" s="76"/>
      <c r="U386" s="76"/>
      <c r="V386" s="76"/>
      <c r="W386" s="76"/>
      <c r="X386" s="76"/>
      <c r="Y386" s="76"/>
      <c r="Z386" s="76"/>
      <c r="AA386" s="76"/>
    </row>
    <row r="387" spans="8:27" ht="15" x14ac:dyDescent="0.25">
      <c r="H387" s="76"/>
      <c r="I387" s="76"/>
      <c r="J387" s="76"/>
      <c r="K387" s="69" t="s">
        <v>46</v>
      </c>
      <c r="L387" s="5">
        <f>+L40</f>
        <v>1193054.9000000001</v>
      </c>
      <c r="M387" s="76"/>
      <c r="O387" s="76"/>
      <c r="P387" s="76"/>
      <c r="Q387" s="76"/>
      <c r="R387" s="76"/>
      <c r="S387" s="76"/>
      <c r="T387" s="76"/>
      <c r="U387" s="76"/>
      <c r="V387" s="76"/>
      <c r="W387" s="76"/>
      <c r="X387" s="76"/>
      <c r="Y387" s="76"/>
      <c r="Z387" s="76"/>
      <c r="AA387" s="76"/>
    </row>
    <row r="388" spans="8:27" ht="15" x14ac:dyDescent="0.25">
      <c r="H388" s="76"/>
      <c r="I388" s="76"/>
      <c r="J388" s="76"/>
      <c r="K388" s="69" t="s">
        <v>7</v>
      </c>
      <c r="L388" s="5">
        <f>+L41</f>
        <v>-173563.5399999998</v>
      </c>
      <c r="M388" s="76"/>
      <c r="O388" s="76"/>
      <c r="P388" s="76"/>
      <c r="Q388" s="76"/>
      <c r="R388" s="76"/>
      <c r="S388" s="76"/>
      <c r="T388" s="76"/>
      <c r="U388" s="76"/>
      <c r="V388" s="76"/>
      <c r="W388" s="76"/>
      <c r="X388" s="76"/>
      <c r="Y388" s="76"/>
      <c r="Z388" s="76"/>
      <c r="AA388" s="76"/>
    </row>
    <row r="389" spans="8:27" ht="15" x14ac:dyDescent="0.25">
      <c r="H389" s="76"/>
      <c r="I389" s="76"/>
      <c r="J389" s="76"/>
      <c r="K389" s="69" t="s">
        <v>4</v>
      </c>
      <c r="L389" s="5">
        <f>+L42</f>
        <v>-244336.5399999998</v>
      </c>
      <c r="M389" s="76"/>
      <c r="O389" s="76"/>
      <c r="P389" s="76"/>
      <c r="Q389" s="76"/>
      <c r="R389" s="76"/>
      <c r="S389" s="76"/>
      <c r="T389" s="76"/>
      <c r="U389" s="76"/>
      <c r="V389" s="76"/>
      <c r="W389" s="76"/>
      <c r="X389" s="76"/>
      <c r="Y389" s="76"/>
      <c r="Z389" s="76"/>
      <c r="AA389" s="76"/>
    </row>
    <row r="390" spans="8:27" ht="15" x14ac:dyDescent="0.25">
      <c r="H390" s="76"/>
      <c r="I390" s="76"/>
      <c r="J390" s="76"/>
      <c r="K390" s="69" t="s">
        <v>147</v>
      </c>
      <c r="L390" s="224">
        <f>+L346</f>
        <v>1451</v>
      </c>
      <c r="M390" s="76"/>
      <c r="O390" s="76"/>
      <c r="P390" s="76"/>
      <c r="Q390" s="76"/>
      <c r="R390" s="76"/>
      <c r="S390" s="76"/>
      <c r="T390" s="76"/>
      <c r="U390" s="76"/>
      <c r="V390" s="76"/>
      <c r="W390" s="76"/>
      <c r="X390" s="76"/>
      <c r="Y390" s="76"/>
      <c r="Z390" s="76"/>
      <c r="AA390" s="76"/>
    </row>
    <row r="391" spans="8:27" ht="15" x14ac:dyDescent="0.25">
      <c r="H391" s="76"/>
      <c r="I391" s="76"/>
      <c r="J391" s="76"/>
      <c r="K391" s="69" t="s">
        <v>163</v>
      </c>
      <c r="L391" s="224">
        <v>4218</v>
      </c>
      <c r="M391" s="76"/>
      <c r="O391" s="76"/>
      <c r="P391" s="76"/>
      <c r="Q391" s="76"/>
      <c r="R391" s="76"/>
      <c r="S391" s="76"/>
      <c r="T391" s="76"/>
      <c r="U391" s="76"/>
      <c r="V391" s="76"/>
      <c r="W391" s="76"/>
      <c r="X391" s="76"/>
      <c r="Y391" s="76"/>
      <c r="Z391" s="76"/>
      <c r="AA391" s="76"/>
    </row>
    <row r="392" spans="8:27" x14ac:dyDescent="0.2">
      <c r="H392" s="76"/>
      <c r="I392" s="76"/>
      <c r="J392" s="76"/>
      <c r="K392" s="76"/>
      <c r="L392" s="123"/>
      <c r="M392" s="76"/>
      <c r="N392" s="76"/>
      <c r="O392" s="76"/>
      <c r="P392" s="76"/>
      <c r="Q392" s="76"/>
      <c r="R392" s="76"/>
      <c r="S392" s="76"/>
      <c r="T392" s="76"/>
      <c r="U392" s="76"/>
      <c r="V392" s="76"/>
      <c r="W392" s="76"/>
      <c r="X392" s="76"/>
      <c r="Y392" s="76"/>
      <c r="Z392" s="76"/>
      <c r="AA392" s="76"/>
    </row>
    <row r="393" spans="8:27" x14ac:dyDescent="0.2">
      <c r="H393" s="76"/>
      <c r="I393" s="76"/>
      <c r="J393" s="76"/>
      <c r="K393" s="76"/>
      <c r="L393" s="123"/>
      <c r="M393" s="76"/>
      <c r="N393" s="76"/>
      <c r="O393" s="76"/>
      <c r="P393" s="76"/>
      <c r="Q393" s="76"/>
      <c r="R393" s="76"/>
      <c r="S393" s="76"/>
      <c r="T393" s="76"/>
      <c r="U393" s="76"/>
      <c r="V393" s="76"/>
      <c r="W393" s="76"/>
      <c r="X393" s="76"/>
      <c r="Y393" s="76"/>
      <c r="Z393" s="76"/>
      <c r="AA393" s="76"/>
    </row>
    <row r="394" spans="8:27" x14ac:dyDescent="0.2">
      <c r="H394" s="76"/>
      <c r="I394" s="76"/>
      <c r="J394" s="76"/>
      <c r="K394" s="76"/>
      <c r="L394" s="123"/>
      <c r="M394" s="76"/>
      <c r="N394" s="76"/>
      <c r="O394" s="76"/>
      <c r="P394" s="76"/>
      <c r="Q394" s="76"/>
      <c r="R394" s="76"/>
      <c r="S394" s="76"/>
      <c r="T394" s="76"/>
      <c r="U394" s="76"/>
      <c r="V394" s="76"/>
      <c r="W394" s="76"/>
      <c r="X394" s="76"/>
      <c r="Y394" s="76"/>
      <c r="Z394" s="76"/>
      <c r="AA394" s="76"/>
    </row>
    <row r="395" spans="8:27" x14ac:dyDescent="0.2">
      <c r="H395" s="76"/>
      <c r="I395" s="76"/>
      <c r="J395" s="76"/>
      <c r="K395" s="76"/>
      <c r="L395" s="123"/>
      <c r="M395" s="76"/>
      <c r="N395" s="76"/>
      <c r="O395" s="76"/>
      <c r="P395" s="76"/>
      <c r="Q395" s="76"/>
      <c r="R395" s="76"/>
      <c r="S395" s="76"/>
      <c r="T395" s="76"/>
      <c r="U395" s="76"/>
      <c r="V395" s="76"/>
      <c r="W395" s="76"/>
      <c r="X395" s="76"/>
      <c r="Y395" s="76"/>
      <c r="Z395" s="76"/>
      <c r="AA395" s="76"/>
    </row>
    <row r="396" spans="8:27" x14ac:dyDescent="0.2">
      <c r="H396" s="76"/>
      <c r="I396" s="76"/>
      <c r="J396" s="76"/>
      <c r="K396" s="76"/>
      <c r="L396" s="123"/>
      <c r="M396" s="76"/>
      <c r="N396" s="76"/>
      <c r="O396" s="76"/>
      <c r="P396" s="76"/>
      <c r="Q396" s="76"/>
      <c r="R396" s="76"/>
      <c r="S396" s="76"/>
      <c r="T396" s="76"/>
      <c r="U396" s="76"/>
      <c r="V396" s="76"/>
      <c r="W396" s="76"/>
      <c r="X396" s="76"/>
      <c r="Y396" s="76"/>
      <c r="Z396" s="76"/>
      <c r="AA396" s="76"/>
    </row>
    <row r="397" spans="8:27" x14ac:dyDescent="0.2">
      <c r="H397" s="76"/>
      <c r="I397" s="2" t="s">
        <v>164</v>
      </c>
      <c r="J397" s="224">
        <f>+J287</f>
        <v>0</v>
      </c>
      <c r="K397" s="224">
        <f>+K287</f>
        <v>0</v>
      </c>
      <c r="L397" s="224">
        <f>+L287</f>
        <v>4931649</v>
      </c>
      <c r="M397" s="224">
        <f>+M287</f>
        <v>4931649</v>
      </c>
      <c r="N397" s="76"/>
      <c r="O397" s="76"/>
      <c r="P397" s="76"/>
      <c r="Q397" s="76"/>
      <c r="R397" s="76"/>
      <c r="S397" s="76"/>
      <c r="T397" s="76"/>
      <c r="U397" s="76"/>
      <c r="V397" s="76"/>
      <c r="W397" s="76"/>
      <c r="X397" s="76"/>
      <c r="Y397" s="76"/>
      <c r="Z397" s="76"/>
      <c r="AA397" s="76"/>
    </row>
    <row r="398" spans="8:27" x14ac:dyDescent="0.2">
      <c r="H398" s="76"/>
      <c r="I398" s="2" t="s">
        <v>165</v>
      </c>
      <c r="J398" s="224">
        <f>+J289</f>
        <v>0</v>
      </c>
      <c r="K398" s="224">
        <f>+K289</f>
        <v>0</v>
      </c>
      <c r="L398" s="224">
        <f>+L289</f>
        <v>3234859</v>
      </c>
      <c r="M398" s="224">
        <f>+M289</f>
        <v>3152993.6266000001</v>
      </c>
      <c r="N398" s="76"/>
      <c r="O398" s="76"/>
      <c r="P398" s="76"/>
      <c r="Q398" s="76"/>
      <c r="R398" s="76"/>
      <c r="S398" s="76"/>
      <c r="T398" s="76"/>
      <c r="U398" s="76"/>
      <c r="V398" s="76"/>
      <c r="W398" s="76"/>
      <c r="X398" s="76"/>
      <c r="Y398" s="76"/>
      <c r="Z398" s="76"/>
      <c r="AA398" s="76"/>
    </row>
    <row r="399" spans="8:27" x14ac:dyDescent="0.2">
      <c r="H399" s="76"/>
      <c r="I399" s="76"/>
      <c r="N399" s="76"/>
      <c r="O399" s="76"/>
      <c r="P399" s="76"/>
      <c r="Q399" s="76"/>
      <c r="R399" s="76"/>
      <c r="S399" s="76"/>
      <c r="T399" s="76"/>
      <c r="U399" s="76"/>
      <c r="V399" s="76"/>
      <c r="W399" s="76"/>
      <c r="X399" s="76"/>
      <c r="Y399" s="76"/>
      <c r="Z399" s="76"/>
      <c r="AA399" s="76"/>
    </row>
    <row r="400" spans="8:27" x14ac:dyDescent="0.2">
      <c r="I400" s="2" t="s">
        <v>166</v>
      </c>
      <c r="J400" s="224">
        <f>+J346</f>
        <v>1451</v>
      </c>
      <c r="K400" s="224">
        <f>+K346</f>
        <v>1451</v>
      </c>
      <c r="L400" s="224">
        <f>+L346</f>
        <v>1451</v>
      </c>
      <c r="M400" s="224">
        <f>+M346</f>
        <v>1458</v>
      </c>
      <c r="R400" s="76"/>
      <c r="S400" s="76"/>
      <c r="T400" s="76"/>
      <c r="U400" s="76"/>
      <c r="V400" s="76"/>
      <c r="W400" s="76"/>
      <c r="X400" s="76"/>
      <c r="Y400" s="76"/>
      <c r="Z400" s="76"/>
      <c r="AA400" s="76"/>
    </row>
    <row r="401" spans="5:27" x14ac:dyDescent="0.2">
      <c r="W401" s="76"/>
      <c r="X401" s="76"/>
      <c r="Y401" s="76"/>
      <c r="Z401" s="76"/>
      <c r="AA401" s="76"/>
    </row>
    <row r="402" spans="5:27" x14ac:dyDescent="0.2">
      <c r="W402" s="76"/>
      <c r="X402" s="76"/>
      <c r="Y402" s="76"/>
      <c r="Z402" s="76"/>
      <c r="AA402" s="76"/>
    </row>
    <row r="403" spans="5:27" ht="15" x14ac:dyDescent="0.25">
      <c r="E403" s="13"/>
      <c r="F403" s="13"/>
      <c r="G403" s="13"/>
      <c r="H403" s="88">
        <f>+H19</f>
        <v>2013</v>
      </c>
      <c r="I403" s="88">
        <f>+I19</f>
        <v>2014</v>
      </c>
      <c r="J403" s="88">
        <f>+J19</f>
        <v>2015</v>
      </c>
      <c r="K403" s="88">
        <f>+K19</f>
        <v>2016</v>
      </c>
      <c r="L403" s="88">
        <f>+L19</f>
        <v>2017</v>
      </c>
      <c r="M403" s="88">
        <f>+M19</f>
        <v>2018</v>
      </c>
      <c r="N403" s="13"/>
      <c r="O403" s="13"/>
      <c r="P403" s="13"/>
      <c r="Q403" s="13"/>
      <c r="R403" s="13"/>
      <c r="S403" s="13"/>
      <c r="T403" s="13"/>
      <c r="U403" s="13"/>
      <c r="V403" s="13"/>
      <c r="W403" s="76"/>
      <c r="X403" s="76"/>
      <c r="Y403" s="76"/>
      <c r="Z403" s="76"/>
      <c r="AA403" s="76"/>
    </row>
    <row r="404" spans="5:27" ht="15" x14ac:dyDescent="0.25">
      <c r="E404" s="13"/>
      <c r="F404" s="13"/>
      <c r="G404" s="13"/>
      <c r="J404" s="13"/>
      <c r="K404" s="13"/>
      <c r="L404" s="13"/>
      <c r="M404" s="13"/>
      <c r="N404" s="13"/>
      <c r="O404" s="89"/>
      <c r="P404" s="13"/>
      <c r="Q404" s="13"/>
      <c r="R404" s="13"/>
      <c r="S404" s="13"/>
      <c r="T404" s="13"/>
      <c r="U404" s="13"/>
      <c r="V404" s="13"/>
      <c r="W404" s="76"/>
      <c r="X404" s="76"/>
      <c r="Y404" s="76"/>
      <c r="Z404" s="76"/>
      <c r="AA404" s="76"/>
    </row>
    <row r="405" spans="5:27" ht="15" x14ac:dyDescent="0.25">
      <c r="E405" s="13"/>
      <c r="F405" s="13"/>
      <c r="G405" s="13"/>
      <c r="J405" s="13"/>
      <c r="K405" s="13"/>
      <c r="L405" s="13"/>
      <c r="M405" s="13"/>
      <c r="N405" s="13"/>
      <c r="O405" s="89"/>
      <c r="P405" s="13"/>
      <c r="Q405" s="13"/>
      <c r="R405" s="13"/>
      <c r="S405" s="13"/>
      <c r="T405" s="13"/>
      <c r="U405" s="13"/>
      <c r="V405" s="13"/>
      <c r="W405" s="76"/>
      <c r="X405" s="76"/>
      <c r="Y405" s="76"/>
      <c r="Z405" s="76"/>
      <c r="AA405" s="76"/>
    </row>
    <row r="406" spans="5:27" ht="15" x14ac:dyDescent="0.25">
      <c r="E406" s="13"/>
      <c r="F406" s="13"/>
      <c r="G406" s="13" t="s">
        <v>32</v>
      </c>
      <c r="H406" s="2">
        <v>0</v>
      </c>
      <c r="I406" s="2">
        <v>0</v>
      </c>
      <c r="J406" s="2">
        <v>0</v>
      </c>
      <c r="K406" s="268">
        <f>+K415</f>
        <v>109158</v>
      </c>
      <c r="L406" s="268">
        <f>+K406*(1+$AC$28)</f>
        <v>111341.16</v>
      </c>
      <c r="M406" s="268">
        <f t="shared" ref="M406:M408" si="105">+L406*(1+$AC$28)</f>
        <v>113567.9832</v>
      </c>
      <c r="N406" s="13"/>
      <c r="O406" s="90"/>
      <c r="P406" s="13">
        <v>0.15</v>
      </c>
      <c r="Q406" s="13"/>
      <c r="R406" s="13" t="s">
        <v>32</v>
      </c>
      <c r="S406" s="151" t="s">
        <v>33</v>
      </c>
      <c r="T406" s="152"/>
      <c r="U406" s="153" t="s">
        <v>34</v>
      </c>
      <c r="V406" s="154">
        <v>0.15</v>
      </c>
      <c r="W406" s="13">
        <v>0.15</v>
      </c>
      <c r="X406" s="76"/>
      <c r="Y406" s="76"/>
      <c r="Z406" s="76"/>
      <c r="AA406" s="76"/>
    </row>
    <row r="407" spans="5:27" ht="15" x14ac:dyDescent="0.25">
      <c r="E407" s="13"/>
      <c r="F407" s="13"/>
      <c r="G407" s="13" t="s">
        <v>35</v>
      </c>
      <c r="H407" s="2">
        <v>0</v>
      </c>
      <c r="I407" s="2">
        <v>0</v>
      </c>
      <c r="J407" s="2">
        <v>0</v>
      </c>
      <c r="K407" s="268">
        <f>+K424</f>
        <v>136840</v>
      </c>
      <c r="L407" s="268">
        <f t="shared" ref="L407:L408" si="106">+K407*(1+$AC$28)</f>
        <v>139576.79999999999</v>
      </c>
      <c r="M407" s="268">
        <f t="shared" si="105"/>
        <v>142368.33599999998</v>
      </c>
      <c r="N407" s="13"/>
      <c r="O407" s="90"/>
      <c r="P407" s="13">
        <v>0.5</v>
      </c>
      <c r="Q407" s="91"/>
      <c r="R407" s="13" t="s">
        <v>35</v>
      </c>
      <c r="S407" s="151" t="s">
        <v>36</v>
      </c>
      <c r="T407" s="152"/>
      <c r="U407" s="153" t="s">
        <v>37</v>
      </c>
      <c r="V407" s="154">
        <v>0.5</v>
      </c>
      <c r="W407" s="13">
        <v>0.5</v>
      </c>
      <c r="X407" s="76"/>
      <c r="Y407" s="76"/>
      <c r="Z407" s="76"/>
      <c r="AA407" s="76"/>
    </row>
    <row r="408" spans="5:27" ht="15" x14ac:dyDescent="0.25">
      <c r="G408" s="13" t="s">
        <v>38</v>
      </c>
      <c r="H408" s="2">
        <v>0</v>
      </c>
      <c r="I408" s="2">
        <v>0</v>
      </c>
      <c r="J408" s="2">
        <v>0</v>
      </c>
      <c r="K408" s="268">
        <f>+K419</f>
        <v>22587</v>
      </c>
      <c r="L408" s="268">
        <f t="shared" si="106"/>
        <v>23038.74</v>
      </c>
      <c r="M408" s="268">
        <f t="shared" si="105"/>
        <v>23499.514800000001</v>
      </c>
      <c r="Q408" s="13"/>
      <c r="R408" s="13" t="s">
        <v>38</v>
      </c>
      <c r="S408" s="151" t="s">
        <v>39</v>
      </c>
      <c r="T408" s="152"/>
      <c r="U408" s="153" t="s">
        <v>40</v>
      </c>
      <c r="V408" s="154">
        <v>0.1</v>
      </c>
      <c r="W408" s="13">
        <v>0.1</v>
      </c>
      <c r="X408" s="76"/>
      <c r="Y408" s="76"/>
      <c r="Z408" s="76"/>
      <c r="AA408" s="76"/>
    </row>
    <row r="409" spans="5:27" ht="15" x14ac:dyDescent="0.25">
      <c r="G409" s="13"/>
      <c r="H409" s="13"/>
      <c r="I409" s="13"/>
      <c r="J409" s="13"/>
      <c r="K409" s="13"/>
      <c r="M409" s="13"/>
      <c r="P409" s="15"/>
      <c r="Q409" s="13"/>
      <c r="R409" s="13"/>
      <c r="S409" s="13"/>
      <c r="T409" s="13"/>
      <c r="U409" s="13"/>
      <c r="V409" s="13"/>
      <c r="W409" s="76"/>
      <c r="X409" s="76"/>
      <c r="Y409" s="76"/>
      <c r="Z409" s="76"/>
      <c r="AA409" s="76"/>
    </row>
    <row r="410" spans="5:27" ht="15" x14ac:dyDescent="0.25">
      <c r="G410" s="13"/>
      <c r="H410" s="13"/>
      <c r="I410" s="13"/>
      <c r="J410" s="13"/>
      <c r="K410" s="13"/>
      <c r="M410" s="13"/>
      <c r="P410" s="15"/>
      <c r="Q410" s="13"/>
      <c r="R410" s="13"/>
      <c r="S410" s="13"/>
      <c r="T410" s="13"/>
      <c r="U410" s="13"/>
      <c r="V410" s="13"/>
      <c r="W410" s="76"/>
      <c r="X410" s="76"/>
      <c r="Y410" s="76"/>
      <c r="Z410" s="76"/>
      <c r="AA410" s="76"/>
    </row>
    <row r="411" spans="5:27" ht="15" x14ac:dyDescent="0.25">
      <c r="G411" s="13"/>
      <c r="H411" s="13"/>
      <c r="I411" s="13"/>
      <c r="J411" s="13"/>
      <c r="K411" s="13"/>
      <c r="L411" s="13"/>
      <c r="M411" s="13"/>
      <c r="P411" s="15"/>
      <c r="Q411" s="13"/>
      <c r="R411" s="13"/>
      <c r="S411" s="13"/>
      <c r="T411" s="13"/>
      <c r="U411" s="13"/>
      <c r="V411" s="13"/>
      <c r="W411" s="76"/>
      <c r="X411" s="76"/>
      <c r="Y411" s="76"/>
      <c r="Z411" s="76"/>
      <c r="AA411" s="76"/>
    </row>
    <row r="412" spans="5:27" ht="15" x14ac:dyDescent="0.25">
      <c r="G412" s="92" t="s">
        <v>167</v>
      </c>
      <c r="H412" s="93"/>
      <c r="I412" s="93"/>
      <c r="J412" s="93"/>
      <c r="K412" s="93"/>
      <c r="L412" s="269"/>
      <c r="M412" s="93"/>
      <c r="N412" s="270"/>
      <c r="P412" s="15"/>
      <c r="Q412" s="13"/>
      <c r="R412" s="13"/>
      <c r="S412" s="13"/>
      <c r="T412" s="13"/>
      <c r="U412" s="13"/>
      <c r="V412" s="13"/>
      <c r="W412" s="76"/>
      <c r="X412" s="76"/>
      <c r="Y412" s="76"/>
      <c r="Z412" s="76"/>
      <c r="AA412" s="76"/>
    </row>
    <row r="413" spans="5:27" ht="15" x14ac:dyDescent="0.25">
      <c r="G413" s="94"/>
      <c r="H413" s="13"/>
      <c r="I413" s="13"/>
      <c r="J413" s="13"/>
      <c r="K413" s="13"/>
      <c r="L413" s="13"/>
      <c r="M413" s="13"/>
      <c r="N413" s="271"/>
      <c r="P413" s="15"/>
      <c r="Q413" s="13"/>
      <c r="R413" s="13"/>
      <c r="S413" s="13"/>
      <c r="T413" s="13"/>
      <c r="U413" s="13"/>
      <c r="V413" s="13"/>
      <c r="W413" s="76"/>
      <c r="X413" s="76"/>
      <c r="Y413" s="76"/>
      <c r="Z413" s="76"/>
      <c r="AA413" s="76"/>
    </row>
    <row r="414" spans="5:27" ht="15" x14ac:dyDescent="0.25">
      <c r="G414" s="272"/>
      <c r="H414" s="4"/>
      <c r="I414" s="4"/>
      <c r="J414" s="4"/>
      <c r="K414" s="4"/>
      <c r="L414" s="4"/>
      <c r="M414" s="4"/>
      <c r="N414" s="271"/>
      <c r="P414" s="15"/>
      <c r="Q414" s="13"/>
      <c r="R414" s="13"/>
      <c r="S414" s="13"/>
      <c r="T414" s="13"/>
      <c r="U414" s="13"/>
      <c r="V414" s="13"/>
      <c r="W414" s="76"/>
      <c r="X414" s="76"/>
      <c r="Y414" s="76"/>
      <c r="Z414" s="76"/>
      <c r="AA414" s="76"/>
    </row>
    <row r="415" spans="5:27" ht="15" x14ac:dyDescent="0.25">
      <c r="G415" s="95" t="s">
        <v>168</v>
      </c>
      <c r="H415" s="96" t="s">
        <v>169</v>
      </c>
      <c r="I415" s="4"/>
      <c r="J415" s="96"/>
      <c r="K415" s="97">
        <v>109158</v>
      </c>
      <c r="L415" s="4"/>
      <c r="M415" s="4"/>
      <c r="N415" s="271"/>
      <c r="P415" s="15"/>
      <c r="Q415" s="13"/>
      <c r="R415" s="13"/>
      <c r="S415" s="13"/>
      <c r="T415" s="13"/>
      <c r="U415" s="13"/>
      <c r="V415" s="13"/>
      <c r="W415" s="76"/>
      <c r="X415" s="76"/>
      <c r="Y415" s="76"/>
      <c r="Z415" s="76"/>
      <c r="AA415" s="76"/>
    </row>
    <row r="416" spans="5:27" ht="15" x14ac:dyDescent="0.25">
      <c r="G416" s="95"/>
      <c r="H416" s="96"/>
      <c r="I416" s="4"/>
      <c r="J416" s="96"/>
      <c r="K416" s="97"/>
      <c r="L416" s="4"/>
      <c r="M416" s="4"/>
      <c r="N416" s="271"/>
      <c r="P416" s="15"/>
      <c r="Q416" s="13"/>
      <c r="R416" s="13"/>
      <c r="S416" s="13"/>
      <c r="T416" s="13"/>
      <c r="U416" s="13"/>
      <c r="V416" s="13"/>
      <c r="W416" s="76"/>
      <c r="X416" s="76"/>
      <c r="Y416" s="76"/>
      <c r="Z416" s="76"/>
      <c r="AA416" s="76"/>
    </row>
    <row r="417" spans="7:27" ht="15" x14ac:dyDescent="0.25">
      <c r="G417" s="95" t="s">
        <v>170</v>
      </c>
      <c r="H417" s="96" t="s">
        <v>171</v>
      </c>
      <c r="I417" s="4"/>
      <c r="J417" s="96"/>
      <c r="K417" s="97">
        <v>7119</v>
      </c>
      <c r="L417" s="4"/>
      <c r="M417" s="4"/>
      <c r="N417" s="271"/>
      <c r="P417" s="15"/>
      <c r="Q417" s="13"/>
      <c r="R417" s="13"/>
      <c r="S417" s="13"/>
      <c r="T417" s="13"/>
      <c r="U417" s="13"/>
      <c r="V417" s="13"/>
      <c r="W417" s="76"/>
      <c r="X417" s="76"/>
      <c r="Y417" s="76"/>
      <c r="Z417" s="76"/>
      <c r="AA417" s="76"/>
    </row>
    <row r="418" spans="7:27" ht="15" x14ac:dyDescent="0.25">
      <c r="G418" s="95" t="s">
        <v>170</v>
      </c>
      <c r="H418" s="96" t="s">
        <v>39</v>
      </c>
      <c r="I418" s="4"/>
      <c r="J418" s="96"/>
      <c r="K418" s="97">
        <v>15468</v>
      </c>
      <c r="L418" s="4"/>
      <c r="M418" s="4"/>
      <c r="N418" s="271"/>
      <c r="P418" s="15"/>
      <c r="Q418" s="13"/>
      <c r="R418" s="13"/>
      <c r="S418" s="13"/>
      <c r="T418" s="13"/>
      <c r="U418" s="13"/>
      <c r="V418" s="13"/>
      <c r="W418" s="76"/>
      <c r="X418" s="76"/>
      <c r="Y418" s="76"/>
      <c r="Z418" s="76"/>
      <c r="AA418" s="76"/>
    </row>
    <row r="419" spans="7:27" ht="15.75" thickBot="1" x14ac:dyDescent="0.3">
      <c r="G419" s="95"/>
      <c r="H419" s="96"/>
      <c r="I419" s="4"/>
      <c r="J419" s="96"/>
      <c r="K419" s="98">
        <v>22587</v>
      </c>
      <c r="L419" s="4"/>
      <c r="M419" s="4"/>
      <c r="N419" s="271"/>
      <c r="P419" s="15"/>
      <c r="Q419" s="13"/>
      <c r="R419" s="13"/>
      <c r="S419" s="13"/>
      <c r="T419" s="13"/>
      <c r="U419" s="13"/>
      <c r="V419" s="13"/>
      <c r="W419" s="76"/>
      <c r="X419" s="76"/>
      <c r="Y419" s="76"/>
      <c r="Z419" s="76"/>
      <c r="AA419" s="76"/>
    </row>
    <row r="420" spans="7:27" ht="15.75" thickTop="1" x14ac:dyDescent="0.25">
      <c r="G420" s="95"/>
      <c r="H420" s="96"/>
      <c r="I420" s="4"/>
      <c r="J420" s="96"/>
      <c r="K420" s="97"/>
      <c r="L420" s="4"/>
      <c r="M420" s="4"/>
      <c r="N420" s="271"/>
      <c r="P420" s="15"/>
      <c r="Q420" s="13"/>
      <c r="R420" s="13"/>
      <c r="S420" s="13"/>
      <c r="T420" s="13"/>
      <c r="U420" s="13"/>
      <c r="V420" s="13"/>
      <c r="W420" s="76"/>
      <c r="X420" s="76"/>
      <c r="Y420" s="76"/>
      <c r="Z420" s="76"/>
      <c r="AA420" s="76"/>
    </row>
    <row r="421" spans="7:27" ht="15" x14ac:dyDescent="0.25">
      <c r="G421" s="95" t="s">
        <v>172</v>
      </c>
      <c r="H421" s="96" t="s">
        <v>173</v>
      </c>
      <c r="I421" s="4"/>
      <c r="J421" s="96"/>
      <c r="K421" s="97">
        <v>113945</v>
      </c>
      <c r="L421" s="4"/>
      <c r="M421" s="4"/>
      <c r="N421" s="271"/>
      <c r="P421" s="15"/>
      <c r="Q421" s="13"/>
      <c r="R421" s="13"/>
      <c r="S421" s="13"/>
      <c r="T421" s="13"/>
      <c r="U421" s="13"/>
      <c r="V421" s="13"/>
      <c r="W421" s="76"/>
      <c r="X421" s="76"/>
      <c r="Y421" s="76"/>
      <c r="Z421" s="76"/>
      <c r="AA421" s="76"/>
    </row>
    <row r="422" spans="7:27" ht="15" x14ac:dyDescent="0.25">
      <c r="G422" s="95" t="s">
        <v>172</v>
      </c>
      <c r="H422" s="96" t="s">
        <v>174</v>
      </c>
      <c r="I422" s="4"/>
      <c r="J422" s="96"/>
      <c r="K422" s="97">
        <v>11424</v>
      </c>
      <c r="L422" s="4"/>
      <c r="M422" s="4"/>
      <c r="N422" s="271"/>
      <c r="P422" s="15"/>
      <c r="Q422" s="13"/>
      <c r="R422" s="13"/>
      <c r="S422" s="13"/>
      <c r="T422" s="13"/>
      <c r="U422" s="13"/>
      <c r="V422" s="13"/>
      <c r="W422" s="76"/>
      <c r="X422" s="76"/>
      <c r="Y422" s="76"/>
      <c r="Z422" s="76"/>
      <c r="AA422" s="76"/>
    </row>
    <row r="423" spans="7:27" ht="15" x14ac:dyDescent="0.25">
      <c r="G423" s="95" t="s">
        <v>172</v>
      </c>
      <c r="H423" s="96" t="s">
        <v>175</v>
      </c>
      <c r="I423" s="4"/>
      <c r="J423" s="96"/>
      <c r="K423" s="97">
        <v>11471</v>
      </c>
      <c r="L423" s="4"/>
      <c r="M423" s="4"/>
      <c r="N423" s="271"/>
      <c r="P423" s="15"/>
      <c r="Q423" s="13"/>
      <c r="R423" s="13"/>
      <c r="S423" s="13"/>
      <c r="T423" s="13"/>
      <c r="U423" s="13"/>
      <c r="V423" s="13"/>
      <c r="W423" s="76"/>
      <c r="X423" s="76"/>
      <c r="Y423" s="76"/>
      <c r="Z423" s="76"/>
      <c r="AA423" s="76"/>
    </row>
    <row r="424" spans="7:27" ht="15.75" thickBot="1" x14ac:dyDescent="0.3">
      <c r="G424" s="95"/>
      <c r="H424" s="96"/>
      <c r="I424" s="4"/>
      <c r="J424" s="4"/>
      <c r="K424" s="273">
        <v>136840</v>
      </c>
      <c r="L424" s="4"/>
      <c r="M424" s="4"/>
      <c r="N424" s="271"/>
      <c r="P424" s="15"/>
      <c r="Q424" s="13"/>
      <c r="R424" s="13"/>
      <c r="S424" s="13"/>
      <c r="T424" s="13"/>
      <c r="U424" s="13"/>
      <c r="V424" s="13"/>
      <c r="W424" s="76"/>
      <c r="X424" s="76"/>
      <c r="Y424" s="76"/>
      <c r="Z424" s="76"/>
      <c r="AA424" s="76"/>
    </row>
    <row r="425" spans="7:27" ht="15.75" thickTop="1" x14ac:dyDescent="0.25">
      <c r="G425" s="274"/>
      <c r="H425" s="275"/>
      <c r="I425" s="275"/>
      <c r="J425" s="275"/>
      <c r="K425" s="275"/>
      <c r="L425" s="275"/>
      <c r="M425" s="275"/>
      <c r="N425" s="276"/>
      <c r="P425" s="15"/>
      <c r="Q425" s="13"/>
      <c r="R425" s="13"/>
      <c r="S425" s="13"/>
      <c r="T425" s="13"/>
      <c r="U425" s="13"/>
      <c r="V425" s="13"/>
      <c r="W425" s="76"/>
      <c r="X425" s="76"/>
      <c r="Y425" s="76"/>
      <c r="Z425" s="76"/>
      <c r="AA425" s="76"/>
    </row>
    <row r="426" spans="7:27" ht="15" x14ac:dyDescent="0.25">
      <c r="P426" s="15"/>
      <c r="Q426" s="13"/>
      <c r="R426" s="13"/>
      <c r="S426" s="13"/>
      <c r="T426" s="13"/>
      <c r="U426" s="13"/>
      <c r="V426" s="13"/>
      <c r="W426" s="76"/>
      <c r="X426" s="76"/>
      <c r="Y426" s="76"/>
      <c r="Z426" s="76"/>
      <c r="AA426" s="76"/>
    </row>
    <row r="427" spans="7:27" ht="15" x14ac:dyDescent="0.25">
      <c r="P427" s="15"/>
      <c r="Q427" s="13"/>
      <c r="R427" s="13"/>
      <c r="S427" s="13"/>
      <c r="T427" s="13"/>
      <c r="U427" s="13"/>
      <c r="V427" s="13"/>
      <c r="W427" s="76"/>
      <c r="X427" s="76"/>
      <c r="Y427" s="76"/>
      <c r="Z427" s="76"/>
      <c r="AA427" s="76"/>
    </row>
    <row r="428" spans="7:27" ht="15" x14ac:dyDescent="0.25">
      <c r="P428" s="15"/>
      <c r="Q428" s="13"/>
      <c r="R428" s="13"/>
      <c r="S428" s="13"/>
      <c r="T428" s="13"/>
      <c r="U428" s="13"/>
      <c r="V428" s="13"/>
      <c r="W428" s="76"/>
      <c r="X428" s="76"/>
      <c r="Y428" s="76"/>
      <c r="Z428" s="76"/>
      <c r="AA428" s="76"/>
    </row>
    <row r="429" spans="7:27" ht="15" x14ac:dyDescent="0.25">
      <c r="P429" s="15"/>
      <c r="Q429" s="13"/>
      <c r="R429" s="13"/>
      <c r="S429" s="13"/>
      <c r="T429" s="13"/>
      <c r="U429" s="13"/>
      <c r="V429" s="13"/>
      <c r="W429" s="76"/>
      <c r="X429" s="76"/>
      <c r="Y429" s="76"/>
      <c r="Z429" s="76"/>
      <c r="AA429" s="76"/>
    </row>
    <row r="430" spans="7:27" ht="15" x14ac:dyDescent="0.25">
      <c r="P430" s="15"/>
      <c r="Q430" s="13"/>
      <c r="R430" s="13"/>
      <c r="S430" s="13"/>
      <c r="T430" s="13"/>
      <c r="U430" s="13"/>
      <c r="V430" s="13"/>
      <c r="W430" s="76"/>
      <c r="X430" s="76"/>
      <c r="Y430" s="76"/>
      <c r="Z430" s="76"/>
      <c r="AA430" s="76"/>
    </row>
    <row r="431" spans="7:27" ht="15" x14ac:dyDescent="0.25">
      <c r="P431" s="15"/>
      <c r="Q431" s="13"/>
      <c r="R431" s="13"/>
      <c r="S431" s="13"/>
      <c r="T431" s="13"/>
      <c r="U431" s="13"/>
      <c r="V431" s="13"/>
      <c r="W431" s="76"/>
      <c r="X431" s="76"/>
      <c r="Y431" s="76"/>
      <c r="Z431" s="76"/>
      <c r="AA431" s="76"/>
    </row>
    <row r="432" spans="7:27" ht="15" x14ac:dyDescent="0.25">
      <c r="P432" s="15"/>
      <c r="Q432" s="13"/>
      <c r="R432" s="13"/>
      <c r="S432" s="13"/>
      <c r="T432" s="13"/>
      <c r="U432" s="13"/>
      <c r="V432" s="13"/>
      <c r="W432" s="76"/>
      <c r="X432" s="76"/>
      <c r="Y432" s="76"/>
      <c r="Z432" s="76"/>
      <c r="AA432" s="76"/>
    </row>
    <row r="433" spans="5:27" ht="15" x14ac:dyDescent="0.25">
      <c r="P433" s="15"/>
      <c r="Q433" s="13"/>
      <c r="R433" s="13"/>
      <c r="S433" s="13"/>
      <c r="T433" s="13"/>
      <c r="U433" s="13"/>
      <c r="V433" s="13"/>
      <c r="W433" s="76"/>
      <c r="X433" s="76"/>
      <c r="Y433" s="76"/>
      <c r="Z433" s="76"/>
      <c r="AA433" s="76"/>
    </row>
    <row r="434" spans="5:27" ht="15" x14ac:dyDescent="0.25">
      <c r="P434" s="15"/>
      <c r="Q434" s="13"/>
      <c r="R434" s="13"/>
      <c r="S434" s="13"/>
      <c r="T434" s="13"/>
      <c r="U434" s="13"/>
      <c r="V434" s="13"/>
      <c r="W434" s="76"/>
      <c r="X434" s="76"/>
      <c r="Y434" s="76"/>
      <c r="Z434" s="76"/>
      <c r="AA434" s="76"/>
    </row>
    <row r="435" spans="5:27" ht="15" x14ac:dyDescent="0.25">
      <c r="P435" s="15"/>
      <c r="Q435" s="13"/>
      <c r="R435" s="13"/>
      <c r="S435" s="13"/>
      <c r="T435" s="13"/>
      <c r="U435" s="13"/>
      <c r="V435" s="13"/>
      <c r="W435" s="76"/>
      <c r="X435" s="76"/>
      <c r="Y435" s="76"/>
      <c r="Z435" s="76"/>
      <c r="AA435" s="76"/>
    </row>
    <row r="436" spans="5:27" ht="15" x14ac:dyDescent="0.25">
      <c r="P436" s="15"/>
      <c r="Q436" s="13"/>
      <c r="R436" s="13"/>
      <c r="S436" s="13"/>
      <c r="T436" s="13"/>
      <c r="U436" s="13"/>
      <c r="V436" s="13"/>
      <c r="W436" s="76"/>
      <c r="X436" s="76"/>
      <c r="Y436" s="76"/>
      <c r="Z436" s="76"/>
      <c r="AA436" s="76"/>
    </row>
    <row r="437" spans="5:27" ht="15" x14ac:dyDescent="0.25">
      <c r="P437" s="15"/>
      <c r="Q437" s="13"/>
      <c r="R437" s="13"/>
      <c r="S437" s="13"/>
      <c r="T437" s="13"/>
      <c r="U437" s="13"/>
      <c r="V437" s="13"/>
      <c r="W437" s="76"/>
      <c r="X437" s="76"/>
      <c r="Y437" s="76"/>
      <c r="Z437" s="76"/>
      <c r="AA437" s="76"/>
    </row>
    <row r="438" spans="5:27" ht="15" x14ac:dyDescent="0.25">
      <c r="J438" s="96"/>
      <c r="P438" s="15"/>
      <c r="Q438" s="13"/>
      <c r="R438" s="13"/>
      <c r="S438" s="13"/>
      <c r="T438" s="13"/>
      <c r="U438" s="13"/>
      <c r="V438" s="13"/>
      <c r="W438" s="76"/>
      <c r="X438" s="76"/>
      <c r="Y438" s="76"/>
      <c r="Z438" s="76"/>
      <c r="AA438" s="76"/>
    </row>
    <row r="439" spans="5:27" ht="15" x14ac:dyDescent="0.25">
      <c r="J439" s="96"/>
      <c r="P439" s="15"/>
      <c r="Q439" s="13"/>
      <c r="R439" s="13"/>
      <c r="S439" s="13"/>
      <c r="T439" s="13"/>
      <c r="U439" s="13"/>
      <c r="V439" s="13"/>
      <c r="W439" s="76"/>
      <c r="X439" s="76"/>
      <c r="Y439" s="76"/>
      <c r="Z439" s="76"/>
      <c r="AA439" s="76"/>
    </row>
    <row r="440" spans="5:27" ht="15" x14ac:dyDescent="0.25">
      <c r="F440" s="13"/>
      <c r="M440" s="13"/>
      <c r="N440" s="13"/>
      <c r="O440" s="13"/>
      <c r="P440" s="13"/>
      <c r="Q440" s="13"/>
      <c r="R440" s="13"/>
      <c r="S440" s="13"/>
      <c r="T440" s="13"/>
      <c r="U440" s="13"/>
      <c r="V440" s="13"/>
      <c r="W440" s="76"/>
      <c r="X440" s="76"/>
      <c r="Y440" s="76"/>
      <c r="Z440" s="76"/>
      <c r="AA440" s="76"/>
    </row>
    <row r="441" spans="5:27" ht="15" x14ac:dyDescent="0.25">
      <c r="F441" s="13"/>
      <c r="M441" s="13"/>
      <c r="N441" s="13"/>
      <c r="O441" s="13"/>
      <c r="P441" s="13"/>
      <c r="Q441" s="13"/>
      <c r="R441" s="13"/>
      <c r="S441" s="13"/>
      <c r="T441" s="13"/>
      <c r="U441" s="13"/>
      <c r="V441" s="13"/>
      <c r="W441" s="76"/>
      <c r="X441" s="76"/>
      <c r="Y441" s="76"/>
      <c r="Z441" s="76"/>
      <c r="AA441" s="76"/>
    </row>
    <row r="442" spans="5:27" ht="15" x14ac:dyDescent="0.25">
      <c r="F442" s="13"/>
      <c r="M442" s="13"/>
      <c r="N442" s="13"/>
      <c r="O442" s="13"/>
      <c r="P442" s="13"/>
      <c r="Q442" s="13"/>
      <c r="R442" s="13"/>
      <c r="S442" s="13"/>
      <c r="T442" s="13"/>
      <c r="U442" s="13"/>
      <c r="V442" s="13"/>
      <c r="W442" s="76"/>
      <c r="X442" s="76"/>
      <c r="Y442" s="76"/>
      <c r="Z442" s="76"/>
      <c r="AA442" s="76"/>
    </row>
    <row r="443" spans="5:27" ht="15" x14ac:dyDescent="0.25">
      <c r="E443" s="13"/>
      <c r="F443" s="13"/>
      <c r="G443" s="13"/>
      <c r="J443" s="13"/>
      <c r="K443" s="99"/>
      <c r="L443" s="13"/>
      <c r="M443" s="13"/>
      <c r="N443" s="13"/>
      <c r="O443" s="13"/>
      <c r="P443" s="13"/>
      <c r="Q443" s="13"/>
      <c r="R443" s="13"/>
      <c r="S443" s="13"/>
      <c r="T443" s="13"/>
      <c r="U443" s="13"/>
      <c r="V443" s="13"/>
      <c r="W443" s="76"/>
      <c r="X443" s="76"/>
      <c r="Y443" s="76"/>
      <c r="Z443" s="76"/>
      <c r="AA443" s="76"/>
    </row>
    <row r="444" spans="5:27" x14ac:dyDescent="0.2">
      <c r="G444" s="2" t="s">
        <v>176</v>
      </c>
      <c r="H444" s="2">
        <v>0</v>
      </c>
      <c r="I444" s="2">
        <v>0</v>
      </c>
      <c r="J444" s="2">
        <v>0</v>
      </c>
      <c r="K444" s="2">
        <v>65544</v>
      </c>
      <c r="L444" s="123"/>
      <c r="M444" s="76"/>
      <c r="N444" s="76"/>
      <c r="O444" s="76"/>
      <c r="P444" s="76"/>
      <c r="Q444" s="76"/>
      <c r="W444" s="76"/>
      <c r="X444" s="76"/>
      <c r="Y444" s="76"/>
      <c r="Z444" s="76"/>
      <c r="AA444" s="76"/>
    </row>
    <row r="445" spans="5:27" ht="15" x14ac:dyDescent="0.2">
      <c r="E445" s="100" t="s">
        <v>177</v>
      </c>
      <c r="F445" s="100"/>
      <c r="G445" s="100"/>
      <c r="H445" s="100"/>
      <c r="I445" s="100"/>
      <c r="J445" s="100"/>
      <c r="K445" s="100"/>
      <c r="L445" s="101">
        <v>6842383</v>
      </c>
      <c r="M445" s="101">
        <v>4742081</v>
      </c>
      <c r="N445" s="101">
        <v>11782781</v>
      </c>
      <c r="O445" s="101">
        <v>6795581</v>
      </c>
      <c r="P445" s="101">
        <v>4482781</v>
      </c>
      <c r="Q445" s="101">
        <v>4482781</v>
      </c>
      <c r="R445" s="101">
        <v>4482781</v>
      </c>
      <c r="S445" s="101">
        <v>4482781</v>
      </c>
      <c r="T445" s="101">
        <v>4482783</v>
      </c>
      <c r="U445" s="102"/>
      <c r="W445" s="76"/>
      <c r="X445" s="76"/>
      <c r="Y445" s="76"/>
      <c r="Z445" s="76"/>
      <c r="AA445" s="76"/>
    </row>
    <row r="446" spans="5:27" ht="15.75" thickBot="1" x14ac:dyDescent="0.25">
      <c r="E446" s="96"/>
      <c r="F446" s="96"/>
      <c r="G446" s="96"/>
      <c r="H446" s="96"/>
      <c r="I446" s="96"/>
      <c r="J446" s="96"/>
      <c r="K446" s="96"/>
      <c r="L446" s="96"/>
      <c r="M446" s="96"/>
      <c r="N446" s="96"/>
      <c r="O446" s="96"/>
      <c r="P446" s="76"/>
      <c r="Q446" s="76"/>
      <c r="W446" s="76"/>
      <c r="X446" s="76"/>
      <c r="Y446" s="76"/>
      <c r="Z446" s="76"/>
      <c r="AA446" s="76"/>
    </row>
    <row r="447" spans="5:27" ht="15" x14ac:dyDescent="0.25">
      <c r="E447" s="96"/>
      <c r="F447" s="96"/>
      <c r="H447" s="103">
        <v>2013</v>
      </c>
      <c r="I447" s="103">
        <v>2014</v>
      </c>
      <c r="J447" s="103">
        <v>2015</v>
      </c>
      <c r="K447" s="277">
        <v>2016</v>
      </c>
      <c r="L447" s="277">
        <v>2017</v>
      </c>
      <c r="M447" s="96"/>
      <c r="N447" s="96"/>
      <c r="O447" s="104" t="s">
        <v>178</v>
      </c>
      <c r="P447" s="76" t="s">
        <v>179</v>
      </c>
      <c r="Q447" s="76" t="s">
        <v>180</v>
      </c>
      <c r="W447" s="76"/>
      <c r="X447" s="76"/>
      <c r="Y447" s="76"/>
      <c r="Z447" s="76"/>
      <c r="AA447" s="76"/>
    </row>
    <row r="448" spans="5:27" ht="15" x14ac:dyDescent="0.2">
      <c r="E448" s="96"/>
      <c r="F448" s="96"/>
      <c r="H448" s="76"/>
      <c r="I448" s="76"/>
      <c r="J448" s="76"/>
      <c r="K448" s="76"/>
      <c r="L448" s="96"/>
      <c r="M448" s="96"/>
      <c r="N448" s="96"/>
      <c r="O448" s="105"/>
      <c r="P448" s="76"/>
      <c r="Q448" s="76"/>
      <c r="W448" s="76"/>
      <c r="X448" s="76"/>
      <c r="Y448" s="76"/>
      <c r="Z448" s="76"/>
      <c r="AA448" s="76"/>
    </row>
    <row r="449" spans="5:27" ht="15" x14ac:dyDescent="0.2">
      <c r="E449" s="96"/>
      <c r="F449" s="96"/>
      <c r="G449" s="2" t="s">
        <v>115</v>
      </c>
      <c r="H449" s="217">
        <v>0</v>
      </c>
      <c r="I449" s="217">
        <v>0</v>
      </c>
      <c r="J449" s="217">
        <v>0</v>
      </c>
      <c r="K449" s="108">
        <v>2670112</v>
      </c>
      <c r="L449" s="108">
        <f>+O449</f>
        <v>4931649</v>
      </c>
      <c r="M449" s="96"/>
      <c r="N449" s="96"/>
      <c r="O449" s="278">
        <v>4931649</v>
      </c>
      <c r="P449" s="108">
        <v>0</v>
      </c>
      <c r="Q449" s="76"/>
      <c r="W449" s="76"/>
      <c r="X449" s="76"/>
      <c r="Y449" s="76"/>
      <c r="Z449" s="76"/>
      <c r="AA449" s="76"/>
    </row>
    <row r="450" spans="5:27" ht="15" x14ac:dyDescent="0.2">
      <c r="E450" s="96"/>
      <c r="F450" s="96"/>
      <c r="G450" s="2" t="s">
        <v>116</v>
      </c>
      <c r="H450" s="217">
        <v>0</v>
      </c>
      <c r="I450" s="217">
        <v>0</v>
      </c>
      <c r="J450" s="217">
        <v>0</v>
      </c>
      <c r="K450" s="108">
        <v>1259243</v>
      </c>
      <c r="L450" s="108">
        <f>+O450</f>
        <v>1696790</v>
      </c>
      <c r="M450" s="96"/>
      <c r="N450" s="96"/>
      <c r="O450" s="278">
        <v>1696790</v>
      </c>
      <c r="P450" s="108">
        <v>0</v>
      </c>
      <c r="Q450" s="76"/>
      <c r="W450" s="76"/>
      <c r="X450" s="76"/>
      <c r="Y450" s="76"/>
      <c r="Z450" s="76"/>
      <c r="AA450" s="76"/>
    </row>
    <row r="451" spans="5:27" ht="15.75" thickBot="1" x14ac:dyDescent="0.4">
      <c r="E451" s="96"/>
      <c r="F451" s="96"/>
      <c r="G451" s="218" t="s">
        <v>117</v>
      </c>
      <c r="H451" s="219">
        <v>0</v>
      </c>
      <c r="I451" s="219">
        <v>0</v>
      </c>
      <c r="J451" s="219">
        <v>0</v>
      </c>
      <c r="K451" s="219">
        <f>+K449-K450</f>
        <v>1410869</v>
      </c>
      <c r="L451" s="219">
        <f>+L449-L450</f>
        <v>3234859</v>
      </c>
      <c r="M451" s="96"/>
      <c r="N451" s="96"/>
      <c r="O451" s="279">
        <f>+O449-O450</f>
        <v>3234859</v>
      </c>
      <c r="P451" s="219">
        <f>+P449-P450</f>
        <v>0</v>
      </c>
      <c r="Q451" s="280">
        <f>+O451-P451</f>
        <v>3234859</v>
      </c>
      <c r="W451" s="76"/>
      <c r="X451" s="76"/>
      <c r="Y451" s="76"/>
      <c r="Z451" s="76"/>
      <c r="AA451" s="76"/>
    </row>
    <row r="452" spans="5:27" ht="15.75" thickTop="1" x14ac:dyDescent="0.2">
      <c r="E452" s="96"/>
      <c r="F452" s="96"/>
      <c r="H452" s="76"/>
      <c r="I452" s="76"/>
      <c r="J452" s="76"/>
      <c r="K452" s="76"/>
      <c r="L452" s="76"/>
      <c r="M452" s="96"/>
      <c r="N452" s="96"/>
      <c r="O452" s="281"/>
      <c r="P452" s="76"/>
      <c r="Q452" s="76"/>
      <c r="W452" s="76"/>
      <c r="X452" s="76"/>
      <c r="Y452" s="76"/>
      <c r="Z452" s="76"/>
      <c r="AA452" s="76"/>
    </row>
    <row r="453" spans="5:27" ht="15" x14ac:dyDescent="0.25">
      <c r="E453" s="96"/>
      <c r="F453" s="96"/>
      <c r="G453" s="69" t="s">
        <v>118</v>
      </c>
      <c r="H453" s="217">
        <v>0</v>
      </c>
      <c r="I453" s="217">
        <v>0</v>
      </c>
      <c r="J453" s="217">
        <v>0</v>
      </c>
      <c r="K453" s="217">
        <v>0</v>
      </c>
      <c r="L453" s="217">
        <f>+K453</f>
        <v>0</v>
      </c>
      <c r="M453" s="96"/>
      <c r="N453" s="96"/>
      <c r="O453" s="278">
        <v>81927</v>
      </c>
      <c r="P453" s="76"/>
      <c r="Q453" s="76"/>
      <c r="W453" s="76"/>
      <c r="X453" s="76"/>
      <c r="Y453" s="76"/>
      <c r="Z453" s="76"/>
      <c r="AA453" s="76"/>
    </row>
    <row r="454" spans="5:27" ht="15.75" thickBot="1" x14ac:dyDescent="0.3">
      <c r="E454" s="96"/>
      <c r="F454" s="96"/>
      <c r="G454" s="69" t="s">
        <v>119</v>
      </c>
      <c r="H454" s="217">
        <v>0</v>
      </c>
      <c r="I454" s="217">
        <v>0</v>
      </c>
      <c r="J454" s="217">
        <v>0</v>
      </c>
      <c r="K454" s="217">
        <v>2723127</v>
      </c>
      <c r="L454" s="217">
        <v>0</v>
      </c>
      <c r="M454" s="96"/>
      <c r="N454" s="96"/>
      <c r="O454" s="106"/>
      <c r="P454" s="76"/>
      <c r="Q454" s="76"/>
      <c r="W454" s="76"/>
      <c r="X454" s="76"/>
      <c r="Y454" s="76"/>
      <c r="Z454" s="76"/>
      <c r="AA454" s="76"/>
    </row>
    <row r="455" spans="5:27" ht="15.75" thickBot="1" x14ac:dyDescent="0.25">
      <c r="E455" s="96"/>
      <c r="F455" s="96"/>
      <c r="G455" s="218" t="s">
        <v>120</v>
      </c>
      <c r="H455" s="219">
        <v>0</v>
      </c>
      <c r="I455" s="219">
        <v>0</v>
      </c>
      <c r="J455" s="219">
        <v>0</v>
      </c>
      <c r="K455" s="219">
        <f>SUM(K453:K454)</f>
        <v>2723127</v>
      </c>
      <c r="L455" s="219">
        <f>SUM(L453:L454)</f>
        <v>0</v>
      </c>
      <c r="M455" s="96"/>
      <c r="N455" s="96"/>
      <c r="O455" s="96"/>
      <c r="P455" s="76"/>
      <c r="Q455" s="76"/>
      <c r="W455" s="76"/>
      <c r="X455" s="76"/>
      <c r="Y455" s="76"/>
      <c r="Z455" s="76"/>
      <c r="AA455" s="76"/>
    </row>
    <row r="456" spans="5:27" ht="15.75" thickTop="1" x14ac:dyDescent="0.2">
      <c r="E456" s="96"/>
      <c r="F456" s="96"/>
      <c r="G456" s="96"/>
      <c r="H456" s="96"/>
      <c r="I456" s="96"/>
      <c r="J456" s="96"/>
      <c r="K456" s="96"/>
      <c r="L456" s="96"/>
      <c r="M456" s="96"/>
      <c r="N456" s="96"/>
      <c r="O456" s="96"/>
      <c r="P456" s="76"/>
      <c r="Q456" s="76"/>
      <c r="W456" s="76"/>
      <c r="X456" s="76"/>
      <c r="Y456" s="76"/>
      <c r="Z456" s="76"/>
      <c r="AA456" s="76"/>
    </row>
    <row r="457" spans="5:27" ht="15" x14ac:dyDescent="0.2">
      <c r="E457" s="87" t="s">
        <v>181</v>
      </c>
      <c r="F457" s="96"/>
      <c r="G457" s="96"/>
      <c r="H457" s="107">
        <v>0</v>
      </c>
      <c r="I457" s="107">
        <v>0</v>
      </c>
      <c r="J457" s="107">
        <v>0</v>
      </c>
      <c r="K457" s="107">
        <f>+K459/K449</f>
        <v>2.65056297263935E-2</v>
      </c>
      <c r="L457" s="107">
        <f>+O453/O449</f>
        <v>1.6612496144798625E-2</v>
      </c>
      <c r="M457" s="96"/>
      <c r="N457" s="96"/>
      <c r="O457" s="96"/>
      <c r="P457" s="76"/>
      <c r="Q457" s="76"/>
      <c r="W457" s="76"/>
      <c r="X457" s="76"/>
      <c r="Y457" s="76"/>
      <c r="Z457" s="76"/>
      <c r="AA457" s="76"/>
    </row>
    <row r="458" spans="5:27" ht="15" x14ac:dyDescent="0.2">
      <c r="E458" s="96"/>
      <c r="F458" s="96"/>
      <c r="G458" s="96"/>
      <c r="H458" s="96"/>
      <c r="I458" s="96"/>
      <c r="J458" s="96"/>
      <c r="K458" s="96"/>
      <c r="L458" s="96"/>
      <c r="M458" s="96"/>
      <c r="N458" s="96"/>
      <c r="O458" s="96"/>
      <c r="P458" s="76"/>
      <c r="Q458" s="76"/>
      <c r="W458" s="76"/>
      <c r="X458" s="76"/>
      <c r="Y458" s="76"/>
      <c r="Z458" s="76"/>
      <c r="AA458" s="76"/>
    </row>
    <row r="459" spans="5:27" ht="15" x14ac:dyDescent="0.2">
      <c r="E459" s="96" t="s">
        <v>134</v>
      </c>
      <c r="F459" s="96"/>
      <c r="G459" s="96"/>
      <c r="H459" s="102">
        <v>0</v>
      </c>
      <c r="I459" s="102">
        <v>0</v>
      </c>
      <c r="J459" s="102">
        <v>0</v>
      </c>
      <c r="K459" s="102">
        <v>70773</v>
      </c>
      <c r="L459" s="282">
        <f>+O453</f>
        <v>81927</v>
      </c>
      <c r="M459" s="96"/>
      <c r="N459" s="96"/>
      <c r="O459" s="96"/>
      <c r="P459" s="76"/>
      <c r="Q459" s="76"/>
      <c r="W459" s="76"/>
      <c r="X459" s="76"/>
      <c r="Y459" s="76"/>
      <c r="Z459" s="76"/>
      <c r="AA459" s="76"/>
    </row>
    <row r="460" spans="5:27" ht="15" x14ac:dyDescent="0.2">
      <c r="E460" s="96"/>
      <c r="F460" s="96"/>
      <c r="G460" s="96"/>
      <c r="H460" s="96"/>
      <c r="I460" s="96"/>
      <c r="J460" s="96"/>
      <c r="K460" s="96"/>
      <c r="L460" s="96"/>
      <c r="M460" s="96"/>
      <c r="N460" s="96"/>
      <c r="O460" s="96"/>
      <c r="P460" s="76"/>
      <c r="Q460" s="76"/>
      <c r="W460" s="76"/>
      <c r="X460" s="76"/>
      <c r="Y460" s="76"/>
      <c r="Z460" s="76"/>
      <c r="AA460" s="76"/>
    </row>
    <row r="461" spans="5:27" ht="15" x14ac:dyDescent="0.2">
      <c r="E461" s="96"/>
      <c r="F461" s="96"/>
      <c r="G461" s="96"/>
      <c r="H461" s="96"/>
      <c r="I461" s="96"/>
      <c r="J461" s="96"/>
      <c r="K461" s="96"/>
      <c r="L461" s="96"/>
      <c r="M461" s="108"/>
      <c r="N461" s="96"/>
      <c r="O461" s="96"/>
      <c r="P461" s="76"/>
      <c r="Q461" s="76"/>
      <c r="W461" s="76"/>
      <c r="X461" s="76"/>
      <c r="Y461" s="76"/>
      <c r="Z461" s="76"/>
      <c r="AA461" s="76"/>
    </row>
  </sheetData>
  <mergeCells count="19">
    <mergeCell ref="H259:M259"/>
    <mergeCell ref="H251:M251"/>
    <mergeCell ref="H252:Q252"/>
    <mergeCell ref="H254:L254"/>
    <mergeCell ref="H256:M256"/>
    <mergeCell ref="H257:M257"/>
    <mergeCell ref="H258:M258"/>
    <mergeCell ref="H250:M250"/>
    <mergeCell ref="H204:M204"/>
    <mergeCell ref="H209:M209"/>
    <mergeCell ref="H213:M213"/>
    <mergeCell ref="H216:M216"/>
    <mergeCell ref="H218:M218"/>
    <mergeCell ref="H220:M220"/>
    <mergeCell ref="H222:M222"/>
    <mergeCell ref="H224:M224"/>
    <mergeCell ref="H225:M225"/>
    <mergeCell ref="H240:L240"/>
    <mergeCell ref="H246:M246"/>
  </mergeCells>
  <printOptions horizontalCentered="1"/>
  <pageMargins left="0.45" right="0.45" top="0.75" bottom="0.5" header="0.3" footer="0.3"/>
  <pageSetup scale="68" pageOrder="overThenDown" orientation="landscape" horizontalDpi="1200" verticalDpi="1200" r:id="rId1"/>
  <colBreaks count="1" manualBreakCount="1">
    <brk id="17" min="286" max="458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461"/>
  <sheetViews>
    <sheetView tabSelected="1" view="pageBreakPreview" topLeftCell="A251" zoomScale="60" zoomScaleNormal="100" workbookViewId="0">
      <selection activeCell="U262" sqref="U262"/>
    </sheetView>
  </sheetViews>
  <sheetFormatPr defaultColWidth="8.85546875" defaultRowHeight="12.75" x14ac:dyDescent="0.2"/>
  <cols>
    <col min="1" max="1" width="21.42578125" style="2" customWidth="1"/>
    <col min="2" max="2" width="8.85546875" style="25"/>
    <col min="3" max="3" width="22.7109375" style="2" customWidth="1"/>
    <col min="4" max="5" width="8.85546875" style="2"/>
    <col min="6" max="6" width="4.140625" style="2" customWidth="1"/>
    <col min="7" max="7" width="34.28515625" style="2" customWidth="1"/>
    <col min="8" max="14" width="13.7109375" style="2" customWidth="1"/>
    <col min="15" max="15" width="13.140625" style="2" customWidth="1"/>
    <col min="16" max="16" width="12.7109375" style="2" customWidth="1"/>
    <col min="17" max="17" width="14.140625" style="2" customWidth="1"/>
    <col min="18" max="18" width="16.28515625" style="2" customWidth="1"/>
    <col min="19" max="26" width="12.7109375" style="2" customWidth="1"/>
    <col min="27" max="27" width="10.140625" style="2" customWidth="1"/>
    <col min="28" max="28" width="11.7109375" style="2" customWidth="1"/>
    <col min="29" max="29" width="10.7109375" style="2" customWidth="1"/>
    <col min="30" max="30" width="12.28515625" style="2" customWidth="1"/>
    <col min="31" max="31" width="9.140625" style="2" customWidth="1"/>
    <col min="32" max="32" width="8.85546875" style="2"/>
    <col min="33" max="33" width="10.7109375" style="2" customWidth="1"/>
    <col min="34" max="34" width="8.85546875" style="2"/>
    <col min="35" max="35" width="12.7109375" style="2" customWidth="1"/>
    <col min="36" max="36" width="10.140625" style="2" bestFit="1" customWidth="1"/>
    <col min="37" max="37" width="10.140625" style="2" customWidth="1"/>
    <col min="38" max="38" width="10.28515625" style="2" customWidth="1"/>
    <col min="39" max="40" width="12.7109375" style="2" customWidth="1"/>
    <col min="41" max="41" width="9" style="2" customWidth="1"/>
    <col min="42" max="16384" width="8.85546875" style="2"/>
  </cols>
  <sheetData>
    <row r="1" spans="2:26" ht="15.75" x14ac:dyDescent="0.25">
      <c r="B1" s="2"/>
      <c r="G1" s="2" t="s">
        <v>0</v>
      </c>
      <c r="H1" s="118">
        <v>3.8399999999999997E-2</v>
      </c>
      <c r="I1" s="119">
        <v>43220</v>
      </c>
    </row>
    <row r="2" spans="2:26" ht="15.75" x14ac:dyDescent="0.25">
      <c r="B2" s="2"/>
      <c r="G2" s="120" t="s">
        <v>1</v>
      </c>
      <c r="H2" s="118">
        <v>7.1199999999999999E-2</v>
      </c>
      <c r="I2" s="119">
        <v>43220</v>
      </c>
    </row>
    <row r="3" spans="2:26" ht="15.75" x14ac:dyDescent="0.25">
      <c r="B3" s="2"/>
      <c r="G3" s="120" t="s">
        <v>3</v>
      </c>
      <c r="H3" s="118">
        <v>8.48E-2</v>
      </c>
      <c r="I3" s="119">
        <v>43220</v>
      </c>
    </row>
    <row r="4" spans="2:26" ht="15.75" x14ac:dyDescent="0.25">
      <c r="B4" s="2"/>
      <c r="G4" s="121" t="s">
        <v>4</v>
      </c>
      <c r="H4" s="2">
        <v>20.78</v>
      </c>
      <c r="I4" s="122" t="s">
        <v>5</v>
      </c>
      <c r="L4" s="123" t="str">
        <f>+C5&amp;" GROWTH:"</f>
        <v xml:space="preserve"> GROWTH:</v>
      </c>
      <c r="M4" s="124">
        <v>5.0000000000000001E-3</v>
      </c>
      <c r="N4" s="125"/>
    </row>
    <row r="5" spans="2:26" ht="15.75" x14ac:dyDescent="0.25">
      <c r="B5" s="2"/>
      <c r="G5" s="121" t="s">
        <v>7</v>
      </c>
      <c r="H5" s="2">
        <v>14.48</v>
      </c>
      <c r="I5" s="122" t="s">
        <v>5</v>
      </c>
      <c r="L5" s="123" t="str">
        <f>+C6&amp;" GROWTH:"</f>
        <v xml:space="preserve"> GROWTH:</v>
      </c>
      <c r="M5" s="124">
        <v>1.7999999999999999E-2</v>
      </c>
      <c r="N5" s="126"/>
    </row>
    <row r="6" spans="2:26" x14ac:dyDescent="0.2">
      <c r="B6" s="2"/>
      <c r="G6" s="2" t="s">
        <v>9</v>
      </c>
      <c r="H6" s="2">
        <v>0.7</v>
      </c>
      <c r="I6" s="122" t="s">
        <v>5</v>
      </c>
      <c r="L6" s="123" t="str">
        <f>+C7&amp;" GROWTH:"</f>
        <v xml:space="preserve"> GROWTH:</v>
      </c>
      <c r="M6" s="124">
        <v>0</v>
      </c>
      <c r="N6" s="126"/>
    </row>
    <row r="7" spans="2:26" ht="15.75" x14ac:dyDescent="0.25">
      <c r="B7" s="2"/>
      <c r="G7" s="121" t="s">
        <v>10</v>
      </c>
      <c r="H7" s="127">
        <v>14.6</v>
      </c>
      <c r="N7" s="1"/>
    </row>
    <row r="8" spans="2:26" ht="15.75" x14ac:dyDescent="0.25">
      <c r="B8" s="2"/>
      <c r="G8" s="121" t="s">
        <v>11</v>
      </c>
      <c r="H8" s="127">
        <v>10.1</v>
      </c>
      <c r="N8" s="128"/>
    </row>
    <row r="9" spans="2:26" ht="13.5" x14ac:dyDescent="0.25">
      <c r="C9" s="129" t="s">
        <v>12</v>
      </c>
      <c r="G9" s="2" t="s">
        <v>13</v>
      </c>
      <c r="H9" s="130">
        <f>IF(C10="IOU",M4,IF(C10="MUNI",M5,M6))</f>
        <v>5.0000000000000001E-3</v>
      </c>
    </row>
    <row r="10" spans="2:26" x14ac:dyDescent="0.2">
      <c r="C10" s="131" t="s">
        <v>6</v>
      </c>
      <c r="D10" s="66" t="s">
        <v>14</v>
      </c>
      <c r="G10" s="3"/>
      <c r="H10" s="3"/>
      <c r="I10" s="3"/>
      <c r="J10" s="3"/>
      <c r="K10" s="3"/>
      <c r="L10" s="3"/>
      <c r="M10" s="76" t="s">
        <v>15</v>
      </c>
      <c r="N10" s="3"/>
      <c r="O10" s="3"/>
      <c r="P10" s="3"/>
      <c r="Q10" s="3"/>
      <c r="R10" s="3"/>
      <c r="U10" s="76" t="str">
        <f>+M10</f>
        <v>Income Approach</v>
      </c>
    </row>
    <row r="11" spans="2:26" ht="15" x14ac:dyDescent="0.25">
      <c r="D11" s="132">
        <v>1</v>
      </c>
      <c r="G11" s="3"/>
      <c r="H11" s="3"/>
      <c r="I11" s="3"/>
      <c r="J11" s="3"/>
      <c r="K11" s="3"/>
      <c r="L11" s="3"/>
      <c r="M11" s="25" t="s">
        <v>184</v>
      </c>
      <c r="N11" s="3"/>
      <c r="O11" s="3"/>
      <c r="P11" s="3"/>
      <c r="Q11" s="3"/>
      <c r="R11" s="3"/>
      <c r="U11" s="25" t="str">
        <f t="shared" ref="U11:U14" si="0">+M11</f>
        <v>Township of Mahoning Sewer System Assets</v>
      </c>
    </row>
    <row r="12" spans="2:26" ht="15" x14ac:dyDescent="0.25">
      <c r="D12" s="132">
        <v>1</v>
      </c>
      <c r="G12" s="3"/>
      <c r="H12" s="3"/>
      <c r="I12" s="3"/>
      <c r="J12" s="3"/>
      <c r="K12" s="3"/>
      <c r="L12" s="3"/>
      <c r="M12" s="25" t="str">
        <f>IF($C$10="SUBJECT","Pro Forma Operations",IF($C$10="MUNI","Pro Forma and Estimted Operations With MUNI Ownership","Pro Forma and Estimted Operations With IOU Ownership"))</f>
        <v>Pro Forma and Estimted Operations With IOU Ownership</v>
      </c>
      <c r="N12" s="3"/>
      <c r="O12" s="3"/>
      <c r="P12" s="3"/>
      <c r="Q12" s="3"/>
      <c r="R12" s="3"/>
      <c r="U12" s="25" t="str">
        <f t="shared" si="0"/>
        <v>Pro Forma and Estimted Operations With IOU Ownership</v>
      </c>
    </row>
    <row r="13" spans="2:26" ht="15" x14ac:dyDescent="0.25">
      <c r="D13" s="132">
        <f>IF($C$10="SUBJECT",0,1)</f>
        <v>1</v>
      </c>
      <c r="G13" s="3"/>
      <c r="H13" s="3"/>
      <c r="I13" s="3"/>
      <c r="J13" s="3"/>
      <c r="K13" s="3"/>
      <c r="L13" s="3"/>
      <c r="M13" s="25" t="s">
        <v>16</v>
      </c>
      <c r="N13" s="3"/>
      <c r="O13" s="3"/>
      <c r="P13" s="3"/>
      <c r="Q13" s="3"/>
      <c r="R13" s="3"/>
      <c r="U13" s="25" t="str">
        <f t="shared" si="0"/>
        <v>DCF With Capitalization of Terminal Value Model and</v>
      </c>
    </row>
    <row r="14" spans="2:26" ht="15" x14ac:dyDescent="0.25">
      <c r="D14" s="132">
        <v>1</v>
      </c>
      <c r="G14" s="3"/>
      <c r="H14" s="3"/>
      <c r="I14" s="3"/>
      <c r="J14" s="3"/>
      <c r="K14" s="3"/>
      <c r="L14" s="3"/>
      <c r="M14" s="44" t="str">
        <f>IF($C$10="SUBJECT","Earnings Capitalization Model","DCF With EBIT &amp; EBITDA Terminal Value Model")</f>
        <v>DCF With EBIT &amp; EBITDA Terminal Value Model</v>
      </c>
      <c r="N14" s="3"/>
      <c r="O14" s="3"/>
      <c r="P14" s="3"/>
      <c r="Q14" s="3"/>
      <c r="R14" s="3"/>
      <c r="U14" s="44" t="str">
        <f t="shared" si="0"/>
        <v>DCF With EBIT &amp; EBITDA Terminal Value Model</v>
      </c>
    </row>
    <row r="15" spans="2:26" ht="15" x14ac:dyDescent="0.25">
      <c r="D15" s="132">
        <v>1</v>
      </c>
      <c r="F15" s="133"/>
      <c r="G15" s="3"/>
      <c r="H15" s="3"/>
      <c r="I15" s="3"/>
      <c r="J15" s="3"/>
      <c r="K15" s="3"/>
      <c r="L15" s="3"/>
      <c r="M15" s="134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</row>
    <row r="16" spans="2:26" ht="15.75" thickBot="1" x14ac:dyDescent="0.3">
      <c r="D16" s="132">
        <v>1</v>
      </c>
      <c r="E16" s="135" t="s">
        <v>17</v>
      </c>
      <c r="N16" s="4"/>
      <c r="O16" s="136"/>
      <c r="P16" s="136"/>
      <c r="Q16" s="136"/>
      <c r="R16" s="136"/>
    </row>
    <row r="17" spans="1:35" ht="15.75" thickBot="1" x14ac:dyDescent="0.3">
      <c r="B17" s="66" t="s">
        <v>18</v>
      </c>
      <c r="D17" s="132">
        <v>1</v>
      </c>
      <c r="M17" s="137" t="s">
        <v>19</v>
      </c>
      <c r="N17" s="137" t="s">
        <v>19</v>
      </c>
      <c r="O17" s="137" t="s">
        <v>19</v>
      </c>
      <c r="P17" s="137" t="s">
        <v>19</v>
      </c>
      <c r="Q17" s="137" t="s">
        <v>19</v>
      </c>
      <c r="R17" s="137" t="s">
        <v>19</v>
      </c>
      <c r="S17" s="137" t="s">
        <v>19</v>
      </c>
      <c r="T17" s="137" t="s">
        <v>19</v>
      </c>
      <c r="U17" s="137" t="s">
        <v>19</v>
      </c>
      <c r="V17" s="137" t="s">
        <v>19</v>
      </c>
      <c r="W17" s="137" t="s">
        <v>19</v>
      </c>
      <c r="X17" s="137" t="s">
        <v>19</v>
      </c>
      <c r="Y17" s="137" t="s">
        <v>19</v>
      </c>
      <c r="Z17" s="137" t="s">
        <v>19</v>
      </c>
      <c r="AA17" s="69"/>
      <c r="AB17" s="69"/>
    </row>
    <row r="18" spans="1:35" ht="15.75" thickBot="1" x14ac:dyDescent="0.3">
      <c r="C18" s="138">
        <f>IF(D18=0,F17,IF(ISBLANK(G18),F17,1+F17))</f>
        <v>0</v>
      </c>
      <c r="D18" s="132">
        <v>1</v>
      </c>
      <c r="E18" s="138"/>
      <c r="F18" s="139" t="str">
        <f>IF(ISBLANK(G18),"",C18)</f>
        <v/>
      </c>
      <c r="H18" s="140"/>
      <c r="I18" s="140" t="s">
        <v>20</v>
      </c>
      <c r="J18" s="141"/>
      <c r="K18" s="140" t="s">
        <v>20</v>
      </c>
      <c r="L18" s="142"/>
      <c r="M18" s="143" t="str">
        <f t="shared" ref="M18:Z18" si="1">"Year "&amp;M53+0.5</f>
        <v>Year 0</v>
      </c>
      <c r="N18" s="143" t="str">
        <f t="shared" si="1"/>
        <v>Year 1</v>
      </c>
      <c r="O18" s="143" t="str">
        <f t="shared" si="1"/>
        <v>Year 2</v>
      </c>
      <c r="P18" s="143" t="str">
        <f t="shared" si="1"/>
        <v>Year 3</v>
      </c>
      <c r="Q18" s="143" t="str">
        <f t="shared" si="1"/>
        <v>Year 4</v>
      </c>
      <c r="R18" s="143" t="str">
        <f t="shared" si="1"/>
        <v>Year 5</v>
      </c>
      <c r="S18" s="143" t="str">
        <f t="shared" si="1"/>
        <v>Year 6</v>
      </c>
      <c r="T18" s="143" t="str">
        <f t="shared" si="1"/>
        <v>Year 7</v>
      </c>
      <c r="U18" s="143" t="str">
        <f t="shared" si="1"/>
        <v>Year 8</v>
      </c>
      <c r="V18" s="143" t="str">
        <f t="shared" si="1"/>
        <v>Year 9</v>
      </c>
      <c r="W18" s="143" t="str">
        <f t="shared" si="1"/>
        <v>Year 10</v>
      </c>
      <c r="X18" s="143" t="str">
        <f t="shared" si="1"/>
        <v>Year 11</v>
      </c>
      <c r="Y18" s="143" t="str">
        <f t="shared" si="1"/>
        <v>Year 12</v>
      </c>
      <c r="Z18" s="143" t="str">
        <f t="shared" si="1"/>
        <v>Year 13</v>
      </c>
      <c r="AA18" s="69" t="s">
        <v>21</v>
      </c>
      <c r="AB18" s="69"/>
    </row>
    <row r="19" spans="1:35" ht="15" x14ac:dyDescent="0.25">
      <c r="C19" s="138">
        <f>IF(D19=0,C18,IF(ISBLANK(G19),C18,1+MAX(C$5:C18)))</f>
        <v>0</v>
      </c>
      <c r="D19" s="132">
        <v>1</v>
      </c>
      <c r="E19" s="138"/>
      <c r="F19" s="139" t="str">
        <f t="shared" ref="F19:F76" si="2">IF(ISBLANK(G19),"",C19)</f>
        <v/>
      </c>
      <c r="H19" s="76">
        <v>2013</v>
      </c>
      <c r="I19" s="76">
        <f t="shared" ref="I19:AA19" si="3">+H19+1</f>
        <v>2014</v>
      </c>
      <c r="J19" s="76">
        <f t="shared" si="3"/>
        <v>2015</v>
      </c>
      <c r="K19" s="76">
        <f t="shared" si="3"/>
        <v>2016</v>
      </c>
      <c r="L19" s="76">
        <f t="shared" si="3"/>
        <v>2017</v>
      </c>
      <c r="M19" s="76">
        <f t="shared" si="3"/>
        <v>2018</v>
      </c>
      <c r="N19" s="76">
        <f t="shared" si="3"/>
        <v>2019</v>
      </c>
      <c r="O19" s="76">
        <f t="shared" si="3"/>
        <v>2020</v>
      </c>
      <c r="P19" s="76">
        <f t="shared" si="3"/>
        <v>2021</v>
      </c>
      <c r="Q19" s="76">
        <f t="shared" si="3"/>
        <v>2022</v>
      </c>
      <c r="R19" s="76">
        <f t="shared" si="3"/>
        <v>2023</v>
      </c>
      <c r="S19" s="76">
        <f t="shared" si="3"/>
        <v>2024</v>
      </c>
      <c r="T19" s="76">
        <f t="shared" si="3"/>
        <v>2025</v>
      </c>
      <c r="U19" s="76">
        <f t="shared" si="3"/>
        <v>2026</v>
      </c>
      <c r="V19" s="76">
        <f t="shared" si="3"/>
        <v>2027</v>
      </c>
      <c r="W19" s="76">
        <f t="shared" si="3"/>
        <v>2028</v>
      </c>
      <c r="X19" s="76">
        <f t="shared" si="3"/>
        <v>2029</v>
      </c>
      <c r="Y19" s="76">
        <f t="shared" si="3"/>
        <v>2030</v>
      </c>
      <c r="Z19" s="76">
        <f t="shared" si="3"/>
        <v>2031</v>
      </c>
      <c r="AA19" s="76">
        <f t="shared" si="3"/>
        <v>2032</v>
      </c>
      <c r="AB19" s="69"/>
    </row>
    <row r="20" spans="1:35" ht="15" x14ac:dyDescent="0.25">
      <c r="A20" s="144" t="s">
        <v>22</v>
      </c>
      <c r="B20" s="66">
        <v>1</v>
      </c>
      <c r="C20" s="138">
        <f>IF(D20=0,C19,IF(ISBLANK(G20),C19,1+MAX(C$18:C19)))</f>
        <v>1</v>
      </c>
      <c r="D20" s="132">
        <v>1</v>
      </c>
      <c r="E20" s="138"/>
      <c r="F20" s="139">
        <v>1</v>
      </c>
      <c r="G20" s="144" t="str">
        <f>+A20&amp;" ("&amp;B20&amp;")"</f>
        <v>OPERATING REVENUES (1)</v>
      </c>
      <c r="AB20" s="69"/>
    </row>
    <row r="21" spans="1:35" ht="15" x14ac:dyDescent="0.25">
      <c r="C21" s="138">
        <f>IF(D21=0,C20,IF(ISBLANK(G21),C20,1+MAX(C$18:C20)))</f>
        <v>2</v>
      </c>
      <c r="D21" s="132">
        <v>1</v>
      </c>
      <c r="F21" s="139">
        <f t="shared" si="2"/>
        <v>2</v>
      </c>
      <c r="G21" s="145" t="s">
        <v>23</v>
      </c>
      <c r="H21" s="6">
        <v>0</v>
      </c>
      <c r="I21" s="6">
        <v>0</v>
      </c>
      <c r="J21" s="6">
        <v>0</v>
      </c>
      <c r="K21" s="6">
        <v>1115704</v>
      </c>
      <c r="L21" s="6">
        <f>$K21*(1+(((0*0.1)+(1*0.15))*(3/12)))</f>
        <v>1157542.9000000001</v>
      </c>
      <c r="M21" s="5">
        <f>$K21*(1+(((0*0.1)+(1*0.15))*(12/12)))</f>
        <v>1283059.5999999999</v>
      </c>
      <c r="N21" s="5">
        <f t="shared" ref="N21:O21" si="4">+N365</f>
        <v>1321737</v>
      </c>
      <c r="O21" s="5">
        <f t="shared" si="4"/>
        <v>1360492</v>
      </c>
      <c r="P21" s="5">
        <f>+P365</f>
        <v>1366977</v>
      </c>
      <c r="Q21" s="5">
        <f t="shared" ref="Q21:Z21" si="5">+Q365</f>
        <v>1771766</v>
      </c>
      <c r="R21" s="5">
        <f t="shared" si="5"/>
        <v>1780389</v>
      </c>
      <c r="S21" s="5">
        <f t="shared" si="5"/>
        <v>1789291</v>
      </c>
      <c r="T21" s="5">
        <f t="shared" si="5"/>
        <v>1861175</v>
      </c>
      <c r="U21" s="5">
        <f t="shared" si="5"/>
        <v>1870481</v>
      </c>
      <c r="V21" s="5">
        <f t="shared" si="5"/>
        <v>1879834</v>
      </c>
      <c r="W21" s="5">
        <f t="shared" si="5"/>
        <v>1955356</v>
      </c>
      <c r="X21" s="5">
        <f t="shared" si="5"/>
        <v>1965133</v>
      </c>
      <c r="Y21" s="5">
        <f t="shared" si="5"/>
        <v>1974958</v>
      </c>
      <c r="Z21" s="5">
        <f t="shared" si="5"/>
        <v>2054302</v>
      </c>
      <c r="AA21" s="5">
        <v>0</v>
      </c>
      <c r="AB21" s="69"/>
    </row>
    <row r="22" spans="1:35" ht="15" x14ac:dyDescent="0.25">
      <c r="C22" s="138">
        <f>IF(D22=0,C21,IF(ISBLANK(G22),C21,1+MAX(C$18:C21)))</f>
        <v>3</v>
      </c>
      <c r="D22" s="132">
        <v>1</v>
      </c>
      <c r="F22" s="139">
        <f t="shared" si="2"/>
        <v>3</v>
      </c>
      <c r="G22" s="145" t="s">
        <v>24</v>
      </c>
      <c r="H22" s="6">
        <v>0</v>
      </c>
      <c r="I22" s="6">
        <v>0</v>
      </c>
      <c r="J22" s="6">
        <v>0</v>
      </c>
      <c r="K22" s="6">
        <v>35512</v>
      </c>
      <c r="L22" s="6">
        <f>+K22</f>
        <v>35512</v>
      </c>
      <c r="M22" s="6">
        <f>+L22</f>
        <v>35512</v>
      </c>
      <c r="N22" s="6">
        <f t="shared" ref="N22:Z22" si="6">+M22</f>
        <v>35512</v>
      </c>
      <c r="O22" s="6">
        <f t="shared" si="6"/>
        <v>35512</v>
      </c>
      <c r="P22" s="6">
        <f t="shared" si="6"/>
        <v>35512</v>
      </c>
      <c r="Q22" s="6">
        <f t="shared" si="6"/>
        <v>35512</v>
      </c>
      <c r="R22" s="6">
        <f t="shared" si="6"/>
        <v>35512</v>
      </c>
      <c r="S22" s="6">
        <f t="shared" si="6"/>
        <v>35512</v>
      </c>
      <c r="T22" s="6">
        <f t="shared" si="6"/>
        <v>35512</v>
      </c>
      <c r="U22" s="6">
        <f t="shared" si="6"/>
        <v>35512</v>
      </c>
      <c r="V22" s="6">
        <f t="shared" si="6"/>
        <v>35512</v>
      </c>
      <c r="W22" s="6">
        <f t="shared" si="6"/>
        <v>35512</v>
      </c>
      <c r="X22" s="6">
        <f t="shared" si="6"/>
        <v>35512</v>
      </c>
      <c r="Y22" s="6">
        <f t="shared" si="6"/>
        <v>35512</v>
      </c>
      <c r="Z22" s="6">
        <f t="shared" si="6"/>
        <v>35512</v>
      </c>
      <c r="AA22" s="5"/>
      <c r="AB22" s="69"/>
    </row>
    <row r="23" spans="1:35" ht="15" x14ac:dyDescent="0.25">
      <c r="C23" s="138">
        <f>IF(D23=0,C22,IF(ISBLANK(G23),C22,1+MAX(C$18:C22)))</f>
        <v>4</v>
      </c>
      <c r="D23" s="132">
        <f>IF($C$10="SUBJECT",0,1)</f>
        <v>1</v>
      </c>
      <c r="F23" s="139">
        <f t="shared" si="2"/>
        <v>4</v>
      </c>
      <c r="G23" s="145" t="s">
        <v>25</v>
      </c>
      <c r="H23" s="6">
        <v>0</v>
      </c>
      <c r="I23" s="6">
        <v>0</v>
      </c>
      <c r="J23" s="6">
        <v>0</v>
      </c>
      <c r="K23" s="6">
        <v>0</v>
      </c>
      <c r="L23" s="6">
        <v>0</v>
      </c>
      <c r="M23" s="6">
        <v>0</v>
      </c>
      <c r="N23" s="6">
        <f t="shared" ref="N23:O23" si="7">+N366</f>
        <v>0</v>
      </c>
      <c r="O23" s="6">
        <f t="shared" si="7"/>
        <v>0</v>
      </c>
      <c r="P23" s="6">
        <f>+P366</f>
        <v>396423</v>
      </c>
      <c r="Q23" s="6">
        <f t="shared" ref="Q23:Z23" si="8">+Q366</f>
        <v>0</v>
      </c>
      <c r="R23" s="6">
        <f t="shared" si="8"/>
        <v>0</v>
      </c>
      <c r="S23" s="6">
        <f t="shared" si="8"/>
        <v>62625</v>
      </c>
      <c r="T23" s="6">
        <f t="shared" si="8"/>
        <v>0</v>
      </c>
      <c r="U23" s="6">
        <f t="shared" si="8"/>
        <v>0</v>
      </c>
      <c r="V23" s="6">
        <f t="shared" si="8"/>
        <v>65794</v>
      </c>
      <c r="W23" s="6">
        <f t="shared" si="8"/>
        <v>0</v>
      </c>
      <c r="X23" s="6">
        <f t="shared" si="8"/>
        <v>0</v>
      </c>
      <c r="Y23" s="6">
        <f t="shared" si="8"/>
        <v>69124</v>
      </c>
      <c r="Z23" s="6">
        <f t="shared" si="8"/>
        <v>0</v>
      </c>
      <c r="AA23" s="6">
        <v>0</v>
      </c>
      <c r="AB23" s="69"/>
    </row>
    <row r="24" spans="1:35" ht="15.75" thickBot="1" x14ac:dyDescent="0.3">
      <c r="C24" s="138">
        <f>IF(D24=0,C23,IF(ISBLANK(G24),C23,1+MAX(C$18:C23)))</f>
        <v>5</v>
      </c>
      <c r="D24" s="132">
        <v>1</v>
      </c>
      <c r="F24" s="139">
        <f t="shared" si="2"/>
        <v>5</v>
      </c>
      <c r="G24" s="146" t="s">
        <v>26</v>
      </c>
      <c r="H24" s="7">
        <f t="shared" ref="H24:Z24" si="9">SUM(H21:H23)</f>
        <v>0</v>
      </c>
      <c r="I24" s="7">
        <f t="shared" si="9"/>
        <v>0</v>
      </c>
      <c r="J24" s="7">
        <f t="shared" si="9"/>
        <v>0</v>
      </c>
      <c r="K24" s="7">
        <f t="shared" si="9"/>
        <v>1151216</v>
      </c>
      <c r="L24" s="7">
        <f t="shared" si="9"/>
        <v>1193054.9000000001</v>
      </c>
      <c r="M24" s="7">
        <f t="shared" si="9"/>
        <v>1318571.5999999999</v>
      </c>
      <c r="N24" s="7">
        <f t="shared" si="9"/>
        <v>1357249</v>
      </c>
      <c r="O24" s="7">
        <f t="shared" si="9"/>
        <v>1396004</v>
      </c>
      <c r="P24" s="7">
        <f t="shared" si="9"/>
        <v>1798912</v>
      </c>
      <c r="Q24" s="7">
        <f t="shared" si="9"/>
        <v>1807278</v>
      </c>
      <c r="R24" s="7">
        <f t="shared" si="9"/>
        <v>1815901</v>
      </c>
      <c r="S24" s="7">
        <f t="shared" si="9"/>
        <v>1887428</v>
      </c>
      <c r="T24" s="7">
        <f t="shared" si="9"/>
        <v>1896687</v>
      </c>
      <c r="U24" s="7">
        <f t="shared" si="9"/>
        <v>1905993</v>
      </c>
      <c r="V24" s="7">
        <f t="shared" si="9"/>
        <v>1981140</v>
      </c>
      <c r="W24" s="7">
        <f t="shared" si="9"/>
        <v>1990868</v>
      </c>
      <c r="X24" s="7">
        <f t="shared" si="9"/>
        <v>2000645</v>
      </c>
      <c r="Y24" s="7">
        <f t="shared" si="9"/>
        <v>2079594</v>
      </c>
      <c r="Z24" s="7">
        <f t="shared" si="9"/>
        <v>2089814</v>
      </c>
      <c r="AA24" s="7">
        <f t="shared" ref="AA24" si="10">SUM(AA21:AA23)</f>
        <v>0</v>
      </c>
      <c r="AB24" s="69"/>
    </row>
    <row r="25" spans="1:35" ht="15.75" thickTop="1" x14ac:dyDescent="0.25">
      <c r="C25" s="138">
        <f>IF(D25=0,C24,IF(ISBLANK(G25),C24,1+MAX(C$18:C24)))</f>
        <v>6</v>
      </c>
      <c r="D25" s="132">
        <v>1</v>
      </c>
      <c r="F25" s="139">
        <f t="shared" si="2"/>
        <v>6</v>
      </c>
      <c r="G25" s="147" t="s">
        <v>27</v>
      </c>
      <c r="H25" s="8"/>
      <c r="I25" s="8"/>
      <c r="J25" s="8"/>
      <c r="K25" s="8"/>
      <c r="L25" s="9"/>
      <c r="M25" s="9"/>
      <c r="N25" s="10" t="str">
        <f t="shared" ref="N25:Z25" si="11">IF(N23&gt;0,+N23/N21,"")</f>
        <v/>
      </c>
      <c r="O25" s="10" t="str">
        <f t="shared" si="11"/>
        <v/>
      </c>
      <c r="P25" s="10">
        <f t="shared" si="11"/>
        <v>0.28999975859140276</v>
      </c>
      <c r="Q25" s="10" t="str">
        <f t="shared" si="11"/>
        <v/>
      </c>
      <c r="R25" s="10" t="str">
        <f t="shared" si="11"/>
        <v/>
      </c>
      <c r="S25" s="10">
        <f t="shared" si="11"/>
        <v>3.4999896607091859E-2</v>
      </c>
      <c r="T25" s="10" t="str">
        <f t="shared" si="11"/>
        <v/>
      </c>
      <c r="U25" s="10" t="str">
        <f t="shared" si="11"/>
        <v/>
      </c>
      <c r="V25" s="10">
        <f t="shared" si="11"/>
        <v>3.4999898927245705E-2</v>
      </c>
      <c r="W25" s="10" t="str">
        <f t="shared" si="11"/>
        <v/>
      </c>
      <c r="X25" s="10" t="str">
        <f t="shared" si="11"/>
        <v/>
      </c>
      <c r="Y25" s="10">
        <f t="shared" si="11"/>
        <v>3.5000237979744379E-2</v>
      </c>
      <c r="Z25" s="10" t="str">
        <f t="shared" si="11"/>
        <v/>
      </c>
      <c r="AA25" s="10"/>
      <c r="AB25" s="69"/>
      <c r="AE25" s="148"/>
      <c r="AF25" s="148"/>
      <c r="AG25" s="148"/>
    </row>
    <row r="26" spans="1:35" ht="15" x14ac:dyDescent="0.25">
      <c r="C26" s="138">
        <f>IF(D26=0,C25,IF(ISBLANK(G26),C25,1+MAX(C$18:C25)))</f>
        <v>6</v>
      </c>
      <c r="D26" s="132">
        <v>1</v>
      </c>
      <c r="F26" s="139" t="str">
        <f t="shared" si="2"/>
        <v/>
      </c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B26" s="69"/>
      <c r="AE26" s="148"/>
      <c r="AF26" s="148"/>
      <c r="AG26" s="148"/>
    </row>
    <row r="27" spans="1:35" ht="15" x14ac:dyDescent="0.25">
      <c r="A27" s="144" t="s">
        <v>28</v>
      </c>
      <c r="B27" s="25">
        <v>1</v>
      </c>
      <c r="C27" s="138">
        <f>IF(D27=0,C26,IF(ISBLANK(G27),C26,1+MAX(C$18:C26)))</f>
        <v>7</v>
      </c>
      <c r="D27" s="132">
        <v>1</v>
      </c>
      <c r="F27" s="139">
        <f t="shared" si="2"/>
        <v>7</v>
      </c>
      <c r="G27" s="144" t="str">
        <f>+A27&amp;" ("&amp;B27&amp;")"</f>
        <v>OPERATING EXPENSES (1)</v>
      </c>
      <c r="H27" s="6"/>
      <c r="I27" s="6"/>
      <c r="J27" s="6"/>
      <c r="K27" s="6"/>
      <c r="L27" s="5"/>
      <c r="M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69"/>
      <c r="AB27" s="69"/>
      <c r="AC27" s="2" t="s">
        <v>29</v>
      </c>
    </row>
    <row r="28" spans="1:35" ht="15" x14ac:dyDescent="0.25">
      <c r="C28" s="138">
        <f>IF(D28=0,C27,IF(ISBLANK(G28),C27,1+MAX(C$18:C27)))</f>
        <v>8</v>
      </c>
      <c r="D28" s="132">
        <v>1</v>
      </c>
      <c r="F28" s="139">
        <f t="shared" si="2"/>
        <v>8</v>
      </c>
      <c r="G28" s="149" t="s">
        <v>30</v>
      </c>
      <c r="H28" s="6">
        <v>0</v>
      </c>
      <c r="I28" s="6">
        <v>0</v>
      </c>
      <c r="J28" s="6">
        <v>0</v>
      </c>
      <c r="K28" s="5">
        <v>1339822</v>
      </c>
      <c r="L28" s="6">
        <f t="shared" ref="L28:Z28" si="12">+K28*(1+$AC28)</f>
        <v>1366618.44</v>
      </c>
      <c r="M28" s="6">
        <f t="shared" si="12"/>
        <v>1393950.8088</v>
      </c>
      <c r="N28" s="6">
        <f t="shared" si="12"/>
        <v>1421829.824976</v>
      </c>
      <c r="O28" s="6">
        <f t="shared" si="12"/>
        <v>1450266.4214755201</v>
      </c>
      <c r="P28" s="6">
        <f t="shared" si="12"/>
        <v>1479271.7499050305</v>
      </c>
      <c r="Q28" s="6">
        <f t="shared" si="12"/>
        <v>1508857.1849031311</v>
      </c>
      <c r="R28" s="6">
        <f t="shared" si="12"/>
        <v>1539034.3286011938</v>
      </c>
      <c r="S28" s="6">
        <f t="shared" si="12"/>
        <v>1569815.0151732177</v>
      </c>
      <c r="T28" s="6">
        <f t="shared" si="12"/>
        <v>1601211.315476682</v>
      </c>
      <c r="U28" s="6">
        <f t="shared" si="12"/>
        <v>1633235.5417862157</v>
      </c>
      <c r="V28" s="6">
        <f t="shared" si="12"/>
        <v>1665900.2526219401</v>
      </c>
      <c r="W28" s="6">
        <f t="shared" si="12"/>
        <v>1699218.257674379</v>
      </c>
      <c r="X28" s="6">
        <f t="shared" si="12"/>
        <v>1733202.6228278666</v>
      </c>
      <c r="Y28" s="6">
        <f t="shared" si="12"/>
        <v>1767866.6752844239</v>
      </c>
      <c r="Z28" s="6">
        <f t="shared" si="12"/>
        <v>1803224.0087901123</v>
      </c>
      <c r="AA28" s="69"/>
      <c r="AB28" s="69"/>
      <c r="AC28" s="150">
        <v>0.02</v>
      </c>
    </row>
    <row r="29" spans="1:35" ht="15" x14ac:dyDescent="0.25">
      <c r="C29" s="138">
        <f>IF(D29=0,C28,IF(ISBLANK(G29),C28,1+MAX(C$18:C28)))</f>
        <v>9</v>
      </c>
      <c r="D29" s="132">
        <f>IF($C$10="SUBJECT",0,1)</f>
        <v>1</v>
      </c>
      <c r="F29" s="139">
        <f t="shared" si="2"/>
        <v>9</v>
      </c>
      <c r="G29" s="149" t="s">
        <v>31</v>
      </c>
      <c r="H29" s="11"/>
      <c r="I29" s="11"/>
      <c r="J29" s="11"/>
      <c r="K29" s="11"/>
      <c r="L29" s="11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9"/>
      <c r="AB29" s="69"/>
    </row>
    <row r="30" spans="1:35" ht="15" x14ac:dyDescent="0.25">
      <c r="C30" s="138">
        <f>IF(D30=0,C29,IF(ISBLANK(G30),C29,1+MAX(C$18:C29)))</f>
        <v>10</v>
      </c>
      <c r="D30" s="132">
        <f>IF($C$10="SUBJECT",0,1)</f>
        <v>1</v>
      </c>
      <c r="F30" s="139">
        <f t="shared" si="2"/>
        <v>10</v>
      </c>
      <c r="G30" s="12" t="s">
        <v>32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6">
        <f>+M406*(1+$AC30)*AH30*-1</f>
        <v>-17375.901429599999</v>
      </c>
      <c r="O30" s="6">
        <f t="shared" ref="O30:Z32" si="13">+N30*(1+$AC30)</f>
        <v>-17723.419458191998</v>
      </c>
      <c r="P30" s="6">
        <f t="shared" si="13"/>
        <v>-18077.88784735584</v>
      </c>
      <c r="Q30" s="6">
        <f t="shared" si="13"/>
        <v>-18439.445604302957</v>
      </c>
      <c r="R30" s="6">
        <f t="shared" si="13"/>
        <v>-18808.234516389017</v>
      </c>
      <c r="S30" s="6">
        <f t="shared" si="13"/>
        <v>-19184.399206716796</v>
      </c>
      <c r="T30" s="6">
        <f t="shared" si="13"/>
        <v>-19568.087190851133</v>
      </c>
      <c r="U30" s="6">
        <f t="shared" si="13"/>
        <v>-19959.448934668155</v>
      </c>
      <c r="V30" s="6">
        <f t="shared" si="13"/>
        <v>-20358.637913361519</v>
      </c>
      <c r="W30" s="6">
        <f t="shared" si="13"/>
        <v>-20765.810671628751</v>
      </c>
      <c r="X30" s="6">
        <f t="shared" si="13"/>
        <v>-21181.126885061327</v>
      </c>
      <c r="Y30" s="6">
        <f t="shared" si="13"/>
        <v>-21604.749422762554</v>
      </c>
      <c r="Z30" s="6">
        <f t="shared" si="13"/>
        <v>-22036.844411217804</v>
      </c>
      <c r="AA30" s="69"/>
      <c r="AB30" s="69"/>
      <c r="AC30" s="2">
        <f>+AC28</f>
        <v>0.02</v>
      </c>
      <c r="AE30" s="151" t="s">
        <v>33</v>
      </c>
      <c r="AF30" s="152"/>
      <c r="AG30" s="153" t="s">
        <v>34</v>
      </c>
      <c r="AH30" s="154">
        <v>0.15</v>
      </c>
      <c r="AI30" s="13">
        <v>0.15</v>
      </c>
    </row>
    <row r="31" spans="1:35" ht="15" x14ac:dyDescent="0.25">
      <c r="C31" s="138">
        <f>IF(D31=0,C30,IF(ISBLANK(G31),C30,1+MAX(C$18:C30)))</f>
        <v>11</v>
      </c>
      <c r="D31" s="132">
        <f t="shared" ref="D31:D32" si="14">IF($C$10="SUBJECT",0,1)</f>
        <v>1</v>
      </c>
      <c r="F31" s="139">
        <f t="shared" si="2"/>
        <v>11</v>
      </c>
      <c r="G31" s="12" t="s">
        <v>35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6">
        <f>+M407*(1+$AC31)*AH31*-1</f>
        <v>-72607.851359999986</v>
      </c>
      <c r="O31" s="6">
        <f t="shared" si="13"/>
        <v>-74060.008387199981</v>
      </c>
      <c r="P31" s="6">
        <f t="shared" si="13"/>
        <v>-75541.20855494398</v>
      </c>
      <c r="Q31" s="6">
        <f t="shared" si="13"/>
        <v>-77052.03272604286</v>
      </c>
      <c r="R31" s="6">
        <f t="shared" si="13"/>
        <v>-78593.073380563714</v>
      </c>
      <c r="S31" s="6">
        <f t="shared" si="13"/>
        <v>-80164.934848174991</v>
      </c>
      <c r="T31" s="6">
        <f t="shared" si="13"/>
        <v>-81768.233545138486</v>
      </c>
      <c r="U31" s="6">
        <f t="shared" si="13"/>
        <v>-83403.598216041253</v>
      </c>
      <c r="V31" s="6">
        <f t="shared" si="13"/>
        <v>-85071.670180362082</v>
      </c>
      <c r="W31" s="6">
        <f t="shared" si="13"/>
        <v>-86773.103583969321</v>
      </c>
      <c r="X31" s="6">
        <f t="shared" si="13"/>
        <v>-88508.565655648708</v>
      </c>
      <c r="Y31" s="6">
        <f t="shared" si="13"/>
        <v>-90278.736968761688</v>
      </c>
      <c r="Z31" s="6">
        <f t="shared" si="13"/>
        <v>-92084.311708136927</v>
      </c>
      <c r="AA31" s="69"/>
      <c r="AB31" s="69"/>
      <c r="AC31" s="2">
        <f>+AC30</f>
        <v>0.02</v>
      </c>
      <c r="AE31" s="151" t="s">
        <v>36</v>
      </c>
      <c r="AF31" s="152"/>
      <c r="AG31" s="153" t="s">
        <v>37</v>
      </c>
      <c r="AH31" s="154">
        <v>0.5</v>
      </c>
      <c r="AI31" s="13">
        <v>0.5</v>
      </c>
    </row>
    <row r="32" spans="1:35" ht="15" x14ac:dyDescent="0.25">
      <c r="C32" s="138">
        <f>IF(D32=0,C31,IF(ISBLANK(G32),C31,1+MAX(C$18:C31)))</f>
        <v>12</v>
      </c>
      <c r="D32" s="132">
        <f t="shared" si="14"/>
        <v>1</v>
      </c>
      <c r="F32" s="139">
        <f t="shared" si="2"/>
        <v>12</v>
      </c>
      <c r="G32" s="12" t="s">
        <v>38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6">
        <f>+M408*(1+$AC32)*AH32*-1</f>
        <v>-2396.9505096000003</v>
      </c>
      <c r="O32" s="6">
        <f t="shared" si="13"/>
        <v>-2444.8895197920001</v>
      </c>
      <c r="P32" s="6">
        <f t="shared" si="13"/>
        <v>-2493.7873101878399</v>
      </c>
      <c r="Q32" s="6">
        <f t="shared" si="13"/>
        <v>-2543.6630563915969</v>
      </c>
      <c r="R32" s="6">
        <f t="shared" si="13"/>
        <v>-2594.5363175194288</v>
      </c>
      <c r="S32" s="6">
        <f t="shared" si="13"/>
        <v>-2646.4270438698177</v>
      </c>
      <c r="T32" s="6">
        <f t="shared" si="13"/>
        <v>-2699.3555847472139</v>
      </c>
      <c r="U32" s="6">
        <f t="shared" si="13"/>
        <v>-2753.3426964421583</v>
      </c>
      <c r="V32" s="6">
        <f t="shared" si="13"/>
        <v>-2808.4095503710014</v>
      </c>
      <c r="W32" s="6">
        <f t="shared" si="13"/>
        <v>-2864.5777413784213</v>
      </c>
      <c r="X32" s="6">
        <f t="shared" si="13"/>
        <v>-2921.8692962059899</v>
      </c>
      <c r="Y32" s="6">
        <f t="shared" si="13"/>
        <v>-2980.3066821301099</v>
      </c>
      <c r="Z32" s="6">
        <f t="shared" si="13"/>
        <v>-3039.9128157727123</v>
      </c>
      <c r="AA32" s="69"/>
      <c r="AB32" s="69"/>
      <c r="AC32" s="2">
        <f t="shared" ref="AC32" si="15">+AC31</f>
        <v>0.02</v>
      </c>
      <c r="AE32" s="151" t="s">
        <v>39</v>
      </c>
      <c r="AF32" s="152"/>
      <c r="AG32" s="153" t="s">
        <v>40</v>
      </c>
      <c r="AH32" s="154">
        <v>0.1</v>
      </c>
      <c r="AI32" s="13">
        <v>0.1</v>
      </c>
    </row>
    <row r="33" spans="1:28" ht="15" x14ac:dyDescent="0.25">
      <c r="C33" s="138">
        <f>IF(D33=0,C32,IF(ISBLANK(G33),C32,1+MAX(C$18:C32)))</f>
        <v>13</v>
      </c>
      <c r="D33" s="132">
        <f>IF($C$10="IOU",1,0)</f>
        <v>1</v>
      </c>
      <c r="F33" s="139">
        <f t="shared" si="2"/>
        <v>13</v>
      </c>
      <c r="G33" s="12" t="s">
        <v>41</v>
      </c>
      <c r="H33" s="6"/>
      <c r="I33" s="6"/>
      <c r="J33" s="6"/>
      <c r="K33" s="6"/>
      <c r="L33" s="6"/>
      <c r="M33" s="6"/>
      <c r="N33" s="6">
        <f>IF($C$10="IOU",+N373,0)</f>
        <v>12018</v>
      </c>
      <c r="O33" s="6">
        <f>IF($C$10="IOU",+O373,0)</f>
        <v>12232</v>
      </c>
      <c r="P33" s="6">
        <f>IF($C$10="IOU",+P373,0)</f>
        <v>12444</v>
      </c>
      <c r="Q33" s="6">
        <f>IF($C$10="IOU",+Q373,0)</f>
        <v>14730</v>
      </c>
      <c r="R33" s="6">
        <f>IF($C$10="IOU",+R373,0)</f>
        <v>14769</v>
      </c>
      <c r="S33" s="6">
        <f>IF($C$10="IOU",+S373,0)</f>
        <v>14810</v>
      </c>
      <c r="T33" s="6">
        <f>IF($C$10="IOU",+T373,0)</f>
        <v>15209</v>
      </c>
      <c r="U33" s="6">
        <f>IF($C$10="IOU",+U373,0)</f>
        <v>15254</v>
      </c>
      <c r="V33" s="6">
        <f>IF($C$10="IOU",+V373,0)</f>
        <v>15301</v>
      </c>
      <c r="W33" s="6">
        <f>IF($C$10="IOU",+W373,0)</f>
        <v>15723</v>
      </c>
      <c r="X33" s="6">
        <f>IF($C$10="IOU",+X373,0)</f>
        <v>15772</v>
      </c>
      <c r="Y33" s="6">
        <f>IF($C$10="IOU",+Y373,0)</f>
        <v>15821</v>
      </c>
      <c r="Z33" s="6">
        <f>IF($C$10="IOU",+Z373,0)</f>
        <v>16264</v>
      </c>
      <c r="AA33" s="69"/>
      <c r="AB33" s="69"/>
    </row>
    <row r="34" spans="1:28" ht="15" x14ac:dyDescent="0.25">
      <c r="C34" s="138">
        <f>IF(D34=0,C33,IF(ISBLANK(G34),C33,1+MAX(C$18:C33)))</f>
        <v>14</v>
      </c>
      <c r="D34" s="132">
        <v>1</v>
      </c>
      <c r="F34" s="139">
        <f t="shared" si="2"/>
        <v>14</v>
      </c>
      <c r="G34" s="155" t="s">
        <v>42</v>
      </c>
      <c r="H34" s="14">
        <f t="shared" ref="H34:Z34" si="16">SUM(H28:H33)</f>
        <v>0</v>
      </c>
      <c r="I34" s="14">
        <f t="shared" si="16"/>
        <v>0</v>
      </c>
      <c r="J34" s="14">
        <f t="shared" si="16"/>
        <v>0</v>
      </c>
      <c r="K34" s="14">
        <f t="shared" si="16"/>
        <v>1339822</v>
      </c>
      <c r="L34" s="14">
        <f t="shared" si="16"/>
        <v>1366618.44</v>
      </c>
      <c r="M34" s="14">
        <f t="shared" si="16"/>
        <v>1393950.8088</v>
      </c>
      <c r="N34" s="14">
        <f t="shared" si="16"/>
        <v>1341467.1216767998</v>
      </c>
      <c r="O34" s="14">
        <f t="shared" si="16"/>
        <v>1368270.1041103359</v>
      </c>
      <c r="P34" s="14">
        <f t="shared" si="16"/>
        <v>1395602.8661925427</v>
      </c>
      <c r="Q34" s="14">
        <f t="shared" si="16"/>
        <v>1425552.0435163938</v>
      </c>
      <c r="R34" s="14">
        <f t="shared" si="16"/>
        <v>1453807.4843867219</v>
      </c>
      <c r="S34" s="14">
        <f t="shared" si="16"/>
        <v>1482629.2540744562</v>
      </c>
      <c r="T34" s="14">
        <f t="shared" si="16"/>
        <v>1512384.6391559453</v>
      </c>
      <c r="U34" s="14">
        <f t="shared" si="16"/>
        <v>1542373.151939064</v>
      </c>
      <c r="V34" s="14">
        <f t="shared" si="16"/>
        <v>1572962.5349778454</v>
      </c>
      <c r="W34" s="14">
        <f t="shared" si="16"/>
        <v>1604537.7656774025</v>
      </c>
      <c r="X34" s="14">
        <f t="shared" si="16"/>
        <v>1636363.0609909506</v>
      </c>
      <c r="Y34" s="14">
        <f t="shared" si="16"/>
        <v>1668823.8822107695</v>
      </c>
      <c r="Z34" s="14">
        <f t="shared" si="16"/>
        <v>1702326.9398549849</v>
      </c>
      <c r="AA34" s="69"/>
      <c r="AB34" s="69"/>
    </row>
    <row r="35" spans="1:28" ht="15" x14ac:dyDescent="0.25">
      <c r="A35" s="145" t="s">
        <v>43</v>
      </c>
      <c r="B35" s="25">
        <f>MAX(B$20:B34)+1</f>
        <v>2</v>
      </c>
      <c r="C35" s="138">
        <f>IF(D35=0,C34,IF(ISBLANK(G35),C34,1+MAX(C$18:C34)))</f>
        <v>15</v>
      </c>
      <c r="D35" s="132">
        <v>1</v>
      </c>
      <c r="F35" s="139">
        <f t="shared" si="2"/>
        <v>15</v>
      </c>
      <c r="G35" s="4" t="str">
        <f>+A35&amp;" ("&amp;B35&amp;")"</f>
        <v>Depreciation (2)</v>
      </c>
      <c r="H35" s="5">
        <f>+H314</f>
        <v>0</v>
      </c>
      <c r="I35" s="5">
        <f t="shared" ref="I35:J35" si="17">+I314</f>
        <v>0</v>
      </c>
      <c r="J35" s="5">
        <f t="shared" si="17"/>
        <v>0</v>
      </c>
      <c r="K35" s="5">
        <f>+K459</f>
        <v>70773</v>
      </c>
      <c r="L35" s="5">
        <f>+L312</f>
        <v>70773</v>
      </c>
      <c r="M35" s="5">
        <f>+M312</f>
        <v>81865.373399999997</v>
      </c>
      <c r="N35" s="5">
        <f>+N312</f>
        <v>82317.717799999999</v>
      </c>
      <c r="O35" s="5">
        <f t="shared" ref="O35:Z35" si="18">+O312</f>
        <v>83417.015000000014</v>
      </c>
      <c r="P35" s="5">
        <f t="shared" si="18"/>
        <v>84526.843999999997</v>
      </c>
      <c r="Q35" s="5">
        <f t="shared" si="18"/>
        <v>85650.380600000004</v>
      </c>
      <c r="R35" s="5">
        <f t="shared" si="18"/>
        <v>86789.7742</v>
      </c>
      <c r="S35" s="5">
        <f t="shared" si="18"/>
        <v>87944.174200000009</v>
      </c>
      <c r="T35" s="5">
        <f t="shared" si="18"/>
        <v>89113.813000000009</v>
      </c>
      <c r="U35" s="5">
        <f t="shared" si="18"/>
        <v>90307.503400000001</v>
      </c>
      <c r="V35" s="5">
        <f t="shared" si="18"/>
        <v>91528.373800000001</v>
      </c>
      <c r="W35" s="5">
        <f t="shared" si="18"/>
        <v>92764.595200000011</v>
      </c>
      <c r="X35" s="5">
        <f t="shared" si="18"/>
        <v>94018.4</v>
      </c>
      <c r="Y35" s="5">
        <f t="shared" si="18"/>
        <v>95289.020599999989</v>
      </c>
      <c r="Z35" s="5">
        <f t="shared" si="18"/>
        <v>96577.6728</v>
      </c>
      <c r="AA35" s="69"/>
      <c r="AB35" s="69"/>
    </row>
    <row r="36" spans="1:28" ht="15.75" thickBot="1" x14ac:dyDescent="0.3">
      <c r="C36" s="138">
        <f>IF(D36=0,C35,IF(ISBLANK(G36),C35,1+MAX(C$18:C35)))</f>
        <v>16</v>
      </c>
      <c r="D36" s="132">
        <v>1</v>
      </c>
      <c r="F36" s="139">
        <f t="shared" si="2"/>
        <v>16</v>
      </c>
      <c r="G36" s="155" t="s">
        <v>44</v>
      </c>
      <c r="H36" s="7">
        <f t="shared" ref="H36:Z36" si="19">+H35+H34</f>
        <v>0</v>
      </c>
      <c r="I36" s="7">
        <f t="shared" si="19"/>
        <v>0</v>
      </c>
      <c r="J36" s="7">
        <f t="shared" si="19"/>
        <v>0</v>
      </c>
      <c r="K36" s="7">
        <f t="shared" si="19"/>
        <v>1410595</v>
      </c>
      <c r="L36" s="7">
        <f t="shared" si="19"/>
        <v>1437391.44</v>
      </c>
      <c r="M36" s="7">
        <f t="shared" si="19"/>
        <v>1475816.1821999999</v>
      </c>
      <c r="N36" s="7">
        <f t="shared" si="19"/>
        <v>1423784.8394767998</v>
      </c>
      <c r="O36" s="7">
        <f t="shared" si="19"/>
        <v>1451687.1191103361</v>
      </c>
      <c r="P36" s="7">
        <f t="shared" si="19"/>
        <v>1480129.7101925428</v>
      </c>
      <c r="Q36" s="7">
        <f t="shared" si="19"/>
        <v>1511202.4241163938</v>
      </c>
      <c r="R36" s="7">
        <f t="shared" si="19"/>
        <v>1540597.258586722</v>
      </c>
      <c r="S36" s="7">
        <f t="shared" si="19"/>
        <v>1570573.4282744562</v>
      </c>
      <c r="T36" s="7">
        <f t="shared" si="19"/>
        <v>1601498.4521559454</v>
      </c>
      <c r="U36" s="7">
        <f t="shared" si="19"/>
        <v>1632680.6553390641</v>
      </c>
      <c r="V36" s="7">
        <f t="shared" si="19"/>
        <v>1664490.9087778453</v>
      </c>
      <c r="W36" s="7">
        <f t="shared" si="19"/>
        <v>1697302.3608774026</v>
      </c>
      <c r="X36" s="7">
        <f t="shared" si="19"/>
        <v>1730381.4609909505</v>
      </c>
      <c r="Y36" s="7">
        <f t="shared" si="19"/>
        <v>1764112.9028107694</v>
      </c>
      <c r="Z36" s="7">
        <f t="shared" si="19"/>
        <v>1798904.6126549849</v>
      </c>
      <c r="AA36" s="69"/>
      <c r="AB36" s="69"/>
    </row>
    <row r="37" spans="1:28" ht="15.75" thickTop="1" x14ac:dyDescent="0.25">
      <c r="C37" s="138">
        <f>IF(D37=0,C36,IF(ISBLANK(G37),C36,1+MAX(C$18:C36)))</f>
        <v>16</v>
      </c>
      <c r="D37" s="132">
        <v>1</v>
      </c>
      <c r="F37" s="139" t="str">
        <f t="shared" si="2"/>
        <v/>
      </c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69"/>
      <c r="AB37" s="69"/>
    </row>
    <row r="38" spans="1:28" ht="15.75" thickBot="1" x14ac:dyDescent="0.3">
      <c r="C38" s="138">
        <f>IF(D38=0,C37,IF(ISBLANK(G38),C37,1+MAX(C$18:C37)))</f>
        <v>17</v>
      </c>
      <c r="D38" s="132">
        <v>1</v>
      </c>
      <c r="F38" s="139">
        <f t="shared" si="2"/>
        <v>17</v>
      </c>
      <c r="G38" s="146" t="s">
        <v>45</v>
      </c>
      <c r="H38" s="7">
        <f t="shared" ref="H38:Z38" si="20">+H24-H36</f>
        <v>0</v>
      </c>
      <c r="I38" s="7">
        <f t="shared" si="20"/>
        <v>0</v>
      </c>
      <c r="J38" s="7">
        <f t="shared" si="20"/>
        <v>0</v>
      </c>
      <c r="K38" s="7">
        <f t="shared" si="20"/>
        <v>-259379</v>
      </c>
      <c r="L38" s="7">
        <f t="shared" si="20"/>
        <v>-244336.5399999998</v>
      </c>
      <c r="M38" s="7">
        <f t="shared" si="20"/>
        <v>-157244.58220000006</v>
      </c>
      <c r="N38" s="7">
        <f t="shared" si="20"/>
        <v>-66535.839476799825</v>
      </c>
      <c r="O38" s="7">
        <f t="shared" si="20"/>
        <v>-55683.119110336062</v>
      </c>
      <c r="P38" s="7">
        <f t="shared" si="20"/>
        <v>318782.28980745724</v>
      </c>
      <c r="Q38" s="7">
        <f t="shared" si="20"/>
        <v>296075.57588360622</v>
      </c>
      <c r="R38" s="7">
        <f t="shared" si="20"/>
        <v>275303.74141327804</v>
      </c>
      <c r="S38" s="7">
        <f t="shared" si="20"/>
        <v>316854.57172554382</v>
      </c>
      <c r="T38" s="7">
        <f t="shared" si="20"/>
        <v>295188.54784405464</v>
      </c>
      <c r="U38" s="7">
        <f t="shared" si="20"/>
        <v>273312.34466093592</v>
      </c>
      <c r="V38" s="7">
        <f t="shared" si="20"/>
        <v>316649.09122215468</v>
      </c>
      <c r="W38" s="7">
        <f t="shared" si="20"/>
        <v>293565.63912259741</v>
      </c>
      <c r="X38" s="7">
        <f t="shared" si="20"/>
        <v>270263.53900904953</v>
      </c>
      <c r="Y38" s="7">
        <f t="shared" si="20"/>
        <v>315481.09718923061</v>
      </c>
      <c r="Z38" s="7">
        <f t="shared" si="20"/>
        <v>290909.38734501507</v>
      </c>
      <c r="AA38" s="69"/>
      <c r="AB38" s="69"/>
    </row>
    <row r="39" spans="1:28" ht="15.75" thickTop="1" x14ac:dyDescent="0.25">
      <c r="C39" s="138">
        <f>IF(D39=0,C38,IF(ISBLANK(G39),C38,1+MAX(C$18:C38)))</f>
        <v>17</v>
      </c>
      <c r="D39" s="132">
        <v>1</v>
      </c>
      <c r="F39" s="139" t="str">
        <f t="shared" si="2"/>
        <v/>
      </c>
      <c r="H39" s="6"/>
      <c r="I39" s="6"/>
      <c r="J39" s="6"/>
      <c r="K39" s="6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69"/>
    </row>
    <row r="40" spans="1:28" ht="15" x14ac:dyDescent="0.25">
      <c r="A40" s="4" t="s">
        <v>46</v>
      </c>
      <c r="B40" s="25">
        <f>MAX(B$20:B39)+1</f>
        <v>3</v>
      </c>
      <c r="C40" s="138">
        <f>IF(D40=0,C39,IF(ISBLANK(G40),C39,1+MAX(C$18:C39)))</f>
        <v>18</v>
      </c>
      <c r="D40" s="132">
        <v>1</v>
      </c>
      <c r="F40" s="139">
        <f t="shared" si="2"/>
        <v>18</v>
      </c>
      <c r="G40" s="4" t="str">
        <f t="shared" ref="G40:G42" si="21">+A40&amp;" ("&amp;B40&amp;")"</f>
        <v>Revenues (3)</v>
      </c>
      <c r="H40" s="6">
        <f t="shared" ref="H40:Z40" si="22">+H24</f>
        <v>0</v>
      </c>
      <c r="I40" s="6">
        <f t="shared" si="22"/>
        <v>0</v>
      </c>
      <c r="J40" s="6">
        <f t="shared" si="22"/>
        <v>0</v>
      </c>
      <c r="K40" s="6">
        <f t="shared" si="22"/>
        <v>1151216</v>
      </c>
      <c r="L40" s="6">
        <f t="shared" si="22"/>
        <v>1193054.9000000001</v>
      </c>
      <c r="M40" s="6">
        <f t="shared" si="22"/>
        <v>1318571.5999999999</v>
      </c>
      <c r="N40" s="6">
        <f t="shared" si="22"/>
        <v>1357249</v>
      </c>
      <c r="O40" s="6">
        <f t="shared" si="22"/>
        <v>1396004</v>
      </c>
      <c r="P40" s="6">
        <f t="shared" si="22"/>
        <v>1798912</v>
      </c>
      <c r="Q40" s="6">
        <f t="shared" si="22"/>
        <v>1807278</v>
      </c>
      <c r="R40" s="6">
        <f t="shared" si="22"/>
        <v>1815901</v>
      </c>
      <c r="S40" s="6">
        <f t="shared" si="22"/>
        <v>1887428</v>
      </c>
      <c r="T40" s="6">
        <f t="shared" si="22"/>
        <v>1896687</v>
      </c>
      <c r="U40" s="6">
        <f t="shared" si="22"/>
        <v>1905993</v>
      </c>
      <c r="V40" s="6">
        <f t="shared" si="22"/>
        <v>1981140</v>
      </c>
      <c r="W40" s="6">
        <f t="shared" si="22"/>
        <v>1990868</v>
      </c>
      <c r="X40" s="6">
        <f t="shared" si="22"/>
        <v>2000645</v>
      </c>
      <c r="Y40" s="6">
        <f t="shared" si="22"/>
        <v>2079594</v>
      </c>
      <c r="Z40" s="6">
        <f t="shared" si="22"/>
        <v>2089814</v>
      </c>
      <c r="AA40" s="69"/>
      <c r="AB40" s="69"/>
    </row>
    <row r="41" spans="1:28" ht="15" x14ac:dyDescent="0.25">
      <c r="A41" s="4" t="s">
        <v>7</v>
      </c>
      <c r="B41" s="25">
        <f>MAX(B$20:B40)+1</f>
        <v>4</v>
      </c>
      <c r="C41" s="138">
        <f>IF(D41=0,C40,IF(ISBLANK(G41),C40,1+MAX(C$18:C40)))</f>
        <v>19</v>
      </c>
      <c r="D41" s="132">
        <v>1</v>
      </c>
      <c r="F41" s="139">
        <f t="shared" si="2"/>
        <v>19</v>
      </c>
      <c r="G41" s="4" t="str">
        <f t="shared" si="21"/>
        <v>EBITDA (4)</v>
      </c>
      <c r="H41" s="6">
        <f t="shared" ref="H41:Z41" si="23">+H38+H35</f>
        <v>0</v>
      </c>
      <c r="I41" s="6">
        <f t="shared" si="23"/>
        <v>0</v>
      </c>
      <c r="J41" s="6">
        <f t="shared" si="23"/>
        <v>0</v>
      </c>
      <c r="K41" s="6">
        <f t="shared" si="23"/>
        <v>-188606</v>
      </c>
      <c r="L41" s="6">
        <f t="shared" si="23"/>
        <v>-173563.5399999998</v>
      </c>
      <c r="M41" s="6">
        <f t="shared" si="23"/>
        <v>-75379.208800000066</v>
      </c>
      <c r="N41" s="6">
        <f t="shared" si="23"/>
        <v>15781.878323200173</v>
      </c>
      <c r="O41" s="6">
        <f t="shared" si="23"/>
        <v>27733.895889663952</v>
      </c>
      <c r="P41" s="6">
        <f t="shared" si="23"/>
        <v>403309.13380745723</v>
      </c>
      <c r="Q41" s="6">
        <f t="shared" si="23"/>
        <v>381725.95648360625</v>
      </c>
      <c r="R41" s="6">
        <f t="shared" si="23"/>
        <v>362093.51561327802</v>
      </c>
      <c r="S41" s="6">
        <f t="shared" si="23"/>
        <v>404798.74592554383</v>
      </c>
      <c r="T41" s="6">
        <f t="shared" si="23"/>
        <v>384302.36084405467</v>
      </c>
      <c r="U41" s="6">
        <f t="shared" si="23"/>
        <v>363619.84806093591</v>
      </c>
      <c r="V41" s="6">
        <f t="shared" si="23"/>
        <v>408177.46502215468</v>
      </c>
      <c r="W41" s="6">
        <f t="shared" si="23"/>
        <v>386330.23432259739</v>
      </c>
      <c r="X41" s="6">
        <f t="shared" si="23"/>
        <v>364281.93900904956</v>
      </c>
      <c r="Y41" s="6">
        <f t="shared" si="23"/>
        <v>410770.1177892306</v>
      </c>
      <c r="Z41" s="6">
        <f t="shared" si="23"/>
        <v>387487.06014501507</v>
      </c>
      <c r="AA41" s="69"/>
      <c r="AB41" s="69"/>
    </row>
    <row r="42" spans="1:28" ht="15" x14ac:dyDescent="0.25">
      <c r="A42" s="4" t="s">
        <v>4</v>
      </c>
      <c r="B42" s="25">
        <f>MAX(B$20:B41)+1</f>
        <v>5</v>
      </c>
      <c r="C42" s="138">
        <f>IF(D42=0,C41,IF(ISBLANK(G42),C41,1+MAX(C$18:C41)))</f>
        <v>20</v>
      </c>
      <c r="D42" s="132">
        <v>1</v>
      </c>
      <c r="F42" s="139">
        <f t="shared" si="2"/>
        <v>20</v>
      </c>
      <c r="G42" s="4" t="str">
        <f t="shared" si="21"/>
        <v>EBIT (5)</v>
      </c>
      <c r="H42" s="6">
        <f t="shared" ref="H42:Z42" si="24">+H38</f>
        <v>0</v>
      </c>
      <c r="I42" s="6">
        <f t="shared" si="24"/>
        <v>0</v>
      </c>
      <c r="J42" s="6">
        <f t="shared" si="24"/>
        <v>0</v>
      </c>
      <c r="K42" s="6">
        <f t="shared" si="24"/>
        <v>-259379</v>
      </c>
      <c r="L42" s="6">
        <f t="shared" si="24"/>
        <v>-244336.5399999998</v>
      </c>
      <c r="M42" s="6">
        <f t="shared" si="24"/>
        <v>-157244.58220000006</v>
      </c>
      <c r="N42" s="6">
        <f t="shared" si="24"/>
        <v>-66535.839476799825</v>
      </c>
      <c r="O42" s="6">
        <f t="shared" si="24"/>
        <v>-55683.119110336062</v>
      </c>
      <c r="P42" s="6">
        <f t="shared" si="24"/>
        <v>318782.28980745724</v>
      </c>
      <c r="Q42" s="6">
        <f t="shared" si="24"/>
        <v>296075.57588360622</v>
      </c>
      <c r="R42" s="6">
        <f t="shared" si="24"/>
        <v>275303.74141327804</v>
      </c>
      <c r="S42" s="6">
        <f t="shared" si="24"/>
        <v>316854.57172554382</v>
      </c>
      <c r="T42" s="6">
        <f t="shared" si="24"/>
        <v>295188.54784405464</v>
      </c>
      <c r="U42" s="6">
        <f t="shared" si="24"/>
        <v>273312.34466093592</v>
      </c>
      <c r="V42" s="6">
        <f t="shared" si="24"/>
        <v>316649.09122215468</v>
      </c>
      <c r="W42" s="6">
        <f t="shared" si="24"/>
        <v>293565.63912259741</v>
      </c>
      <c r="X42" s="6">
        <f t="shared" si="24"/>
        <v>270263.53900904953</v>
      </c>
      <c r="Y42" s="6">
        <f t="shared" si="24"/>
        <v>315481.09718923061</v>
      </c>
      <c r="Z42" s="6">
        <f t="shared" si="24"/>
        <v>290909.38734501507</v>
      </c>
      <c r="AA42" s="69"/>
      <c r="AB42" s="69"/>
    </row>
    <row r="43" spans="1:28" ht="15" x14ac:dyDescent="0.25">
      <c r="C43" s="138">
        <f>IF(D43=0,C42,IF(ISBLANK(G43),C42,1+MAX(C$18:C42)))</f>
        <v>20</v>
      </c>
      <c r="D43" s="132">
        <v>1</v>
      </c>
      <c r="F43" s="139" t="str">
        <f t="shared" si="2"/>
        <v/>
      </c>
      <c r="G43" s="4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9"/>
    </row>
    <row r="44" spans="1:28" ht="15" x14ac:dyDescent="0.25">
      <c r="C44" s="138">
        <f>IF(D44=0,C43,IF(ISBLANK(G44),C43,1+MAX(C$18:C43)))</f>
        <v>21</v>
      </c>
      <c r="D44" s="132">
        <v>1</v>
      </c>
      <c r="F44" s="139">
        <f t="shared" si="2"/>
        <v>21</v>
      </c>
      <c r="G44" s="156" t="s">
        <v>4</v>
      </c>
      <c r="H44" s="17">
        <f t="shared" ref="H44:Z44" si="25">+H42</f>
        <v>0</v>
      </c>
      <c r="I44" s="17">
        <f t="shared" si="25"/>
        <v>0</v>
      </c>
      <c r="J44" s="17">
        <f t="shared" si="25"/>
        <v>0</v>
      </c>
      <c r="K44" s="17">
        <f t="shared" si="25"/>
        <v>-259379</v>
      </c>
      <c r="L44" s="17">
        <f t="shared" si="25"/>
        <v>-244336.5399999998</v>
      </c>
      <c r="M44" s="17">
        <f t="shared" si="25"/>
        <v>-157244.58220000006</v>
      </c>
      <c r="N44" s="17">
        <f t="shared" si="25"/>
        <v>-66535.839476799825</v>
      </c>
      <c r="O44" s="17">
        <f t="shared" si="25"/>
        <v>-55683.119110336062</v>
      </c>
      <c r="P44" s="17">
        <f t="shared" si="25"/>
        <v>318782.28980745724</v>
      </c>
      <c r="Q44" s="17">
        <f t="shared" si="25"/>
        <v>296075.57588360622</v>
      </c>
      <c r="R44" s="17">
        <f t="shared" si="25"/>
        <v>275303.74141327804</v>
      </c>
      <c r="S44" s="17">
        <f t="shared" si="25"/>
        <v>316854.57172554382</v>
      </c>
      <c r="T44" s="17">
        <f t="shared" si="25"/>
        <v>295188.54784405464</v>
      </c>
      <c r="U44" s="17">
        <f t="shared" si="25"/>
        <v>273312.34466093592</v>
      </c>
      <c r="V44" s="17">
        <f t="shared" si="25"/>
        <v>316649.09122215468</v>
      </c>
      <c r="W44" s="17">
        <f t="shared" si="25"/>
        <v>293565.63912259741</v>
      </c>
      <c r="X44" s="17">
        <f t="shared" si="25"/>
        <v>270263.53900904953</v>
      </c>
      <c r="Y44" s="17">
        <f t="shared" si="25"/>
        <v>315481.09718923061</v>
      </c>
      <c r="Z44" s="17">
        <f t="shared" si="25"/>
        <v>290909.38734501507</v>
      </c>
      <c r="AA44" s="69"/>
    </row>
    <row r="45" spans="1:28" ht="15" x14ac:dyDescent="0.25">
      <c r="C45" s="138">
        <f>IF(D45=0,C44,IF(ISBLANK(G45),C44,1+MAX(C$18:C44)))</f>
        <v>22</v>
      </c>
      <c r="D45" s="132">
        <v>1</v>
      </c>
      <c r="F45" s="139">
        <f t="shared" si="2"/>
        <v>22</v>
      </c>
      <c r="G45" s="17" t="s">
        <v>47</v>
      </c>
      <c r="H45" s="18">
        <v>0</v>
      </c>
      <c r="I45" s="18">
        <v>0</v>
      </c>
      <c r="J45" s="18">
        <v>0</v>
      </c>
      <c r="K45" s="18">
        <v>0</v>
      </c>
      <c r="L45" s="18">
        <v>0</v>
      </c>
      <c r="M45" s="18">
        <v>0</v>
      </c>
      <c r="N45" s="18">
        <f t="shared" ref="N45:Z45" si="26">IF($C$10="IOU",ROUND(+N44*$AB45,0),0)</f>
        <v>-19222</v>
      </c>
      <c r="O45" s="18">
        <f t="shared" si="26"/>
        <v>-16087</v>
      </c>
      <c r="P45" s="18">
        <f t="shared" si="26"/>
        <v>92096</v>
      </c>
      <c r="Q45" s="18">
        <f t="shared" si="26"/>
        <v>85536</v>
      </c>
      <c r="R45" s="18">
        <f t="shared" si="26"/>
        <v>79535</v>
      </c>
      <c r="S45" s="18">
        <f t="shared" si="26"/>
        <v>91539</v>
      </c>
      <c r="T45" s="18">
        <f t="shared" si="26"/>
        <v>85280</v>
      </c>
      <c r="U45" s="18">
        <f t="shared" si="26"/>
        <v>78960</v>
      </c>
      <c r="V45" s="18">
        <f t="shared" si="26"/>
        <v>91480</v>
      </c>
      <c r="W45" s="18">
        <f t="shared" si="26"/>
        <v>84811</v>
      </c>
      <c r="X45" s="18">
        <f t="shared" si="26"/>
        <v>78079</v>
      </c>
      <c r="Y45" s="18">
        <f t="shared" si="26"/>
        <v>91142</v>
      </c>
      <c r="Z45" s="18">
        <f t="shared" si="26"/>
        <v>84044</v>
      </c>
      <c r="AA45" s="69"/>
      <c r="AB45" s="157">
        <v>0.28889999999999999</v>
      </c>
    </row>
    <row r="46" spans="1:28" ht="15" x14ac:dyDescent="0.25">
      <c r="C46" s="138">
        <f>IF(D46=0,C45,IF(ISBLANK(G46),C45,1+MAX(C$18:C45)))</f>
        <v>22</v>
      </c>
      <c r="D46" s="132">
        <v>1</v>
      </c>
      <c r="F46" s="139" t="str">
        <f t="shared" si="2"/>
        <v/>
      </c>
      <c r="G46" s="17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69"/>
      <c r="AB46" s="69"/>
    </row>
    <row r="47" spans="1:28" ht="15" x14ac:dyDescent="0.25">
      <c r="C47" s="138">
        <f>IF(D47=0,C46,IF(ISBLANK(G47),C46,1+MAX(C$18:C46)))</f>
        <v>23</v>
      </c>
      <c r="D47" s="132">
        <v>1</v>
      </c>
      <c r="F47" s="139">
        <f t="shared" si="2"/>
        <v>23</v>
      </c>
      <c r="G47" s="158" t="s">
        <v>48</v>
      </c>
      <c r="H47" s="17">
        <f t="shared" ref="H47:Z47" si="27">+H44-H45</f>
        <v>0</v>
      </c>
      <c r="I47" s="17">
        <f t="shared" si="27"/>
        <v>0</v>
      </c>
      <c r="J47" s="17">
        <f t="shared" si="27"/>
        <v>0</v>
      </c>
      <c r="K47" s="17">
        <f t="shared" si="27"/>
        <v>-259379</v>
      </c>
      <c r="L47" s="17">
        <f t="shared" si="27"/>
        <v>-244336.5399999998</v>
      </c>
      <c r="M47" s="17">
        <f t="shared" si="27"/>
        <v>-157244.58220000006</v>
      </c>
      <c r="N47" s="17">
        <f t="shared" si="27"/>
        <v>-47313.839476799825</v>
      </c>
      <c r="O47" s="17">
        <f t="shared" si="27"/>
        <v>-39596.119110336062</v>
      </c>
      <c r="P47" s="17">
        <f t="shared" si="27"/>
        <v>226686.28980745724</v>
      </c>
      <c r="Q47" s="17">
        <f t="shared" si="27"/>
        <v>210539.57588360622</v>
      </c>
      <c r="R47" s="17">
        <f t="shared" si="27"/>
        <v>195768.74141327804</v>
      </c>
      <c r="S47" s="17">
        <f t="shared" si="27"/>
        <v>225315.57172554382</v>
      </c>
      <c r="T47" s="17">
        <f t="shared" si="27"/>
        <v>209908.54784405464</v>
      </c>
      <c r="U47" s="17">
        <f t="shared" si="27"/>
        <v>194352.34466093592</v>
      </c>
      <c r="V47" s="17">
        <f t="shared" si="27"/>
        <v>225169.09122215468</v>
      </c>
      <c r="W47" s="17">
        <f t="shared" si="27"/>
        <v>208754.63912259741</v>
      </c>
      <c r="X47" s="17">
        <f t="shared" si="27"/>
        <v>192184.53900904953</v>
      </c>
      <c r="Y47" s="17">
        <f t="shared" si="27"/>
        <v>224339.09718923061</v>
      </c>
      <c r="Z47" s="17">
        <f t="shared" si="27"/>
        <v>206865.38734501507</v>
      </c>
      <c r="AA47" s="69"/>
      <c r="AB47" s="69"/>
    </row>
    <row r="48" spans="1:28" ht="15" x14ac:dyDescent="0.25">
      <c r="C48" s="138">
        <f>IF(D48=0,C47,IF(ISBLANK(G48),C47,1+MAX(C$18:C47)))</f>
        <v>24</v>
      </c>
      <c r="D48" s="132">
        <v>1</v>
      </c>
      <c r="F48" s="139">
        <f t="shared" si="2"/>
        <v>24</v>
      </c>
      <c r="G48" s="17" t="s">
        <v>49</v>
      </c>
      <c r="H48" s="17">
        <f t="shared" ref="H48:Z48" si="28">+H35</f>
        <v>0</v>
      </c>
      <c r="I48" s="17">
        <f t="shared" si="28"/>
        <v>0</v>
      </c>
      <c r="J48" s="17">
        <f t="shared" si="28"/>
        <v>0</v>
      </c>
      <c r="K48" s="17">
        <f t="shared" si="28"/>
        <v>70773</v>
      </c>
      <c r="L48" s="17">
        <f t="shared" si="28"/>
        <v>70773</v>
      </c>
      <c r="M48" s="17">
        <f t="shared" si="28"/>
        <v>81865.373399999997</v>
      </c>
      <c r="N48" s="17">
        <f t="shared" si="28"/>
        <v>82317.717799999999</v>
      </c>
      <c r="O48" s="17">
        <f t="shared" si="28"/>
        <v>83417.015000000014</v>
      </c>
      <c r="P48" s="17">
        <f t="shared" si="28"/>
        <v>84526.843999999997</v>
      </c>
      <c r="Q48" s="17">
        <f t="shared" si="28"/>
        <v>85650.380600000004</v>
      </c>
      <c r="R48" s="17">
        <f t="shared" si="28"/>
        <v>86789.7742</v>
      </c>
      <c r="S48" s="17">
        <f t="shared" si="28"/>
        <v>87944.174200000009</v>
      </c>
      <c r="T48" s="17">
        <f t="shared" si="28"/>
        <v>89113.813000000009</v>
      </c>
      <c r="U48" s="17">
        <f t="shared" si="28"/>
        <v>90307.503400000001</v>
      </c>
      <c r="V48" s="17">
        <f t="shared" si="28"/>
        <v>91528.373800000001</v>
      </c>
      <c r="W48" s="17">
        <f t="shared" si="28"/>
        <v>92764.595200000011</v>
      </c>
      <c r="X48" s="17">
        <f t="shared" si="28"/>
        <v>94018.4</v>
      </c>
      <c r="Y48" s="17">
        <f t="shared" si="28"/>
        <v>95289.020599999989</v>
      </c>
      <c r="Z48" s="17">
        <f t="shared" si="28"/>
        <v>96577.6728</v>
      </c>
      <c r="AA48" s="69"/>
      <c r="AB48" s="69"/>
    </row>
    <row r="49" spans="1:34" ht="15" x14ac:dyDescent="0.25">
      <c r="A49" s="17" t="s">
        <v>50</v>
      </c>
      <c r="B49" s="25">
        <f>MAX(B$20:B48)+1</f>
        <v>6</v>
      </c>
      <c r="C49" s="138">
        <f>IF(D49=0,C48,IF(ISBLANK(G49),C48,1+MAX(C$18:C48)))</f>
        <v>25</v>
      </c>
      <c r="D49" s="132">
        <v>1</v>
      </c>
      <c r="F49" s="139">
        <f t="shared" si="2"/>
        <v>25</v>
      </c>
      <c r="G49" s="4" t="str">
        <f t="shared" ref="G49:G50" si="29">+A49&amp;" ("&amp;B49&amp;")"</f>
        <v>(-)  Capital Expenditures (6)</v>
      </c>
      <c r="H49" s="17">
        <f>+H444</f>
        <v>0</v>
      </c>
      <c r="I49" s="17">
        <f t="shared" ref="I49:K49" si="30">+I444</f>
        <v>0</v>
      </c>
      <c r="J49" s="17">
        <f t="shared" si="30"/>
        <v>0</v>
      </c>
      <c r="K49" s="17">
        <f t="shared" si="30"/>
        <v>65544</v>
      </c>
      <c r="L49" s="17">
        <f>+L304</f>
        <v>0</v>
      </c>
      <c r="M49" s="17">
        <f t="shared" ref="M49:Z49" si="31">+M304</f>
        <v>0</v>
      </c>
      <c r="N49" s="17">
        <f t="shared" si="31"/>
        <v>77772</v>
      </c>
      <c r="O49" s="17">
        <f t="shared" si="31"/>
        <v>78202</v>
      </c>
      <c r="P49" s="17">
        <f t="shared" si="31"/>
        <v>79246</v>
      </c>
      <c r="Q49" s="17">
        <f t="shared" si="31"/>
        <v>80301</v>
      </c>
      <c r="R49" s="17">
        <f t="shared" si="31"/>
        <v>81368</v>
      </c>
      <c r="S49" s="17">
        <f t="shared" si="31"/>
        <v>82450</v>
      </c>
      <c r="T49" s="17">
        <f t="shared" si="31"/>
        <v>83547</v>
      </c>
      <c r="U49" s="17">
        <f t="shared" si="31"/>
        <v>86021</v>
      </c>
      <c r="V49" s="17">
        <f t="shared" si="31"/>
        <v>87183</v>
      </c>
      <c r="W49" s="17">
        <f t="shared" si="31"/>
        <v>88361</v>
      </c>
      <c r="X49" s="17">
        <f t="shared" si="31"/>
        <v>89556</v>
      </c>
      <c r="Y49" s="17">
        <f t="shared" si="31"/>
        <v>90766</v>
      </c>
      <c r="Z49" s="17">
        <f t="shared" si="31"/>
        <v>91993</v>
      </c>
      <c r="AA49" s="69"/>
      <c r="AB49" s="69"/>
      <c r="AC49" s="69"/>
      <c r="AE49" s="69"/>
    </row>
    <row r="50" spans="1:34" ht="15" x14ac:dyDescent="0.25">
      <c r="A50" s="17" t="s">
        <v>51</v>
      </c>
      <c r="B50" s="25">
        <f>MAX(B$20:B49)+1</f>
        <v>7</v>
      </c>
      <c r="C50" s="138">
        <f>IF(D50=0,C49,IF(ISBLANK(G50),C49,1+MAX(C$18:C49)))</f>
        <v>26</v>
      </c>
      <c r="D50" s="132">
        <v>1</v>
      </c>
      <c r="F50" s="139">
        <f t="shared" si="2"/>
        <v>26</v>
      </c>
      <c r="G50" s="4" t="str">
        <f t="shared" si="29"/>
        <v>(-)  Changes in Working Capital (7)</v>
      </c>
      <c r="H50" s="18">
        <f t="shared" ref="H50:J50" si="32">0.0024*H40</f>
        <v>0</v>
      </c>
      <c r="I50" s="18">
        <f t="shared" si="32"/>
        <v>0</v>
      </c>
      <c r="J50" s="18">
        <f t="shared" si="32"/>
        <v>0</v>
      </c>
      <c r="K50" s="18">
        <f>-0.0119*K40</f>
        <v>-13699.4704</v>
      </c>
      <c r="L50" s="18">
        <f t="shared" ref="L50:Z50" si="33">-0.0119*L40</f>
        <v>-14197.353310000002</v>
      </c>
      <c r="M50" s="18">
        <f t="shared" si="33"/>
        <v>-15691.002039999999</v>
      </c>
      <c r="N50" s="18">
        <f t="shared" si="33"/>
        <v>-16151.263100000002</v>
      </c>
      <c r="O50" s="18">
        <f t="shared" si="33"/>
        <v>-16612.4476</v>
      </c>
      <c r="P50" s="18">
        <f t="shared" si="33"/>
        <v>-21407.052800000001</v>
      </c>
      <c r="Q50" s="18">
        <f t="shared" si="33"/>
        <v>-21506.608200000002</v>
      </c>
      <c r="R50" s="18">
        <f t="shared" si="33"/>
        <v>-21609.2219</v>
      </c>
      <c r="S50" s="18">
        <f t="shared" si="33"/>
        <v>-22460.393200000002</v>
      </c>
      <c r="T50" s="18">
        <f t="shared" si="33"/>
        <v>-22570.5753</v>
      </c>
      <c r="U50" s="18">
        <f t="shared" si="33"/>
        <v>-22681.316700000003</v>
      </c>
      <c r="V50" s="18">
        <f t="shared" si="33"/>
        <v>-23575.566000000003</v>
      </c>
      <c r="W50" s="18">
        <f t="shared" si="33"/>
        <v>-23691.3292</v>
      </c>
      <c r="X50" s="18">
        <f t="shared" si="33"/>
        <v>-23807.675500000001</v>
      </c>
      <c r="Y50" s="18">
        <f t="shared" si="33"/>
        <v>-24747.168600000001</v>
      </c>
      <c r="Z50" s="18">
        <f t="shared" si="33"/>
        <v>-24868.786600000003</v>
      </c>
      <c r="AA50" s="69"/>
      <c r="AB50" s="69"/>
      <c r="AC50" s="69"/>
      <c r="AE50" s="69"/>
    </row>
    <row r="51" spans="1:34" ht="15" x14ac:dyDescent="0.25">
      <c r="C51" s="138">
        <f>IF(D51=0,C50,IF(ISBLANK(G51),C50,1+MAX(C$18:C50)))</f>
        <v>26</v>
      </c>
      <c r="D51" s="132">
        <v>1</v>
      </c>
      <c r="F51" s="139" t="str">
        <f t="shared" si="2"/>
        <v/>
      </c>
      <c r="G51" s="17"/>
      <c r="H51" s="16"/>
      <c r="I51" s="16"/>
      <c r="J51" s="16"/>
      <c r="K51" s="16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</row>
    <row r="52" spans="1:34" ht="15.75" thickBot="1" x14ac:dyDescent="0.3">
      <c r="C52" s="138">
        <f>IF(D52=0,C51,IF(ISBLANK(G52),C51,1+MAX(C$18:C51)))</f>
        <v>27</v>
      </c>
      <c r="D52" s="132">
        <v>1</v>
      </c>
      <c r="F52" s="139">
        <f t="shared" si="2"/>
        <v>27</v>
      </c>
      <c r="G52" s="158" t="s">
        <v>52</v>
      </c>
      <c r="H52" s="20">
        <f>+H47+H48-H49-H50</f>
        <v>0</v>
      </c>
      <c r="I52" s="20">
        <f t="shared" ref="I52:Z52" si="34">+I47+I48-I49-I50</f>
        <v>0</v>
      </c>
      <c r="J52" s="20">
        <f t="shared" si="34"/>
        <v>0</v>
      </c>
      <c r="K52" s="20">
        <f t="shared" si="34"/>
        <v>-240450.52960000001</v>
      </c>
      <c r="L52" s="20">
        <f t="shared" si="34"/>
        <v>-159366.1866899998</v>
      </c>
      <c r="M52" s="20">
        <f t="shared" si="34"/>
        <v>-59688.206760000066</v>
      </c>
      <c r="N52" s="20">
        <f t="shared" si="34"/>
        <v>-26616.858576799823</v>
      </c>
      <c r="O52" s="20">
        <f t="shared" si="34"/>
        <v>-17768.656510336048</v>
      </c>
      <c r="P52" s="20">
        <f t="shared" si="34"/>
        <v>253374.18660745723</v>
      </c>
      <c r="Q52" s="20">
        <f t="shared" si="34"/>
        <v>237395.56468360627</v>
      </c>
      <c r="R52" s="20">
        <f t="shared" si="34"/>
        <v>222799.73751327803</v>
      </c>
      <c r="S52" s="20">
        <f t="shared" si="34"/>
        <v>253270.13912554382</v>
      </c>
      <c r="T52" s="20">
        <f t="shared" si="34"/>
        <v>238045.93614405466</v>
      </c>
      <c r="U52" s="20">
        <f t="shared" si="34"/>
        <v>221320.16476093591</v>
      </c>
      <c r="V52" s="20">
        <f t="shared" si="34"/>
        <v>253090.03102215467</v>
      </c>
      <c r="W52" s="20">
        <f t="shared" si="34"/>
        <v>236849.5635225974</v>
      </c>
      <c r="X52" s="20">
        <f t="shared" si="34"/>
        <v>220454.61450904957</v>
      </c>
      <c r="Y52" s="20">
        <f t="shared" si="34"/>
        <v>253609.2863892306</v>
      </c>
      <c r="Z52" s="20">
        <f t="shared" si="34"/>
        <v>236318.84674501506</v>
      </c>
      <c r="AA52" s="5"/>
      <c r="AB52" s="5">
        <f>+Z52</f>
        <v>236318.84674501506</v>
      </c>
      <c r="AC52" s="5"/>
      <c r="AE52" s="159"/>
    </row>
    <row r="53" spans="1:34" ht="15.75" thickTop="1" x14ac:dyDescent="0.25">
      <c r="C53" s="138">
        <f>IF(D53=0,C52,IF(ISBLANK(G53),C52,1+MAX(C$18:C52)))</f>
        <v>28</v>
      </c>
      <c r="D53" s="132">
        <f>IF($C$10="SUBJECT",0,1)</f>
        <v>1</v>
      </c>
      <c r="F53" s="139">
        <f t="shared" si="2"/>
        <v>28</v>
      </c>
      <c r="G53" s="160" t="s">
        <v>53</v>
      </c>
      <c r="H53" s="21"/>
      <c r="I53" s="22"/>
      <c r="J53" s="22"/>
      <c r="K53" s="22"/>
      <c r="L53" s="22"/>
      <c r="M53" s="23">
        <v>-0.5</v>
      </c>
      <c r="N53" s="24">
        <f t="shared" ref="N53:R53" si="35">+M53+1</f>
        <v>0.5</v>
      </c>
      <c r="O53" s="24">
        <f t="shared" si="35"/>
        <v>1.5</v>
      </c>
      <c r="P53" s="24">
        <f t="shared" si="35"/>
        <v>2.5</v>
      </c>
      <c r="Q53" s="24">
        <f t="shared" si="35"/>
        <v>3.5</v>
      </c>
      <c r="R53" s="24">
        <f t="shared" si="35"/>
        <v>4.5</v>
      </c>
      <c r="S53" s="24">
        <f>+R53+1</f>
        <v>5.5</v>
      </c>
      <c r="T53" s="24">
        <f>+S53+1</f>
        <v>6.5</v>
      </c>
      <c r="U53" s="24">
        <f>+T53+1</f>
        <v>7.5</v>
      </c>
      <c r="V53" s="24">
        <f>+U53+1</f>
        <v>8.5</v>
      </c>
      <c r="W53" s="24">
        <f t="shared" ref="W53:Z53" si="36">+V53+1</f>
        <v>9.5</v>
      </c>
      <c r="X53" s="24">
        <f t="shared" si="36"/>
        <v>10.5</v>
      </c>
      <c r="Y53" s="24">
        <f t="shared" si="36"/>
        <v>11.5</v>
      </c>
      <c r="Z53" s="24">
        <f t="shared" si="36"/>
        <v>12.5</v>
      </c>
      <c r="AA53" s="5"/>
      <c r="AB53" s="5"/>
      <c r="AC53" s="5"/>
    </row>
    <row r="54" spans="1:34" ht="15" x14ac:dyDescent="0.25">
      <c r="B54" s="25">
        <f>MAX(B$20:B53)+1</f>
        <v>8</v>
      </c>
      <c r="C54" s="138">
        <f>IF(D54=0,C53,IF(ISBLANK(G54),C53,1+MAX(C$18:C53)))</f>
        <v>29</v>
      </c>
      <c r="D54" s="132">
        <f t="shared" ref="D54:D68" si="37">IF($C$10="IOU",1,0)</f>
        <v>1</v>
      </c>
      <c r="F54" s="139">
        <f t="shared" si="2"/>
        <v>29</v>
      </c>
      <c r="G54" s="120" t="str">
        <f>+"Present Value Factor:   "&amp;TEXT(AC54,"0.00%")&amp;"  ("&amp;B54&amp;")"</f>
        <v>Present Value Factor:   7.12%  (8)</v>
      </c>
      <c r="J54" s="6"/>
      <c r="K54" s="6"/>
      <c r="L54" s="6"/>
      <c r="M54" s="6"/>
      <c r="N54" s="161">
        <f t="shared" ref="N54:Z54" si="38">ROUND((1/((1+$AC54)^N53)),4)</f>
        <v>0.96619999999999995</v>
      </c>
      <c r="O54" s="161">
        <f t="shared" si="38"/>
        <v>0.90200000000000002</v>
      </c>
      <c r="P54" s="161">
        <f t="shared" si="38"/>
        <v>0.84199999999999997</v>
      </c>
      <c r="Q54" s="161">
        <f t="shared" si="38"/>
        <v>0.78610000000000002</v>
      </c>
      <c r="R54" s="161">
        <f t="shared" si="38"/>
        <v>0.73380000000000001</v>
      </c>
      <c r="S54" s="161">
        <f t="shared" si="38"/>
        <v>0.68500000000000005</v>
      </c>
      <c r="T54" s="161">
        <f t="shared" si="38"/>
        <v>0.63949999999999996</v>
      </c>
      <c r="U54" s="161">
        <f t="shared" si="38"/>
        <v>0.59699999999999998</v>
      </c>
      <c r="V54" s="161">
        <f t="shared" si="38"/>
        <v>0.55730000000000002</v>
      </c>
      <c r="W54" s="161">
        <f t="shared" si="38"/>
        <v>0.52029999999999998</v>
      </c>
      <c r="X54" s="161">
        <f t="shared" si="38"/>
        <v>0.48570000000000002</v>
      </c>
      <c r="Y54" s="161">
        <f t="shared" si="38"/>
        <v>0.45340000000000003</v>
      </c>
      <c r="Z54" s="161">
        <f t="shared" si="38"/>
        <v>0.42330000000000001</v>
      </c>
      <c r="AC54" s="162">
        <f>+H2</f>
        <v>7.1199999999999999E-2</v>
      </c>
      <c r="AD54" s="163" t="s">
        <v>54</v>
      </c>
      <c r="AE54" s="5"/>
      <c r="AF54" s="5"/>
      <c r="AG54" s="5"/>
      <c r="AH54" s="5"/>
    </row>
    <row r="55" spans="1:34" ht="15" x14ac:dyDescent="0.25">
      <c r="C55" s="138">
        <f>IF(D55=0,C54,IF(ISBLANK(G55),C54,1+MAX(C$18:C54)))</f>
        <v>29</v>
      </c>
      <c r="D55" s="132">
        <f t="shared" si="37"/>
        <v>1</v>
      </c>
      <c r="F55" s="139" t="str">
        <f t="shared" si="2"/>
        <v/>
      </c>
      <c r="G55" s="120"/>
      <c r="H55" s="120"/>
      <c r="I55" s="164"/>
      <c r="J55" s="6"/>
      <c r="K55" s="6"/>
      <c r="L55" s="6"/>
      <c r="M55" s="6"/>
      <c r="N55" s="165"/>
      <c r="O55" s="165"/>
      <c r="P55" s="165"/>
      <c r="Q55" s="165"/>
      <c r="R55" s="165"/>
      <c r="S55" s="165"/>
      <c r="T55" s="165"/>
      <c r="U55" s="165"/>
      <c r="V55" s="165"/>
      <c r="W55" s="165"/>
      <c r="X55" s="165"/>
      <c r="Y55" s="165"/>
      <c r="Z55" s="165"/>
      <c r="AB55" s="5"/>
      <c r="AC55" s="5"/>
      <c r="AD55" s="5"/>
      <c r="AE55" s="5"/>
      <c r="AF55" s="5"/>
      <c r="AG55" s="5"/>
      <c r="AH55" s="5"/>
    </row>
    <row r="56" spans="1:34" ht="15.75" thickBot="1" x14ac:dyDescent="0.3">
      <c r="C56" s="138">
        <f>IF(D56=0,C55,IF(ISBLANK(G56),C55,1+MAX(C$18:C55)))</f>
        <v>30</v>
      </c>
      <c r="D56" s="132">
        <f t="shared" si="37"/>
        <v>1</v>
      </c>
      <c r="F56" s="139">
        <f t="shared" si="2"/>
        <v>30</v>
      </c>
      <c r="G56" s="120" t="s">
        <v>55</v>
      </c>
      <c r="H56" s="120"/>
      <c r="I56" s="33"/>
      <c r="J56" s="6"/>
      <c r="K56" s="6"/>
      <c r="L56" s="6"/>
      <c r="M56" s="6"/>
      <c r="N56" s="20">
        <f t="shared" ref="N56:R56" si="39">+N52*N54</f>
        <v>-25717.208756903987</v>
      </c>
      <c r="O56" s="20">
        <f t="shared" si="39"/>
        <v>-16027.328172323116</v>
      </c>
      <c r="P56" s="20">
        <f t="shared" si="39"/>
        <v>213341.06512347897</v>
      </c>
      <c r="Q56" s="20">
        <f t="shared" si="39"/>
        <v>186616.65339778288</v>
      </c>
      <c r="R56" s="20">
        <f t="shared" si="39"/>
        <v>163490.44738724342</v>
      </c>
      <c r="S56" s="20">
        <f>+S52*S54</f>
        <v>173490.04530099753</v>
      </c>
      <c r="T56" s="20">
        <f>+T52*T54</f>
        <v>152230.37616412295</v>
      </c>
      <c r="U56" s="20">
        <f>+U52*U54</f>
        <v>132128.13836227873</v>
      </c>
      <c r="V56" s="20">
        <f>+V52*V54</f>
        <v>141047.07428864681</v>
      </c>
      <c r="W56" s="20">
        <f t="shared" ref="W56:Z56" si="40">+W52*W54</f>
        <v>123232.82790080742</v>
      </c>
      <c r="X56" s="20">
        <f t="shared" si="40"/>
        <v>107074.80626704538</v>
      </c>
      <c r="Y56" s="20">
        <f t="shared" si="40"/>
        <v>114986.45044887716</v>
      </c>
      <c r="Z56" s="20">
        <f t="shared" si="40"/>
        <v>100033.76782716488</v>
      </c>
      <c r="AB56" s="17">
        <f>SUM(M56:Z56)</f>
        <v>1565927.115539219</v>
      </c>
      <c r="AC56" s="5"/>
      <c r="AD56" s="5"/>
      <c r="AE56" s="5"/>
      <c r="AF56" s="5"/>
      <c r="AG56" s="5"/>
      <c r="AH56" s="5"/>
    </row>
    <row r="57" spans="1:34" ht="15.75" thickTop="1" x14ac:dyDescent="0.25">
      <c r="C57" s="138">
        <f>IF(D57=0,C56,IF(ISBLANK(G57),C56,1+MAX(C$18:C56)))</f>
        <v>30</v>
      </c>
      <c r="D57" s="132">
        <f t="shared" si="37"/>
        <v>1</v>
      </c>
      <c r="F57" s="139" t="str">
        <f t="shared" si="2"/>
        <v/>
      </c>
      <c r="I57" s="6"/>
      <c r="J57" s="6"/>
      <c r="K57" s="6"/>
      <c r="L57" s="6"/>
      <c r="M57" s="6"/>
      <c r="N57" s="166">
        <f t="shared" ref="N57:R57" si="41">+N53</f>
        <v>0.5</v>
      </c>
      <c r="O57" s="166">
        <f t="shared" si="41"/>
        <v>1.5</v>
      </c>
      <c r="P57" s="166">
        <f t="shared" si="41"/>
        <v>2.5</v>
      </c>
      <c r="Q57" s="166">
        <f t="shared" si="41"/>
        <v>3.5</v>
      </c>
      <c r="R57" s="166">
        <f t="shared" si="41"/>
        <v>4.5</v>
      </c>
      <c r="S57" s="166">
        <f>+S53</f>
        <v>5.5</v>
      </c>
      <c r="T57" s="166">
        <f>+T53</f>
        <v>6.5</v>
      </c>
      <c r="U57" s="166">
        <f>+U53</f>
        <v>7.5</v>
      </c>
      <c r="V57" s="166">
        <f>+V53</f>
        <v>8.5</v>
      </c>
      <c r="W57" s="166">
        <f t="shared" ref="W57:Z57" si="42">+W53</f>
        <v>9.5</v>
      </c>
      <c r="X57" s="166">
        <f t="shared" si="42"/>
        <v>10.5</v>
      </c>
      <c r="Y57" s="166">
        <f t="shared" si="42"/>
        <v>11.5</v>
      </c>
      <c r="Z57" s="166">
        <f t="shared" si="42"/>
        <v>12.5</v>
      </c>
      <c r="AB57" s="5"/>
      <c r="AC57" s="5"/>
      <c r="AD57" s="5"/>
      <c r="AE57" s="5"/>
      <c r="AF57" s="5"/>
      <c r="AG57" s="5"/>
      <c r="AH57" s="5"/>
    </row>
    <row r="58" spans="1:34" ht="15" x14ac:dyDescent="0.25">
      <c r="B58" s="25">
        <f>MAX(B$20:B57)+1</f>
        <v>9</v>
      </c>
      <c r="C58" s="138">
        <f>IF(D58=0,C57,IF(ISBLANK(G58),C57,1+MAX(C$18:C57)))</f>
        <v>31</v>
      </c>
      <c r="D58" s="132">
        <f t="shared" si="37"/>
        <v>1</v>
      </c>
      <c r="F58" s="139">
        <f t="shared" si="2"/>
        <v>31</v>
      </c>
      <c r="G58" s="120" t="str">
        <f>+"Present Value Factor:   "&amp;TEXT(AC58,"0.00%")&amp;"  ("&amp;B58&amp;")"</f>
        <v>Present Value Factor:   8.48%  (9)</v>
      </c>
      <c r="J58" s="6"/>
      <c r="K58" s="6"/>
      <c r="L58" s="6"/>
      <c r="M58" s="6"/>
      <c r="N58" s="161">
        <f t="shared" ref="N58:Z58" si="43">ROUND((1/((1+$AC58)^N57)),4)</f>
        <v>0.96009999999999995</v>
      </c>
      <c r="O58" s="161">
        <f t="shared" si="43"/>
        <v>0.8851</v>
      </c>
      <c r="P58" s="161">
        <f t="shared" si="43"/>
        <v>0.81589999999999996</v>
      </c>
      <c r="Q58" s="161">
        <f t="shared" si="43"/>
        <v>0.75209999999999999</v>
      </c>
      <c r="R58" s="161">
        <f t="shared" si="43"/>
        <v>0.69330000000000003</v>
      </c>
      <c r="S58" s="161">
        <f t="shared" si="43"/>
        <v>0.6391</v>
      </c>
      <c r="T58" s="161">
        <f t="shared" si="43"/>
        <v>0.58919999999999995</v>
      </c>
      <c r="U58" s="161">
        <f t="shared" si="43"/>
        <v>0.54310000000000003</v>
      </c>
      <c r="V58" s="161">
        <f t="shared" si="43"/>
        <v>0.50060000000000004</v>
      </c>
      <c r="W58" s="161">
        <f t="shared" si="43"/>
        <v>0.46150000000000002</v>
      </c>
      <c r="X58" s="161">
        <f t="shared" si="43"/>
        <v>0.4254</v>
      </c>
      <c r="Y58" s="161">
        <f t="shared" si="43"/>
        <v>0.39219999999999999</v>
      </c>
      <c r="Z58" s="161">
        <f t="shared" si="43"/>
        <v>0.36149999999999999</v>
      </c>
      <c r="AB58" s="5"/>
      <c r="AC58" s="162">
        <f>+H3</f>
        <v>8.48E-2</v>
      </c>
      <c r="AD58" s="163" t="s">
        <v>56</v>
      </c>
      <c r="AE58" s="5"/>
      <c r="AF58" s="5"/>
      <c r="AG58" s="5"/>
      <c r="AH58" s="5"/>
    </row>
    <row r="59" spans="1:34" ht="15" x14ac:dyDescent="0.25">
      <c r="C59" s="138">
        <f>IF(D59=0,C58,IF(ISBLANK(G59),C58,1+MAX(C$18:C58)))</f>
        <v>31</v>
      </c>
      <c r="D59" s="132">
        <f t="shared" si="37"/>
        <v>1</v>
      </c>
      <c r="F59" s="139" t="str">
        <f t="shared" si="2"/>
        <v/>
      </c>
      <c r="G59" s="120"/>
      <c r="H59" s="120"/>
      <c r="I59" s="164"/>
      <c r="J59" s="6"/>
      <c r="K59" s="6"/>
      <c r="L59" s="6"/>
      <c r="M59" s="6"/>
      <c r="N59" s="165"/>
      <c r="O59" s="165"/>
      <c r="P59" s="165"/>
      <c r="Q59" s="165"/>
      <c r="R59" s="165"/>
      <c r="S59" s="165"/>
      <c r="T59" s="165"/>
      <c r="U59" s="165"/>
      <c r="V59" s="165"/>
      <c r="W59" s="165"/>
      <c r="X59" s="165"/>
      <c r="Y59" s="165"/>
      <c r="Z59" s="165"/>
      <c r="AB59" s="5"/>
      <c r="AC59" s="5"/>
      <c r="AD59" s="5"/>
      <c r="AE59" s="5"/>
      <c r="AF59" s="5"/>
      <c r="AG59" s="5"/>
      <c r="AH59" s="5"/>
    </row>
    <row r="60" spans="1:34" ht="15.75" thickBot="1" x14ac:dyDescent="0.3">
      <c r="C60" s="138">
        <f>IF(D60=0,C59,IF(ISBLANK(G60),C59,1+MAX(C$18:C59)))</f>
        <v>32</v>
      </c>
      <c r="D60" s="132">
        <f t="shared" si="37"/>
        <v>1</v>
      </c>
      <c r="F60" s="139">
        <f t="shared" si="2"/>
        <v>32</v>
      </c>
      <c r="G60" s="120" t="s">
        <v>55</v>
      </c>
      <c r="H60" s="120"/>
      <c r="I60" s="33"/>
      <c r="J60" s="6"/>
      <c r="K60" s="6"/>
      <c r="L60" s="6"/>
      <c r="M60" s="6"/>
      <c r="N60" s="20">
        <f t="shared" ref="N60:Z60" si="44">+N52*N58</f>
        <v>-25554.84591958551</v>
      </c>
      <c r="O60" s="20">
        <f t="shared" si="44"/>
        <v>-15727.037877298437</v>
      </c>
      <c r="P60" s="20">
        <f t="shared" si="44"/>
        <v>206727.99885302436</v>
      </c>
      <c r="Q60" s="20">
        <f t="shared" si="44"/>
        <v>178545.20419854028</v>
      </c>
      <c r="R60" s="20">
        <f t="shared" si="44"/>
        <v>154467.05801795566</v>
      </c>
      <c r="S60" s="20">
        <f t="shared" si="44"/>
        <v>161864.94591513506</v>
      </c>
      <c r="T60" s="20">
        <f t="shared" si="44"/>
        <v>140256.66557607701</v>
      </c>
      <c r="U60" s="20">
        <f t="shared" si="44"/>
        <v>120198.98148166429</v>
      </c>
      <c r="V60" s="20">
        <f t="shared" si="44"/>
        <v>126696.86952969064</v>
      </c>
      <c r="W60" s="20">
        <f t="shared" si="44"/>
        <v>109306.0735656787</v>
      </c>
      <c r="X60" s="20">
        <f t="shared" si="44"/>
        <v>93781.393012149681</v>
      </c>
      <c r="Y60" s="20">
        <f t="shared" si="44"/>
        <v>99465.562121856245</v>
      </c>
      <c r="Z60" s="20">
        <f t="shared" si="44"/>
        <v>85429.263098322946</v>
      </c>
      <c r="AB60" s="17">
        <f>SUM(M60:Z60)</f>
        <v>1435458.1315732109</v>
      </c>
      <c r="AC60" s="5"/>
      <c r="AD60" s="5"/>
      <c r="AE60" s="5"/>
      <c r="AF60" s="5"/>
      <c r="AG60" s="5"/>
      <c r="AH60" s="5"/>
    </row>
    <row r="61" spans="1:34" ht="15.75" thickTop="1" x14ac:dyDescent="0.25">
      <c r="C61" s="138">
        <f>IF(D61=0,C60,IF(ISBLANK(G61),C60,1+MAX(C$18:C60)))</f>
        <v>32</v>
      </c>
      <c r="D61" s="132">
        <f t="shared" si="37"/>
        <v>1</v>
      </c>
      <c r="F61" s="139" t="str">
        <f t="shared" si="2"/>
        <v/>
      </c>
      <c r="I61" s="6"/>
      <c r="J61" s="6"/>
      <c r="K61" s="6"/>
      <c r="L61" s="6"/>
      <c r="M61" s="6"/>
      <c r="N61" s="167">
        <f t="shared" ref="N61:Z61" si="45">+N57</f>
        <v>0.5</v>
      </c>
      <c r="O61" s="167">
        <f t="shared" si="45"/>
        <v>1.5</v>
      </c>
      <c r="P61" s="167">
        <f t="shared" si="45"/>
        <v>2.5</v>
      </c>
      <c r="Q61" s="167">
        <f t="shared" si="45"/>
        <v>3.5</v>
      </c>
      <c r="R61" s="167">
        <f t="shared" si="45"/>
        <v>4.5</v>
      </c>
      <c r="S61" s="167">
        <f t="shared" si="45"/>
        <v>5.5</v>
      </c>
      <c r="T61" s="167">
        <f t="shared" si="45"/>
        <v>6.5</v>
      </c>
      <c r="U61" s="167">
        <f t="shared" si="45"/>
        <v>7.5</v>
      </c>
      <c r="V61" s="167">
        <f t="shared" si="45"/>
        <v>8.5</v>
      </c>
      <c r="W61" s="167">
        <f t="shared" si="45"/>
        <v>9.5</v>
      </c>
      <c r="X61" s="167">
        <f t="shared" si="45"/>
        <v>10.5</v>
      </c>
      <c r="Y61" s="167">
        <f t="shared" si="45"/>
        <v>11.5</v>
      </c>
      <c r="Z61" s="167">
        <f t="shared" si="45"/>
        <v>12.5</v>
      </c>
      <c r="AB61" s="5"/>
      <c r="AC61" s="5"/>
      <c r="AD61" s="5"/>
      <c r="AE61" s="5"/>
      <c r="AF61" s="5"/>
      <c r="AG61" s="5"/>
      <c r="AH61" s="5"/>
    </row>
    <row r="62" spans="1:34" ht="15" x14ac:dyDescent="0.25">
      <c r="B62" s="25">
        <f>+B$54</f>
        <v>8</v>
      </c>
      <c r="C62" s="138">
        <f>IF(D62=0,C61,IF(ISBLANK(G62),C61,1+MAX(C$18:C61)))</f>
        <v>33</v>
      </c>
      <c r="D62" s="132">
        <f t="shared" si="37"/>
        <v>1</v>
      </c>
      <c r="F62" s="139">
        <f t="shared" si="2"/>
        <v>33</v>
      </c>
      <c r="G62" s="120" t="str">
        <f>+"Present Value Factor:   "&amp;TEXT(AC62,"0.00%")&amp;"  ("&amp;B62&amp;")"</f>
        <v>Present Value Factor:   6.62%  (8)</v>
      </c>
      <c r="J62" s="6"/>
      <c r="K62" s="6"/>
      <c r="L62" s="6"/>
      <c r="M62" s="6"/>
      <c r="N62" s="161">
        <f t="shared" ref="N62:Z62" si="46">ROUND((1/((1+$AC62)^N61)),4)</f>
        <v>0.96850000000000003</v>
      </c>
      <c r="O62" s="161">
        <f t="shared" si="46"/>
        <v>0.9083</v>
      </c>
      <c r="P62" s="161">
        <f t="shared" si="46"/>
        <v>0.85189999999999999</v>
      </c>
      <c r="Q62" s="161">
        <f t="shared" si="46"/>
        <v>0.79900000000000004</v>
      </c>
      <c r="R62" s="161">
        <f t="shared" si="46"/>
        <v>0.74939999999999996</v>
      </c>
      <c r="S62" s="161">
        <f t="shared" si="46"/>
        <v>0.70289999999999997</v>
      </c>
      <c r="T62" s="161">
        <f t="shared" si="46"/>
        <v>0.65920000000000001</v>
      </c>
      <c r="U62" s="161">
        <f t="shared" si="46"/>
        <v>0.61829999999999996</v>
      </c>
      <c r="V62" s="161">
        <f t="shared" si="46"/>
        <v>0.57989999999999997</v>
      </c>
      <c r="W62" s="161">
        <f t="shared" si="46"/>
        <v>0.54390000000000005</v>
      </c>
      <c r="X62" s="161">
        <f t="shared" si="46"/>
        <v>0.5101</v>
      </c>
      <c r="Y62" s="161">
        <f t="shared" si="46"/>
        <v>0.47849999999999998</v>
      </c>
      <c r="Z62" s="161">
        <f t="shared" si="46"/>
        <v>0.44879999999999998</v>
      </c>
      <c r="AC62" s="162">
        <f>+AC54-H9</f>
        <v>6.6199999999999995E-2</v>
      </c>
      <c r="AD62" s="163" t="s">
        <v>54</v>
      </c>
      <c r="AE62" s="5"/>
      <c r="AF62" s="5"/>
      <c r="AG62" s="5"/>
      <c r="AH62" s="5"/>
    </row>
    <row r="63" spans="1:34" ht="15" x14ac:dyDescent="0.25">
      <c r="C63" s="138">
        <f>IF(D63=0,C62,IF(ISBLANK(G63),C62,1+MAX(C$18:C62)))</f>
        <v>33</v>
      </c>
      <c r="D63" s="132">
        <f t="shared" si="37"/>
        <v>1</v>
      </c>
      <c r="F63" s="139" t="str">
        <f t="shared" si="2"/>
        <v/>
      </c>
      <c r="G63" s="120"/>
      <c r="H63" s="120"/>
      <c r="I63" s="164"/>
      <c r="J63" s="6"/>
      <c r="K63" s="6"/>
      <c r="L63" s="6"/>
      <c r="M63" s="6"/>
      <c r="N63" s="165"/>
      <c r="O63" s="165"/>
      <c r="P63" s="165"/>
      <c r="Q63" s="165"/>
      <c r="R63" s="165"/>
      <c r="S63" s="165"/>
      <c r="T63" s="165"/>
      <c r="U63" s="165"/>
      <c r="V63" s="165"/>
      <c r="W63" s="165"/>
      <c r="X63" s="165"/>
      <c r="Y63" s="165"/>
      <c r="Z63" s="165"/>
      <c r="AB63" s="5"/>
      <c r="AC63" s="5"/>
      <c r="AD63" s="5"/>
      <c r="AE63" s="5"/>
      <c r="AF63" s="5"/>
      <c r="AG63" s="5"/>
      <c r="AH63" s="5"/>
    </row>
    <row r="64" spans="1:34" ht="15.75" thickBot="1" x14ac:dyDescent="0.3">
      <c r="C64" s="138">
        <f>IF(D64=0,C63,IF(ISBLANK(G64),C63,1+MAX(C$18:C63)))</f>
        <v>34</v>
      </c>
      <c r="D64" s="132">
        <f t="shared" si="37"/>
        <v>1</v>
      </c>
      <c r="F64" s="139">
        <f t="shared" si="2"/>
        <v>34</v>
      </c>
      <c r="G64" s="120" t="s">
        <v>55</v>
      </c>
      <c r="H64" s="120"/>
      <c r="I64" s="33"/>
      <c r="J64" s="6"/>
      <c r="K64" s="6"/>
      <c r="L64" s="6"/>
      <c r="M64" s="6"/>
      <c r="N64" s="20">
        <f t="shared" ref="N64:Z64" si="47">+N$52*N62</f>
        <v>-25778.42753163063</v>
      </c>
      <c r="O64" s="20">
        <f t="shared" si="47"/>
        <v>-16139.270708338232</v>
      </c>
      <c r="P64" s="20">
        <f t="shared" si="47"/>
        <v>215849.4695708928</v>
      </c>
      <c r="Q64" s="20">
        <f t="shared" si="47"/>
        <v>189679.05618220143</v>
      </c>
      <c r="R64" s="20">
        <f t="shared" si="47"/>
        <v>166966.12329245053</v>
      </c>
      <c r="S64" s="20">
        <f t="shared" si="47"/>
        <v>178023.58079134475</v>
      </c>
      <c r="T64" s="20">
        <f t="shared" si="47"/>
        <v>156919.88110616084</v>
      </c>
      <c r="U64" s="20">
        <f t="shared" si="47"/>
        <v>136842.25787168666</v>
      </c>
      <c r="V64" s="20">
        <f t="shared" si="47"/>
        <v>146766.90898974749</v>
      </c>
      <c r="W64" s="20">
        <f t="shared" si="47"/>
        <v>128822.47759994074</v>
      </c>
      <c r="X64" s="20">
        <f t="shared" si="47"/>
        <v>112453.89886106619</v>
      </c>
      <c r="Y64" s="20">
        <f t="shared" si="47"/>
        <v>121352.04353724683</v>
      </c>
      <c r="Z64" s="20">
        <f t="shared" si="47"/>
        <v>106059.89841916275</v>
      </c>
      <c r="AB64" s="17">
        <f>SUM(M64:Z64)</f>
        <v>1617817.8979819322</v>
      </c>
      <c r="AC64" s="5"/>
      <c r="AD64" s="5"/>
      <c r="AE64" s="5"/>
      <c r="AF64" s="5"/>
      <c r="AG64" s="5"/>
      <c r="AH64" s="5"/>
    </row>
    <row r="65" spans="1:34" ht="15.75" thickTop="1" x14ac:dyDescent="0.25">
      <c r="C65" s="138">
        <f>IF(D65=0,C64,IF(ISBLANK(G65),C64,1+MAX(C$18:C64)))</f>
        <v>34</v>
      </c>
      <c r="D65" s="132">
        <f t="shared" si="37"/>
        <v>1</v>
      </c>
      <c r="F65" s="139" t="str">
        <f t="shared" si="2"/>
        <v/>
      </c>
      <c r="I65" s="6"/>
      <c r="J65" s="6"/>
      <c r="K65" s="6"/>
      <c r="L65" s="6"/>
      <c r="M65" s="6"/>
      <c r="N65" s="167">
        <f t="shared" ref="N65:Z65" si="48">+N61</f>
        <v>0.5</v>
      </c>
      <c r="O65" s="167">
        <f t="shared" si="48"/>
        <v>1.5</v>
      </c>
      <c r="P65" s="167">
        <f t="shared" si="48"/>
        <v>2.5</v>
      </c>
      <c r="Q65" s="167">
        <f t="shared" si="48"/>
        <v>3.5</v>
      </c>
      <c r="R65" s="167">
        <f t="shared" si="48"/>
        <v>4.5</v>
      </c>
      <c r="S65" s="167">
        <f t="shared" si="48"/>
        <v>5.5</v>
      </c>
      <c r="T65" s="167">
        <f t="shared" si="48"/>
        <v>6.5</v>
      </c>
      <c r="U65" s="167">
        <f t="shared" si="48"/>
        <v>7.5</v>
      </c>
      <c r="V65" s="167">
        <f t="shared" si="48"/>
        <v>8.5</v>
      </c>
      <c r="W65" s="167">
        <f t="shared" si="48"/>
        <v>9.5</v>
      </c>
      <c r="X65" s="167">
        <f t="shared" si="48"/>
        <v>10.5</v>
      </c>
      <c r="Y65" s="167">
        <f t="shared" si="48"/>
        <v>11.5</v>
      </c>
      <c r="Z65" s="167">
        <f t="shared" si="48"/>
        <v>12.5</v>
      </c>
      <c r="AB65" s="5"/>
      <c r="AC65" s="5"/>
      <c r="AD65" s="5"/>
      <c r="AE65" s="5"/>
      <c r="AF65" s="5"/>
      <c r="AG65" s="5"/>
      <c r="AH65" s="5"/>
    </row>
    <row r="66" spans="1:34" ht="15" x14ac:dyDescent="0.25">
      <c r="B66" s="25">
        <f>+B$58</f>
        <v>9</v>
      </c>
      <c r="C66" s="138">
        <f>IF(D66=0,C65,IF(ISBLANK(G66),C65,1+MAX(C$18:C65)))</f>
        <v>35</v>
      </c>
      <c r="D66" s="132">
        <f t="shared" si="37"/>
        <v>1</v>
      </c>
      <c r="F66" s="139">
        <f t="shared" si="2"/>
        <v>35</v>
      </c>
      <c r="G66" s="120" t="str">
        <f>+"Present Value Factor:   "&amp;TEXT(AC66,"0.00%")&amp;"  ("&amp;B66&amp;")"</f>
        <v>Present Value Factor:   7.98%  (9)</v>
      </c>
      <c r="J66" s="6"/>
      <c r="K66" s="6"/>
      <c r="L66" s="6"/>
      <c r="M66" s="6"/>
      <c r="N66" s="161">
        <f t="shared" ref="N66:Z66" si="49">ROUND((1/((1+$AC66)^N65)),4)</f>
        <v>0.96230000000000004</v>
      </c>
      <c r="O66" s="161">
        <f t="shared" si="49"/>
        <v>0.89119999999999999</v>
      </c>
      <c r="P66" s="161">
        <f t="shared" si="49"/>
        <v>0.82540000000000002</v>
      </c>
      <c r="Q66" s="161">
        <f t="shared" si="49"/>
        <v>0.76439999999999997</v>
      </c>
      <c r="R66" s="161">
        <f t="shared" si="49"/>
        <v>0.70789999999999997</v>
      </c>
      <c r="S66" s="161">
        <f t="shared" si="49"/>
        <v>0.65559999999999996</v>
      </c>
      <c r="T66" s="161">
        <f t="shared" si="49"/>
        <v>0.60709999999999997</v>
      </c>
      <c r="U66" s="161">
        <f t="shared" si="49"/>
        <v>0.56220000000000003</v>
      </c>
      <c r="V66" s="161">
        <f t="shared" si="49"/>
        <v>0.52070000000000005</v>
      </c>
      <c r="W66" s="161">
        <f t="shared" si="49"/>
        <v>0.48220000000000002</v>
      </c>
      <c r="X66" s="161">
        <f t="shared" si="49"/>
        <v>0.4466</v>
      </c>
      <c r="Y66" s="161">
        <f t="shared" si="49"/>
        <v>0.41360000000000002</v>
      </c>
      <c r="Z66" s="161">
        <f t="shared" si="49"/>
        <v>0.38300000000000001</v>
      </c>
      <c r="AB66" s="5"/>
      <c r="AC66" s="162">
        <f>+AC58-H9</f>
        <v>7.9799999999999996E-2</v>
      </c>
      <c r="AD66" s="163" t="s">
        <v>56</v>
      </c>
      <c r="AE66" s="5"/>
      <c r="AF66" s="5"/>
      <c r="AG66" s="5"/>
      <c r="AH66" s="5"/>
    </row>
    <row r="67" spans="1:34" ht="15" x14ac:dyDescent="0.25">
      <c r="C67" s="138">
        <f>IF(D67=0,C66,IF(ISBLANK(G67),C66,1+MAX(C$18:C66)))</f>
        <v>35</v>
      </c>
      <c r="D67" s="132">
        <f t="shared" si="37"/>
        <v>1</v>
      </c>
      <c r="F67" s="139" t="str">
        <f t="shared" si="2"/>
        <v/>
      </c>
      <c r="G67" s="120"/>
      <c r="H67" s="120"/>
      <c r="I67" s="164"/>
      <c r="J67" s="6"/>
      <c r="K67" s="6"/>
      <c r="L67" s="6"/>
      <c r="M67" s="6"/>
      <c r="N67" s="165"/>
      <c r="O67" s="165"/>
      <c r="P67" s="165"/>
      <c r="Q67" s="165"/>
      <c r="R67" s="165"/>
      <c r="S67" s="165"/>
      <c r="T67" s="165"/>
      <c r="U67" s="165"/>
      <c r="V67" s="165"/>
      <c r="W67" s="165"/>
      <c r="X67" s="165"/>
      <c r="Y67" s="165"/>
      <c r="Z67" s="165"/>
      <c r="AB67" s="5"/>
      <c r="AC67" s="5"/>
      <c r="AD67" s="5"/>
      <c r="AE67" s="5"/>
      <c r="AF67" s="5"/>
      <c r="AG67" s="5"/>
      <c r="AH67" s="5"/>
    </row>
    <row r="68" spans="1:34" ht="15.75" thickBot="1" x14ac:dyDescent="0.3">
      <c r="C68" s="138">
        <f>IF(D68=0,C67,IF(ISBLANK(G68),C67,1+MAX(C$18:C67)))</f>
        <v>36</v>
      </c>
      <c r="D68" s="132">
        <f t="shared" si="37"/>
        <v>1</v>
      </c>
      <c r="F68" s="139">
        <f t="shared" si="2"/>
        <v>36</v>
      </c>
      <c r="G68" s="120" t="s">
        <v>55</v>
      </c>
      <c r="H68" s="33"/>
      <c r="I68" s="33"/>
      <c r="J68" s="6"/>
      <c r="K68" s="6"/>
      <c r="L68" s="6"/>
      <c r="M68" s="6"/>
      <c r="N68" s="20">
        <f t="shared" ref="N68:Z68" si="50">+N$52*N66</f>
        <v>-25613.403008454472</v>
      </c>
      <c r="O68" s="20">
        <f t="shared" si="50"/>
        <v>-15835.426682011486</v>
      </c>
      <c r="P68" s="20">
        <f t="shared" si="50"/>
        <v>209135.0536257952</v>
      </c>
      <c r="Q68" s="20">
        <f t="shared" si="50"/>
        <v>181465.16964414861</v>
      </c>
      <c r="R68" s="20">
        <f t="shared" si="50"/>
        <v>157719.9341856495</v>
      </c>
      <c r="S68" s="20">
        <f t="shared" si="50"/>
        <v>166043.90321070651</v>
      </c>
      <c r="T68" s="20">
        <f t="shared" si="50"/>
        <v>144517.68783305559</v>
      </c>
      <c r="U68" s="20">
        <f t="shared" si="50"/>
        <v>124426.19662859818</v>
      </c>
      <c r="V68" s="20">
        <f t="shared" si="50"/>
        <v>131783.97915323594</v>
      </c>
      <c r="W68" s="20">
        <f t="shared" si="50"/>
        <v>114208.85953059647</v>
      </c>
      <c r="X68" s="20">
        <f t="shared" si="50"/>
        <v>98455.030839741536</v>
      </c>
      <c r="Y68" s="20">
        <f t="shared" si="50"/>
        <v>104892.80085058579</v>
      </c>
      <c r="Z68" s="20">
        <f t="shared" si="50"/>
        <v>90510.118303340772</v>
      </c>
      <c r="AB68" s="17">
        <f>SUM(M68:Z68)</f>
        <v>1481709.9041149882</v>
      </c>
      <c r="AC68" s="5"/>
      <c r="AD68" s="5"/>
      <c r="AE68" s="5"/>
      <c r="AF68" s="5"/>
      <c r="AG68" s="5"/>
      <c r="AH68" s="5"/>
    </row>
    <row r="69" spans="1:34" ht="15.75" thickTop="1" x14ac:dyDescent="0.25">
      <c r="C69" s="138">
        <f>IF(D69=0,C68,IF(ISBLANK(G69),C68,1+MAX(C$18:C68)))</f>
        <v>36</v>
      </c>
      <c r="D69" s="132">
        <f t="shared" ref="D69:D76" si="51">IF($C$10="MUNI",1,0)</f>
        <v>0</v>
      </c>
      <c r="F69" s="139" t="str">
        <f t="shared" si="2"/>
        <v/>
      </c>
      <c r="H69" s="6"/>
      <c r="I69" s="6"/>
      <c r="J69" s="6"/>
      <c r="K69" s="6"/>
      <c r="L69" s="6"/>
      <c r="M69" s="6"/>
      <c r="N69" s="167">
        <f t="shared" ref="N69:Z69" si="52">+N65</f>
        <v>0.5</v>
      </c>
      <c r="O69" s="167">
        <f t="shared" si="52"/>
        <v>1.5</v>
      </c>
      <c r="P69" s="167">
        <f t="shared" si="52"/>
        <v>2.5</v>
      </c>
      <c r="Q69" s="167">
        <f t="shared" si="52"/>
        <v>3.5</v>
      </c>
      <c r="R69" s="167">
        <f t="shared" si="52"/>
        <v>4.5</v>
      </c>
      <c r="S69" s="167">
        <f t="shared" si="52"/>
        <v>5.5</v>
      </c>
      <c r="T69" s="167">
        <f t="shared" si="52"/>
        <v>6.5</v>
      </c>
      <c r="U69" s="167">
        <f t="shared" si="52"/>
        <v>7.5</v>
      </c>
      <c r="V69" s="167">
        <f t="shared" si="52"/>
        <v>8.5</v>
      </c>
      <c r="W69" s="167">
        <f t="shared" si="52"/>
        <v>9.5</v>
      </c>
      <c r="X69" s="167">
        <f t="shared" si="52"/>
        <v>10.5</v>
      </c>
      <c r="Y69" s="167">
        <f t="shared" si="52"/>
        <v>11.5</v>
      </c>
      <c r="Z69" s="167">
        <f t="shared" si="52"/>
        <v>12.5</v>
      </c>
      <c r="AB69" s="5"/>
      <c r="AC69" s="5"/>
      <c r="AD69" s="5"/>
      <c r="AE69" s="5"/>
      <c r="AF69" s="5"/>
      <c r="AG69" s="5"/>
      <c r="AH69" s="5"/>
    </row>
    <row r="70" spans="1:34" ht="15" x14ac:dyDescent="0.25">
      <c r="B70" s="25">
        <f>+B$54</f>
        <v>8</v>
      </c>
      <c r="C70" s="138">
        <f>IF(D70=0,C69,IF(ISBLANK(G70),C69,1+MAX(C$18:C69)))</f>
        <v>36</v>
      </c>
      <c r="D70" s="132">
        <f t="shared" si="51"/>
        <v>0</v>
      </c>
      <c r="F70" s="139">
        <f t="shared" si="2"/>
        <v>36</v>
      </c>
      <c r="G70" s="120" t="str">
        <f>+"Present Value Factor:   "&amp;TEXT(AC70,"0.00%")&amp;"  ("&amp;B70&amp;")"</f>
        <v>Present Value Factor:   3.84%  (8)</v>
      </c>
      <c r="J70" s="6"/>
      <c r="K70" s="6"/>
      <c r="L70" s="6"/>
      <c r="M70" s="6"/>
      <c r="N70" s="161">
        <f t="shared" ref="N70:Z70" si="53">ROUND((1/((1+$AC70)^N69)),4)</f>
        <v>0.98129999999999995</v>
      </c>
      <c r="O70" s="161">
        <f t="shared" si="53"/>
        <v>0.94499999999999995</v>
      </c>
      <c r="P70" s="161">
        <f t="shared" si="53"/>
        <v>0.91010000000000002</v>
      </c>
      <c r="Q70" s="161">
        <f t="shared" si="53"/>
        <v>0.87639999999999996</v>
      </c>
      <c r="R70" s="161">
        <f t="shared" si="53"/>
        <v>0.84399999999999997</v>
      </c>
      <c r="S70" s="161">
        <f t="shared" si="53"/>
        <v>0.81279999999999997</v>
      </c>
      <c r="T70" s="161">
        <f t="shared" si="53"/>
        <v>0.78280000000000005</v>
      </c>
      <c r="U70" s="161">
        <f t="shared" si="53"/>
        <v>0.75380000000000003</v>
      </c>
      <c r="V70" s="161">
        <f t="shared" si="53"/>
        <v>0.72589999999999999</v>
      </c>
      <c r="W70" s="161">
        <f t="shared" si="53"/>
        <v>0.69910000000000005</v>
      </c>
      <c r="X70" s="161">
        <f t="shared" si="53"/>
        <v>0.67320000000000002</v>
      </c>
      <c r="Y70" s="161">
        <f t="shared" si="53"/>
        <v>0.64829999999999999</v>
      </c>
      <c r="Z70" s="161">
        <f t="shared" si="53"/>
        <v>0.62439999999999996</v>
      </c>
      <c r="AC70" s="162">
        <f>+H1</f>
        <v>3.8399999999999997E-2</v>
      </c>
      <c r="AD70" s="163" t="s">
        <v>54</v>
      </c>
      <c r="AE70" s="5"/>
      <c r="AF70" s="5"/>
      <c r="AG70" s="5"/>
      <c r="AH70" s="5"/>
    </row>
    <row r="71" spans="1:34" ht="15" x14ac:dyDescent="0.25">
      <c r="C71" s="138">
        <f>IF(D71=0,C70,IF(ISBLANK(G71),C70,1+MAX(C$18:C70)))</f>
        <v>36</v>
      </c>
      <c r="D71" s="132">
        <f t="shared" si="51"/>
        <v>0</v>
      </c>
      <c r="F71" s="139" t="str">
        <f t="shared" si="2"/>
        <v/>
      </c>
      <c r="G71" s="120"/>
      <c r="H71" s="164"/>
      <c r="I71" s="164"/>
      <c r="J71" s="6"/>
      <c r="K71" s="6"/>
      <c r="L71" s="6"/>
      <c r="M71" s="6"/>
      <c r="N71" s="165"/>
      <c r="O71" s="165"/>
      <c r="P71" s="165"/>
      <c r="Q71" s="165"/>
      <c r="R71" s="165"/>
      <c r="S71" s="165"/>
      <c r="T71" s="165"/>
      <c r="U71" s="165"/>
      <c r="V71" s="165"/>
      <c r="W71" s="165"/>
      <c r="X71" s="165"/>
      <c r="Y71" s="165"/>
      <c r="Z71" s="165"/>
      <c r="AB71" s="5"/>
      <c r="AC71" s="5"/>
      <c r="AD71" s="5"/>
      <c r="AE71" s="5"/>
      <c r="AF71" s="5"/>
      <c r="AG71" s="5"/>
      <c r="AH71" s="5"/>
    </row>
    <row r="72" spans="1:34" ht="15.75" thickBot="1" x14ac:dyDescent="0.3">
      <c r="C72" s="138">
        <f>IF(D72=0,C71,IF(ISBLANK(G72),C71,1+MAX(C$18:C71)))</f>
        <v>36</v>
      </c>
      <c r="D72" s="132">
        <f t="shared" si="51"/>
        <v>0</v>
      </c>
      <c r="F72" s="139">
        <f t="shared" si="2"/>
        <v>36</v>
      </c>
      <c r="G72" s="120" t="s">
        <v>55</v>
      </c>
      <c r="H72" s="33"/>
      <c r="I72" s="33"/>
      <c r="J72" s="6"/>
      <c r="K72" s="6"/>
      <c r="L72" s="6"/>
      <c r="M72" s="6"/>
      <c r="N72" s="20">
        <f t="shared" ref="N72:Z72" si="54">+N$52*N70</f>
        <v>-26119.123321413666</v>
      </c>
      <c r="O72" s="20">
        <f t="shared" si="54"/>
        <v>-16791.380402267565</v>
      </c>
      <c r="P72" s="20">
        <f t="shared" si="54"/>
        <v>230595.84723144682</v>
      </c>
      <c r="Q72" s="20">
        <f t="shared" si="54"/>
        <v>208053.47288871251</v>
      </c>
      <c r="R72" s="20">
        <f t="shared" si="54"/>
        <v>188042.97846120666</v>
      </c>
      <c r="S72" s="20">
        <f t="shared" si="54"/>
        <v>205857.96908124202</v>
      </c>
      <c r="T72" s="20">
        <f t="shared" si="54"/>
        <v>186342.35881356601</v>
      </c>
      <c r="U72" s="20">
        <f t="shared" si="54"/>
        <v>166831.14019679348</v>
      </c>
      <c r="V72" s="20">
        <f t="shared" si="54"/>
        <v>183718.05351898208</v>
      </c>
      <c r="W72" s="20">
        <f t="shared" si="54"/>
        <v>165581.52985864785</v>
      </c>
      <c r="X72" s="20">
        <f t="shared" si="54"/>
        <v>148410.04648749219</v>
      </c>
      <c r="Y72" s="20">
        <f t="shared" si="54"/>
        <v>164414.9003661382</v>
      </c>
      <c r="Z72" s="20">
        <f t="shared" si="54"/>
        <v>147557.48790758741</v>
      </c>
      <c r="AB72" s="17">
        <f>SUM(M72:Z72)</f>
        <v>1952495.281088134</v>
      </c>
      <c r="AC72" s="5"/>
      <c r="AD72" s="5"/>
      <c r="AE72" s="5"/>
      <c r="AF72" s="5"/>
      <c r="AG72" s="5"/>
      <c r="AH72" s="5"/>
    </row>
    <row r="73" spans="1:34" ht="15.75" thickTop="1" x14ac:dyDescent="0.25">
      <c r="C73" s="138">
        <f>IF(D73=0,C72,IF(ISBLANK(G73),C72,1+MAX(C$18:C72)))</f>
        <v>36</v>
      </c>
      <c r="D73" s="132">
        <f t="shared" si="51"/>
        <v>0</v>
      </c>
      <c r="F73" s="139" t="str">
        <f t="shared" si="2"/>
        <v/>
      </c>
      <c r="H73" s="6"/>
      <c r="I73" s="6"/>
      <c r="J73" s="6"/>
      <c r="K73" s="6"/>
      <c r="L73" s="6"/>
      <c r="M73" s="6"/>
      <c r="N73" s="167">
        <f t="shared" ref="N73:Z73" si="55">+N69</f>
        <v>0.5</v>
      </c>
      <c r="O73" s="167">
        <f t="shared" si="55"/>
        <v>1.5</v>
      </c>
      <c r="P73" s="167">
        <f t="shared" si="55"/>
        <v>2.5</v>
      </c>
      <c r="Q73" s="167">
        <f t="shared" si="55"/>
        <v>3.5</v>
      </c>
      <c r="R73" s="167">
        <f t="shared" si="55"/>
        <v>4.5</v>
      </c>
      <c r="S73" s="167">
        <f t="shared" si="55"/>
        <v>5.5</v>
      </c>
      <c r="T73" s="167">
        <f t="shared" si="55"/>
        <v>6.5</v>
      </c>
      <c r="U73" s="167">
        <f t="shared" si="55"/>
        <v>7.5</v>
      </c>
      <c r="V73" s="167">
        <f t="shared" si="55"/>
        <v>8.5</v>
      </c>
      <c r="W73" s="167">
        <f t="shared" si="55"/>
        <v>9.5</v>
      </c>
      <c r="X73" s="167">
        <f t="shared" si="55"/>
        <v>10.5</v>
      </c>
      <c r="Y73" s="167">
        <f t="shared" si="55"/>
        <v>11.5</v>
      </c>
      <c r="Z73" s="167">
        <f t="shared" si="55"/>
        <v>12.5</v>
      </c>
      <c r="AB73" s="5"/>
      <c r="AC73" s="5"/>
      <c r="AD73" s="5"/>
      <c r="AE73" s="5"/>
      <c r="AF73" s="5"/>
      <c r="AG73" s="5"/>
      <c r="AH73" s="5"/>
    </row>
    <row r="74" spans="1:34" ht="15" x14ac:dyDescent="0.25">
      <c r="B74" s="25">
        <f>+B$58</f>
        <v>9</v>
      </c>
      <c r="C74" s="138">
        <f>IF(D74=0,C73,IF(ISBLANK(G74),C73,1+MAX(C$18:C73)))</f>
        <v>36</v>
      </c>
      <c r="D74" s="132">
        <f t="shared" si="51"/>
        <v>0</v>
      </c>
      <c r="F74" s="139">
        <f t="shared" si="2"/>
        <v>36</v>
      </c>
      <c r="G74" s="120" t="str">
        <f>+"Present Value Factor:   "&amp;TEXT(AC74,"0.00%")&amp;"  ("&amp;B74&amp;")"</f>
        <v>Present Value Factor:   3.34%  (9)</v>
      </c>
      <c r="J74" s="6"/>
      <c r="K74" s="6"/>
      <c r="L74" s="6"/>
      <c r="M74" s="6"/>
      <c r="N74" s="161">
        <f t="shared" ref="N74:Z74" si="56">ROUND((1/((1+$AC74)^N73)),4)</f>
        <v>0.98370000000000002</v>
      </c>
      <c r="O74" s="161">
        <f t="shared" si="56"/>
        <v>0.95189999999999997</v>
      </c>
      <c r="P74" s="161">
        <f t="shared" si="56"/>
        <v>0.92110000000000003</v>
      </c>
      <c r="Q74" s="161">
        <f t="shared" si="56"/>
        <v>0.89139999999999997</v>
      </c>
      <c r="R74" s="161">
        <f t="shared" si="56"/>
        <v>0.86260000000000003</v>
      </c>
      <c r="S74" s="161">
        <f t="shared" si="56"/>
        <v>0.8347</v>
      </c>
      <c r="T74" s="161">
        <f t="shared" si="56"/>
        <v>0.80769999999999997</v>
      </c>
      <c r="U74" s="161">
        <f t="shared" si="56"/>
        <v>0.78159999999999996</v>
      </c>
      <c r="V74" s="161">
        <f t="shared" si="56"/>
        <v>0.75629999999999997</v>
      </c>
      <c r="W74" s="161">
        <f t="shared" si="56"/>
        <v>0.7319</v>
      </c>
      <c r="X74" s="161">
        <f t="shared" si="56"/>
        <v>0.70820000000000005</v>
      </c>
      <c r="Y74" s="161">
        <f t="shared" si="56"/>
        <v>0.68540000000000001</v>
      </c>
      <c r="Z74" s="161">
        <f t="shared" si="56"/>
        <v>0.66320000000000001</v>
      </c>
      <c r="AB74" s="5"/>
      <c r="AC74" s="162">
        <f>+AC70-H9</f>
        <v>3.3399999999999999E-2</v>
      </c>
      <c r="AD74" s="163" t="s">
        <v>56</v>
      </c>
      <c r="AE74" s="5"/>
      <c r="AF74" s="5"/>
      <c r="AG74" s="5"/>
      <c r="AH74" s="5"/>
    </row>
    <row r="75" spans="1:34" ht="15" x14ac:dyDescent="0.25">
      <c r="C75" s="138">
        <f>IF(D75=0,C74,IF(ISBLANK(G75),C74,1+MAX(C$18:C74)))</f>
        <v>36</v>
      </c>
      <c r="D75" s="132">
        <f t="shared" si="51"/>
        <v>0</v>
      </c>
      <c r="F75" s="139" t="str">
        <f t="shared" si="2"/>
        <v/>
      </c>
      <c r="G75" s="120"/>
      <c r="H75" s="164"/>
      <c r="I75" s="164"/>
      <c r="J75" s="6"/>
      <c r="K75" s="6"/>
      <c r="L75" s="6"/>
      <c r="M75" s="6"/>
      <c r="N75" s="165"/>
      <c r="O75" s="165"/>
      <c r="P75" s="165"/>
      <c r="Q75" s="165"/>
      <c r="R75" s="165"/>
      <c r="S75" s="165"/>
      <c r="T75" s="165"/>
      <c r="U75" s="165"/>
      <c r="V75" s="165"/>
      <c r="W75" s="165"/>
      <c r="X75" s="165"/>
      <c r="Y75" s="165"/>
      <c r="Z75" s="165"/>
      <c r="AB75" s="5"/>
      <c r="AC75" s="5"/>
      <c r="AD75" s="5"/>
      <c r="AE75" s="5"/>
      <c r="AF75" s="5"/>
      <c r="AG75" s="5"/>
      <c r="AH75" s="5"/>
    </row>
    <row r="76" spans="1:34" ht="15.75" thickBot="1" x14ac:dyDescent="0.3">
      <c r="C76" s="138">
        <f>IF(D76=0,C75,IF(ISBLANK(G76),C75,1+MAX(C$18:C75)))</f>
        <v>36</v>
      </c>
      <c r="D76" s="132">
        <f t="shared" si="51"/>
        <v>0</v>
      </c>
      <c r="F76" s="139">
        <f t="shared" si="2"/>
        <v>36</v>
      </c>
      <c r="G76" s="120" t="s">
        <v>55</v>
      </c>
      <c r="H76" s="33"/>
      <c r="I76" s="33"/>
      <c r="J76" s="6"/>
      <c r="K76" s="6"/>
      <c r="L76" s="6"/>
      <c r="M76" s="6"/>
      <c r="N76" s="20">
        <f t="shared" ref="N76:Z76" si="57">+N$52*N74</f>
        <v>-26183.003781997988</v>
      </c>
      <c r="O76" s="20">
        <f t="shared" si="57"/>
        <v>-16913.984132188885</v>
      </c>
      <c r="P76" s="20">
        <f t="shared" si="57"/>
        <v>233382.96328412887</v>
      </c>
      <c r="Q76" s="20">
        <f t="shared" si="57"/>
        <v>211614.40635896663</v>
      </c>
      <c r="R76" s="20">
        <f t="shared" si="57"/>
        <v>192187.05357895364</v>
      </c>
      <c r="S76" s="20">
        <f t="shared" si="57"/>
        <v>211404.58512809142</v>
      </c>
      <c r="T76" s="20">
        <f t="shared" si="57"/>
        <v>192269.70262355293</v>
      </c>
      <c r="U76" s="20">
        <f t="shared" si="57"/>
        <v>172983.8407771475</v>
      </c>
      <c r="V76" s="20">
        <f t="shared" si="57"/>
        <v>191411.99046205558</v>
      </c>
      <c r="W76" s="20">
        <f t="shared" si="57"/>
        <v>173350.19554218903</v>
      </c>
      <c r="X76" s="20">
        <f t="shared" si="57"/>
        <v>156125.95799530891</v>
      </c>
      <c r="Y76" s="20">
        <f t="shared" si="57"/>
        <v>173823.80489117865</v>
      </c>
      <c r="Z76" s="20">
        <f t="shared" si="57"/>
        <v>156726.659161294</v>
      </c>
      <c r="AB76" s="17">
        <f>SUM(M76:Z76)</f>
        <v>2022184.1718886807</v>
      </c>
      <c r="AC76" s="5"/>
      <c r="AD76" s="5"/>
      <c r="AE76" s="5"/>
      <c r="AF76" s="5"/>
      <c r="AG76" s="5"/>
      <c r="AH76" s="5"/>
    </row>
    <row r="77" spans="1:34" ht="17.25" thickTop="1" thickBot="1" x14ac:dyDescent="0.3">
      <c r="D77" s="132">
        <f>IF($C$10="SUBJECT",0,1)</f>
        <v>1</v>
      </c>
      <c r="G77" s="26"/>
      <c r="I77" s="27"/>
      <c r="J77" s="6"/>
      <c r="K77" s="28" t="s">
        <v>57</v>
      </c>
      <c r="L77" s="6"/>
      <c r="M77" s="6"/>
      <c r="N77" s="5"/>
      <c r="O77" s="5"/>
      <c r="P77" s="5"/>
      <c r="Q77" s="5"/>
      <c r="R77" s="5"/>
      <c r="S77" s="28" t="s">
        <v>57</v>
      </c>
      <c r="AB77" s="5"/>
      <c r="AC77" s="5"/>
      <c r="AD77" s="5"/>
      <c r="AE77" s="5"/>
      <c r="AF77" s="5"/>
      <c r="AG77" s="5"/>
      <c r="AH77" s="5"/>
    </row>
    <row r="78" spans="1:34" ht="15.75" thickBot="1" x14ac:dyDescent="0.3">
      <c r="C78" s="168" t="s">
        <v>58</v>
      </c>
      <c r="D78" s="132">
        <v>2</v>
      </c>
      <c r="H78" s="169"/>
      <c r="I78" s="170"/>
      <c r="J78" s="170"/>
      <c r="K78" s="34" t="str">
        <f>+"DCF With Capitalization of Terminal Value Model @ "&amp;TEXT(AB79,"0.00%")</f>
        <v>DCF With Capitalization of Terminal Value Model @ 7.12%</v>
      </c>
      <c r="L78" s="35"/>
      <c r="M78" s="35"/>
      <c r="N78" s="35"/>
      <c r="O78" s="36"/>
      <c r="P78" s="6"/>
      <c r="Q78" s="34" t="str">
        <f>+"DCF With EBIT &amp; EBITDA Terminal Value Model - Discount Rate of "&amp;TEXT(AD79,"0.00%")</f>
        <v>DCF With EBIT &amp; EBITDA Terminal Value Model - Discount Rate of 7.12%</v>
      </c>
      <c r="R78" s="35"/>
      <c r="S78" s="35"/>
      <c r="T78" s="35"/>
      <c r="U78" s="36"/>
      <c r="AB78" s="5"/>
      <c r="AC78" s="5"/>
      <c r="AD78" s="5"/>
      <c r="AE78" s="5"/>
      <c r="AF78" s="5"/>
      <c r="AG78" s="5"/>
      <c r="AH78" s="5"/>
    </row>
    <row r="79" spans="1:34" ht="15" x14ac:dyDescent="0.25">
      <c r="D79" s="132">
        <v>2</v>
      </c>
      <c r="G79" s="29"/>
      <c r="K79" s="37"/>
      <c r="L79" s="38"/>
      <c r="M79" s="39"/>
      <c r="N79" s="40" t="s">
        <v>59</v>
      </c>
      <c r="O79" s="41"/>
      <c r="Q79" s="37"/>
      <c r="R79" s="38"/>
      <c r="S79" s="39"/>
      <c r="T79" s="38"/>
      <c r="U79" s="42" t="s">
        <v>59</v>
      </c>
      <c r="AB79" s="171">
        <f>+AC54</f>
        <v>7.1199999999999999E-2</v>
      </c>
      <c r="AC79" s="5"/>
      <c r="AD79" s="171">
        <f>+AB79</f>
        <v>7.1199999999999999E-2</v>
      </c>
      <c r="AE79" s="5"/>
      <c r="AF79" s="5"/>
      <c r="AG79" s="5"/>
      <c r="AH79" s="5"/>
    </row>
    <row r="80" spans="1:34" ht="15" x14ac:dyDescent="0.25">
      <c r="A80" s="172" t="str">
        <f>TEXT(+Z53+0.5,0)</f>
        <v>13</v>
      </c>
      <c r="D80" s="132">
        <v>2</v>
      </c>
      <c r="K80" s="43"/>
      <c r="L80" s="32"/>
      <c r="M80" s="19"/>
      <c r="N80" s="44" t="s">
        <v>60</v>
      </c>
      <c r="O80" s="45"/>
      <c r="Q80" s="43"/>
      <c r="R80" s="32"/>
      <c r="S80" s="19"/>
      <c r="T80" s="44" t="str">
        <f>+"Multiples"&amp;" ("&amp;B105&amp;")"</f>
        <v>Multiples (13)</v>
      </c>
      <c r="U80" s="46" t="s">
        <v>60</v>
      </c>
      <c r="AB80" s="5"/>
      <c r="AC80" s="5"/>
      <c r="AD80" s="5"/>
      <c r="AE80" s="5"/>
      <c r="AF80" s="5"/>
      <c r="AG80" s="5"/>
      <c r="AH80" s="5"/>
    </row>
    <row r="81" spans="1:37" ht="15" x14ac:dyDescent="0.25">
      <c r="D81" s="132">
        <v>2</v>
      </c>
      <c r="K81" s="43"/>
      <c r="L81" s="32"/>
      <c r="M81" s="19"/>
      <c r="N81" s="32"/>
      <c r="O81" s="45"/>
      <c r="Q81" s="43"/>
      <c r="R81" s="32"/>
      <c r="S81" s="19"/>
      <c r="T81" s="32"/>
      <c r="U81" s="47"/>
      <c r="AB81" s="5"/>
      <c r="AC81" s="5"/>
      <c r="AD81" s="5"/>
      <c r="AE81" s="5"/>
      <c r="AF81" s="5"/>
      <c r="AG81" s="5"/>
      <c r="AH81" s="5"/>
    </row>
    <row r="82" spans="1:37" ht="15" x14ac:dyDescent="0.25">
      <c r="D82" s="132">
        <v>2</v>
      </c>
      <c r="K82" s="48" t="str">
        <f>+A83&amp;" ("&amp;B83&amp;")"</f>
        <v>Projected Debt Free Net Cash Flow (10)</v>
      </c>
      <c r="L82" s="32"/>
      <c r="M82" s="32"/>
      <c r="N82" s="32">
        <f>+AB83</f>
        <v>236318.84674501506</v>
      </c>
      <c r="O82" s="45"/>
      <c r="Q82" s="49" t="s">
        <v>61</v>
      </c>
      <c r="R82" s="32"/>
      <c r="S82" s="32">
        <f>+AD83</f>
        <v>290909.38734501507</v>
      </c>
      <c r="T82" s="50">
        <f>+AE83</f>
        <v>14.6</v>
      </c>
      <c r="U82" s="47">
        <f>+T82*S82</f>
        <v>4247277.0552372197</v>
      </c>
      <c r="AB82" s="5"/>
      <c r="AC82" s="5"/>
      <c r="AD82" s="5"/>
      <c r="AE82" s="5"/>
      <c r="AF82" s="5"/>
      <c r="AG82" s="5"/>
      <c r="AH82" s="5"/>
    </row>
    <row r="83" spans="1:37" ht="16.899999999999999" customHeight="1" x14ac:dyDescent="0.25">
      <c r="A83" s="173" t="s">
        <v>62</v>
      </c>
      <c r="B83" s="25">
        <f>MAX(B$20:B82)+1</f>
        <v>10</v>
      </c>
      <c r="D83" s="132">
        <v>2</v>
      </c>
      <c r="K83" s="48" t="str">
        <f>+A84&amp;" ("&amp;B84&amp;")"</f>
        <v>Divided by Capitalization Factor (8)</v>
      </c>
      <c r="L83" s="32"/>
      <c r="M83" s="33"/>
      <c r="N83" s="51">
        <f>+AB79</f>
        <v>7.1199999999999999E-2</v>
      </c>
      <c r="O83" s="45"/>
      <c r="Q83" s="49" t="s">
        <v>63</v>
      </c>
      <c r="R83" s="32"/>
      <c r="S83" s="33">
        <f>+AD84</f>
        <v>387487.06014501507</v>
      </c>
      <c r="T83" s="50">
        <f>+AE84</f>
        <v>10.1</v>
      </c>
      <c r="U83" s="52">
        <f>+T83*S83</f>
        <v>3913619.3074646522</v>
      </c>
      <c r="V83" s="174"/>
      <c r="W83" s="174"/>
      <c r="X83" s="174"/>
      <c r="Y83" s="174"/>
      <c r="Z83" s="174"/>
      <c r="AB83" s="5">
        <f>+AB52</f>
        <v>236318.84674501506</v>
      </c>
      <c r="AC83" s="5"/>
      <c r="AD83" s="5">
        <f>+Z$42</f>
        <v>290909.38734501507</v>
      </c>
      <c r="AE83" s="5">
        <f>+H7</f>
        <v>14.6</v>
      </c>
      <c r="AF83" s="5"/>
      <c r="AG83" s="5"/>
      <c r="AH83" s="5"/>
    </row>
    <row r="84" spans="1:37" ht="16.899999999999999" customHeight="1" x14ac:dyDescent="0.25">
      <c r="A84" s="173" t="s">
        <v>64</v>
      </c>
      <c r="B84" s="25">
        <f>+B$54</f>
        <v>8</v>
      </c>
      <c r="D84" s="132">
        <v>2</v>
      </c>
      <c r="K84" s="175" t="str">
        <f>+A85</f>
        <v>13th Year Terminal Value</v>
      </c>
      <c r="L84" s="32"/>
      <c r="M84" s="19"/>
      <c r="N84" s="33">
        <f>+N82/N83</f>
        <v>3319084.9261940317</v>
      </c>
      <c r="O84" s="45"/>
      <c r="Q84" s="53" t="s">
        <v>65</v>
      </c>
      <c r="R84" s="32"/>
      <c r="S84" s="19"/>
      <c r="T84" s="32"/>
      <c r="U84" s="54">
        <f>ROUND((0.33*U82)+(0.67*U83),0)</f>
        <v>4023726</v>
      </c>
      <c r="AB84" s="5"/>
      <c r="AC84" s="5"/>
      <c r="AD84" s="5">
        <f>+Z$41</f>
        <v>387487.06014501507</v>
      </c>
      <c r="AE84" s="5">
        <f>+H8</f>
        <v>10.1</v>
      </c>
      <c r="AF84" s="5"/>
      <c r="AG84" s="5"/>
      <c r="AH84" s="5"/>
    </row>
    <row r="85" spans="1:37" ht="16.899999999999999" customHeight="1" x14ac:dyDescent="0.25">
      <c r="A85" s="2" t="str">
        <f>+A80&amp;"th Year Terminal Value"</f>
        <v>13th Year Terminal Value</v>
      </c>
      <c r="D85" s="132">
        <v>2</v>
      </c>
      <c r="K85" s="48" t="str">
        <f>+A86&amp;" ("&amp;B86&amp;")"</f>
        <v>13th Year Present Value Factor (11)</v>
      </c>
      <c r="L85" s="32"/>
      <c r="M85" s="19"/>
      <c r="N85" s="55">
        <f>+AB86</f>
        <v>0.42330000000000001</v>
      </c>
      <c r="O85" s="45"/>
      <c r="Q85" s="49" t="str">
        <f>+K85</f>
        <v>13th Year Present Value Factor (11)</v>
      </c>
      <c r="R85" s="32"/>
      <c r="S85" s="19"/>
      <c r="T85" s="32"/>
      <c r="U85" s="56">
        <f>+AB86</f>
        <v>0.42330000000000001</v>
      </c>
      <c r="AC85" s="5"/>
      <c r="AD85" s="5"/>
      <c r="AE85" s="5"/>
      <c r="AF85" s="5"/>
      <c r="AG85" s="5"/>
      <c r="AH85" s="5"/>
    </row>
    <row r="86" spans="1:37" ht="16.899999999999999" customHeight="1" x14ac:dyDescent="0.25">
      <c r="A86" s="173" t="str">
        <f>+TEXT(A80,0)&amp;"th Year Present Value Factor"</f>
        <v>13th Year Present Value Factor</v>
      </c>
      <c r="B86" s="25">
        <f>MAX(B$20:B85)+1</f>
        <v>11</v>
      </c>
      <c r="D86" s="132">
        <v>2</v>
      </c>
      <c r="K86" s="48" t="s">
        <v>66</v>
      </c>
      <c r="L86" s="57"/>
      <c r="M86" s="19"/>
      <c r="N86" s="58">
        <f>+N85*N84</f>
        <v>1404968.6492579337</v>
      </c>
      <c r="O86" s="45"/>
      <c r="Q86" s="49" t="s">
        <v>66</v>
      </c>
      <c r="R86" s="57"/>
      <c r="S86" s="19"/>
      <c r="T86" s="33"/>
      <c r="U86" s="59">
        <f>+U85*U84</f>
        <v>1703243.2158000001</v>
      </c>
      <c r="AB86" s="176">
        <f>+Z$54</f>
        <v>0.42330000000000001</v>
      </c>
      <c r="AC86" s="5"/>
      <c r="AD86" s="177"/>
      <c r="AE86" s="5"/>
      <c r="AF86" s="5"/>
      <c r="AG86" s="5"/>
      <c r="AH86" s="5"/>
    </row>
    <row r="87" spans="1:37" ht="16.899999999999999" customHeight="1" x14ac:dyDescent="0.25">
      <c r="D87" s="132">
        <v>2</v>
      </c>
      <c r="K87" s="48" t="s">
        <v>67</v>
      </c>
      <c r="L87" s="57"/>
      <c r="M87" s="19"/>
      <c r="N87" s="32"/>
      <c r="O87" s="45"/>
      <c r="Q87" s="49" t="s">
        <v>67</v>
      </c>
      <c r="R87" s="57"/>
      <c r="S87" s="19"/>
      <c r="T87" s="57"/>
      <c r="U87" s="47"/>
      <c r="AB87" s="5"/>
      <c r="AC87" s="5"/>
      <c r="AD87" s="5"/>
      <c r="AE87" s="5"/>
      <c r="AF87" s="5"/>
      <c r="AG87" s="5"/>
      <c r="AH87" s="5"/>
    </row>
    <row r="88" spans="1:37" ht="16.899999999999999" customHeight="1" x14ac:dyDescent="0.25">
      <c r="D88" s="132">
        <v>2</v>
      </c>
      <c r="K88" s="48" t="str">
        <f>+A89</f>
        <v>Cash Flow for 13 Years</v>
      </c>
      <c r="L88" s="57"/>
      <c r="M88" s="19"/>
      <c r="N88" s="60">
        <f>+AB89</f>
        <v>1565927.115539219</v>
      </c>
      <c r="O88" s="45"/>
      <c r="Q88" s="49" t="str">
        <f>+K88</f>
        <v>Cash Flow for 13 Years</v>
      </c>
      <c r="R88" s="57"/>
      <c r="S88" s="19"/>
      <c r="T88" s="33"/>
      <c r="U88" s="52">
        <f>+AB89</f>
        <v>1565927.115539219</v>
      </c>
      <c r="AB88" s="5"/>
      <c r="AC88" s="5"/>
      <c r="AD88" s="5"/>
      <c r="AE88" s="5"/>
      <c r="AF88" s="5"/>
      <c r="AG88" s="5"/>
      <c r="AH88" s="5"/>
    </row>
    <row r="89" spans="1:37" ht="16.899999999999999" customHeight="1" x14ac:dyDescent="0.25">
      <c r="A89" s="2" t="str">
        <f>+"Cash Flow for "&amp;TEXT(A80,0)&amp;" Years"</f>
        <v>Cash Flow for 13 Years</v>
      </c>
      <c r="D89" s="132">
        <v>2</v>
      </c>
      <c r="K89" s="48"/>
      <c r="L89" s="57"/>
      <c r="M89" s="19"/>
      <c r="N89" s="32"/>
      <c r="O89" s="45"/>
      <c r="Q89" s="49"/>
      <c r="R89" s="57"/>
      <c r="S89" s="19"/>
      <c r="T89" s="32"/>
      <c r="U89" s="47"/>
      <c r="AB89" s="5">
        <f>+AB56</f>
        <v>1565927.115539219</v>
      </c>
      <c r="AC89" s="5"/>
      <c r="AD89" s="5"/>
      <c r="AE89" s="5"/>
      <c r="AF89" s="5"/>
      <c r="AG89" s="5"/>
      <c r="AH89" s="5"/>
    </row>
    <row r="90" spans="1:37" ht="16.899999999999999" customHeight="1" thickBot="1" x14ac:dyDescent="0.3">
      <c r="D90" s="132">
        <v>2</v>
      </c>
      <c r="K90" s="48" t="s">
        <v>68</v>
      </c>
      <c r="L90" s="57"/>
      <c r="M90" s="19"/>
      <c r="N90" s="20">
        <f>+N86+N88</f>
        <v>2970895.764797153</v>
      </c>
      <c r="O90" s="45"/>
      <c r="Q90" s="49" t="s">
        <v>68</v>
      </c>
      <c r="R90" s="57"/>
      <c r="S90" s="19"/>
      <c r="T90" s="33"/>
      <c r="U90" s="61">
        <f>+U86+U88</f>
        <v>3269170.3313392191</v>
      </c>
      <c r="AB90" s="5"/>
      <c r="AC90" s="5"/>
      <c r="AD90" s="5"/>
      <c r="AE90" s="5"/>
      <c r="AF90" s="5"/>
      <c r="AG90" s="5"/>
      <c r="AH90" s="5"/>
    </row>
    <row r="91" spans="1:37" ht="16.899999999999999" customHeight="1" thickTop="1" thickBot="1" x14ac:dyDescent="0.3">
      <c r="D91" s="132">
        <v>2</v>
      </c>
      <c r="K91" s="62"/>
      <c r="L91" s="63"/>
      <c r="M91" s="64"/>
      <c r="N91" s="63"/>
      <c r="O91" s="65"/>
      <c r="Q91" s="62"/>
      <c r="R91" s="63"/>
      <c r="S91" s="64"/>
      <c r="T91" s="63"/>
      <c r="U91" s="65"/>
      <c r="AB91" s="5"/>
      <c r="AC91" s="5"/>
      <c r="AD91" s="5"/>
      <c r="AE91" s="5"/>
      <c r="AF91" s="5"/>
      <c r="AG91" s="5"/>
      <c r="AH91" s="5"/>
      <c r="AI91" s="5"/>
      <c r="AJ91" s="5"/>
      <c r="AK91" s="5"/>
    </row>
    <row r="92" spans="1:37" ht="15" x14ac:dyDescent="0.25">
      <c r="D92" s="132">
        <v>2</v>
      </c>
      <c r="K92" s="6"/>
      <c r="L92" s="5"/>
      <c r="M92" s="5"/>
      <c r="N92" s="5"/>
      <c r="O92" s="5"/>
      <c r="P92" s="6"/>
      <c r="Q92" s="6"/>
      <c r="R92" s="5"/>
      <c r="S92" s="5"/>
      <c r="T92" s="5"/>
      <c r="U92" s="5"/>
      <c r="AB92" s="5"/>
      <c r="AC92" s="5"/>
      <c r="AD92" s="5"/>
      <c r="AE92" s="5"/>
      <c r="AF92" s="5"/>
      <c r="AG92" s="5"/>
      <c r="AH92" s="5"/>
      <c r="AI92" s="5"/>
      <c r="AJ92" s="5"/>
      <c r="AK92" s="5"/>
    </row>
    <row r="93" spans="1:37" ht="15.75" thickBot="1" x14ac:dyDescent="0.3">
      <c r="D93" s="132">
        <v>2</v>
      </c>
      <c r="K93" s="6"/>
      <c r="L93" s="5"/>
      <c r="M93" s="5"/>
      <c r="N93" s="5"/>
      <c r="O93" s="5"/>
      <c r="P93" s="6"/>
      <c r="Q93" s="6"/>
      <c r="R93" s="5"/>
      <c r="S93" s="5"/>
      <c r="T93" s="5"/>
      <c r="U93" s="5"/>
      <c r="AB93" s="5"/>
      <c r="AC93" s="5"/>
      <c r="AD93" s="5"/>
      <c r="AE93" s="5"/>
      <c r="AF93" s="5"/>
      <c r="AG93" s="5"/>
      <c r="AH93" s="5"/>
      <c r="AI93" s="5"/>
      <c r="AJ93" s="5"/>
      <c r="AK93" s="5"/>
    </row>
    <row r="94" spans="1:37" ht="15.75" thickBot="1" x14ac:dyDescent="0.3">
      <c r="D94" s="132">
        <v>2</v>
      </c>
      <c r="K94" s="34" t="str">
        <f>+"DCF With Capitalization of Terminal Value Model @ "&amp;TEXT(AB95,"0.00%")</f>
        <v>DCF With Capitalization of Terminal Value Model @ 8.48%</v>
      </c>
      <c r="L94" s="35"/>
      <c r="M94" s="35"/>
      <c r="N94" s="35"/>
      <c r="O94" s="36"/>
      <c r="P94" s="6"/>
      <c r="Q94" s="34" t="str">
        <f>+"DCF With EBIT &amp; EBITDA Terminal Value Model - Discount Rate of "&amp;TEXT(AD95,"0.00%")</f>
        <v>DCF With EBIT &amp; EBITDA Terminal Value Model - Discount Rate of 8.48%</v>
      </c>
      <c r="R94" s="35"/>
      <c r="S94" s="35"/>
      <c r="T94" s="35"/>
      <c r="U94" s="36"/>
      <c r="AB94" s="5"/>
      <c r="AC94" s="5"/>
      <c r="AD94" s="5"/>
      <c r="AE94" s="5"/>
      <c r="AF94" s="5"/>
      <c r="AG94" s="5"/>
      <c r="AH94" s="5"/>
      <c r="AI94" s="5"/>
      <c r="AJ94" s="5"/>
      <c r="AK94" s="5"/>
    </row>
    <row r="95" spans="1:37" ht="15" x14ac:dyDescent="0.25">
      <c r="D95" s="132">
        <v>2</v>
      </c>
      <c r="K95" s="37"/>
      <c r="L95" s="38"/>
      <c r="M95" s="39"/>
      <c r="N95" s="40" t="s">
        <v>59</v>
      </c>
      <c r="O95" s="41"/>
      <c r="P95" s="6"/>
      <c r="Q95" s="37"/>
      <c r="R95" s="38"/>
      <c r="S95" s="39"/>
      <c r="T95" s="38"/>
      <c r="U95" s="42" t="s">
        <v>59</v>
      </c>
      <c r="AB95" s="171">
        <f>+AC58</f>
        <v>8.48E-2</v>
      </c>
      <c r="AC95" s="5"/>
      <c r="AD95" s="171">
        <f>+AB95</f>
        <v>8.48E-2</v>
      </c>
      <c r="AE95" s="5"/>
      <c r="AF95" s="5"/>
      <c r="AG95" s="5"/>
      <c r="AH95" s="5"/>
      <c r="AI95" s="5"/>
      <c r="AJ95" s="5"/>
      <c r="AK95" s="5"/>
    </row>
    <row r="96" spans="1:37" ht="15" x14ac:dyDescent="0.25">
      <c r="D96" s="132">
        <v>2</v>
      </c>
      <c r="K96" s="43"/>
      <c r="L96" s="32"/>
      <c r="M96" s="19"/>
      <c r="N96" s="44" t="s">
        <v>60</v>
      </c>
      <c r="O96" s="45"/>
      <c r="P96" s="6"/>
      <c r="Q96" s="43"/>
      <c r="R96" s="32"/>
      <c r="S96" s="19"/>
      <c r="T96" s="44" t="str">
        <f>+T80</f>
        <v>Multiples (13)</v>
      </c>
      <c r="U96" s="46" t="s">
        <v>60</v>
      </c>
      <c r="AB96" s="5"/>
      <c r="AC96" s="5"/>
      <c r="AD96" s="5"/>
      <c r="AE96" s="5"/>
      <c r="AF96" s="5"/>
      <c r="AG96" s="5"/>
      <c r="AH96" s="5"/>
      <c r="AI96" s="5"/>
      <c r="AJ96" s="5"/>
      <c r="AK96" s="5"/>
    </row>
    <row r="97" spans="1:37" ht="15" x14ac:dyDescent="0.25">
      <c r="D97" s="132">
        <v>2</v>
      </c>
      <c r="K97" s="43"/>
      <c r="L97" s="32"/>
      <c r="M97" s="19"/>
      <c r="N97" s="32"/>
      <c r="O97" s="45"/>
      <c r="P97" s="6"/>
      <c r="Q97" s="43"/>
      <c r="R97" s="32"/>
      <c r="S97" s="19"/>
      <c r="T97" s="32"/>
      <c r="U97" s="47"/>
      <c r="AB97" s="5"/>
      <c r="AC97" s="5"/>
      <c r="AD97" s="5"/>
      <c r="AE97" s="5"/>
      <c r="AF97" s="5"/>
      <c r="AG97" s="5"/>
      <c r="AH97" s="5"/>
      <c r="AI97" s="5"/>
      <c r="AJ97" s="5"/>
      <c r="AK97" s="5"/>
    </row>
    <row r="98" spans="1:37" ht="15" x14ac:dyDescent="0.25">
      <c r="D98" s="132">
        <v>2</v>
      </c>
      <c r="K98" s="48" t="str">
        <f>+A99&amp;" ("&amp;B99&amp;")"</f>
        <v>Projected Debt Free Net Cash Flow (10)</v>
      </c>
      <c r="L98" s="32"/>
      <c r="M98" s="32"/>
      <c r="N98" s="32">
        <f>+AB99</f>
        <v>236318.84674501506</v>
      </c>
      <c r="O98" s="45"/>
      <c r="P98" s="6"/>
      <c r="Q98" s="49" t="s">
        <v>61</v>
      </c>
      <c r="R98" s="32"/>
      <c r="S98" s="32">
        <f>+AD99</f>
        <v>290909.38734501507</v>
      </c>
      <c r="T98" s="50">
        <f>+AE99</f>
        <v>14.6</v>
      </c>
      <c r="U98" s="47">
        <f>+T98*S98</f>
        <v>4247277.0552372197</v>
      </c>
      <c r="AB98" s="5"/>
      <c r="AC98" s="5"/>
      <c r="AD98" s="5"/>
      <c r="AE98" s="5"/>
      <c r="AF98" s="5"/>
      <c r="AG98" s="5"/>
      <c r="AH98" s="5"/>
      <c r="AI98" s="5"/>
      <c r="AJ98" s="5"/>
      <c r="AK98" s="5"/>
    </row>
    <row r="99" spans="1:37" ht="16.899999999999999" customHeight="1" x14ac:dyDescent="0.25">
      <c r="A99" s="173" t="s">
        <v>62</v>
      </c>
      <c r="B99" s="25">
        <f>+B$83</f>
        <v>10</v>
      </c>
      <c r="D99" s="132">
        <v>2</v>
      </c>
      <c r="K99" s="48" t="str">
        <f>+A100&amp;" ("&amp;B100&amp;")"</f>
        <v>Divided by Capitalization Factor (9)</v>
      </c>
      <c r="L99" s="32"/>
      <c r="M99" s="33"/>
      <c r="N99" s="51">
        <f>+AB95</f>
        <v>8.48E-2</v>
      </c>
      <c r="O99" s="45"/>
      <c r="P99" s="6"/>
      <c r="Q99" s="49" t="s">
        <v>63</v>
      </c>
      <c r="R99" s="32"/>
      <c r="S99" s="33">
        <f>+AD100</f>
        <v>387487.06014501507</v>
      </c>
      <c r="T99" s="50">
        <f>+AE100</f>
        <v>10.1</v>
      </c>
      <c r="U99" s="52">
        <f>+T99*S99</f>
        <v>3913619.3074646522</v>
      </c>
      <c r="AB99" s="5">
        <f>+AB52</f>
        <v>236318.84674501506</v>
      </c>
      <c r="AC99" s="5"/>
      <c r="AD99" s="5">
        <f>+AD83</f>
        <v>290909.38734501507</v>
      </c>
      <c r="AE99" s="5">
        <f>+AE$83</f>
        <v>14.6</v>
      </c>
      <c r="AF99" s="5"/>
      <c r="AG99" s="5"/>
      <c r="AH99" s="5"/>
      <c r="AI99" s="5"/>
      <c r="AJ99" s="5"/>
      <c r="AK99" s="5"/>
    </row>
    <row r="100" spans="1:37" ht="16.899999999999999" customHeight="1" x14ac:dyDescent="0.25">
      <c r="A100" s="173" t="s">
        <v>64</v>
      </c>
      <c r="B100" s="25">
        <f>+B$58</f>
        <v>9</v>
      </c>
      <c r="D100" s="132">
        <v>2</v>
      </c>
      <c r="K100" s="175" t="str">
        <f>+K84</f>
        <v>13th Year Terminal Value</v>
      </c>
      <c r="L100" s="32"/>
      <c r="M100" s="19"/>
      <c r="N100" s="33">
        <f>+N98/N99</f>
        <v>2786778.8531251778</v>
      </c>
      <c r="O100" s="45"/>
      <c r="P100" s="6"/>
      <c r="Q100" s="53" t="s">
        <v>65</v>
      </c>
      <c r="R100" s="32"/>
      <c r="S100" s="19"/>
      <c r="T100" s="32"/>
      <c r="U100" s="54">
        <f>ROUND((0.33*U98)+(0.67*U99),0)</f>
        <v>4023726</v>
      </c>
      <c r="AB100" s="5"/>
      <c r="AC100" s="5"/>
      <c r="AD100" s="5">
        <f>+AD84</f>
        <v>387487.06014501507</v>
      </c>
      <c r="AE100" s="5">
        <f>+AE$84</f>
        <v>10.1</v>
      </c>
      <c r="AF100" s="5"/>
      <c r="AG100" s="5"/>
      <c r="AH100" s="5"/>
      <c r="AI100" s="5"/>
      <c r="AJ100" s="5"/>
      <c r="AK100" s="5"/>
    </row>
    <row r="101" spans="1:37" ht="16.899999999999999" customHeight="1" x14ac:dyDescent="0.25">
      <c r="D101" s="132">
        <v>2</v>
      </c>
      <c r="K101" s="48" t="str">
        <f>+A102&amp;" ("&amp;B102&amp;")"</f>
        <v>13th Year Present Value Factor (12)</v>
      </c>
      <c r="L101" s="32"/>
      <c r="M101" s="19"/>
      <c r="N101" s="55">
        <f>+AB102</f>
        <v>0.36149999999999999</v>
      </c>
      <c r="O101" s="45"/>
      <c r="P101" s="6"/>
      <c r="Q101" s="49" t="str">
        <f>+K101</f>
        <v>13th Year Present Value Factor (12)</v>
      </c>
      <c r="R101" s="32"/>
      <c r="S101" s="19"/>
      <c r="T101" s="32"/>
      <c r="U101" s="56">
        <f>+AB102</f>
        <v>0.36149999999999999</v>
      </c>
      <c r="AC101" s="5"/>
      <c r="AD101" s="5"/>
      <c r="AE101" s="5"/>
      <c r="AF101" s="5"/>
      <c r="AG101" s="5"/>
      <c r="AH101" s="5"/>
      <c r="AI101" s="5"/>
      <c r="AJ101" s="5"/>
      <c r="AK101" s="5"/>
    </row>
    <row r="102" spans="1:37" ht="16.899999999999999" customHeight="1" x14ac:dyDescent="0.25">
      <c r="A102" s="173" t="str">
        <f>+A86</f>
        <v>13th Year Present Value Factor</v>
      </c>
      <c r="B102" s="25">
        <f>MAX(B$20:B101)+1</f>
        <v>12</v>
      </c>
      <c r="D102" s="132">
        <v>2</v>
      </c>
      <c r="K102" s="48" t="s">
        <v>66</v>
      </c>
      <c r="L102" s="57"/>
      <c r="M102" s="19"/>
      <c r="N102" s="58">
        <f>+N101*N100</f>
        <v>1007420.5554047518</v>
      </c>
      <c r="O102" s="45"/>
      <c r="P102" s="6"/>
      <c r="Q102" s="49" t="s">
        <v>66</v>
      </c>
      <c r="R102" s="57"/>
      <c r="S102" s="19"/>
      <c r="T102" s="33"/>
      <c r="U102" s="59">
        <f>+U101*U100</f>
        <v>1454576.949</v>
      </c>
      <c r="AB102" s="176">
        <f>+Z$58</f>
        <v>0.36149999999999999</v>
      </c>
      <c r="AC102" s="5"/>
      <c r="AD102" s="177"/>
      <c r="AE102" s="5"/>
      <c r="AF102" s="5"/>
      <c r="AG102" s="5"/>
      <c r="AH102" s="5"/>
      <c r="AI102" s="5"/>
      <c r="AJ102" s="5"/>
      <c r="AK102" s="5"/>
    </row>
    <row r="103" spans="1:37" ht="16.899999999999999" customHeight="1" x14ac:dyDescent="0.25">
      <c r="D103" s="132">
        <v>2</v>
      </c>
      <c r="K103" s="48" t="s">
        <v>67</v>
      </c>
      <c r="L103" s="57"/>
      <c r="M103" s="19"/>
      <c r="N103" s="32"/>
      <c r="O103" s="45"/>
      <c r="P103" s="6"/>
      <c r="Q103" s="49" t="s">
        <v>67</v>
      </c>
      <c r="R103" s="57"/>
      <c r="S103" s="19"/>
      <c r="T103" s="57"/>
      <c r="U103" s="47"/>
      <c r="AB103" s="5"/>
      <c r="AC103" s="5"/>
      <c r="AD103" s="5"/>
      <c r="AE103" s="5"/>
      <c r="AF103" s="5"/>
      <c r="AG103" s="5"/>
      <c r="AH103" s="5"/>
      <c r="AI103" s="5"/>
      <c r="AJ103" s="5"/>
      <c r="AK103" s="5"/>
    </row>
    <row r="104" spans="1:37" ht="16.899999999999999" customHeight="1" x14ac:dyDescent="0.25">
      <c r="D104" s="132">
        <v>2</v>
      </c>
      <c r="K104" s="48" t="str">
        <f>+K$88</f>
        <v>Cash Flow for 13 Years</v>
      </c>
      <c r="L104" s="57"/>
      <c r="M104" s="19"/>
      <c r="N104" s="60">
        <f>+AB105</f>
        <v>1435458.1315732109</v>
      </c>
      <c r="O104" s="45"/>
      <c r="P104" s="6"/>
      <c r="Q104" s="49" t="str">
        <f>+Q$88</f>
        <v>Cash Flow for 13 Years</v>
      </c>
      <c r="R104" s="57"/>
      <c r="S104" s="19"/>
      <c r="T104" s="33"/>
      <c r="U104" s="52">
        <f>+AB105</f>
        <v>1435458.1315732109</v>
      </c>
      <c r="AB104" s="5"/>
      <c r="AC104" s="5"/>
      <c r="AD104" s="5"/>
      <c r="AE104" s="5"/>
      <c r="AF104" s="5"/>
      <c r="AG104" s="5"/>
      <c r="AH104" s="5"/>
      <c r="AI104" s="5"/>
      <c r="AJ104" s="5"/>
      <c r="AK104" s="5"/>
    </row>
    <row r="105" spans="1:37" ht="16.899999999999999" customHeight="1" x14ac:dyDescent="0.25">
      <c r="B105" s="178">
        <f>MAX(B$20:B104)+1</f>
        <v>13</v>
      </c>
      <c r="D105" s="132">
        <v>2</v>
      </c>
      <c r="K105" s="48"/>
      <c r="L105" s="57"/>
      <c r="M105" s="19"/>
      <c r="N105" s="32"/>
      <c r="O105" s="45"/>
      <c r="P105" s="6"/>
      <c r="Q105" s="49"/>
      <c r="R105" s="57"/>
      <c r="S105" s="19"/>
      <c r="T105" s="32"/>
      <c r="U105" s="47"/>
      <c r="AB105" s="5">
        <f>+AB60</f>
        <v>1435458.1315732109</v>
      </c>
      <c r="AC105" s="5"/>
      <c r="AD105" s="5"/>
      <c r="AE105" s="5"/>
      <c r="AF105" s="5"/>
      <c r="AG105" s="5"/>
      <c r="AH105" s="5"/>
      <c r="AI105" s="5"/>
      <c r="AJ105" s="5"/>
      <c r="AK105" s="5"/>
    </row>
    <row r="106" spans="1:37" ht="16.899999999999999" customHeight="1" thickBot="1" x14ac:dyDescent="0.3">
      <c r="D106" s="132">
        <v>2</v>
      </c>
      <c r="K106" s="48" t="s">
        <v>68</v>
      </c>
      <c r="L106" s="57"/>
      <c r="M106" s="19"/>
      <c r="N106" s="20">
        <f>+N102+N104</f>
        <v>2442878.686977963</v>
      </c>
      <c r="O106" s="45"/>
      <c r="P106" s="6"/>
      <c r="Q106" s="49" t="s">
        <v>68</v>
      </c>
      <c r="R106" s="57"/>
      <c r="S106" s="19"/>
      <c r="T106" s="33"/>
      <c r="U106" s="61">
        <f>+U102+U104</f>
        <v>2890035.080573211</v>
      </c>
      <c r="AB106" s="5"/>
      <c r="AC106" s="5"/>
      <c r="AD106" s="5"/>
      <c r="AE106" s="5"/>
      <c r="AF106" s="5"/>
      <c r="AG106" s="5"/>
      <c r="AH106" s="5"/>
      <c r="AI106" s="5"/>
      <c r="AJ106" s="5"/>
      <c r="AK106" s="5"/>
    </row>
    <row r="107" spans="1:37" ht="16.899999999999999" customHeight="1" thickTop="1" thickBot="1" x14ac:dyDescent="0.3">
      <c r="D107" s="132">
        <v>2</v>
      </c>
      <c r="K107" s="62"/>
      <c r="L107" s="63"/>
      <c r="M107" s="64"/>
      <c r="N107" s="63"/>
      <c r="O107" s="65"/>
      <c r="P107" s="6"/>
      <c r="Q107" s="62"/>
      <c r="R107" s="63"/>
      <c r="S107" s="64"/>
      <c r="T107" s="63"/>
      <c r="U107" s="65"/>
      <c r="AB107" s="5"/>
      <c r="AC107" s="5"/>
      <c r="AD107" s="5"/>
      <c r="AE107" s="5"/>
      <c r="AF107" s="5"/>
      <c r="AG107" s="5"/>
      <c r="AH107" s="5"/>
      <c r="AI107" s="5"/>
      <c r="AJ107" s="5"/>
      <c r="AK107" s="5"/>
    </row>
    <row r="108" spans="1:37" ht="15" x14ac:dyDescent="0.25">
      <c r="D108" s="132">
        <v>2</v>
      </c>
      <c r="K108" s="32"/>
      <c r="L108" s="32"/>
      <c r="M108" s="19"/>
      <c r="N108" s="6"/>
      <c r="O108" s="32"/>
      <c r="P108" s="6"/>
      <c r="Q108" s="6"/>
      <c r="R108" s="5"/>
      <c r="S108" s="5"/>
      <c r="T108" s="5"/>
      <c r="U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</row>
    <row r="109" spans="1:37" ht="15" x14ac:dyDescent="0.25">
      <c r="D109" s="132">
        <v>2</v>
      </c>
      <c r="K109" s="32"/>
      <c r="L109" s="32"/>
      <c r="M109" s="19"/>
      <c r="N109" s="6"/>
      <c r="O109" s="32"/>
      <c r="P109" s="6"/>
      <c r="Q109" s="6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G109" s="5"/>
      <c r="AH109" s="5"/>
      <c r="AI109" s="5"/>
      <c r="AJ109" s="5"/>
      <c r="AK109" s="5"/>
    </row>
    <row r="110" spans="1:37" ht="16.5" thickBot="1" x14ac:dyDescent="0.3">
      <c r="D110" s="132">
        <v>2</v>
      </c>
      <c r="G110" s="30"/>
      <c r="L110" s="6"/>
      <c r="M110" s="6"/>
      <c r="N110" s="6"/>
      <c r="O110" s="6"/>
      <c r="P110" s="6"/>
      <c r="Q110" s="6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G110" s="5"/>
      <c r="AH110" s="5"/>
      <c r="AI110" s="5"/>
      <c r="AJ110" s="5"/>
      <c r="AK110" s="5"/>
    </row>
    <row r="111" spans="1:37" ht="15.75" thickBot="1" x14ac:dyDescent="0.3">
      <c r="D111" s="132">
        <v>2</v>
      </c>
      <c r="G111" s="31"/>
      <c r="K111" s="34" t="str">
        <f>+"DCF With Capitalization of Terminal Value Model @ "&amp;TEXT(AB112,"0.00%")</f>
        <v>DCF With Capitalization of Terminal Value Model @ 6.62%</v>
      </c>
      <c r="L111" s="35"/>
      <c r="M111" s="35"/>
      <c r="N111" s="35"/>
      <c r="O111" s="36"/>
      <c r="P111" s="6"/>
      <c r="Q111" s="34" t="str">
        <f>+"DCF With Capitalization of Terminal Value Model @ "&amp;TEXT(AB128,"0.00%")</f>
        <v>DCF With Capitalization of Terminal Value Model @ 7.98%</v>
      </c>
      <c r="R111" s="35"/>
      <c r="S111" s="35"/>
      <c r="T111" s="35"/>
      <c r="U111" s="36"/>
      <c r="AB111" s="5"/>
      <c r="AC111" s="5"/>
      <c r="AD111" s="5"/>
      <c r="AE111" s="5"/>
      <c r="AF111" s="5"/>
      <c r="AG111" s="5"/>
      <c r="AH111" s="5"/>
      <c r="AI111" s="5"/>
      <c r="AJ111" s="5"/>
      <c r="AK111" s="5"/>
    </row>
    <row r="112" spans="1:37" ht="15" x14ac:dyDescent="0.25">
      <c r="C112" s="168" t="s">
        <v>69</v>
      </c>
      <c r="D112" s="132">
        <v>2</v>
      </c>
      <c r="G112" s="29"/>
      <c r="K112" s="37"/>
      <c r="L112" s="38"/>
      <c r="M112" s="39"/>
      <c r="N112" s="40" t="s">
        <v>59</v>
      </c>
      <c r="O112" s="41"/>
      <c r="Q112" s="37"/>
      <c r="R112" s="38"/>
      <c r="S112" s="39"/>
      <c r="T112" s="40" t="s">
        <v>59</v>
      </c>
      <c r="U112" s="41"/>
      <c r="AB112" s="171">
        <f>+AC62</f>
        <v>6.6199999999999995E-2</v>
      </c>
      <c r="AC112" s="5"/>
      <c r="AD112" s="171">
        <f>+AB112</f>
        <v>6.6199999999999995E-2</v>
      </c>
      <c r="AE112" s="5"/>
      <c r="AF112" s="5"/>
      <c r="AG112" s="5"/>
      <c r="AH112" s="5"/>
      <c r="AI112" s="5"/>
      <c r="AJ112" s="5"/>
      <c r="AK112" s="5"/>
    </row>
    <row r="113" spans="1:40" ht="15" x14ac:dyDescent="0.25">
      <c r="D113" s="132">
        <v>2</v>
      </c>
      <c r="K113" s="43"/>
      <c r="L113" s="32"/>
      <c r="M113" s="19"/>
      <c r="N113" s="44" t="s">
        <v>60</v>
      </c>
      <c r="O113" s="45"/>
      <c r="Q113" s="43"/>
      <c r="R113" s="32"/>
      <c r="S113" s="19"/>
      <c r="T113" s="44" t="s">
        <v>60</v>
      </c>
      <c r="U113" s="45"/>
      <c r="AB113" s="5"/>
      <c r="AC113" s="5"/>
      <c r="AD113" s="5"/>
      <c r="AE113" s="5"/>
      <c r="AF113" s="5"/>
      <c r="AG113" s="5"/>
      <c r="AH113" s="5"/>
      <c r="AI113" s="5"/>
      <c r="AJ113" s="5"/>
      <c r="AK113" s="5"/>
    </row>
    <row r="114" spans="1:40" ht="15" x14ac:dyDescent="0.25">
      <c r="D114" s="132">
        <v>2</v>
      </c>
      <c r="K114" s="43"/>
      <c r="L114" s="32"/>
      <c r="M114" s="19"/>
      <c r="N114" s="32"/>
      <c r="O114" s="45"/>
      <c r="Q114" s="43"/>
      <c r="R114" s="32"/>
      <c r="S114" s="19"/>
      <c r="T114" s="32"/>
      <c r="U114" s="45"/>
      <c r="AB114" s="5"/>
      <c r="AC114" s="5"/>
      <c r="AD114" s="5"/>
      <c r="AE114" s="5"/>
      <c r="AF114" s="5"/>
      <c r="AG114" s="5"/>
      <c r="AH114" s="5"/>
      <c r="AI114" s="5"/>
      <c r="AJ114" s="5"/>
      <c r="AK114" s="5"/>
    </row>
    <row r="115" spans="1:40" ht="15" x14ac:dyDescent="0.25">
      <c r="D115" s="132">
        <v>2</v>
      </c>
      <c r="K115" s="48" t="str">
        <f>+K82</f>
        <v>Projected Debt Free Net Cash Flow (10)</v>
      </c>
      <c r="L115" s="32"/>
      <c r="M115" s="32"/>
      <c r="N115" s="32">
        <f>+AB116</f>
        <v>236318.84674501506</v>
      </c>
      <c r="O115" s="45"/>
      <c r="Q115" s="48" t="str">
        <f t="shared" ref="Q115:Q121" si="58">+K98</f>
        <v>Projected Debt Free Net Cash Flow (10)</v>
      </c>
      <c r="R115" s="32"/>
      <c r="S115" s="32"/>
      <c r="T115" s="32">
        <f>+AB132</f>
        <v>236318.84674501506</v>
      </c>
      <c r="U115" s="45"/>
      <c r="AB115" s="5"/>
      <c r="AC115" s="5"/>
      <c r="AD115" s="5"/>
      <c r="AE115" s="5"/>
      <c r="AF115" s="5"/>
      <c r="AG115" s="5"/>
      <c r="AH115" s="5"/>
      <c r="AI115" s="5"/>
      <c r="AJ115" s="5"/>
      <c r="AK115" s="5"/>
    </row>
    <row r="116" spans="1:40" ht="16.899999999999999" customHeight="1" x14ac:dyDescent="0.25">
      <c r="A116" s="173" t="s">
        <v>62</v>
      </c>
      <c r="B116" s="25">
        <f>B$83</f>
        <v>10</v>
      </c>
      <c r="D116" s="132">
        <v>2</v>
      </c>
      <c r="K116" s="48" t="str">
        <f t="shared" ref="K116:K120" si="59">+K83</f>
        <v>Divided by Capitalization Factor (8)</v>
      </c>
      <c r="L116" s="32"/>
      <c r="M116" s="33"/>
      <c r="N116" s="51">
        <f>+AB112</f>
        <v>6.6199999999999995E-2</v>
      </c>
      <c r="O116" s="45"/>
      <c r="Q116" s="48" t="str">
        <f t="shared" si="58"/>
        <v>Divided by Capitalization Factor (9)</v>
      </c>
      <c r="R116" s="32"/>
      <c r="S116" s="33"/>
      <c r="T116" s="51">
        <f>+AB128</f>
        <v>7.9799999999999996E-2</v>
      </c>
      <c r="U116" s="45"/>
      <c r="AB116" s="5">
        <f>+AB$52</f>
        <v>236318.84674501506</v>
      </c>
      <c r="AC116" s="5"/>
      <c r="AD116" s="5">
        <f>+Z$42</f>
        <v>290909.38734501507</v>
      </c>
      <c r="AE116" s="5">
        <f>+AE$83</f>
        <v>14.6</v>
      </c>
      <c r="AF116" s="5"/>
      <c r="AG116" s="5"/>
      <c r="AH116" s="5"/>
      <c r="AI116" s="5"/>
      <c r="AJ116" s="5"/>
      <c r="AK116" s="5"/>
    </row>
    <row r="117" spans="1:40" ht="16.899999999999999" customHeight="1" x14ac:dyDescent="0.25">
      <c r="A117" s="173" t="s">
        <v>64</v>
      </c>
      <c r="B117" s="25">
        <f>+B$54</f>
        <v>8</v>
      </c>
      <c r="D117" s="132">
        <v>2</v>
      </c>
      <c r="K117" s="48" t="str">
        <f t="shared" si="59"/>
        <v>13th Year Terminal Value</v>
      </c>
      <c r="L117" s="32"/>
      <c r="M117" s="19"/>
      <c r="N117" s="33">
        <f>+N115/N116</f>
        <v>3569771.0988672972</v>
      </c>
      <c r="O117" s="45"/>
      <c r="Q117" s="48" t="str">
        <f t="shared" si="58"/>
        <v>13th Year Terminal Value</v>
      </c>
      <c r="R117" s="32"/>
      <c r="S117" s="19"/>
      <c r="T117" s="33">
        <f>+T115/T116</f>
        <v>2961389.0569550763</v>
      </c>
      <c r="U117" s="45"/>
      <c r="AB117" s="5"/>
      <c r="AC117" s="5"/>
      <c r="AD117" s="5">
        <f>+Z$41</f>
        <v>387487.06014501507</v>
      </c>
      <c r="AE117" s="5">
        <f>+AE$84</f>
        <v>10.1</v>
      </c>
      <c r="AF117" s="5"/>
      <c r="AG117" s="5"/>
      <c r="AH117" s="5"/>
      <c r="AI117" s="5"/>
      <c r="AJ117" s="5"/>
      <c r="AK117" s="5"/>
    </row>
    <row r="118" spans="1:40" ht="16.899999999999999" customHeight="1" x14ac:dyDescent="0.25">
      <c r="D118" s="132">
        <v>2</v>
      </c>
      <c r="K118" s="48" t="str">
        <f t="shared" si="59"/>
        <v>13th Year Present Value Factor (11)</v>
      </c>
      <c r="L118" s="32"/>
      <c r="M118" s="19"/>
      <c r="N118" s="55">
        <f>+N85</f>
        <v>0.42330000000000001</v>
      </c>
      <c r="O118" s="45"/>
      <c r="Q118" s="48" t="str">
        <f t="shared" si="58"/>
        <v>13th Year Present Value Factor (12)</v>
      </c>
      <c r="R118" s="32"/>
      <c r="S118" s="19"/>
      <c r="T118" s="55">
        <f>+N101</f>
        <v>0.36149999999999999</v>
      </c>
      <c r="U118" s="45"/>
      <c r="AC118" s="5"/>
      <c r="AD118" s="5"/>
      <c r="AE118" s="5"/>
      <c r="AF118" s="5"/>
      <c r="AG118" s="5"/>
      <c r="AH118" s="5"/>
      <c r="AI118" s="5"/>
      <c r="AJ118" s="5"/>
      <c r="AK118" s="5"/>
    </row>
    <row r="119" spans="1:40" ht="16.899999999999999" customHeight="1" x14ac:dyDescent="0.25">
      <c r="A119" s="173" t="s">
        <v>70</v>
      </c>
      <c r="B119" s="25">
        <f>B$86</f>
        <v>11</v>
      </c>
      <c r="D119" s="132">
        <v>2</v>
      </c>
      <c r="K119" s="48" t="str">
        <f t="shared" si="59"/>
        <v>Present Value of Terminal Value</v>
      </c>
      <c r="L119" s="57"/>
      <c r="M119" s="19"/>
      <c r="N119" s="58">
        <f>+N118*N117</f>
        <v>1511084.106150527</v>
      </c>
      <c r="O119" s="45"/>
      <c r="Q119" s="48" t="str">
        <f t="shared" si="58"/>
        <v>Present Value of Terminal Value</v>
      </c>
      <c r="R119" s="57"/>
      <c r="S119" s="19"/>
      <c r="T119" s="58">
        <f>+T118*T117</f>
        <v>1070542.1440892601</v>
      </c>
      <c r="U119" s="45"/>
      <c r="AB119" s="176">
        <f>+Z62</f>
        <v>0.44879999999999998</v>
      </c>
      <c r="AC119" s="5"/>
      <c r="AD119" s="177">
        <f>+AB119</f>
        <v>0.44879999999999998</v>
      </c>
      <c r="AE119" s="5"/>
      <c r="AF119" s="5"/>
      <c r="AG119" s="5"/>
      <c r="AH119" s="5"/>
      <c r="AI119" s="5"/>
      <c r="AJ119" s="5"/>
      <c r="AK119" s="5"/>
    </row>
    <row r="120" spans="1:40" ht="16.899999999999999" customHeight="1" x14ac:dyDescent="0.25">
      <c r="D120" s="132">
        <v>2</v>
      </c>
      <c r="K120" s="48" t="str">
        <f t="shared" si="59"/>
        <v>Present Value Debt Free Net</v>
      </c>
      <c r="L120" s="57"/>
      <c r="M120" s="19"/>
      <c r="N120" s="32"/>
      <c r="O120" s="45"/>
      <c r="Q120" s="48" t="str">
        <f t="shared" si="58"/>
        <v>Present Value Debt Free Net</v>
      </c>
      <c r="R120" s="57"/>
      <c r="S120" s="19"/>
      <c r="T120" s="32"/>
      <c r="U120" s="45"/>
      <c r="AB120" s="5"/>
      <c r="AC120" s="5"/>
      <c r="AD120" s="5"/>
      <c r="AE120" s="5"/>
      <c r="AF120" s="5"/>
      <c r="AG120" s="5"/>
      <c r="AH120" s="5"/>
      <c r="AI120" s="5"/>
      <c r="AJ120" s="5"/>
      <c r="AK120" s="5"/>
    </row>
    <row r="121" spans="1:40" ht="16.899999999999999" customHeight="1" x14ac:dyDescent="0.25">
      <c r="D121" s="132">
        <v>2</v>
      </c>
      <c r="K121" s="48" t="str">
        <f>+K$88</f>
        <v>Cash Flow for 13 Years</v>
      </c>
      <c r="L121" s="57"/>
      <c r="M121" s="19"/>
      <c r="N121" s="60">
        <f>+AB122</f>
        <v>1565927.115539219</v>
      </c>
      <c r="O121" s="45"/>
      <c r="Q121" s="48" t="str">
        <f t="shared" si="58"/>
        <v>Cash Flow for 13 Years</v>
      </c>
      <c r="R121" s="57"/>
      <c r="S121" s="19"/>
      <c r="T121" s="60">
        <f>+AB138</f>
        <v>1435458.1315732109</v>
      </c>
      <c r="U121" s="45"/>
      <c r="V121" s="5"/>
      <c r="W121" s="5"/>
      <c r="X121" s="5"/>
      <c r="Y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</row>
    <row r="122" spans="1:40" ht="16.899999999999999" customHeight="1" x14ac:dyDescent="0.25">
      <c r="D122" s="132">
        <v>2</v>
      </c>
      <c r="K122" s="48"/>
      <c r="L122" s="57"/>
      <c r="M122" s="19"/>
      <c r="N122" s="32"/>
      <c r="O122" s="45"/>
      <c r="Q122" s="48"/>
      <c r="R122" s="57"/>
      <c r="S122" s="19"/>
      <c r="T122" s="32"/>
      <c r="U122" s="45"/>
      <c r="V122" s="5"/>
      <c r="W122" s="5"/>
      <c r="X122" s="5"/>
      <c r="Y122" s="5"/>
      <c r="AB122" s="5">
        <f>+AB56</f>
        <v>1565927.115539219</v>
      </c>
      <c r="AC122" s="5"/>
      <c r="AD122" s="5">
        <f>+AB122</f>
        <v>1565927.115539219</v>
      </c>
      <c r="AE122" s="5"/>
      <c r="AF122" s="5"/>
      <c r="AG122" s="5"/>
      <c r="AH122" s="5"/>
      <c r="AI122" s="5"/>
      <c r="AJ122" s="5"/>
      <c r="AK122" s="5"/>
    </row>
    <row r="123" spans="1:40" ht="16.899999999999999" customHeight="1" thickBot="1" x14ac:dyDescent="0.3">
      <c r="D123" s="132">
        <v>2</v>
      </c>
      <c r="K123" s="48" t="s">
        <v>68</v>
      </c>
      <c r="L123" s="57"/>
      <c r="M123" s="19"/>
      <c r="N123" s="20">
        <f>+N119+N121</f>
        <v>3077011.2216897458</v>
      </c>
      <c r="O123" s="45"/>
      <c r="Q123" s="48" t="s">
        <v>68</v>
      </c>
      <c r="R123" s="57"/>
      <c r="S123" s="19"/>
      <c r="T123" s="20">
        <f>+T119+T121</f>
        <v>2506000.2756624711</v>
      </c>
      <c r="U123" s="45"/>
      <c r="V123" s="5"/>
      <c r="W123" s="5"/>
      <c r="X123" s="5"/>
      <c r="Y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</row>
    <row r="124" spans="1:40" ht="16.899999999999999" customHeight="1" thickTop="1" thickBot="1" x14ac:dyDescent="0.3">
      <c r="D124" s="132">
        <v>2</v>
      </c>
      <c r="K124" s="62"/>
      <c r="L124" s="63"/>
      <c r="M124" s="64"/>
      <c r="N124" s="63"/>
      <c r="O124" s="65"/>
      <c r="Q124" s="62"/>
      <c r="R124" s="63"/>
      <c r="S124" s="64"/>
      <c r="T124" s="63"/>
      <c r="U124" s="65"/>
      <c r="V124" s="5"/>
      <c r="W124" s="5"/>
      <c r="X124" s="5"/>
      <c r="Y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</row>
    <row r="125" spans="1:40" ht="15" x14ac:dyDescent="0.25">
      <c r="D125" s="132">
        <v>2</v>
      </c>
      <c r="K125" s="6"/>
      <c r="L125" s="5"/>
      <c r="M125" s="5"/>
      <c r="N125" s="5"/>
      <c r="O125" s="5"/>
      <c r="P125" s="6"/>
      <c r="Q125" s="179"/>
      <c r="R125" s="180"/>
      <c r="S125" s="180"/>
      <c r="T125" s="180"/>
      <c r="U125" s="180"/>
      <c r="V125" s="5"/>
      <c r="W125" s="5"/>
      <c r="X125" s="5"/>
      <c r="Y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</row>
    <row r="126" spans="1:40" ht="15" x14ac:dyDescent="0.25">
      <c r="D126" s="132"/>
      <c r="K126" s="6"/>
      <c r="L126" s="5"/>
      <c r="M126" s="5"/>
      <c r="N126" s="5"/>
      <c r="O126" s="5"/>
      <c r="P126" s="6"/>
      <c r="Q126" s="179"/>
      <c r="R126" s="180"/>
      <c r="S126" s="180"/>
      <c r="T126" s="180"/>
      <c r="U126" s="180"/>
      <c r="V126" s="5"/>
      <c r="W126" s="5"/>
      <c r="X126" s="5"/>
      <c r="Y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</row>
    <row r="127" spans="1:40" ht="15" x14ac:dyDescent="0.25">
      <c r="D127" s="132"/>
      <c r="P127" s="6"/>
      <c r="Q127" s="181" t="str">
        <f>+"DCF With EBIT &amp; EBITDA Terminal Value Model - Discount Rate of "&amp;TEXT(AD128,"0.00%")</f>
        <v>DCF With EBIT &amp; EBITDA Terminal Value Model - Discount Rate of 7.98%</v>
      </c>
      <c r="R127" s="181"/>
      <c r="S127" s="181"/>
      <c r="T127" s="181"/>
      <c r="U127" s="181"/>
      <c r="V127" s="5"/>
      <c r="W127" s="5"/>
      <c r="X127" s="5"/>
      <c r="Y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174"/>
      <c r="AM127" s="31"/>
      <c r="AN127" s="31"/>
    </row>
    <row r="128" spans="1:40" ht="15" x14ac:dyDescent="0.25">
      <c r="D128" s="132"/>
      <c r="P128" s="6"/>
      <c r="Q128" s="182"/>
      <c r="R128" s="182"/>
      <c r="S128" s="183"/>
      <c r="T128" s="182"/>
      <c r="U128" s="184" t="s">
        <v>59</v>
      </c>
      <c r="V128" s="5"/>
      <c r="W128" s="5"/>
      <c r="X128" s="5"/>
      <c r="Y128" s="5"/>
      <c r="AB128" s="171">
        <f>+AC66</f>
        <v>7.9799999999999996E-2</v>
      </c>
      <c r="AC128" s="5"/>
      <c r="AD128" s="171">
        <f>+AB128</f>
        <v>7.9799999999999996E-2</v>
      </c>
      <c r="AE128" s="5"/>
      <c r="AF128" s="5"/>
      <c r="AG128" s="5"/>
      <c r="AH128" s="5"/>
      <c r="AI128" s="5"/>
      <c r="AJ128" s="5"/>
      <c r="AK128" s="5"/>
    </row>
    <row r="129" spans="4:37" ht="15" x14ac:dyDescent="0.25">
      <c r="D129" s="132"/>
      <c r="P129" s="6"/>
      <c r="Q129" s="182"/>
      <c r="R129" s="182"/>
      <c r="S129" s="183"/>
      <c r="T129" s="185" t="s">
        <v>71</v>
      </c>
      <c r="U129" s="185" t="s">
        <v>60</v>
      </c>
      <c r="V129" s="5"/>
      <c r="W129" s="5"/>
      <c r="X129" s="5"/>
      <c r="Y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</row>
    <row r="130" spans="4:37" ht="15" x14ac:dyDescent="0.25">
      <c r="D130" s="132"/>
      <c r="P130" s="6"/>
      <c r="Q130" s="182"/>
      <c r="R130" s="182"/>
      <c r="S130" s="183"/>
      <c r="T130" s="182"/>
      <c r="U130" s="182"/>
      <c r="V130" s="5"/>
      <c r="W130" s="5"/>
      <c r="X130" s="5"/>
      <c r="Y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</row>
    <row r="131" spans="4:37" ht="15" x14ac:dyDescent="0.25">
      <c r="D131" s="132"/>
      <c r="P131" s="6"/>
      <c r="Q131" s="186" t="s">
        <v>61</v>
      </c>
      <c r="R131" s="182"/>
      <c r="S131" s="182">
        <f>+AD132</f>
        <v>290909.38734501507</v>
      </c>
      <c r="T131" s="187">
        <f>+AE132</f>
        <v>14.6</v>
      </c>
      <c r="U131" s="182">
        <f>+T131*S131</f>
        <v>4247277.0552372197</v>
      </c>
      <c r="V131" s="5"/>
      <c r="W131" s="5"/>
      <c r="X131" s="5"/>
      <c r="Y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</row>
    <row r="132" spans="4:37" ht="16.899999999999999" customHeight="1" x14ac:dyDescent="0.25">
      <c r="D132" s="132"/>
      <c r="P132" s="6"/>
      <c r="Q132" s="186" t="s">
        <v>63</v>
      </c>
      <c r="R132" s="182"/>
      <c r="S132" s="188">
        <f>+AD133</f>
        <v>387487.06014501507</v>
      </c>
      <c r="T132" s="187">
        <f>+AE133</f>
        <v>10.1</v>
      </c>
      <c r="U132" s="188">
        <f>+T132*S132</f>
        <v>3913619.3074646522</v>
      </c>
      <c r="V132" s="5"/>
      <c r="W132" s="5"/>
      <c r="X132" s="5"/>
      <c r="Y132" s="5"/>
      <c r="AB132" s="5">
        <f>+AB$52</f>
        <v>236318.84674501506</v>
      </c>
      <c r="AC132" s="5"/>
      <c r="AD132" s="5">
        <f>+AD116</f>
        <v>290909.38734501507</v>
      </c>
      <c r="AE132" s="5">
        <f>+AE$83</f>
        <v>14.6</v>
      </c>
      <c r="AF132" s="5"/>
      <c r="AG132" s="5"/>
      <c r="AH132" s="5"/>
      <c r="AI132" s="5"/>
      <c r="AJ132" s="5"/>
      <c r="AK132" s="5"/>
    </row>
    <row r="133" spans="4:37" ht="16.899999999999999" customHeight="1" x14ac:dyDescent="0.25">
      <c r="D133" s="132"/>
      <c r="P133" s="6"/>
      <c r="Q133" s="189" t="s">
        <v>65</v>
      </c>
      <c r="R133" s="182"/>
      <c r="S133" s="183"/>
      <c r="T133" s="182"/>
      <c r="U133" s="188">
        <f>ROUND((0.33*U131)+(0.67*U132),0)</f>
        <v>4023726</v>
      </c>
      <c r="V133" s="5"/>
      <c r="W133" s="5"/>
      <c r="X133" s="5"/>
      <c r="Y133" s="5"/>
      <c r="AB133" s="5"/>
      <c r="AC133" s="5"/>
      <c r="AD133" s="5">
        <f>+AD117</f>
        <v>387487.06014501507</v>
      </c>
      <c r="AE133" s="5">
        <f>+AE$84</f>
        <v>10.1</v>
      </c>
      <c r="AF133" s="5"/>
      <c r="AG133" s="5"/>
      <c r="AH133" s="5"/>
      <c r="AI133" s="5"/>
      <c r="AJ133" s="5"/>
      <c r="AK133" s="5"/>
    </row>
    <row r="134" spans="4:37" ht="16.899999999999999" customHeight="1" x14ac:dyDescent="0.25">
      <c r="D134" s="132"/>
      <c r="P134" s="6"/>
      <c r="Q134" s="186" t="str">
        <f>+Q118</f>
        <v>13th Year Present Value Factor (12)</v>
      </c>
      <c r="R134" s="182"/>
      <c r="S134" s="183"/>
      <c r="T134" s="182"/>
      <c r="U134" s="190">
        <f>+U101</f>
        <v>0.36149999999999999</v>
      </c>
      <c r="V134" s="5"/>
      <c r="W134" s="5"/>
      <c r="X134" s="5"/>
      <c r="Y134" s="5"/>
      <c r="AC134" s="5"/>
      <c r="AD134" s="5"/>
      <c r="AE134" s="5"/>
      <c r="AF134" s="5"/>
      <c r="AG134" s="5"/>
      <c r="AH134" s="5"/>
      <c r="AI134" s="5"/>
      <c r="AJ134" s="5"/>
      <c r="AK134" s="5"/>
    </row>
    <row r="135" spans="4:37" ht="16.899999999999999" customHeight="1" x14ac:dyDescent="0.25">
      <c r="D135" s="132"/>
      <c r="P135" s="6"/>
      <c r="Q135" s="186" t="s">
        <v>66</v>
      </c>
      <c r="R135" s="186"/>
      <c r="S135" s="183"/>
      <c r="T135" s="188"/>
      <c r="U135" s="188">
        <f>+U134*U133</f>
        <v>1454576.949</v>
      </c>
      <c r="V135" s="5"/>
      <c r="W135" s="5"/>
      <c r="X135" s="5"/>
      <c r="Y135" s="5"/>
      <c r="AB135" s="176">
        <f>+Z66</f>
        <v>0.38300000000000001</v>
      </c>
      <c r="AC135" s="5"/>
      <c r="AD135" s="177">
        <f>+AB135</f>
        <v>0.38300000000000001</v>
      </c>
      <c r="AE135" s="5"/>
      <c r="AF135" s="5"/>
      <c r="AG135" s="5"/>
      <c r="AH135" s="5"/>
      <c r="AI135" s="5"/>
      <c r="AJ135" s="5"/>
      <c r="AK135" s="5"/>
    </row>
    <row r="136" spans="4:37" ht="16.899999999999999" customHeight="1" x14ac:dyDescent="0.25">
      <c r="D136" s="132"/>
      <c r="P136" s="6"/>
      <c r="Q136" s="186" t="s">
        <v>67</v>
      </c>
      <c r="R136" s="186"/>
      <c r="S136" s="183"/>
      <c r="T136" s="186"/>
      <c r="U136" s="182"/>
      <c r="V136" s="5"/>
      <c r="W136" s="5"/>
      <c r="X136" s="5"/>
      <c r="Y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</row>
    <row r="137" spans="4:37" ht="16.899999999999999" customHeight="1" x14ac:dyDescent="0.25">
      <c r="D137" s="132"/>
      <c r="P137" s="6"/>
      <c r="Q137" s="186" t="str">
        <f>+Q$88</f>
        <v>Cash Flow for 13 Years</v>
      </c>
      <c r="R137" s="186"/>
      <c r="S137" s="183"/>
      <c r="T137" s="188"/>
      <c r="U137" s="188">
        <f>+AB138</f>
        <v>1435458.1315732109</v>
      </c>
      <c r="V137" s="5"/>
      <c r="W137" s="5"/>
      <c r="X137" s="5"/>
      <c r="Y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</row>
    <row r="138" spans="4:37" ht="16.899999999999999" customHeight="1" x14ac:dyDescent="0.25">
      <c r="D138" s="132"/>
      <c r="P138" s="6"/>
      <c r="Q138" s="186"/>
      <c r="R138" s="186"/>
      <c r="S138" s="183"/>
      <c r="T138" s="182"/>
      <c r="U138" s="182"/>
      <c r="V138" s="5"/>
      <c r="W138" s="5"/>
      <c r="X138" s="5"/>
      <c r="Y138" s="5"/>
      <c r="AB138" s="5">
        <f>+AB60</f>
        <v>1435458.1315732109</v>
      </c>
      <c r="AC138" s="5"/>
      <c r="AD138" s="5">
        <f>+AB138</f>
        <v>1435458.1315732109</v>
      </c>
      <c r="AE138" s="5"/>
      <c r="AF138" s="5"/>
      <c r="AG138" s="5"/>
      <c r="AH138" s="5"/>
      <c r="AI138" s="5"/>
      <c r="AJ138" s="5"/>
      <c r="AK138" s="5"/>
    </row>
    <row r="139" spans="4:37" ht="16.899999999999999" customHeight="1" x14ac:dyDescent="0.25">
      <c r="D139" s="132"/>
      <c r="P139" s="6"/>
      <c r="Q139" s="186" t="s">
        <v>68</v>
      </c>
      <c r="R139" s="186"/>
      <c r="S139" s="183"/>
      <c r="T139" s="188"/>
      <c r="U139" s="182">
        <f>+U135+U137</f>
        <v>2890035.080573211</v>
      </c>
      <c r="V139" s="5"/>
      <c r="W139" s="5"/>
      <c r="X139" s="5"/>
      <c r="Y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</row>
    <row r="140" spans="4:37" ht="16.899999999999999" customHeight="1" x14ac:dyDescent="0.25">
      <c r="D140" s="132"/>
      <c r="P140" s="6"/>
      <c r="Q140" s="182"/>
      <c r="R140" s="182"/>
      <c r="S140" s="183"/>
      <c r="T140" s="182"/>
      <c r="U140" s="182"/>
      <c r="V140" s="5"/>
      <c r="W140" s="5"/>
      <c r="X140" s="5"/>
      <c r="Y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</row>
    <row r="141" spans="4:37" ht="15" x14ac:dyDescent="0.25">
      <c r="D141" s="132"/>
      <c r="K141" s="32"/>
      <c r="L141" s="32"/>
      <c r="M141" s="19"/>
      <c r="N141" s="6"/>
      <c r="O141" s="32"/>
      <c r="P141" s="6"/>
      <c r="Q141" s="6"/>
      <c r="R141" s="5"/>
      <c r="S141" s="5"/>
      <c r="T141" s="5"/>
      <c r="U141" s="5"/>
      <c r="V141" s="5"/>
      <c r="W141" s="5"/>
      <c r="X141" s="5"/>
      <c r="Y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</row>
    <row r="142" spans="4:37" ht="15.75" x14ac:dyDescent="0.25">
      <c r="D142" s="132">
        <v>2</v>
      </c>
      <c r="L142" s="27" t="s">
        <v>72</v>
      </c>
      <c r="M142" s="19"/>
      <c r="N142" s="6"/>
      <c r="O142" s="32"/>
      <c r="P142" s="6"/>
      <c r="Q142" s="6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G142" s="5"/>
      <c r="AH142" s="5"/>
      <c r="AI142" s="5"/>
      <c r="AJ142" s="5"/>
      <c r="AK142" s="5"/>
    </row>
    <row r="143" spans="4:37" ht="16.5" thickBot="1" x14ac:dyDescent="0.3">
      <c r="D143" s="132">
        <v>2</v>
      </c>
      <c r="G143" s="27"/>
      <c r="L143" s="6"/>
      <c r="M143" s="6"/>
      <c r="N143" s="6"/>
      <c r="O143" s="6"/>
      <c r="P143" s="6"/>
      <c r="Q143" s="6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G143" s="5"/>
      <c r="AH143" s="5"/>
      <c r="AI143" s="5"/>
      <c r="AJ143" s="5"/>
      <c r="AK143" s="5"/>
    </row>
    <row r="144" spans="4:37" ht="15.75" thickBot="1" x14ac:dyDescent="0.3">
      <c r="D144" s="132">
        <v>3</v>
      </c>
      <c r="K144" s="34" t="str">
        <f>+"DCF With Capitalization of Terminal Value Model @ "&amp;TEXT(AB145,"0.00%")</f>
        <v>DCF With Capitalization of Terminal Value Model @ 3.84%</v>
      </c>
      <c r="L144" s="35"/>
      <c r="M144" s="35"/>
      <c r="N144" s="35"/>
      <c r="O144" s="36"/>
      <c r="P144" s="6"/>
      <c r="Q144" s="34" t="str">
        <f>+"DCF With EBIT &amp; EBITDA Terminal Value Model - Discount Rate of "&amp;TEXT(AD145,"0.00%")</f>
        <v>DCF With EBIT &amp; EBITDA Terminal Value Model - Discount Rate of 3.84%</v>
      </c>
      <c r="R144" s="35"/>
      <c r="S144" s="35"/>
      <c r="T144" s="35"/>
      <c r="U144" s="36"/>
      <c r="V144" s="5"/>
      <c r="W144" s="5"/>
      <c r="X144" s="5"/>
      <c r="Y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</row>
    <row r="145" spans="3:37" ht="15" x14ac:dyDescent="0.25">
      <c r="C145" s="168" t="s">
        <v>73</v>
      </c>
      <c r="D145" s="132">
        <v>3</v>
      </c>
      <c r="G145" s="29"/>
      <c r="K145" s="37"/>
      <c r="L145" s="38"/>
      <c r="M145" s="39"/>
      <c r="N145" s="40" t="s">
        <v>59</v>
      </c>
      <c r="O145" s="41"/>
      <c r="Q145" s="37"/>
      <c r="R145" s="38"/>
      <c r="S145" s="39"/>
      <c r="T145" s="38"/>
      <c r="U145" s="42" t="s">
        <v>59</v>
      </c>
      <c r="V145" s="5"/>
      <c r="W145" s="5"/>
      <c r="X145" s="5"/>
      <c r="Y145" s="5"/>
      <c r="AB145" s="171">
        <f>+AC70</f>
        <v>3.8399999999999997E-2</v>
      </c>
      <c r="AC145" s="5"/>
      <c r="AD145" s="171">
        <f>+AB145</f>
        <v>3.8399999999999997E-2</v>
      </c>
      <c r="AE145" s="5"/>
      <c r="AF145" s="5"/>
      <c r="AG145" s="5"/>
      <c r="AH145" s="5"/>
      <c r="AI145" s="5"/>
      <c r="AJ145" s="5"/>
      <c r="AK145" s="5"/>
    </row>
    <row r="146" spans="3:37" ht="15" x14ac:dyDescent="0.25">
      <c r="D146" s="132">
        <v>3</v>
      </c>
      <c r="K146" s="43"/>
      <c r="L146" s="32"/>
      <c r="M146" s="19"/>
      <c r="N146" s="44" t="s">
        <v>60</v>
      </c>
      <c r="O146" s="45"/>
      <c r="Q146" s="43"/>
      <c r="R146" s="32"/>
      <c r="S146" s="19"/>
      <c r="T146" s="44" t="str">
        <f>+T96</f>
        <v>Multiples (13)</v>
      </c>
      <c r="U146" s="46" t="s">
        <v>60</v>
      </c>
      <c r="V146" s="5"/>
      <c r="W146" s="5"/>
      <c r="X146" s="5"/>
      <c r="Y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</row>
    <row r="147" spans="3:37" ht="15" x14ac:dyDescent="0.25">
      <c r="D147" s="132">
        <v>3</v>
      </c>
      <c r="K147" s="43"/>
      <c r="L147" s="32"/>
      <c r="M147" s="19"/>
      <c r="N147" s="32"/>
      <c r="O147" s="45"/>
      <c r="Q147" s="43"/>
      <c r="R147" s="32"/>
      <c r="S147" s="19"/>
      <c r="T147" s="32"/>
      <c r="U147" s="47"/>
      <c r="V147" s="5"/>
      <c r="W147" s="5"/>
      <c r="X147" s="5"/>
      <c r="Y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</row>
    <row r="148" spans="3:37" ht="15" x14ac:dyDescent="0.25">
      <c r="D148" s="132">
        <v>3</v>
      </c>
      <c r="K148" s="48" t="str">
        <f t="shared" ref="K148:K154" si="60">+K115</f>
        <v>Projected Debt Free Net Cash Flow (10)</v>
      </c>
      <c r="L148" s="32"/>
      <c r="M148" s="32"/>
      <c r="N148" s="32">
        <f>+AB149</f>
        <v>236318.84674501506</v>
      </c>
      <c r="O148" s="45"/>
      <c r="Q148" s="49" t="s">
        <v>61</v>
      </c>
      <c r="R148" s="32"/>
      <c r="S148" s="32">
        <f>+AD149</f>
        <v>290909.38734501507</v>
      </c>
      <c r="T148" s="50">
        <f>+AE149</f>
        <v>14.6</v>
      </c>
      <c r="U148" s="47">
        <f>+T148*S148</f>
        <v>4247277.0552372197</v>
      </c>
      <c r="V148" s="5"/>
      <c r="W148" s="5"/>
      <c r="X148" s="5"/>
      <c r="Y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</row>
    <row r="149" spans="3:37" ht="16.899999999999999" customHeight="1" x14ac:dyDescent="0.25">
      <c r="D149" s="132">
        <v>3</v>
      </c>
      <c r="K149" s="48" t="str">
        <f t="shared" si="60"/>
        <v>Divided by Capitalization Factor (8)</v>
      </c>
      <c r="L149" s="32"/>
      <c r="M149" s="33"/>
      <c r="N149" s="51">
        <f>+AB145</f>
        <v>3.8399999999999997E-2</v>
      </c>
      <c r="O149" s="45"/>
      <c r="Q149" s="49" t="s">
        <v>63</v>
      </c>
      <c r="R149" s="32"/>
      <c r="S149" s="33">
        <f>+AD150</f>
        <v>387487.06014501507</v>
      </c>
      <c r="T149" s="50">
        <f>+AE150</f>
        <v>10.1</v>
      </c>
      <c r="U149" s="52">
        <f>+T149*S149</f>
        <v>3913619.3074646522</v>
      </c>
      <c r="V149" s="5"/>
      <c r="W149" s="5"/>
      <c r="X149" s="5"/>
      <c r="Y149" s="5"/>
      <c r="AB149" s="5">
        <f>+AB$52</f>
        <v>236318.84674501506</v>
      </c>
      <c r="AC149" s="5"/>
      <c r="AD149" s="5">
        <f>+Z$42</f>
        <v>290909.38734501507</v>
      </c>
      <c r="AE149" s="5">
        <f>+AE$83</f>
        <v>14.6</v>
      </c>
      <c r="AF149" s="5"/>
      <c r="AG149" s="5"/>
      <c r="AH149" s="5"/>
      <c r="AI149" s="5"/>
      <c r="AJ149" s="5"/>
      <c r="AK149" s="5"/>
    </row>
    <row r="150" spans="3:37" ht="16.899999999999999" customHeight="1" x14ac:dyDescent="0.25">
      <c r="D150" s="132">
        <v>3</v>
      </c>
      <c r="K150" s="48" t="str">
        <f t="shared" si="60"/>
        <v>13th Year Terminal Value</v>
      </c>
      <c r="L150" s="32"/>
      <c r="M150" s="19"/>
      <c r="N150" s="33">
        <f>+N148/N149</f>
        <v>6154136.6339847678</v>
      </c>
      <c r="O150" s="45"/>
      <c r="Q150" s="53" t="s">
        <v>65</v>
      </c>
      <c r="R150" s="32"/>
      <c r="S150" s="19"/>
      <c r="T150" s="32"/>
      <c r="U150" s="54">
        <f>ROUND((0.33*U148)+(0.67*U149),0)</f>
        <v>4023726</v>
      </c>
      <c r="V150" s="5"/>
      <c r="W150" s="5"/>
      <c r="X150" s="5"/>
      <c r="Y150" s="5"/>
      <c r="AB150" s="5"/>
      <c r="AC150" s="5"/>
      <c r="AD150" s="5">
        <f>+Z$41</f>
        <v>387487.06014501507</v>
      </c>
      <c r="AE150" s="5">
        <f>+AE$84</f>
        <v>10.1</v>
      </c>
      <c r="AF150" s="5"/>
      <c r="AG150" s="5"/>
      <c r="AH150" s="5"/>
      <c r="AI150" s="5"/>
      <c r="AJ150" s="5"/>
      <c r="AK150" s="5"/>
    </row>
    <row r="151" spans="3:37" ht="16.899999999999999" customHeight="1" x14ac:dyDescent="0.25">
      <c r="D151" s="132">
        <v>3</v>
      </c>
      <c r="K151" s="48" t="str">
        <f t="shared" si="60"/>
        <v>13th Year Present Value Factor (11)</v>
      </c>
      <c r="L151" s="32"/>
      <c r="M151" s="19"/>
      <c r="N151" s="55">
        <f>+AB152</f>
        <v>0.62439999999999996</v>
      </c>
      <c r="O151" s="45"/>
      <c r="Q151" s="49" t="str">
        <f>+K151</f>
        <v>13th Year Present Value Factor (11)</v>
      </c>
      <c r="R151" s="32"/>
      <c r="S151" s="19"/>
      <c r="T151" s="32"/>
      <c r="U151" s="56">
        <f>+AD152</f>
        <v>0.62439999999999996</v>
      </c>
      <c r="V151" s="5"/>
      <c r="W151" s="5"/>
      <c r="X151" s="5"/>
      <c r="Y151" s="5"/>
      <c r="AC151" s="5"/>
      <c r="AD151" s="5"/>
      <c r="AE151" s="5"/>
      <c r="AF151" s="5"/>
      <c r="AG151" s="5"/>
      <c r="AH151" s="5"/>
      <c r="AI151" s="5"/>
      <c r="AJ151" s="5"/>
      <c r="AK151" s="5"/>
    </row>
    <row r="152" spans="3:37" ht="16.899999999999999" customHeight="1" x14ac:dyDescent="0.25">
      <c r="D152" s="132">
        <v>3</v>
      </c>
      <c r="K152" s="48" t="str">
        <f t="shared" si="60"/>
        <v>Present Value of Terminal Value</v>
      </c>
      <c r="L152" s="57"/>
      <c r="M152" s="19"/>
      <c r="N152" s="58">
        <f>+N151*N150</f>
        <v>3842642.9142600889</v>
      </c>
      <c r="O152" s="45"/>
      <c r="Q152" s="49" t="s">
        <v>66</v>
      </c>
      <c r="R152" s="57"/>
      <c r="S152" s="19"/>
      <c r="T152" s="33"/>
      <c r="U152" s="59">
        <f>+U151*U150</f>
        <v>2512414.5143999998</v>
      </c>
      <c r="V152" s="5"/>
      <c r="W152" s="5"/>
      <c r="X152" s="5"/>
      <c r="Y152" s="5"/>
      <c r="AA152" s="2" t="s">
        <v>74</v>
      </c>
      <c r="AB152" s="176">
        <f>+Z70</f>
        <v>0.62439999999999996</v>
      </c>
      <c r="AC152" s="5"/>
      <c r="AD152" s="177">
        <f>+AB152</f>
        <v>0.62439999999999996</v>
      </c>
      <c r="AE152" s="5"/>
      <c r="AF152" s="5"/>
      <c r="AG152" s="5"/>
      <c r="AH152" s="5"/>
      <c r="AI152" s="5"/>
      <c r="AJ152" s="5"/>
      <c r="AK152" s="5"/>
    </row>
    <row r="153" spans="3:37" ht="16.899999999999999" customHeight="1" x14ac:dyDescent="0.25">
      <c r="D153" s="132">
        <v>3</v>
      </c>
      <c r="K153" s="48" t="str">
        <f t="shared" si="60"/>
        <v>Present Value Debt Free Net</v>
      </c>
      <c r="L153" s="57"/>
      <c r="M153" s="19"/>
      <c r="N153" s="32"/>
      <c r="O153" s="45"/>
      <c r="Q153" s="49" t="s">
        <v>67</v>
      </c>
      <c r="R153" s="57"/>
      <c r="S153" s="19"/>
      <c r="T153" s="57"/>
      <c r="U153" s="47"/>
      <c r="V153" s="5"/>
      <c r="W153" s="5"/>
      <c r="X153" s="5"/>
      <c r="Y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</row>
    <row r="154" spans="3:37" ht="16.899999999999999" customHeight="1" x14ac:dyDescent="0.25">
      <c r="D154" s="132">
        <v>3</v>
      </c>
      <c r="K154" s="48" t="str">
        <f t="shared" si="60"/>
        <v>Cash Flow for 13 Years</v>
      </c>
      <c r="L154" s="57"/>
      <c r="M154" s="19"/>
      <c r="N154" s="60">
        <f>+AB155</f>
        <v>1952495.281088134</v>
      </c>
      <c r="O154" s="45"/>
      <c r="Q154" s="49" t="str">
        <f>+Q$88</f>
        <v>Cash Flow for 13 Years</v>
      </c>
      <c r="R154" s="57"/>
      <c r="S154" s="19"/>
      <c r="T154" s="33"/>
      <c r="U154" s="52">
        <f>+AD155</f>
        <v>1952495.281088134</v>
      </c>
      <c r="V154" s="5"/>
      <c r="W154" s="5"/>
      <c r="X154" s="5"/>
      <c r="Y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</row>
    <row r="155" spans="3:37" ht="16.899999999999999" customHeight="1" x14ac:dyDescent="0.25">
      <c r="D155" s="132">
        <v>3</v>
      </c>
      <c r="K155" s="48"/>
      <c r="L155" s="57"/>
      <c r="M155" s="19"/>
      <c r="N155" s="32"/>
      <c r="O155" s="45"/>
      <c r="Q155" s="49"/>
      <c r="R155" s="57"/>
      <c r="S155" s="19"/>
      <c r="T155" s="32"/>
      <c r="U155" s="47"/>
      <c r="V155" s="5"/>
      <c r="W155" s="5"/>
      <c r="X155" s="5"/>
      <c r="Y155" s="5"/>
      <c r="AB155" s="5">
        <f>+AB72</f>
        <v>1952495.281088134</v>
      </c>
      <c r="AC155" s="5"/>
      <c r="AD155" s="5">
        <f>+AB155</f>
        <v>1952495.281088134</v>
      </c>
      <c r="AE155" s="5"/>
      <c r="AF155" s="5"/>
      <c r="AG155" s="5"/>
      <c r="AH155" s="5"/>
      <c r="AI155" s="5"/>
      <c r="AJ155" s="5"/>
      <c r="AK155" s="5"/>
    </row>
    <row r="156" spans="3:37" ht="16.899999999999999" customHeight="1" thickBot="1" x14ac:dyDescent="0.3">
      <c r="D156" s="132">
        <v>3</v>
      </c>
      <c r="K156" s="48" t="s">
        <v>68</v>
      </c>
      <c r="L156" s="57"/>
      <c r="M156" s="19"/>
      <c r="N156" s="20">
        <f>+N152+N154</f>
        <v>5795138.1953482227</v>
      </c>
      <c r="O156" s="45"/>
      <c r="Q156" s="49" t="s">
        <v>68</v>
      </c>
      <c r="R156" s="57"/>
      <c r="S156" s="19"/>
      <c r="T156" s="33"/>
      <c r="U156" s="61">
        <f>+U152+U154</f>
        <v>4464909.795488134</v>
      </c>
      <c r="V156" s="5"/>
      <c r="W156" s="5"/>
      <c r="X156" s="5"/>
      <c r="Y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</row>
    <row r="157" spans="3:37" ht="16.899999999999999" customHeight="1" thickTop="1" thickBot="1" x14ac:dyDescent="0.3">
      <c r="D157" s="132">
        <v>3</v>
      </c>
      <c r="K157" s="62"/>
      <c r="L157" s="63"/>
      <c r="M157" s="64"/>
      <c r="N157" s="63"/>
      <c r="O157" s="65"/>
      <c r="Q157" s="62"/>
      <c r="R157" s="63"/>
      <c r="S157" s="64"/>
      <c r="T157" s="63"/>
      <c r="U157" s="65"/>
      <c r="V157" s="5"/>
      <c r="W157" s="5"/>
      <c r="X157" s="5"/>
      <c r="Y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</row>
    <row r="158" spans="3:37" ht="15" x14ac:dyDescent="0.25">
      <c r="D158" s="132">
        <v>3</v>
      </c>
      <c r="K158" s="6"/>
      <c r="L158" s="5"/>
      <c r="M158" s="5"/>
      <c r="N158" s="5"/>
      <c r="O158" s="5"/>
      <c r="P158" s="6"/>
      <c r="Q158" s="6"/>
      <c r="R158" s="5"/>
      <c r="S158" s="5"/>
      <c r="T158" s="5"/>
      <c r="U158" s="5"/>
      <c r="V158" s="5"/>
      <c r="W158" s="5"/>
      <c r="X158" s="5"/>
      <c r="Y158" s="5"/>
      <c r="AB158" s="5"/>
      <c r="AC158" s="5"/>
      <c r="AD158" s="5"/>
      <c r="AE158" s="5"/>
      <c r="AF158" s="5"/>
      <c r="AG158" s="5"/>
      <c r="AH158" s="5"/>
    </row>
    <row r="159" spans="3:37" ht="15.75" thickBot="1" x14ac:dyDescent="0.3">
      <c r="D159" s="132">
        <v>3</v>
      </c>
      <c r="K159" s="6"/>
      <c r="L159" s="5"/>
      <c r="M159" s="5"/>
      <c r="N159" s="5"/>
      <c r="O159" s="5"/>
      <c r="P159" s="6"/>
      <c r="Q159" s="6"/>
      <c r="R159" s="5"/>
      <c r="S159" s="5"/>
      <c r="T159" s="5"/>
      <c r="U159" s="5"/>
      <c r="V159" s="5"/>
      <c r="W159" s="5"/>
      <c r="X159" s="5"/>
      <c r="Y159" s="5"/>
      <c r="AB159" s="5"/>
      <c r="AC159" s="5"/>
      <c r="AD159" s="5"/>
      <c r="AE159" s="5"/>
      <c r="AF159" s="5"/>
      <c r="AG159" s="5"/>
      <c r="AH159" s="5"/>
    </row>
    <row r="160" spans="3:37" ht="15.75" thickBot="1" x14ac:dyDescent="0.3">
      <c r="D160" s="132">
        <v>3</v>
      </c>
      <c r="K160" s="34" t="str">
        <f>+"DCF With Capitalization of Terminal Value Model @ "&amp;TEXT(AB161,"0.00%")</f>
        <v>DCF With Capitalization of Terminal Value Model @ 3.34%</v>
      </c>
      <c r="L160" s="35"/>
      <c r="M160" s="35"/>
      <c r="N160" s="35"/>
      <c r="O160" s="36"/>
      <c r="P160" s="6"/>
      <c r="Q160" s="34" t="str">
        <f>+"DCF With EBIT &amp; EBITDA Terminal Value Model - Discount Rate of "&amp;TEXT(AD161,"0.00%")</f>
        <v>DCF With EBIT &amp; EBITDA Terminal Value Model - Discount Rate of 3.34%</v>
      </c>
      <c r="R160" s="35"/>
      <c r="S160" s="35"/>
      <c r="T160" s="35"/>
      <c r="U160" s="36"/>
      <c r="V160" s="5"/>
      <c r="W160" s="5"/>
      <c r="X160" s="5"/>
      <c r="Y160" s="5"/>
      <c r="AB160" s="5"/>
      <c r="AC160" s="5"/>
      <c r="AD160" s="5"/>
      <c r="AE160" s="5"/>
      <c r="AF160" s="5"/>
      <c r="AG160" s="5"/>
      <c r="AH160" s="5"/>
    </row>
    <row r="161" spans="3:34" ht="15" x14ac:dyDescent="0.25">
      <c r="C161" s="168" t="s">
        <v>75</v>
      </c>
      <c r="D161" s="132">
        <v>3</v>
      </c>
      <c r="K161" s="37"/>
      <c r="L161" s="38"/>
      <c r="M161" s="39"/>
      <c r="N161" s="40" t="s">
        <v>59</v>
      </c>
      <c r="O161" s="41"/>
      <c r="P161" s="6"/>
      <c r="Q161" s="37"/>
      <c r="R161" s="38"/>
      <c r="S161" s="39"/>
      <c r="T161" s="38"/>
      <c r="U161" s="42" t="s">
        <v>59</v>
      </c>
      <c r="V161" s="5"/>
      <c r="W161" s="5"/>
      <c r="X161" s="5"/>
      <c r="Y161" s="5"/>
      <c r="AB161" s="171">
        <f>+AC74</f>
        <v>3.3399999999999999E-2</v>
      </c>
      <c r="AC161" s="5"/>
      <c r="AD161" s="171">
        <f>+AB161</f>
        <v>3.3399999999999999E-2</v>
      </c>
      <c r="AE161" s="5"/>
      <c r="AF161" s="5"/>
      <c r="AG161" s="5"/>
      <c r="AH161" s="5"/>
    </row>
    <row r="162" spans="3:34" ht="15" x14ac:dyDescent="0.25">
      <c r="D162" s="132">
        <v>3</v>
      </c>
      <c r="K162" s="43"/>
      <c r="L162" s="32"/>
      <c r="M162" s="19"/>
      <c r="N162" s="44" t="s">
        <v>60</v>
      </c>
      <c r="O162" s="45"/>
      <c r="P162" s="6"/>
      <c r="Q162" s="43"/>
      <c r="R162" s="32"/>
      <c r="S162" s="19"/>
      <c r="T162" s="44" t="str">
        <f>+T146</f>
        <v>Multiples (13)</v>
      </c>
      <c r="U162" s="46" t="s">
        <v>60</v>
      </c>
      <c r="V162" s="5"/>
      <c r="W162" s="5"/>
      <c r="X162" s="5"/>
      <c r="Y162" s="5"/>
      <c r="AB162" s="5"/>
      <c r="AC162" s="5"/>
      <c r="AD162" s="5"/>
      <c r="AE162" s="5"/>
      <c r="AF162" s="5"/>
      <c r="AG162" s="5"/>
      <c r="AH162" s="5"/>
    </row>
    <row r="163" spans="3:34" ht="15" x14ac:dyDescent="0.25">
      <c r="D163" s="132">
        <v>3</v>
      </c>
      <c r="K163" s="43"/>
      <c r="L163" s="32"/>
      <c r="M163" s="19"/>
      <c r="N163" s="32"/>
      <c r="O163" s="45"/>
      <c r="P163" s="6"/>
      <c r="Q163" s="43"/>
      <c r="R163" s="32"/>
      <c r="S163" s="19"/>
      <c r="T163" s="32"/>
      <c r="U163" s="47"/>
      <c r="V163" s="5"/>
      <c r="W163" s="5"/>
      <c r="X163" s="5"/>
      <c r="Y163" s="5"/>
      <c r="AB163" s="5"/>
      <c r="AC163" s="5"/>
      <c r="AD163" s="5"/>
      <c r="AE163" s="5"/>
      <c r="AF163" s="5"/>
      <c r="AG163" s="5"/>
      <c r="AH163" s="5"/>
    </row>
    <row r="164" spans="3:34" ht="15" x14ac:dyDescent="0.25">
      <c r="D164" s="132">
        <v>3</v>
      </c>
      <c r="K164" s="48" t="str">
        <f t="shared" ref="K164:K170" si="61">+Q115</f>
        <v>Projected Debt Free Net Cash Flow (10)</v>
      </c>
      <c r="L164" s="32"/>
      <c r="M164" s="32"/>
      <c r="N164" s="32">
        <f>+AB165</f>
        <v>236318.84674501506</v>
      </c>
      <c r="O164" s="45"/>
      <c r="P164" s="6"/>
      <c r="Q164" s="49" t="s">
        <v>61</v>
      </c>
      <c r="R164" s="32"/>
      <c r="S164" s="32">
        <f>+AD165</f>
        <v>290909.38734501507</v>
      </c>
      <c r="T164" s="50">
        <f>+AE165</f>
        <v>14.6</v>
      </c>
      <c r="U164" s="47">
        <f>+T164*S164</f>
        <v>4247277.0552372197</v>
      </c>
      <c r="V164" s="5"/>
      <c r="W164" s="5"/>
      <c r="X164" s="5"/>
      <c r="Y164" s="5"/>
      <c r="AB164" s="5"/>
      <c r="AC164" s="5"/>
      <c r="AD164" s="5"/>
      <c r="AE164" s="5"/>
      <c r="AF164" s="5"/>
      <c r="AG164" s="5"/>
      <c r="AH164" s="5"/>
    </row>
    <row r="165" spans="3:34" ht="16.899999999999999" customHeight="1" x14ac:dyDescent="0.25">
      <c r="D165" s="132">
        <v>3</v>
      </c>
      <c r="K165" s="48" t="str">
        <f t="shared" si="61"/>
        <v>Divided by Capitalization Factor (9)</v>
      </c>
      <c r="L165" s="32"/>
      <c r="M165" s="33"/>
      <c r="N165" s="51">
        <f>+AB161</f>
        <v>3.3399999999999999E-2</v>
      </c>
      <c r="O165" s="45"/>
      <c r="P165" s="6"/>
      <c r="Q165" s="49" t="s">
        <v>63</v>
      </c>
      <c r="R165" s="32"/>
      <c r="S165" s="33">
        <f>+AD166</f>
        <v>387487.06014501507</v>
      </c>
      <c r="T165" s="50">
        <f>+AE166</f>
        <v>10.1</v>
      </c>
      <c r="U165" s="52">
        <f>+T165*S165</f>
        <v>3913619.3074646522</v>
      </c>
      <c r="V165" s="5"/>
      <c r="W165" s="5"/>
      <c r="X165" s="5"/>
      <c r="Y165" s="5"/>
      <c r="AB165" s="5">
        <f>+AB$52</f>
        <v>236318.84674501506</v>
      </c>
      <c r="AC165" s="5"/>
      <c r="AD165" s="5">
        <f>+AD149</f>
        <v>290909.38734501507</v>
      </c>
      <c r="AE165" s="5">
        <f>+AE$83</f>
        <v>14.6</v>
      </c>
      <c r="AF165" s="5"/>
      <c r="AG165" s="5"/>
      <c r="AH165" s="5"/>
    </row>
    <row r="166" spans="3:34" ht="16.899999999999999" customHeight="1" x14ac:dyDescent="0.25">
      <c r="D166" s="132">
        <v>3</v>
      </c>
      <c r="K166" s="48" t="str">
        <f t="shared" si="61"/>
        <v>13th Year Terminal Value</v>
      </c>
      <c r="L166" s="32"/>
      <c r="M166" s="19"/>
      <c r="N166" s="33">
        <f>+N164/N165</f>
        <v>7075414.5732040443</v>
      </c>
      <c r="O166" s="45"/>
      <c r="P166" s="6"/>
      <c r="Q166" s="53" t="s">
        <v>65</v>
      </c>
      <c r="R166" s="32"/>
      <c r="S166" s="19"/>
      <c r="T166" s="32"/>
      <c r="U166" s="54">
        <f>ROUND((0.33*U164)+(0.67*U165),0)</f>
        <v>4023726</v>
      </c>
      <c r="V166" s="5"/>
      <c r="W166" s="5"/>
      <c r="X166" s="5"/>
      <c r="Y166" s="5"/>
      <c r="AB166" s="5"/>
      <c r="AC166" s="5"/>
      <c r="AD166" s="5">
        <f>+AD150</f>
        <v>387487.06014501507</v>
      </c>
      <c r="AE166" s="5">
        <f>+AE$84</f>
        <v>10.1</v>
      </c>
      <c r="AF166" s="5"/>
      <c r="AG166" s="5"/>
      <c r="AH166" s="5"/>
    </row>
    <row r="167" spans="3:34" ht="16.899999999999999" customHeight="1" x14ac:dyDescent="0.25">
      <c r="D167" s="132">
        <v>3</v>
      </c>
      <c r="K167" s="48" t="str">
        <f t="shared" si="61"/>
        <v>13th Year Present Value Factor (12)</v>
      </c>
      <c r="L167" s="32"/>
      <c r="M167" s="19"/>
      <c r="N167" s="55">
        <f>+N151</f>
        <v>0.62439999999999996</v>
      </c>
      <c r="O167" s="45"/>
      <c r="P167" s="6"/>
      <c r="Q167" s="49" t="str">
        <f>+K167</f>
        <v>13th Year Present Value Factor (12)</v>
      </c>
      <c r="R167" s="32"/>
      <c r="S167" s="19"/>
      <c r="T167" s="32"/>
      <c r="U167" s="56">
        <f>+AD168</f>
        <v>0.62439999999999996</v>
      </c>
      <c r="V167" s="5"/>
      <c r="W167" s="5"/>
      <c r="X167" s="5"/>
      <c r="Y167" s="5"/>
      <c r="AC167" s="5"/>
      <c r="AD167" s="5"/>
      <c r="AE167" s="5"/>
      <c r="AF167" s="5"/>
      <c r="AG167" s="5"/>
      <c r="AH167" s="5"/>
    </row>
    <row r="168" spans="3:34" ht="16.899999999999999" customHeight="1" x14ac:dyDescent="0.25">
      <c r="D168" s="132">
        <v>3</v>
      </c>
      <c r="K168" s="48" t="str">
        <f t="shared" si="61"/>
        <v>Present Value of Terminal Value</v>
      </c>
      <c r="L168" s="57"/>
      <c r="M168" s="19"/>
      <c r="N168" s="58">
        <f>+N167*N166</f>
        <v>4417888.8595086047</v>
      </c>
      <c r="O168" s="45"/>
      <c r="P168" s="6"/>
      <c r="Q168" s="49" t="s">
        <v>66</v>
      </c>
      <c r="R168" s="57"/>
      <c r="S168" s="19"/>
      <c r="T168" s="33"/>
      <c r="U168" s="59">
        <f>+U167*U166</f>
        <v>2512414.5143999998</v>
      </c>
      <c r="V168" s="5"/>
      <c r="W168" s="5"/>
      <c r="X168" s="5"/>
      <c r="Y168" s="5"/>
      <c r="AB168" s="176">
        <f>+Z70</f>
        <v>0.62439999999999996</v>
      </c>
      <c r="AC168" s="5"/>
      <c r="AD168" s="177">
        <f>+AB168</f>
        <v>0.62439999999999996</v>
      </c>
      <c r="AE168" s="5"/>
      <c r="AF168" s="5"/>
      <c r="AG168" s="5"/>
      <c r="AH168" s="5"/>
    </row>
    <row r="169" spans="3:34" ht="16.899999999999999" customHeight="1" x14ac:dyDescent="0.25">
      <c r="D169" s="132">
        <v>3</v>
      </c>
      <c r="K169" s="48" t="str">
        <f t="shared" si="61"/>
        <v>Present Value Debt Free Net</v>
      </c>
      <c r="L169" s="57"/>
      <c r="M169" s="19"/>
      <c r="N169" s="32"/>
      <c r="O169" s="45"/>
      <c r="P169" s="6"/>
      <c r="Q169" s="49" t="s">
        <v>67</v>
      </c>
      <c r="R169" s="57"/>
      <c r="S169" s="19"/>
      <c r="T169" s="57"/>
      <c r="U169" s="47"/>
      <c r="V169" s="5"/>
      <c r="W169" s="5"/>
      <c r="X169" s="5"/>
      <c r="Y169" s="5"/>
      <c r="AB169" s="5"/>
      <c r="AC169" s="5"/>
      <c r="AD169" s="5"/>
      <c r="AE169" s="5"/>
      <c r="AF169" s="5"/>
      <c r="AG169" s="5"/>
      <c r="AH169" s="5"/>
    </row>
    <row r="170" spans="3:34" ht="16.899999999999999" customHeight="1" x14ac:dyDescent="0.25">
      <c r="D170" s="132">
        <v>3</v>
      </c>
      <c r="K170" s="48" t="str">
        <f t="shared" si="61"/>
        <v>Cash Flow for 13 Years</v>
      </c>
      <c r="L170" s="57"/>
      <c r="M170" s="19"/>
      <c r="N170" s="60">
        <f>+AB171</f>
        <v>1952495.281088134</v>
      </c>
      <c r="O170" s="45"/>
      <c r="P170" s="6"/>
      <c r="Q170" s="49" t="str">
        <f>+Q$88</f>
        <v>Cash Flow for 13 Years</v>
      </c>
      <c r="R170" s="57"/>
      <c r="S170" s="19"/>
      <c r="T170" s="33"/>
      <c r="U170" s="52">
        <f>+AD171</f>
        <v>1952495.281088134</v>
      </c>
      <c r="V170" s="5"/>
      <c r="W170" s="5"/>
      <c r="X170" s="5"/>
      <c r="Y170" s="5"/>
      <c r="AB170" s="5"/>
      <c r="AC170" s="5"/>
      <c r="AD170" s="5"/>
      <c r="AE170" s="5"/>
      <c r="AF170" s="5"/>
      <c r="AG170" s="5"/>
      <c r="AH170" s="5"/>
    </row>
    <row r="171" spans="3:34" ht="16.899999999999999" customHeight="1" x14ac:dyDescent="0.25">
      <c r="D171" s="132">
        <v>3</v>
      </c>
      <c r="K171" s="48"/>
      <c r="L171" s="57"/>
      <c r="M171" s="19"/>
      <c r="N171" s="32"/>
      <c r="O171" s="45"/>
      <c r="P171" s="6"/>
      <c r="Q171" s="49"/>
      <c r="R171" s="57"/>
      <c r="S171" s="19"/>
      <c r="T171" s="32"/>
      <c r="U171" s="47"/>
      <c r="V171" s="5"/>
      <c r="W171" s="5"/>
      <c r="X171" s="5"/>
      <c r="Y171" s="5"/>
      <c r="AB171" s="5">
        <f>+AB72</f>
        <v>1952495.281088134</v>
      </c>
      <c r="AC171" s="5"/>
      <c r="AD171" s="5">
        <f>+AB171</f>
        <v>1952495.281088134</v>
      </c>
      <c r="AE171" s="5"/>
      <c r="AF171" s="5"/>
      <c r="AG171" s="5"/>
      <c r="AH171" s="5"/>
    </row>
    <row r="172" spans="3:34" ht="16.899999999999999" customHeight="1" thickBot="1" x14ac:dyDescent="0.3">
      <c r="D172" s="132">
        <v>3</v>
      </c>
      <c r="K172" s="48" t="s">
        <v>68</v>
      </c>
      <c r="L172" s="57"/>
      <c r="M172" s="19"/>
      <c r="N172" s="20">
        <f>+N168+N170</f>
        <v>6370384.140596739</v>
      </c>
      <c r="O172" s="45"/>
      <c r="P172" s="6"/>
      <c r="Q172" s="49" t="s">
        <v>68</v>
      </c>
      <c r="R172" s="57"/>
      <c r="S172" s="19"/>
      <c r="T172" s="33"/>
      <c r="U172" s="61">
        <f>+U168+U170</f>
        <v>4464909.795488134</v>
      </c>
      <c r="V172" s="5"/>
      <c r="W172" s="5"/>
      <c r="X172" s="5"/>
      <c r="Y172" s="5"/>
      <c r="AB172" s="5"/>
      <c r="AC172" s="5"/>
      <c r="AD172" s="5"/>
      <c r="AE172" s="5"/>
      <c r="AF172" s="5"/>
      <c r="AG172" s="5"/>
      <c r="AH172" s="5"/>
    </row>
    <row r="173" spans="3:34" ht="16.899999999999999" customHeight="1" thickTop="1" thickBot="1" x14ac:dyDescent="0.3">
      <c r="D173" s="132">
        <v>3</v>
      </c>
      <c r="K173" s="62"/>
      <c r="L173" s="63"/>
      <c r="M173" s="64"/>
      <c r="N173" s="63"/>
      <c r="O173" s="65"/>
      <c r="P173" s="6"/>
      <c r="Q173" s="62"/>
      <c r="R173" s="63"/>
      <c r="S173" s="64"/>
      <c r="T173" s="63"/>
      <c r="U173" s="65"/>
      <c r="V173" s="5"/>
      <c r="W173" s="5"/>
      <c r="X173" s="5"/>
      <c r="Y173" s="5"/>
      <c r="AB173" s="5"/>
      <c r="AC173" s="5"/>
      <c r="AD173" s="5"/>
      <c r="AE173" s="5"/>
      <c r="AF173" s="5"/>
      <c r="AG173" s="5"/>
      <c r="AH173" s="5"/>
    </row>
    <row r="174" spans="3:34" ht="15" x14ac:dyDescent="0.25">
      <c r="D174" s="132">
        <v>3</v>
      </c>
      <c r="S174" s="5"/>
      <c r="T174" s="5"/>
      <c r="U174" s="5"/>
      <c r="V174" s="5"/>
      <c r="W174" s="5"/>
      <c r="X174" s="5"/>
      <c r="Y174" s="5"/>
      <c r="AB174" s="5"/>
      <c r="AC174" s="5"/>
      <c r="AD174" s="5"/>
      <c r="AE174" s="5"/>
      <c r="AF174" s="5"/>
      <c r="AG174" s="5"/>
      <c r="AH174" s="5"/>
    </row>
    <row r="175" spans="3:34" ht="15" x14ac:dyDescent="0.25">
      <c r="D175" s="132">
        <v>3</v>
      </c>
      <c r="H175" s="32"/>
      <c r="I175" s="32"/>
      <c r="J175" s="19"/>
      <c r="K175" s="6"/>
      <c r="L175" s="32"/>
      <c r="M175" s="6"/>
      <c r="N175" s="6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</row>
    <row r="176" spans="3:34" ht="15.75" x14ac:dyDescent="0.25">
      <c r="D176" s="132">
        <v>3</v>
      </c>
      <c r="G176" s="26" t="s">
        <v>57</v>
      </c>
      <c r="H176" s="32"/>
      <c r="I176" s="32"/>
      <c r="J176" s="19"/>
      <c r="K176" s="6"/>
      <c r="L176" s="32"/>
      <c r="M176" s="6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</row>
    <row r="177" spans="1:29" ht="15" x14ac:dyDescent="0.25">
      <c r="D177" s="132">
        <v>4</v>
      </c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</row>
    <row r="178" spans="1:29" ht="31.5" customHeight="1" x14ac:dyDescent="0.25">
      <c r="D178" s="132">
        <v>4</v>
      </c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</row>
    <row r="179" spans="1:29" ht="15" x14ac:dyDescent="0.25">
      <c r="D179" s="132">
        <v>4</v>
      </c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</row>
    <row r="180" spans="1:29" ht="55.5" customHeight="1" x14ac:dyDescent="0.25">
      <c r="A180" s="66" t="s">
        <v>76</v>
      </c>
      <c r="D180" s="132">
        <v>4</v>
      </c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</row>
    <row r="181" spans="1:29" ht="15" x14ac:dyDescent="0.25">
      <c r="D181" s="132">
        <v>4</v>
      </c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</row>
    <row r="182" spans="1:29" ht="15" x14ac:dyDescent="0.25">
      <c r="A182" s="191" t="s">
        <v>52</v>
      </c>
      <c r="B182" s="25">
        <f>MAX(B$20:B58)+1</f>
        <v>10</v>
      </c>
      <c r="C182" s="138">
        <f>IF(D182=0,C52,IF(ISBLANK(G182),C52,1+MAX(C$20:C52)))</f>
        <v>27</v>
      </c>
      <c r="D182" s="132">
        <v>4</v>
      </c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</row>
    <row r="183" spans="1:29" ht="15" x14ac:dyDescent="0.25">
      <c r="A183" s="192"/>
      <c r="C183" s="138">
        <f>IF(D183=0,C182,IF(ISBLANK(G183),C182,1+MAX(C$20:C182)))</f>
        <v>27</v>
      </c>
      <c r="D183" s="132">
        <v>4</v>
      </c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</row>
    <row r="184" spans="1:29" ht="15" x14ac:dyDescent="0.25">
      <c r="A184" s="191" t="s">
        <v>77</v>
      </c>
      <c r="B184" s="25">
        <f>+B$54</f>
        <v>8</v>
      </c>
      <c r="C184" s="138">
        <f>IF(D184=0,C183,IF(ISBLANK(G184),C183,1+MAX(C$182:C183)))</f>
        <v>27</v>
      </c>
      <c r="D184" s="132">
        <v>4</v>
      </c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</row>
    <row r="185" spans="1:29" ht="15" x14ac:dyDescent="0.25">
      <c r="A185" s="191"/>
      <c r="C185" s="138">
        <f>IF(D185=0,C184,IF(ISBLANK(G185),C184,1+MAX(C$182:C184)))</f>
        <v>27</v>
      </c>
      <c r="D185" s="132">
        <v>4</v>
      </c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</row>
    <row r="186" spans="1:29" ht="15" x14ac:dyDescent="0.25">
      <c r="C186" s="138">
        <f>IF(D186=0,C185,IF(ISBLANK(G186),C185,1+MAX(C$182:C185)))</f>
        <v>27</v>
      </c>
      <c r="D186" s="132">
        <v>4</v>
      </c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</row>
    <row r="187" spans="1:29" ht="15" x14ac:dyDescent="0.25">
      <c r="C187" s="138">
        <f>IF(D187=0,C186,IF(ISBLANK(G187),C186,1+MAX(C$182:C186)))</f>
        <v>27</v>
      </c>
      <c r="D187" s="132">
        <v>4</v>
      </c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</row>
    <row r="188" spans="1:29" ht="15" x14ac:dyDescent="0.25">
      <c r="C188" s="138">
        <f>IF(D188=0,C187,IF(ISBLANK(G188),C187,1+MAX(C$182:C187)))</f>
        <v>27</v>
      </c>
      <c r="D188" s="132">
        <v>4</v>
      </c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</row>
    <row r="189" spans="1:29" ht="57" customHeight="1" x14ac:dyDescent="0.25">
      <c r="C189" s="138">
        <f>IF(D189=0,C188,IF(ISBLANK(G189),C188,1+MAX(C$182:C188)))</f>
        <v>27</v>
      </c>
      <c r="D189" s="132">
        <v>4</v>
      </c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</row>
    <row r="190" spans="1:29" ht="15" x14ac:dyDescent="0.25">
      <c r="C190" s="138">
        <f>IF(D190=0,C189,IF(ISBLANK(G190),C189,1+MAX(C$182:C189)))</f>
        <v>27</v>
      </c>
      <c r="D190" s="132">
        <v>4</v>
      </c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</row>
    <row r="191" spans="1:29" ht="15" x14ac:dyDescent="0.25">
      <c r="B191" s="25">
        <f>+B$182</f>
        <v>10</v>
      </c>
      <c r="C191" s="138">
        <f>IF(D191=0,C190,IF(ISBLANK(G191),C190,1+MAX(C$182:C190)))</f>
        <v>27</v>
      </c>
      <c r="D191" s="132">
        <v>4</v>
      </c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</row>
    <row r="192" spans="1:29" ht="15" x14ac:dyDescent="0.25">
      <c r="C192" s="138">
        <f>IF(D192=0,C191,IF(ISBLANK(G192),C191,1+MAX(C$182:C191)))</f>
        <v>27</v>
      </c>
      <c r="D192" s="132">
        <v>4</v>
      </c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</row>
    <row r="193" spans="1:29" ht="15" x14ac:dyDescent="0.25">
      <c r="A193" s="191" t="s">
        <v>77</v>
      </c>
      <c r="B193" s="25">
        <f>+B$58</f>
        <v>9</v>
      </c>
      <c r="C193" s="138">
        <f>IF(D193=0,C192,IF(ISBLANK(G193),C192,1+MAX(C$182:C192)))</f>
        <v>27</v>
      </c>
      <c r="D193" s="132">
        <v>4</v>
      </c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</row>
    <row r="194" spans="1:29" ht="15" x14ac:dyDescent="0.25">
      <c r="C194" s="138">
        <f>IF(D194=0,C193,IF(ISBLANK(G194),C193,1+MAX(C$182:C193)))</f>
        <v>27</v>
      </c>
      <c r="D194" s="132">
        <v>4</v>
      </c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</row>
    <row r="195" spans="1:29" ht="15" x14ac:dyDescent="0.25">
      <c r="C195" s="138">
        <f>IF(D195=0,C194,IF(ISBLANK(G195),C194,1+MAX(C$182:C194)))</f>
        <v>27</v>
      </c>
      <c r="D195" s="132">
        <v>4</v>
      </c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</row>
    <row r="196" spans="1:29" ht="15" x14ac:dyDescent="0.25">
      <c r="D196" s="132">
        <v>0</v>
      </c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</row>
    <row r="197" spans="1:29" ht="15" x14ac:dyDescent="0.25">
      <c r="D197" s="132">
        <v>0</v>
      </c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</row>
    <row r="198" spans="1:29" ht="15" x14ac:dyDescent="0.25">
      <c r="D198" s="132">
        <v>0</v>
      </c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</row>
    <row r="199" spans="1:29" ht="15" x14ac:dyDescent="0.25">
      <c r="D199" s="132">
        <v>0</v>
      </c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</row>
    <row r="200" spans="1:29" ht="15.75" x14ac:dyDescent="0.25">
      <c r="D200" s="132">
        <v>0</v>
      </c>
      <c r="G200" s="193" t="s">
        <v>78</v>
      </c>
      <c r="H200" s="194" t="s">
        <v>74</v>
      </c>
      <c r="I200" s="194" t="s">
        <v>74</v>
      </c>
      <c r="J200" s="194" t="s">
        <v>74</v>
      </c>
      <c r="K200" s="194" t="s">
        <v>74</v>
      </c>
      <c r="L200" s="194" t="s">
        <v>74</v>
      </c>
      <c r="M200" s="194" t="s">
        <v>74</v>
      </c>
      <c r="N200" s="194" t="s">
        <v>74</v>
      </c>
      <c r="O200" s="194" t="s">
        <v>74</v>
      </c>
      <c r="P200" s="194" t="s">
        <v>74</v>
      </c>
      <c r="Q200" s="194" t="s">
        <v>74</v>
      </c>
      <c r="R200" s="194" t="s">
        <v>74</v>
      </c>
      <c r="S200" s="194" t="s">
        <v>74</v>
      </c>
      <c r="T200" s="194" t="s">
        <v>74</v>
      </c>
      <c r="U200" s="194" t="s">
        <v>74</v>
      </c>
      <c r="V200" s="194" t="s">
        <v>74</v>
      </c>
      <c r="W200" s="194" t="s">
        <v>74</v>
      </c>
      <c r="X200" s="194" t="s">
        <v>74</v>
      </c>
      <c r="Y200" s="194" t="s">
        <v>74</v>
      </c>
      <c r="Z200" s="194" t="s">
        <v>74</v>
      </c>
      <c r="AA200" s="5"/>
      <c r="AB200" s="5"/>
      <c r="AC200" s="5"/>
    </row>
    <row r="201" spans="1:29" ht="15.75" x14ac:dyDescent="0.25">
      <c r="D201" s="132">
        <v>1</v>
      </c>
      <c r="G201" s="27"/>
      <c r="H201" s="32"/>
      <c r="I201" s="32"/>
      <c r="J201" s="19"/>
      <c r="K201" s="6"/>
      <c r="L201" s="32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5"/>
      <c r="AB201" s="5"/>
      <c r="AC201" s="5"/>
    </row>
    <row r="202" spans="1:29" ht="15.75" x14ac:dyDescent="0.25">
      <c r="D202" s="132">
        <v>1</v>
      </c>
      <c r="G202" s="27"/>
      <c r="H202" s="32"/>
      <c r="I202" s="32"/>
      <c r="J202" s="19"/>
      <c r="K202" s="6"/>
      <c r="L202" s="32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5"/>
      <c r="AB202" s="5"/>
      <c r="AC202" s="5"/>
    </row>
    <row r="203" spans="1:29" ht="24" customHeight="1" x14ac:dyDescent="0.25">
      <c r="D203" s="132">
        <v>1</v>
      </c>
      <c r="G203" s="195" t="s">
        <v>79</v>
      </c>
      <c r="H203" s="196" t="s">
        <v>80</v>
      </c>
      <c r="J203" s="19"/>
      <c r="K203" s="6"/>
      <c r="L203" s="32"/>
      <c r="M203" s="6"/>
      <c r="N203" s="6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69"/>
      <c r="AB203" s="5"/>
      <c r="AC203" s="5"/>
    </row>
    <row r="204" spans="1:29" ht="30.75" customHeight="1" x14ac:dyDescent="0.25">
      <c r="D204" s="132">
        <f>IF($C$10="SUBJECT",1,0)</f>
        <v>0</v>
      </c>
      <c r="H204" s="113" t="s">
        <v>81</v>
      </c>
      <c r="I204" s="113"/>
      <c r="J204" s="113"/>
      <c r="K204" s="113"/>
      <c r="L204" s="113"/>
      <c r="M204" s="113"/>
      <c r="N204" s="110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69"/>
      <c r="AB204" s="5"/>
      <c r="AC204" s="5"/>
    </row>
    <row r="205" spans="1:29" ht="15" x14ac:dyDescent="0.25">
      <c r="D205" s="132">
        <v>0</v>
      </c>
      <c r="H205" s="197"/>
      <c r="J205" s="68"/>
      <c r="K205" s="6"/>
      <c r="L205" s="32"/>
      <c r="M205" s="6"/>
      <c r="N205" s="6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69"/>
      <c r="AB205" s="5"/>
      <c r="AC205" s="5"/>
    </row>
    <row r="206" spans="1:29" ht="15" x14ac:dyDescent="0.25">
      <c r="D206" s="132"/>
      <c r="G206" s="66" t="s">
        <v>2</v>
      </c>
      <c r="H206" s="67" t="s">
        <v>82</v>
      </c>
      <c r="J206" s="68"/>
      <c r="K206" s="6"/>
      <c r="L206" s="32"/>
      <c r="M206" s="6"/>
      <c r="N206" s="6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69"/>
      <c r="AB206" s="5"/>
      <c r="AC206" s="5"/>
    </row>
    <row r="207" spans="1:29" ht="15" x14ac:dyDescent="0.25">
      <c r="D207" s="132">
        <v>0</v>
      </c>
      <c r="G207" s="150"/>
      <c r="H207" s="197"/>
      <c r="J207" s="68"/>
      <c r="K207" s="6"/>
      <c r="L207" s="32"/>
      <c r="M207" s="6"/>
      <c r="N207" s="6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69"/>
      <c r="AB207" s="5"/>
      <c r="AC207" s="5"/>
    </row>
    <row r="208" spans="1:29" ht="24" customHeight="1" x14ac:dyDescent="0.25">
      <c r="D208" s="132">
        <v>0</v>
      </c>
      <c r="G208" s="195"/>
      <c r="H208" s="196"/>
      <c r="J208" s="19"/>
      <c r="K208" s="6"/>
      <c r="L208" s="32"/>
      <c r="M208" s="6"/>
      <c r="N208" s="6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69"/>
      <c r="AB208" s="5"/>
      <c r="AC208" s="5"/>
    </row>
    <row r="209" spans="4:29" ht="42.75" customHeight="1" x14ac:dyDescent="0.25">
      <c r="D209" s="132">
        <f>IF($C$10="IOU",1,0)</f>
        <v>1</v>
      </c>
      <c r="H209" s="113" t="s">
        <v>83</v>
      </c>
      <c r="I209" s="113"/>
      <c r="J209" s="113"/>
      <c r="K209" s="113"/>
      <c r="L209" s="113"/>
      <c r="M209" s="113"/>
      <c r="N209" s="110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69"/>
      <c r="AB209" s="5"/>
      <c r="AC209" s="5"/>
    </row>
    <row r="210" spans="4:29" ht="15" x14ac:dyDescent="0.25">
      <c r="D210" s="132">
        <v>0</v>
      </c>
      <c r="H210" s="197"/>
      <c r="J210" s="68"/>
      <c r="K210" s="6"/>
      <c r="L210" s="32"/>
      <c r="M210" s="6"/>
      <c r="N210" s="6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69"/>
      <c r="AB210" s="5"/>
      <c r="AC210" s="5"/>
    </row>
    <row r="211" spans="4:29" ht="15" x14ac:dyDescent="0.25">
      <c r="D211" s="132"/>
      <c r="G211" s="66" t="s">
        <v>2</v>
      </c>
      <c r="H211" s="67" t="s">
        <v>84</v>
      </c>
      <c r="J211" s="68"/>
      <c r="K211" s="6"/>
      <c r="L211" s="32"/>
      <c r="M211" s="6"/>
      <c r="N211" s="6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69"/>
      <c r="AB211" s="5"/>
      <c r="AC211" s="5"/>
    </row>
    <row r="212" spans="4:29" ht="15" x14ac:dyDescent="0.25">
      <c r="D212" s="132">
        <v>0</v>
      </c>
      <c r="G212" s="150"/>
      <c r="H212" s="197"/>
      <c r="J212" s="68"/>
      <c r="K212" s="6"/>
      <c r="L212" s="32"/>
      <c r="M212" s="6"/>
      <c r="N212" s="6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69"/>
      <c r="AB212" s="5"/>
      <c r="AC212" s="5"/>
    </row>
    <row r="213" spans="4:29" ht="60" customHeight="1" x14ac:dyDescent="0.25">
      <c r="D213" s="132">
        <f>IF($C$10="IOU",1,0)</f>
        <v>1</v>
      </c>
      <c r="G213" s="150"/>
      <c r="H213" s="113" t="s">
        <v>85</v>
      </c>
      <c r="I213" s="113"/>
      <c r="J213" s="113"/>
      <c r="K213" s="113"/>
      <c r="L213" s="113"/>
      <c r="M213" s="113"/>
      <c r="N213" s="110"/>
      <c r="O213" s="110"/>
      <c r="P213" s="110"/>
      <c r="Q213" s="110"/>
      <c r="R213" s="110"/>
      <c r="S213" s="110"/>
      <c r="T213" s="5"/>
      <c r="U213" s="5"/>
      <c r="V213" s="5"/>
      <c r="W213" s="5"/>
      <c r="X213" s="5"/>
      <c r="Y213" s="5"/>
      <c r="Z213" s="5"/>
      <c r="AA213" s="69"/>
      <c r="AB213" s="5"/>
      <c r="AC213" s="5"/>
    </row>
    <row r="214" spans="4:29" ht="15" x14ac:dyDescent="0.25">
      <c r="D214" s="132">
        <v>0</v>
      </c>
      <c r="G214" s="198"/>
      <c r="J214" s="19"/>
      <c r="K214" s="6"/>
      <c r="L214" s="32"/>
      <c r="M214" s="6"/>
      <c r="N214" s="6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69"/>
      <c r="AB214" s="5"/>
      <c r="AC214" s="5"/>
    </row>
    <row r="215" spans="4:29" ht="15" x14ac:dyDescent="0.25">
      <c r="D215" s="132">
        <v>0</v>
      </c>
      <c r="G215" s="198"/>
      <c r="J215" s="19"/>
      <c r="K215" s="6"/>
      <c r="L215" s="32"/>
      <c r="M215" s="6"/>
      <c r="N215" s="6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69"/>
      <c r="AB215" s="5"/>
      <c r="AC215" s="5"/>
    </row>
    <row r="216" spans="4:29" ht="45.75" customHeight="1" x14ac:dyDescent="0.25">
      <c r="D216" s="132">
        <f>IF($C$10="MUNI",1,0)</f>
        <v>0</v>
      </c>
      <c r="H216" s="113" t="s">
        <v>83</v>
      </c>
      <c r="I216" s="113"/>
      <c r="J216" s="113"/>
      <c r="K216" s="113"/>
      <c r="L216" s="113"/>
      <c r="M216" s="113"/>
      <c r="N216" s="110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69"/>
      <c r="AB216" s="5"/>
      <c r="AC216" s="5"/>
    </row>
    <row r="217" spans="4:29" ht="15" x14ac:dyDescent="0.25">
      <c r="D217" s="132">
        <v>0</v>
      </c>
      <c r="H217" s="197"/>
      <c r="J217" s="68"/>
      <c r="K217" s="6"/>
      <c r="L217" s="32"/>
      <c r="M217" s="6"/>
      <c r="N217" s="6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69"/>
      <c r="AB217" s="5"/>
      <c r="AC217" s="5"/>
    </row>
    <row r="218" spans="4:29" ht="30.75" customHeight="1" x14ac:dyDescent="0.25">
      <c r="D218" s="132"/>
      <c r="G218" s="66" t="s">
        <v>2</v>
      </c>
      <c r="H218" s="113" t="s">
        <v>86</v>
      </c>
      <c r="I218" s="113"/>
      <c r="J218" s="113"/>
      <c r="K218" s="113"/>
      <c r="L218" s="113"/>
      <c r="M218" s="113"/>
      <c r="N218" s="6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69"/>
      <c r="AB218" s="5"/>
      <c r="AC218" s="5"/>
    </row>
    <row r="219" spans="4:29" ht="15" x14ac:dyDescent="0.25">
      <c r="D219" s="132">
        <v>0</v>
      </c>
      <c r="G219" s="150"/>
      <c r="H219" s="197"/>
      <c r="J219" s="68"/>
      <c r="K219" s="6"/>
      <c r="L219" s="32"/>
      <c r="M219" s="6"/>
      <c r="N219" s="6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69"/>
      <c r="AB219" s="5"/>
      <c r="AC219" s="5"/>
    </row>
    <row r="220" spans="4:29" ht="66.75" customHeight="1" x14ac:dyDescent="0.25">
      <c r="D220" s="132">
        <f>IF($C$10="MUNI",1,0)</f>
        <v>0</v>
      </c>
      <c r="G220" s="150"/>
      <c r="H220" s="113" t="s">
        <v>87</v>
      </c>
      <c r="I220" s="113"/>
      <c r="J220" s="113"/>
      <c r="K220" s="113"/>
      <c r="L220" s="113"/>
      <c r="M220" s="113"/>
      <c r="N220" s="110"/>
      <c r="O220" s="110"/>
      <c r="P220" s="110"/>
      <c r="Q220" s="110"/>
      <c r="R220" s="110"/>
      <c r="S220" s="110"/>
      <c r="T220" s="5"/>
      <c r="U220" s="5"/>
      <c r="V220" s="5"/>
      <c r="W220" s="5"/>
      <c r="X220" s="5"/>
      <c r="Y220" s="5"/>
      <c r="Z220" s="5"/>
      <c r="AA220" s="69"/>
      <c r="AB220" s="5"/>
      <c r="AC220" s="5"/>
    </row>
    <row r="221" spans="4:29" ht="15" x14ac:dyDescent="0.25">
      <c r="D221" s="132">
        <v>0</v>
      </c>
      <c r="G221" s="150"/>
      <c r="H221" s="197"/>
      <c r="J221" s="68"/>
      <c r="K221" s="6"/>
      <c r="L221" s="32"/>
      <c r="M221" s="6"/>
      <c r="N221" s="6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69"/>
      <c r="AB221" s="5"/>
      <c r="AC221" s="5"/>
    </row>
    <row r="222" spans="4:29" ht="30" customHeight="1" x14ac:dyDescent="0.25">
      <c r="D222" s="132">
        <v>1</v>
      </c>
      <c r="G222" s="150"/>
      <c r="H222" s="114" t="s">
        <v>88</v>
      </c>
      <c r="I222" s="114"/>
      <c r="J222" s="114"/>
      <c r="K222" s="114"/>
      <c r="L222" s="114"/>
      <c r="M222" s="114"/>
      <c r="N222" s="111"/>
      <c r="O222" s="111"/>
      <c r="P222" s="111"/>
      <c r="Q222" s="111"/>
      <c r="R222" s="25"/>
      <c r="S222" s="25"/>
      <c r="T222" s="5"/>
      <c r="U222" s="5"/>
      <c r="V222" s="5"/>
      <c r="W222" s="5"/>
      <c r="X222" s="5"/>
      <c r="Y222" s="5"/>
      <c r="Z222" s="5"/>
      <c r="AA222" s="69"/>
      <c r="AB222" s="5"/>
      <c r="AC222" s="5"/>
    </row>
    <row r="223" spans="4:29" ht="15" customHeight="1" x14ac:dyDescent="0.25">
      <c r="D223" s="132"/>
      <c r="G223" s="150"/>
      <c r="H223" s="197"/>
      <c r="I223" s="111"/>
      <c r="J223" s="111"/>
      <c r="K223" s="111"/>
      <c r="L223" s="111"/>
      <c r="M223" s="111"/>
      <c r="N223" s="111"/>
      <c r="O223" s="111"/>
      <c r="P223" s="111"/>
      <c r="Q223" s="111"/>
      <c r="R223" s="111"/>
      <c r="S223" s="25"/>
      <c r="T223" s="5"/>
      <c r="U223" s="5"/>
      <c r="V223" s="5"/>
      <c r="W223" s="5"/>
      <c r="X223" s="5"/>
      <c r="Y223" s="5"/>
      <c r="Z223" s="5"/>
      <c r="AA223" s="69"/>
      <c r="AB223" s="5"/>
      <c r="AC223" s="5"/>
    </row>
    <row r="224" spans="4:29" ht="27" customHeight="1" x14ac:dyDescent="0.25">
      <c r="D224" s="199">
        <f>IF($C$10="SUBJECT",0,1)</f>
        <v>1</v>
      </c>
      <c r="G224" s="150"/>
      <c r="H224" s="114" t="s">
        <v>89</v>
      </c>
      <c r="I224" s="114"/>
      <c r="J224" s="114"/>
      <c r="K224" s="114"/>
      <c r="L224" s="114"/>
      <c r="M224" s="114"/>
      <c r="N224" s="111"/>
      <c r="O224" s="111"/>
      <c r="P224" s="111"/>
      <c r="Q224" s="111"/>
      <c r="R224" s="111"/>
      <c r="S224" s="25"/>
      <c r="T224" s="5"/>
      <c r="U224" s="5"/>
      <c r="V224" s="5"/>
      <c r="W224" s="5"/>
      <c r="X224" s="5"/>
      <c r="Y224" s="5"/>
      <c r="Z224" s="5"/>
      <c r="AA224" s="69"/>
      <c r="AB224" s="5"/>
      <c r="AC224" s="5"/>
    </row>
    <row r="225" spans="4:29" ht="29.25" customHeight="1" x14ac:dyDescent="0.25">
      <c r="D225" s="199">
        <f>IF($C$10="SUBJECT",0,1)</f>
        <v>1</v>
      </c>
      <c r="G225" s="150"/>
      <c r="H225" s="114" t="s">
        <v>90</v>
      </c>
      <c r="I225" s="114"/>
      <c r="J225" s="114"/>
      <c r="K225" s="114"/>
      <c r="L225" s="114"/>
      <c r="M225" s="114"/>
      <c r="N225" s="111"/>
      <c r="O225" s="111"/>
      <c r="P225" s="111"/>
      <c r="Q225" s="111"/>
      <c r="R225" s="111"/>
      <c r="S225" s="25"/>
      <c r="T225" s="5"/>
      <c r="U225" s="5"/>
      <c r="V225" s="5"/>
      <c r="W225" s="5"/>
      <c r="X225" s="5"/>
      <c r="Y225" s="5"/>
      <c r="Z225" s="5"/>
      <c r="AA225" s="69"/>
      <c r="AB225" s="5"/>
      <c r="AC225" s="5"/>
    </row>
    <row r="226" spans="4:29" ht="15" customHeight="1" x14ac:dyDescent="0.25">
      <c r="D226" s="199">
        <v>1</v>
      </c>
      <c r="G226" s="150"/>
      <c r="H226" s="197" t="s">
        <v>91</v>
      </c>
      <c r="I226" s="111"/>
      <c r="J226" s="111"/>
      <c r="K226" s="111"/>
      <c r="L226" s="111"/>
      <c r="M226" s="111"/>
      <c r="N226" s="111"/>
      <c r="O226" s="111"/>
      <c r="P226" s="111"/>
      <c r="Q226" s="111"/>
      <c r="R226" s="111"/>
      <c r="S226" s="25"/>
      <c r="T226" s="5"/>
      <c r="U226" s="5"/>
      <c r="V226" s="5"/>
      <c r="W226" s="5"/>
      <c r="X226" s="5"/>
      <c r="Y226" s="5"/>
      <c r="Z226" s="5"/>
      <c r="AA226" s="69"/>
      <c r="AB226" s="5"/>
      <c r="AC226" s="5"/>
    </row>
    <row r="227" spans="4:29" ht="15" customHeight="1" x14ac:dyDescent="0.25">
      <c r="D227" s="199"/>
      <c r="G227" s="150"/>
      <c r="H227" s="197"/>
      <c r="I227" s="111"/>
      <c r="J227" s="111"/>
      <c r="K227" s="111"/>
      <c r="L227" s="111"/>
      <c r="M227" s="111"/>
      <c r="N227" s="111"/>
      <c r="O227" s="111"/>
      <c r="P227" s="111"/>
      <c r="Q227" s="111"/>
      <c r="R227" s="111"/>
      <c r="S227" s="25"/>
      <c r="T227" s="5"/>
      <c r="U227" s="5"/>
      <c r="V227" s="5"/>
      <c r="W227" s="5"/>
      <c r="X227" s="5"/>
      <c r="Y227" s="5"/>
      <c r="Z227" s="5"/>
      <c r="AA227" s="69"/>
      <c r="AB227" s="5"/>
      <c r="AC227" s="5"/>
    </row>
    <row r="228" spans="4:29" ht="15" customHeight="1" x14ac:dyDescent="0.25">
      <c r="D228" s="199"/>
      <c r="G228" s="150"/>
      <c r="H228" s="197"/>
      <c r="I228" s="111"/>
      <c r="J228" s="111"/>
      <c r="K228" s="111"/>
      <c r="L228" s="111"/>
      <c r="M228" s="111"/>
      <c r="N228" s="111"/>
      <c r="O228" s="111"/>
      <c r="P228" s="111"/>
      <c r="Q228" s="111"/>
      <c r="R228" s="111"/>
      <c r="S228" s="25"/>
      <c r="T228" s="5"/>
      <c r="U228" s="5"/>
      <c r="V228" s="5"/>
      <c r="W228" s="5"/>
      <c r="X228" s="5"/>
      <c r="Y228" s="5"/>
      <c r="Z228" s="5"/>
      <c r="AA228" s="69"/>
      <c r="AB228" s="5"/>
      <c r="AC228" s="5"/>
    </row>
    <row r="229" spans="4:29" ht="15" customHeight="1" x14ac:dyDescent="0.25">
      <c r="D229" s="132"/>
      <c r="G229" s="150"/>
      <c r="H229" s="197"/>
      <c r="I229" s="111"/>
      <c r="J229" s="111"/>
      <c r="K229" s="111"/>
      <c r="L229" s="111"/>
      <c r="M229" s="111"/>
      <c r="N229" s="111"/>
      <c r="O229" s="111"/>
      <c r="P229" s="111"/>
      <c r="Q229" s="111"/>
      <c r="R229" s="25"/>
      <c r="S229" s="25"/>
      <c r="T229" s="5"/>
      <c r="U229" s="5"/>
      <c r="V229" s="5"/>
      <c r="W229" s="5"/>
      <c r="X229" s="5"/>
      <c r="Y229" s="5"/>
      <c r="Z229" s="5"/>
      <c r="AA229" s="69"/>
      <c r="AB229" s="5"/>
      <c r="AC229" s="5"/>
    </row>
    <row r="230" spans="4:29" ht="15" customHeight="1" x14ac:dyDescent="0.25">
      <c r="D230" s="132"/>
      <c r="G230" s="150"/>
      <c r="H230" s="197"/>
      <c r="I230" s="111"/>
      <c r="J230" s="111"/>
      <c r="K230" s="111"/>
      <c r="L230" s="111"/>
      <c r="M230" s="111"/>
      <c r="N230" s="111"/>
      <c r="O230" s="111"/>
      <c r="P230" s="111"/>
      <c r="Q230" s="111"/>
      <c r="R230" s="25"/>
      <c r="S230" s="25"/>
      <c r="T230" s="5"/>
      <c r="U230" s="5"/>
      <c r="V230" s="5"/>
      <c r="W230" s="5"/>
      <c r="X230" s="5"/>
      <c r="Y230" s="5"/>
      <c r="Z230" s="5"/>
      <c r="AA230" s="69"/>
      <c r="AB230" s="5"/>
      <c r="AC230" s="5"/>
    </row>
    <row r="231" spans="4:29" ht="15" customHeight="1" x14ac:dyDescent="0.25">
      <c r="D231" s="132"/>
      <c r="G231" s="150"/>
      <c r="H231" s="197"/>
      <c r="I231" s="111"/>
      <c r="J231" s="111"/>
      <c r="K231" s="111"/>
      <c r="L231" s="111"/>
      <c r="M231" s="111"/>
      <c r="N231" s="111"/>
      <c r="O231" s="111"/>
      <c r="P231" s="111"/>
      <c r="Q231" s="111"/>
      <c r="R231" s="25"/>
      <c r="S231" s="25"/>
      <c r="T231" s="5"/>
      <c r="U231" s="5"/>
      <c r="V231" s="5"/>
      <c r="W231" s="5"/>
      <c r="X231" s="5"/>
      <c r="Y231" s="5"/>
      <c r="Z231" s="5"/>
      <c r="AA231" s="69"/>
      <c r="AB231" s="5"/>
      <c r="AC231" s="5"/>
    </row>
    <row r="232" spans="4:29" ht="15" customHeight="1" x14ac:dyDescent="0.25">
      <c r="D232" s="132">
        <v>0</v>
      </c>
      <c r="G232" s="150"/>
      <c r="H232" s="197"/>
      <c r="I232" s="111"/>
      <c r="J232" s="111"/>
      <c r="K232" s="111"/>
      <c r="L232" s="111"/>
      <c r="M232" s="111"/>
      <c r="N232" s="111"/>
      <c r="O232" s="111"/>
      <c r="P232" s="111"/>
      <c r="Q232" s="111"/>
      <c r="R232" s="25"/>
      <c r="S232" s="25"/>
      <c r="T232" s="5"/>
      <c r="U232" s="5"/>
      <c r="V232" s="5"/>
      <c r="W232" s="5"/>
      <c r="X232" s="5"/>
      <c r="Y232" s="5"/>
      <c r="Z232" s="5"/>
      <c r="AA232" s="69"/>
      <c r="AB232" s="5"/>
      <c r="AC232" s="5"/>
    </row>
    <row r="233" spans="4:29" ht="15" customHeight="1" x14ac:dyDescent="0.25">
      <c r="D233" s="132">
        <f>IF($C$10="IOU",1,0)</f>
        <v>1</v>
      </c>
      <c r="G233" s="150"/>
      <c r="H233" s="197" t="s">
        <v>92</v>
      </c>
      <c r="I233" s="111"/>
      <c r="J233" s="111"/>
      <c r="K233" s="111"/>
      <c r="L233" s="111"/>
      <c r="M233" s="111"/>
      <c r="N233" s="111"/>
      <c r="O233" s="111"/>
      <c r="P233" s="111"/>
      <c r="Q233" s="111"/>
      <c r="R233" s="25"/>
      <c r="S233" s="25"/>
      <c r="T233" s="5"/>
      <c r="U233" s="5"/>
      <c r="V233" s="5"/>
      <c r="W233" s="5"/>
      <c r="X233" s="5"/>
      <c r="Y233" s="5"/>
      <c r="Z233" s="5"/>
      <c r="AA233" s="69"/>
      <c r="AB233" s="5"/>
      <c r="AC233" s="5"/>
    </row>
    <row r="234" spans="4:29" ht="15" x14ac:dyDescent="0.25">
      <c r="D234" s="132">
        <v>0</v>
      </c>
      <c r="G234" s="150"/>
      <c r="H234" s="197"/>
      <c r="J234" s="68"/>
      <c r="K234" s="6"/>
      <c r="L234" s="32"/>
      <c r="M234" s="6"/>
      <c r="N234" s="6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69"/>
      <c r="AB234" s="5"/>
      <c r="AC234" s="5"/>
    </row>
    <row r="235" spans="4:29" ht="15" x14ac:dyDescent="0.25">
      <c r="D235" s="132">
        <v>0</v>
      </c>
      <c r="G235" s="150"/>
      <c r="H235" s="197"/>
      <c r="J235" s="68"/>
      <c r="K235" s="6"/>
      <c r="L235" s="32"/>
      <c r="M235" s="6"/>
      <c r="N235" s="6"/>
      <c r="O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69"/>
      <c r="AB235" s="5"/>
      <c r="AC235" s="5"/>
    </row>
    <row r="236" spans="4:29" ht="15" x14ac:dyDescent="0.25">
      <c r="D236" s="132">
        <v>0</v>
      </c>
      <c r="G236" s="150"/>
      <c r="H236" s="197"/>
      <c r="J236" s="68"/>
      <c r="K236" s="6"/>
      <c r="L236" s="32"/>
      <c r="M236" s="6"/>
      <c r="N236" s="6"/>
      <c r="O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69"/>
      <c r="AB236" s="5"/>
      <c r="AC236" s="5"/>
    </row>
    <row r="237" spans="4:29" ht="15" x14ac:dyDescent="0.25">
      <c r="D237" s="132">
        <v>0</v>
      </c>
      <c r="G237" s="150"/>
      <c r="H237" s="197"/>
      <c r="J237" s="68"/>
      <c r="K237" s="6"/>
      <c r="L237" s="32"/>
      <c r="M237" s="6"/>
      <c r="N237" s="6"/>
      <c r="O237" s="5"/>
      <c r="Q237" s="5"/>
      <c r="R237" s="5"/>
      <c r="T237" s="5"/>
      <c r="U237" s="5"/>
      <c r="V237" s="5"/>
      <c r="W237" s="5"/>
      <c r="X237" s="5"/>
      <c r="Y237" s="5"/>
      <c r="Z237" s="5"/>
      <c r="AA237" s="69"/>
      <c r="AB237" s="5"/>
      <c r="AC237" s="5"/>
    </row>
    <row r="238" spans="4:29" ht="15" x14ac:dyDescent="0.25">
      <c r="D238" s="132">
        <v>0</v>
      </c>
      <c r="G238" s="150"/>
      <c r="H238" s="197"/>
      <c r="J238" s="68"/>
      <c r="K238" s="6"/>
      <c r="L238" s="32"/>
      <c r="M238" s="6"/>
      <c r="N238" s="6"/>
      <c r="O238" s="5"/>
      <c r="Q238" s="5"/>
      <c r="T238" s="5"/>
      <c r="U238" s="5"/>
      <c r="V238" s="5"/>
      <c r="W238" s="5"/>
      <c r="X238" s="5"/>
      <c r="Y238" s="5"/>
      <c r="Z238" s="5"/>
      <c r="AA238" s="69"/>
      <c r="AB238" s="5"/>
      <c r="AC238" s="5"/>
    </row>
    <row r="239" spans="4:29" ht="15" x14ac:dyDescent="0.25">
      <c r="D239" s="132">
        <v>0</v>
      </c>
      <c r="G239" s="150"/>
      <c r="H239" s="197"/>
      <c r="J239" s="68"/>
      <c r="K239" s="6"/>
      <c r="L239" s="32"/>
      <c r="M239" s="6"/>
      <c r="N239" s="6"/>
      <c r="O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69"/>
      <c r="AB239" s="5"/>
      <c r="AC239" s="5"/>
    </row>
    <row r="240" spans="4:29" ht="27" customHeight="1" x14ac:dyDescent="0.25">
      <c r="D240" s="132">
        <v>0</v>
      </c>
      <c r="G240" s="150"/>
      <c r="H240" s="114" t="s">
        <v>93</v>
      </c>
      <c r="I240" s="114"/>
      <c r="J240" s="114"/>
      <c r="K240" s="114"/>
      <c r="L240" s="114"/>
      <c r="M240" s="6"/>
      <c r="N240" s="6"/>
      <c r="O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69"/>
      <c r="AB240" s="5"/>
      <c r="AC240" s="5"/>
    </row>
    <row r="241" spans="1:29" ht="15" x14ac:dyDescent="0.25">
      <c r="D241" s="132">
        <v>0</v>
      </c>
      <c r="G241" s="150"/>
      <c r="J241" s="68"/>
      <c r="K241" s="6"/>
      <c r="L241" s="32"/>
      <c r="M241" s="6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69"/>
      <c r="AB241" s="5"/>
      <c r="AC241" s="5"/>
    </row>
    <row r="242" spans="1:29" ht="15" x14ac:dyDescent="0.25">
      <c r="D242" s="132">
        <v>0</v>
      </c>
      <c r="G242" s="150"/>
      <c r="J242" s="68"/>
      <c r="K242" s="6"/>
      <c r="L242" s="32"/>
      <c r="M242" s="6"/>
      <c r="O242" s="5"/>
      <c r="P242" s="5"/>
      <c r="Q242" s="5"/>
      <c r="R242" s="5"/>
      <c r="S242" s="70"/>
      <c r="T242" s="5"/>
      <c r="U242" s="5"/>
      <c r="V242" s="5"/>
      <c r="W242" s="5"/>
      <c r="X242" s="5"/>
      <c r="Y242" s="5"/>
      <c r="Z242" s="5"/>
      <c r="AA242" s="69"/>
      <c r="AB242" s="5"/>
      <c r="AC242" s="5"/>
    </row>
    <row r="243" spans="1:29" ht="15" x14ac:dyDescent="0.25">
      <c r="D243" s="132">
        <v>0</v>
      </c>
      <c r="G243" s="150"/>
      <c r="J243" s="68"/>
      <c r="K243" s="6"/>
      <c r="L243" s="32"/>
      <c r="M243" s="6"/>
      <c r="N243" s="6"/>
      <c r="O243" s="5"/>
      <c r="P243" s="5"/>
      <c r="Q243" s="5"/>
      <c r="R243" s="5"/>
      <c r="S243" s="70"/>
      <c r="T243" s="5"/>
      <c r="U243" s="5"/>
      <c r="V243" s="5"/>
      <c r="W243" s="5"/>
      <c r="X243" s="5"/>
      <c r="Y243" s="5"/>
      <c r="Z243" s="5"/>
      <c r="AA243" s="69"/>
      <c r="AB243" s="5"/>
      <c r="AC243" s="5"/>
    </row>
    <row r="244" spans="1:29" ht="15" x14ac:dyDescent="0.25">
      <c r="D244" s="132">
        <v>0</v>
      </c>
      <c r="G244" s="150"/>
      <c r="J244" s="68"/>
      <c r="K244" s="6"/>
      <c r="L244" s="32"/>
      <c r="M244" s="6"/>
      <c r="N244" s="6"/>
      <c r="O244" s="5"/>
      <c r="P244" s="5"/>
      <c r="Q244" s="5"/>
      <c r="R244" s="5"/>
      <c r="T244" s="5"/>
      <c r="U244" s="5"/>
      <c r="V244" s="5"/>
      <c r="W244" s="5"/>
      <c r="X244" s="5"/>
      <c r="Y244" s="5"/>
      <c r="Z244" s="5"/>
      <c r="AA244" s="69"/>
      <c r="AB244" s="5"/>
      <c r="AC244" s="5"/>
    </row>
    <row r="245" spans="1:29" ht="15" x14ac:dyDescent="0.25">
      <c r="D245" s="132">
        <v>0</v>
      </c>
      <c r="J245" s="68"/>
      <c r="K245" s="6"/>
      <c r="L245" s="32"/>
      <c r="M245" s="6"/>
      <c r="N245" s="6"/>
      <c r="O245" s="5"/>
      <c r="P245" s="5"/>
      <c r="Q245" s="5"/>
      <c r="R245" s="5"/>
      <c r="T245" s="5"/>
      <c r="U245" s="5"/>
      <c r="V245" s="5"/>
      <c r="W245" s="5"/>
      <c r="X245" s="5"/>
      <c r="Y245" s="5"/>
      <c r="Z245" s="5"/>
      <c r="AA245" s="69"/>
      <c r="AB245" s="5"/>
      <c r="AC245" s="5"/>
    </row>
    <row r="246" spans="1:29" ht="15" x14ac:dyDescent="0.25">
      <c r="A246" s="200">
        <v>2</v>
      </c>
      <c r="D246" s="132">
        <v>1</v>
      </c>
      <c r="G246" s="201" t="str">
        <f t="shared" ref="G246:G252" si="62">"("&amp;TEXT(A246,0)&amp;")"</f>
        <v>(2)</v>
      </c>
      <c r="H246" s="115" t="s">
        <v>94</v>
      </c>
      <c r="I246" s="115"/>
      <c r="J246" s="115"/>
      <c r="K246" s="115"/>
      <c r="L246" s="115"/>
      <c r="M246" s="115"/>
      <c r="N246" s="6"/>
      <c r="O246" s="5"/>
      <c r="P246" s="5"/>
      <c r="Q246" s="5"/>
      <c r="R246" s="5"/>
      <c r="S246" s="70"/>
      <c r="T246" s="5"/>
      <c r="U246" s="5"/>
      <c r="V246" s="5"/>
      <c r="W246" s="5"/>
      <c r="X246" s="5"/>
      <c r="Y246" s="5"/>
      <c r="Z246" s="5"/>
      <c r="AB246" s="5"/>
      <c r="AC246" s="5"/>
    </row>
    <row r="247" spans="1:29" ht="15" x14ac:dyDescent="0.25">
      <c r="A247" s="200">
        <v>3</v>
      </c>
      <c r="B247" s="202">
        <f>+F24</f>
        <v>5</v>
      </c>
      <c r="D247" s="132">
        <v>1</v>
      </c>
      <c r="G247" s="203" t="str">
        <f t="shared" si="62"/>
        <v>(3)</v>
      </c>
      <c r="H247" s="2" t="str">
        <f>+"Line "&amp;B247&amp;"."</f>
        <v>Line 5.</v>
      </c>
      <c r="J247" s="68"/>
      <c r="K247" s="6"/>
      <c r="L247" s="32"/>
      <c r="M247" s="6"/>
      <c r="N247" s="6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B247" s="5"/>
      <c r="AC247" s="5"/>
    </row>
    <row r="248" spans="1:29" ht="15" x14ac:dyDescent="0.25">
      <c r="A248" s="200">
        <v>4</v>
      </c>
      <c r="B248" s="202">
        <f>+F38</f>
        <v>17</v>
      </c>
      <c r="D248" s="132">
        <v>1</v>
      </c>
      <c r="G248" s="203" t="str">
        <f t="shared" si="62"/>
        <v>(4)</v>
      </c>
      <c r="H248" s="2" t="str">
        <f>+"Line "&amp;B248&amp;" + line "&amp;B248-2&amp;"."</f>
        <v>Line 17 + line 15.</v>
      </c>
      <c r="J248" s="68"/>
      <c r="K248" s="6"/>
      <c r="L248" s="32"/>
      <c r="M248" s="6"/>
      <c r="N248" s="6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B248" s="5"/>
      <c r="AC248" s="5"/>
    </row>
    <row r="249" spans="1:29" ht="15" x14ac:dyDescent="0.25">
      <c r="A249" s="200">
        <v>5</v>
      </c>
      <c r="B249" s="202">
        <f>+B248</f>
        <v>17</v>
      </c>
      <c r="D249" s="132">
        <v>1</v>
      </c>
      <c r="G249" s="203" t="str">
        <f t="shared" si="62"/>
        <v>(5)</v>
      </c>
      <c r="H249" s="2" t="str">
        <f>+"Line "&amp;B249&amp;"."</f>
        <v>Line 17.</v>
      </c>
      <c r="J249" s="68"/>
      <c r="K249" s="6"/>
      <c r="L249" s="32"/>
      <c r="M249" s="6"/>
      <c r="N249" s="6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B249" s="5"/>
      <c r="AC249" s="5"/>
    </row>
    <row r="250" spans="1:29" ht="30" customHeight="1" x14ac:dyDescent="0.25">
      <c r="A250" s="200">
        <v>6</v>
      </c>
      <c r="D250" s="132">
        <f>IF($C$10="IOU",0,1)</f>
        <v>0</v>
      </c>
      <c r="G250" s="201" t="str">
        <f t="shared" si="62"/>
        <v>(6)</v>
      </c>
      <c r="H250" s="112" t="str">
        <f>+"Capital Expenditures - Are estimates at "&amp;TEXT(Q303,"0.00%")&amp;" of prior year-end GROSS Property, plant and equipment."</f>
        <v>Capital Expenditures - Are estimates at 1.59% of prior year-end GROSS Property, plant and equipment.</v>
      </c>
      <c r="I250" s="112"/>
      <c r="J250" s="112"/>
      <c r="K250" s="112"/>
      <c r="L250" s="112"/>
      <c r="M250" s="112"/>
      <c r="N250" s="109"/>
      <c r="O250" s="109"/>
      <c r="P250" s="109"/>
      <c r="Q250" s="109"/>
      <c r="R250" s="5"/>
      <c r="S250" s="5"/>
      <c r="T250" s="5" t="s">
        <v>95</v>
      </c>
      <c r="U250" s="5" t="s">
        <v>95</v>
      </c>
      <c r="V250" s="5" t="s">
        <v>95</v>
      </c>
      <c r="W250" s="5" t="s">
        <v>95</v>
      </c>
      <c r="X250" s="5" t="s">
        <v>95</v>
      </c>
      <c r="Y250" s="5" t="s">
        <v>95</v>
      </c>
      <c r="Z250" s="5" t="s">
        <v>95</v>
      </c>
      <c r="AA250" s="5" t="s">
        <v>95</v>
      </c>
      <c r="AB250" s="5"/>
      <c r="AC250" s="5"/>
    </row>
    <row r="251" spans="1:29" ht="30.75" customHeight="1" x14ac:dyDescent="0.25">
      <c r="A251" s="200">
        <v>6</v>
      </c>
      <c r="D251" s="132">
        <f>IF($C$10="IOU",1,0)</f>
        <v>1</v>
      </c>
      <c r="F251" s="150"/>
      <c r="G251" s="201" t="str">
        <f t="shared" si="62"/>
        <v>(6)</v>
      </c>
      <c r="H251" s="116" t="str">
        <f>+"Capital Expenditures - Are estimates at "&amp;TEXT(Q303,"0.00%")&amp;" of prior year-end GROSS Property, plant and equipment."</f>
        <v>Capital Expenditures - Are estimates at 1.59% of prior year-end GROSS Property, plant and equipment.</v>
      </c>
      <c r="I251" s="116"/>
      <c r="J251" s="116"/>
      <c r="K251" s="116"/>
      <c r="L251" s="116"/>
      <c r="M251" s="116"/>
      <c r="N251" s="109"/>
      <c r="O251" s="109"/>
      <c r="P251" s="109"/>
      <c r="Q251" s="109"/>
      <c r="R251" s="5"/>
      <c r="T251" s="204" t="str">
        <f>+"reduction in cost due to the fact governmental agencies must pay prevailing wages while private companies do not. Post-2020 years are estimates at "&amp;TEXT(Q303,"0.00%")&amp;" of prior year-end GROSS Property, plant and equipment."</f>
        <v>reduction in cost due to the fact governmental agencies must pay prevailing wages while private companies do not. Post-2020 years are estimates at 1.59% of prior year-end GROSS Property, plant and equipment.</v>
      </c>
      <c r="U251" s="5"/>
      <c r="V251" s="5"/>
      <c r="W251" s="5"/>
      <c r="X251" s="5"/>
      <c r="Y251" s="5"/>
      <c r="Z251" s="5"/>
      <c r="AB251" s="5"/>
      <c r="AC251" s="5"/>
    </row>
    <row r="252" spans="1:29" ht="17.25" customHeight="1" x14ac:dyDescent="0.25">
      <c r="A252" s="200">
        <v>7</v>
      </c>
      <c r="D252" s="132">
        <v>1</v>
      </c>
      <c r="G252" s="201" t="str">
        <f t="shared" si="62"/>
        <v>(7)</v>
      </c>
      <c r="H252" s="205" t="s">
        <v>96</v>
      </c>
      <c r="I252" s="205"/>
      <c r="J252" s="205"/>
      <c r="K252" s="205"/>
      <c r="L252" s="205"/>
      <c r="M252" s="205"/>
      <c r="N252" s="205"/>
      <c r="O252" s="205"/>
      <c r="P252" s="205"/>
      <c r="Q252" s="205"/>
      <c r="R252" s="206"/>
      <c r="S252" s="206"/>
      <c r="T252" s="5" t="str">
        <f>+"Capital Expenditures - Year 2016 are from Engineers Assessment inventory post-2015 additions. Years 2017 - 2020 are from Engineers Assessment CIP @ 30%. "&amp;T251</f>
        <v>Capital Expenditures - Year 2016 are from Engineers Assessment inventory post-2015 additions. Years 2017 - 2020 are from Engineers Assessment CIP @ 30%. reduction in cost due to the fact governmental agencies must pay prevailing wages while private companies do not. Post-2020 years are estimates at 1.59% of prior year-end GROSS Property, plant and equipment.</v>
      </c>
      <c r="U252" s="5"/>
      <c r="V252" s="5"/>
      <c r="W252" s="5"/>
      <c r="X252" s="5"/>
      <c r="Y252" s="5"/>
      <c r="Z252" s="5"/>
      <c r="AB252" s="5"/>
      <c r="AC252" s="5"/>
    </row>
    <row r="253" spans="1:29" ht="15" x14ac:dyDescent="0.25">
      <c r="D253" s="132">
        <v>0</v>
      </c>
    </row>
    <row r="254" spans="1:29" ht="30.75" customHeight="1" x14ac:dyDescent="0.25">
      <c r="A254" s="5">
        <v>0</v>
      </c>
      <c r="D254" s="132">
        <v>0</v>
      </c>
      <c r="G254" s="201"/>
      <c r="H254" s="207" t="s">
        <v>97</v>
      </c>
      <c r="I254" s="207"/>
      <c r="J254" s="207"/>
      <c r="K254" s="207"/>
      <c r="L254" s="207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B254" s="5"/>
      <c r="AC254" s="5"/>
    </row>
    <row r="255" spans="1:29" ht="15" x14ac:dyDescent="0.25">
      <c r="A255" s="5">
        <v>0</v>
      </c>
      <c r="D255" s="132">
        <v>0</v>
      </c>
      <c r="G255" s="203"/>
      <c r="H255" s="2" t="s">
        <v>98</v>
      </c>
      <c r="I255" s="6"/>
      <c r="J255" s="208"/>
      <c r="K255" s="6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B255" s="5"/>
      <c r="AC255" s="5"/>
    </row>
    <row r="256" spans="1:29" ht="30" customHeight="1" x14ac:dyDescent="0.25">
      <c r="A256" s="5">
        <v>8</v>
      </c>
      <c r="D256" s="132">
        <f>IF($C$10="IOU",1,0)</f>
        <v>1</v>
      </c>
      <c r="G256" s="201" t="str">
        <f t="shared" ref="G256:G264" si="63">"("&amp;TEXT(A256,0)&amp;")"</f>
        <v>(8)</v>
      </c>
      <c r="H256" s="207" t="s">
        <v>99</v>
      </c>
      <c r="I256" s="207"/>
      <c r="J256" s="207"/>
      <c r="K256" s="207"/>
      <c r="L256" s="207"/>
      <c r="M256" s="207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B256" s="5"/>
      <c r="AC256" s="5"/>
    </row>
    <row r="257" spans="1:29" ht="30" customHeight="1" x14ac:dyDescent="0.25">
      <c r="A257" s="5">
        <v>9</v>
      </c>
      <c r="D257" s="132">
        <f>IF($C$10="IOU",1,0)</f>
        <v>1</v>
      </c>
      <c r="G257" s="201" t="str">
        <f t="shared" si="63"/>
        <v>(9)</v>
      </c>
      <c r="H257" s="207" t="s">
        <v>100</v>
      </c>
      <c r="I257" s="207"/>
      <c r="J257" s="207"/>
      <c r="K257" s="207"/>
      <c r="L257" s="207"/>
      <c r="M257" s="207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B257" s="5"/>
      <c r="AC257" s="5"/>
    </row>
    <row r="258" spans="1:29" ht="30" customHeight="1" x14ac:dyDescent="0.25">
      <c r="A258" s="5">
        <v>8</v>
      </c>
      <c r="D258" s="132">
        <f>IF($C$10="IOU",0,1)</f>
        <v>0</v>
      </c>
      <c r="G258" s="201" t="str">
        <f t="shared" si="63"/>
        <v>(8)</v>
      </c>
      <c r="H258" s="207" t="s">
        <v>101</v>
      </c>
      <c r="I258" s="207"/>
      <c r="J258" s="207"/>
      <c r="K258" s="207"/>
      <c r="L258" s="207"/>
      <c r="M258" s="207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B258" s="5"/>
      <c r="AC258" s="5"/>
    </row>
    <row r="259" spans="1:29" ht="30" customHeight="1" x14ac:dyDescent="0.25">
      <c r="A259" s="5">
        <v>9</v>
      </c>
      <c r="D259" s="132">
        <f>IF($C$10="MUNI",1,0)</f>
        <v>0</v>
      </c>
      <c r="G259" s="201" t="str">
        <f t="shared" si="63"/>
        <v>(9)</v>
      </c>
      <c r="H259" s="207" t="s">
        <v>102</v>
      </c>
      <c r="I259" s="207"/>
      <c r="J259" s="207"/>
      <c r="K259" s="207"/>
      <c r="L259" s="207"/>
      <c r="M259" s="207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B259" s="5"/>
      <c r="AC259" s="5"/>
    </row>
    <row r="260" spans="1:29" ht="15" x14ac:dyDescent="0.25">
      <c r="A260" s="5">
        <v>10</v>
      </c>
      <c r="B260" s="202">
        <f>+F52</f>
        <v>27</v>
      </c>
      <c r="D260" s="132">
        <v>1</v>
      </c>
      <c r="G260" s="203" t="str">
        <f t="shared" si="63"/>
        <v>(10)</v>
      </c>
      <c r="H260" s="2" t="str">
        <f>+"Final year shown, line "&amp;B260&amp;"."</f>
        <v>Final year shown, line 27.</v>
      </c>
      <c r="I260" s="6"/>
      <c r="J260" s="208"/>
      <c r="K260" s="6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B260" s="5"/>
      <c r="AC260" s="5"/>
    </row>
    <row r="261" spans="1:29" ht="15" x14ac:dyDescent="0.25">
      <c r="A261" s="5">
        <v>11</v>
      </c>
      <c r="B261" s="202">
        <f>IF($C$10="IOU",+F54,+F70)</f>
        <v>29</v>
      </c>
      <c r="D261" s="132">
        <f>IF($C$10="SUBJECT",0,1)</f>
        <v>1</v>
      </c>
      <c r="G261" s="203" t="str">
        <f t="shared" si="63"/>
        <v>(11)</v>
      </c>
      <c r="H261" s="2" t="str">
        <f>+"Final year shown, line "&amp;B261&amp;"."</f>
        <v>Final year shown, line 29.</v>
      </c>
      <c r="I261" s="6"/>
      <c r="J261" s="208"/>
      <c r="K261" s="6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B261" s="5"/>
      <c r="AC261" s="5"/>
    </row>
    <row r="262" spans="1:29" ht="15" x14ac:dyDescent="0.25">
      <c r="A262" s="5">
        <v>12</v>
      </c>
      <c r="B262" s="202">
        <f>IF($C$10="IOU",+F58,+F70)</f>
        <v>31</v>
      </c>
      <c r="D262" s="132">
        <f>IF($C$10="SUBJECT",0,1)</f>
        <v>1</v>
      </c>
      <c r="G262" s="203" t="str">
        <f t="shared" si="63"/>
        <v>(12)</v>
      </c>
      <c r="H262" s="2" t="str">
        <f>+"Final year shown, line "&amp;B262&amp;"."</f>
        <v>Final year shown, line 31.</v>
      </c>
      <c r="I262" s="6"/>
      <c r="J262" s="208"/>
      <c r="K262" s="6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B262" s="5"/>
      <c r="AC262" s="5"/>
    </row>
    <row r="263" spans="1:29" ht="15" x14ac:dyDescent="0.25">
      <c r="A263" s="5">
        <v>13</v>
      </c>
      <c r="B263" s="2"/>
      <c r="D263" s="132">
        <f>IF($C$10="SUBJECT",0,1)</f>
        <v>1</v>
      </c>
      <c r="G263" s="203" t="str">
        <f t="shared" si="63"/>
        <v>(13)</v>
      </c>
      <c r="H263" s="2" t="s">
        <v>103</v>
      </c>
      <c r="I263" s="6"/>
      <c r="J263" s="208"/>
      <c r="K263" s="6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B263" s="5"/>
      <c r="AC263" s="5"/>
    </row>
    <row r="264" spans="1:29" ht="15" x14ac:dyDescent="0.25">
      <c r="A264" s="5">
        <v>11</v>
      </c>
      <c r="D264" s="132"/>
      <c r="G264" s="203" t="str">
        <f t="shared" si="63"/>
        <v>(11)</v>
      </c>
      <c r="H264" s="2" t="s">
        <v>104</v>
      </c>
      <c r="I264" s="6"/>
      <c r="J264" s="208"/>
      <c r="K264" s="6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</row>
    <row r="265" spans="1:29" ht="15" x14ac:dyDescent="0.25">
      <c r="D265" s="132">
        <v>0</v>
      </c>
      <c r="G265" s="203"/>
      <c r="I265" s="6"/>
      <c r="J265" s="208"/>
      <c r="K265" s="6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</row>
    <row r="266" spans="1:29" ht="15" x14ac:dyDescent="0.25">
      <c r="B266" s="2"/>
      <c r="D266" s="132">
        <v>0</v>
      </c>
      <c r="G266" s="209"/>
      <c r="I266" s="6"/>
      <c r="J266" s="208"/>
      <c r="K266" s="6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</row>
    <row r="267" spans="1:29" ht="15" x14ac:dyDescent="0.25">
      <c r="D267" s="132">
        <v>1</v>
      </c>
      <c r="G267" s="209"/>
      <c r="H267" s="208"/>
      <c r="I267" s="6"/>
      <c r="J267" s="208"/>
      <c r="K267" s="6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</row>
    <row r="268" spans="1:29" ht="15" x14ac:dyDescent="0.25">
      <c r="D268" s="132">
        <v>1</v>
      </c>
      <c r="G268" s="210" t="s">
        <v>105</v>
      </c>
      <c r="I268" s="6"/>
      <c r="J268" s="208"/>
      <c r="K268" s="6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</row>
    <row r="269" spans="1:29" ht="15" x14ac:dyDescent="0.25">
      <c r="D269" s="132">
        <v>1</v>
      </c>
      <c r="G269" s="210"/>
      <c r="H269" s="2" t="s">
        <v>106</v>
      </c>
      <c r="I269" s="6"/>
      <c r="J269" s="208"/>
      <c r="K269" s="6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</row>
    <row r="270" spans="1:29" ht="15" x14ac:dyDescent="0.25">
      <c r="D270" s="132">
        <v>1</v>
      </c>
      <c r="G270" s="210"/>
      <c r="H270" s="2" t="s">
        <v>107</v>
      </c>
      <c r="I270" s="6"/>
      <c r="J270" s="208"/>
      <c r="K270" s="6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</row>
    <row r="271" spans="1:29" ht="15" x14ac:dyDescent="0.25">
      <c r="D271" s="132">
        <v>1</v>
      </c>
      <c r="G271" s="210"/>
      <c r="H271" s="2" t="s">
        <v>108</v>
      </c>
      <c r="I271" s="6"/>
      <c r="J271" s="208"/>
      <c r="K271" s="6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</row>
    <row r="272" spans="1:29" ht="15" x14ac:dyDescent="0.25">
      <c r="D272" s="132">
        <v>1</v>
      </c>
      <c r="G272" s="209"/>
      <c r="H272" s="2" t="s">
        <v>109</v>
      </c>
      <c r="I272" s="6"/>
      <c r="J272" s="208"/>
      <c r="K272" s="6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</row>
    <row r="273" spans="4:29" ht="15" x14ac:dyDescent="0.25">
      <c r="D273" s="132">
        <v>1</v>
      </c>
      <c r="G273" s="211"/>
      <c r="H273" s="2" t="s">
        <v>110</v>
      </c>
      <c r="I273" s="6"/>
      <c r="J273" s="6"/>
      <c r="K273" s="6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</row>
    <row r="274" spans="4:29" ht="15" x14ac:dyDescent="0.25">
      <c r="D274" s="132">
        <v>1</v>
      </c>
      <c r="G274" s="211"/>
      <c r="H274" s="2" t="s">
        <v>111</v>
      </c>
      <c r="I274" s="6"/>
      <c r="J274" s="6"/>
      <c r="K274" s="6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</row>
    <row r="275" spans="4:29" ht="15" x14ac:dyDescent="0.25">
      <c r="D275" s="132">
        <v>1</v>
      </c>
      <c r="G275" s="211"/>
      <c r="H275" s="2" t="s">
        <v>112</v>
      </c>
      <c r="I275" s="6"/>
      <c r="J275" s="6"/>
      <c r="K275" s="6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</row>
    <row r="276" spans="4:29" ht="15" x14ac:dyDescent="0.25">
      <c r="D276" s="132">
        <v>0</v>
      </c>
      <c r="G276" s="211"/>
      <c r="H276" s="2" t="s">
        <v>113</v>
      </c>
      <c r="I276" s="6"/>
      <c r="J276" s="6"/>
      <c r="K276" s="6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</row>
    <row r="277" spans="4:29" ht="15" x14ac:dyDescent="0.25">
      <c r="D277" s="132">
        <v>0</v>
      </c>
      <c r="G277" s="211"/>
      <c r="I277" s="6"/>
      <c r="J277" s="6"/>
      <c r="K277" s="6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</row>
    <row r="278" spans="4:29" ht="15" x14ac:dyDescent="0.25">
      <c r="D278" s="132">
        <v>0</v>
      </c>
      <c r="G278" s="211">
        <v>13</v>
      </c>
      <c r="H278" s="208"/>
      <c r="I278" s="6"/>
      <c r="J278" s="6"/>
      <c r="K278" s="6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</row>
    <row r="279" spans="4:29" ht="15" x14ac:dyDescent="0.25">
      <c r="D279" s="132">
        <v>0</v>
      </c>
      <c r="G279" s="211">
        <v>14</v>
      </c>
      <c r="H279" s="6"/>
      <c r="I279" s="6"/>
      <c r="J279" s="6"/>
      <c r="K279" s="6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</row>
    <row r="280" spans="4:29" ht="15" x14ac:dyDescent="0.25">
      <c r="D280" s="132">
        <v>0</v>
      </c>
      <c r="G280" s="211">
        <v>15</v>
      </c>
      <c r="H280" s="6"/>
      <c r="I280" s="6"/>
      <c r="J280" s="6"/>
      <c r="K280" s="6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</row>
    <row r="281" spans="4:29" ht="15" x14ac:dyDescent="0.25">
      <c r="D281" s="132">
        <v>0</v>
      </c>
      <c r="G281" s="211">
        <v>16</v>
      </c>
      <c r="H281" s="6"/>
      <c r="I281" s="6"/>
      <c r="J281" s="6"/>
      <c r="K281" s="6"/>
      <c r="L281" s="5"/>
      <c r="N281" s="5"/>
      <c r="R281" s="5"/>
      <c r="AA281" s="5"/>
      <c r="AB281" s="5"/>
      <c r="AC281" s="5"/>
    </row>
    <row r="282" spans="4:29" ht="15" x14ac:dyDescent="0.25">
      <c r="D282" s="132">
        <v>0</v>
      </c>
      <c r="G282" s="211">
        <v>17</v>
      </c>
      <c r="H282" s="6"/>
      <c r="I282" s="15"/>
      <c r="J282" s="15"/>
      <c r="K282" s="15"/>
      <c r="L282" s="15"/>
      <c r="M282" s="15"/>
      <c r="N282" s="15"/>
      <c r="O282" s="15"/>
      <c r="P282" s="15"/>
      <c r="R282" s="5"/>
      <c r="AA282" s="5"/>
      <c r="AB282" s="5"/>
      <c r="AC282" s="5"/>
    </row>
    <row r="283" spans="4:29" ht="15.75" thickBot="1" x14ac:dyDescent="0.3">
      <c r="D283" s="132">
        <v>0</v>
      </c>
      <c r="H283" s="6"/>
      <c r="I283" s="6"/>
      <c r="J283" s="6"/>
      <c r="K283" s="6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</row>
    <row r="284" spans="4:29" ht="13.5" thickBot="1" x14ac:dyDescent="0.25">
      <c r="G284" s="212" t="s">
        <v>114</v>
      </c>
      <c r="H284" s="213"/>
      <c r="I284" s="213"/>
      <c r="J284" s="213"/>
      <c r="K284" s="213"/>
      <c r="L284" s="213"/>
      <c r="M284" s="213"/>
      <c r="N284" s="214"/>
      <c r="O284" s="215" t="s">
        <v>114</v>
      </c>
      <c r="P284" s="35"/>
      <c r="Q284" s="35"/>
      <c r="R284" s="35"/>
      <c r="S284" s="35"/>
      <c r="T284" s="35"/>
      <c r="U284" s="35"/>
      <c r="V284" s="36"/>
      <c r="W284" s="5"/>
      <c r="X284" s="5"/>
      <c r="Y284" s="5"/>
      <c r="Z284" s="5"/>
      <c r="AA284" s="5"/>
      <c r="AB284" s="5"/>
      <c r="AC284" s="5"/>
    </row>
    <row r="285" spans="4:29" x14ac:dyDescent="0.2">
      <c r="H285" s="76">
        <f t="shared" ref="H285:Z285" si="64">+H19</f>
        <v>2013</v>
      </c>
      <c r="I285" s="76">
        <f t="shared" si="64"/>
        <v>2014</v>
      </c>
      <c r="J285" s="76">
        <f t="shared" si="64"/>
        <v>2015</v>
      </c>
      <c r="K285" s="76">
        <f t="shared" si="64"/>
        <v>2016</v>
      </c>
      <c r="L285" s="76">
        <f t="shared" si="64"/>
        <v>2017</v>
      </c>
      <c r="M285" s="76">
        <f t="shared" si="64"/>
        <v>2018</v>
      </c>
      <c r="N285" s="216">
        <f t="shared" si="64"/>
        <v>2019</v>
      </c>
      <c r="O285" s="216">
        <f t="shared" si="64"/>
        <v>2020</v>
      </c>
      <c r="P285" s="76">
        <f t="shared" si="64"/>
        <v>2021</v>
      </c>
      <c r="Q285" s="76">
        <f t="shared" si="64"/>
        <v>2022</v>
      </c>
      <c r="R285" s="76">
        <f t="shared" si="64"/>
        <v>2023</v>
      </c>
      <c r="S285" s="76">
        <f t="shared" si="64"/>
        <v>2024</v>
      </c>
      <c r="T285" s="76">
        <f t="shared" si="64"/>
        <v>2025</v>
      </c>
      <c r="U285" s="76">
        <f t="shared" si="64"/>
        <v>2026</v>
      </c>
      <c r="V285" s="76">
        <f t="shared" si="64"/>
        <v>2027</v>
      </c>
      <c r="W285" s="76">
        <f t="shared" si="64"/>
        <v>2028</v>
      </c>
      <c r="X285" s="76">
        <f t="shared" si="64"/>
        <v>2029</v>
      </c>
      <c r="Y285" s="76">
        <f t="shared" si="64"/>
        <v>2030</v>
      </c>
      <c r="Z285" s="76">
        <f t="shared" si="64"/>
        <v>2031</v>
      </c>
      <c r="AA285" s="76">
        <f t="shared" ref="AA285" si="65">+Z285+1</f>
        <v>2032</v>
      </c>
    </row>
    <row r="286" spans="4:29" x14ac:dyDescent="0.2">
      <c r="H286" s="76"/>
      <c r="I286" s="76"/>
      <c r="J286" s="76"/>
      <c r="K286" s="76"/>
      <c r="L286" s="76"/>
      <c r="M286" s="76"/>
      <c r="N286" s="76"/>
      <c r="O286" s="76"/>
      <c r="P286" s="76"/>
      <c r="Q286" s="76"/>
      <c r="R286" s="76"/>
      <c r="S286" s="76"/>
      <c r="T286" s="76"/>
      <c r="U286" s="76"/>
      <c r="V286" s="76"/>
      <c r="W286" s="76"/>
      <c r="X286" s="76"/>
      <c r="Y286" s="76"/>
      <c r="Z286" s="76"/>
      <c r="AA286" s="76"/>
    </row>
    <row r="287" spans="4:29" x14ac:dyDescent="0.2">
      <c r="G287" s="2" t="s">
        <v>115</v>
      </c>
      <c r="H287" s="217">
        <f>+H449</f>
        <v>0</v>
      </c>
      <c r="I287" s="217">
        <f t="shared" ref="I287:J287" si="66">+I449</f>
        <v>0</v>
      </c>
      <c r="J287" s="217">
        <f t="shared" si="66"/>
        <v>0</v>
      </c>
      <c r="K287" s="217"/>
      <c r="L287" s="217">
        <v>4931649</v>
      </c>
      <c r="M287" s="217">
        <f>+L287+M304-M309</f>
        <v>4931649</v>
      </c>
      <c r="N287" s="217">
        <f>+M287+N304-N309</f>
        <v>4997755</v>
      </c>
      <c r="O287" s="217">
        <f>+N287+O304-O309</f>
        <v>5064227</v>
      </c>
      <c r="P287" s="217">
        <f>+O287+P304-P309</f>
        <v>5131586</v>
      </c>
      <c r="Q287" s="217">
        <f>+P287+Q304-Q309</f>
        <v>5199842</v>
      </c>
      <c r="R287" s="217">
        <f>+Q287+R304-R309</f>
        <v>5269005</v>
      </c>
      <c r="S287" s="217">
        <f>+R287+S304-S309</f>
        <v>5339087</v>
      </c>
      <c r="T287" s="217">
        <f>+S287+T304-T309</f>
        <v>5410102</v>
      </c>
      <c r="U287" s="217">
        <f>+T287+U304-U309</f>
        <v>5483220</v>
      </c>
      <c r="V287" s="217">
        <f>+U287+V304-V309</f>
        <v>5557326</v>
      </c>
      <c r="W287" s="217">
        <f>+V287+W304-W309</f>
        <v>5632433</v>
      </c>
      <c r="X287" s="217">
        <f>+W287+X304-X309</f>
        <v>5708556</v>
      </c>
      <c r="Y287" s="217">
        <f>+X287+Y304-Y309</f>
        <v>5785707</v>
      </c>
      <c r="Z287" s="217">
        <f>+Y287+Z304-Z309</f>
        <v>5863901</v>
      </c>
      <c r="AA287" s="76"/>
    </row>
    <row r="288" spans="4:29" x14ac:dyDescent="0.2">
      <c r="G288" s="2" t="s">
        <v>116</v>
      </c>
      <c r="H288" s="217">
        <f t="shared" ref="H288:J288" si="67">+H450</f>
        <v>0</v>
      </c>
      <c r="I288" s="217">
        <f t="shared" si="67"/>
        <v>0</v>
      </c>
      <c r="J288" s="217">
        <f t="shared" si="67"/>
        <v>0</v>
      </c>
      <c r="K288" s="217"/>
      <c r="L288" s="217">
        <v>1696790</v>
      </c>
      <c r="M288" s="217">
        <f>+L288+M312-M309</f>
        <v>1778655.3733999999</v>
      </c>
      <c r="N288" s="217">
        <f>+M288+N312-N309</f>
        <v>1849307.0911999999</v>
      </c>
      <c r="O288" s="217">
        <f>+N288+O312-O309</f>
        <v>1920994.1061999998</v>
      </c>
      <c r="P288" s="217">
        <f>+O288+P312-P309</f>
        <v>1993633.9501999998</v>
      </c>
      <c r="Q288" s="217">
        <f>+P288+Q312-Q309</f>
        <v>2067239.3307999999</v>
      </c>
      <c r="R288" s="217">
        <f>+Q288+R312-R309</f>
        <v>2141824.105</v>
      </c>
      <c r="S288" s="217">
        <f>+R288+S312-S309</f>
        <v>2217400.2791999998</v>
      </c>
      <c r="T288" s="217">
        <f>+S288+T312-T309</f>
        <v>2293982.0921999998</v>
      </c>
      <c r="U288" s="217">
        <f>+T288+U312-U309</f>
        <v>2371386.5955999997</v>
      </c>
      <c r="V288" s="217">
        <f>+U288+V312-V309</f>
        <v>2449837.9693999998</v>
      </c>
      <c r="W288" s="217">
        <f>+V288+W312-W309</f>
        <v>2529348.5645999997</v>
      </c>
      <c r="X288" s="217">
        <f>+W288+X312-X309</f>
        <v>2609933.9645999996</v>
      </c>
      <c r="Y288" s="217">
        <f>+X288+Y312-Y309</f>
        <v>2691607.9851999995</v>
      </c>
      <c r="Z288" s="217">
        <f>+Y288+Z312-Z309</f>
        <v>2774386.6579999994</v>
      </c>
      <c r="AA288" s="76"/>
    </row>
    <row r="289" spans="4:27" ht="13.5" thickBot="1" x14ac:dyDescent="0.25">
      <c r="G289" s="218" t="s">
        <v>117</v>
      </c>
      <c r="H289" s="219">
        <f>+H287-H288</f>
        <v>0</v>
      </c>
      <c r="I289" s="219">
        <f t="shared" ref="I289:Z289" si="68">+I287-I288</f>
        <v>0</v>
      </c>
      <c r="J289" s="219">
        <f t="shared" si="68"/>
        <v>0</v>
      </c>
      <c r="K289" s="219"/>
      <c r="L289" s="219">
        <v>3234859</v>
      </c>
      <c r="M289" s="219">
        <f t="shared" si="68"/>
        <v>3152993.6266000001</v>
      </c>
      <c r="N289" s="219">
        <f t="shared" si="68"/>
        <v>3148447.9088000003</v>
      </c>
      <c r="O289" s="219">
        <f t="shared" si="68"/>
        <v>3143232.8938000002</v>
      </c>
      <c r="P289" s="219">
        <f t="shared" si="68"/>
        <v>3137952.0498000002</v>
      </c>
      <c r="Q289" s="219">
        <f t="shared" si="68"/>
        <v>3132602.6692000004</v>
      </c>
      <c r="R289" s="219">
        <f t="shared" si="68"/>
        <v>3127180.895</v>
      </c>
      <c r="S289" s="219">
        <f t="shared" si="68"/>
        <v>3121686.7208000002</v>
      </c>
      <c r="T289" s="219">
        <f t="shared" si="68"/>
        <v>3116119.9078000002</v>
      </c>
      <c r="U289" s="219">
        <f t="shared" si="68"/>
        <v>3111833.4044000003</v>
      </c>
      <c r="V289" s="219">
        <f t="shared" si="68"/>
        <v>3107488.0306000002</v>
      </c>
      <c r="W289" s="219">
        <f t="shared" si="68"/>
        <v>3103084.4354000003</v>
      </c>
      <c r="X289" s="219">
        <f t="shared" si="68"/>
        <v>3098622.0354000004</v>
      </c>
      <c r="Y289" s="219">
        <f t="shared" si="68"/>
        <v>3094099.0148000005</v>
      </c>
      <c r="Z289" s="219">
        <f t="shared" si="68"/>
        <v>3089514.3420000006</v>
      </c>
      <c r="AA289" s="76"/>
    </row>
    <row r="290" spans="4:27" ht="13.5" thickTop="1" x14ac:dyDescent="0.2">
      <c r="H290" s="76"/>
      <c r="I290" s="76"/>
      <c r="J290" s="76"/>
      <c r="K290" s="76"/>
      <c r="L290" s="220"/>
      <c r="M290" s="76"/>
      <c r="N290" s="76"/>
      <c r="O290" s="76"/>
      <c r="P290" s="76"/>
      <c r="Q290" s="76"/>
      <c r="R290" s="76"/>
      <c r="S290" s="76"/>
      <c r="T290" s="76"/>
      <c r="U290" s="76"/>
      <c r="V290" s="76"/>
      <c r="W290" s="76"/>
      <c r="X290" s="76"/>
      <c r="Y290" s="76"/>
      <c r="Z290" s="220"/>
      <c r="AA290" s="76"/>
    </row>
    <row r="291" spans="4:27" ht="15" x14ac:dyDescent="0.25">
      <c r="G291" s="69" t="s">
        <v>118</v>
      </c>
      <c r="H291" s="217">
        <f>+H453</f>
        <v>0</v>
      </c>
      <c r="I291" s="217">
        <f t="shared" ref="I291:K292" si="69">+I453</f>
        <v>0</v>
      </c>
      <c r="J291" s="217">
        <f t="shared" si="69"/>
        <v>0</v>
      </c>
      <c r="K291" s="217">
        <f t="shared" si="69"/>
        <v>0</v>
      </c>
      <c r="L291" s="221">
        <f>+K291</f>
        <v>0</v>
      </c>
      <c r="M291" s="222">
        <f>+L291</f>
        <v>0</v>
      </c>
      <c r="N291" s="222">
        <f>+M291</f>
        <v>0</v>
      </c>
      <c r="O291" s="223"/>
      <c r="P291" s="223"/>
      <c r="Q291" s="223"/>
      <c r="R291" s="223"/>
      <c r="S291" s="223"/>
      <c r="T291" s="223"/>
      <c r="U291" s="223"/>
      <c r="V291" s="223"/>
      <c r="W291" s="223"/>
      <c r="X291" s="223"/>
      <c r="Y291" s="223"/>
      <c r="Z291" s="223"/>
      <c r="AA291" s="76"/>
    </row>
    <row r="292" spans="4:27" ht="15" x14ac:dyDescent="0.25">
      <c r="D292" s="224"/>
      <c r="G292" s="69" t="s">
        <v>119</v>
      </c>
      <c r="H292" s="217">
        <f>+H454</f>
        <v>0</v>
      </c>
      <c r="I292" s="217">
        <f t="shared" si="69"/>
        <v>0</v>
      </c>
      <c r="J292" s="217">
        <f t="shared" si="69"/>
        <v>0</v>
      </c>
      <c r="K292" s="217">
        <f t="shared" si="69"/>
        <v>2723127</v>
      </c>
      <c r="L292" s="221">
        <f>+K292</f>
        <v>2723127</v>
      </c>
      <c r="M292" s="221">
        <f t="shared" ref="M292:N292" si="70">+L292</f>
        <v>2723127</v>
      </c>
      <c r="N292" s="221">
        <f t="shared" si="70"/>
        <v>2723127</v>
      </c>
      <c r="O292" s="223"/>
      <c r="P292" s="223"/>
      <c r="Q292" s="223"/>
      <c r="R292" s="223"/>
      <c r="S292" s="223"/>
      <c r="T292" s="223"/>
      <c r="U292" s="223"/>
      <c r="V292" s="223"/>
      <c r="W292" s="223"/>
      <c r="X292" s="223"/>
      <c r="Y292" s="223"/>
      <c r="Z292" s="223"/>
      <c r="AA292" s="76"/>
    </row>
    <row r="293" spans="4:27" ht="13.5" thickBot="1" x14ac:dyDescent="0.25">
      <c r="G293" s="218" t="s">
        <v>120</v>
      </c>
      <c r="H293" s="219">
        <f>SUM(H291:H292)</f>
        <v>0</v>
      </c>
      <c r="I293" s="219">
        <f t="shared" ref="I293:L293" si="71">SUM(I291:I292)</f>
        <v>0</v>
      </c>
      <c r="J293" s="219">
        <f t="shared" si="71"/>
        <v>0</v>
      </c>
      <c r="K293" s="219">
        <f t="shared" si="71"/>
        <v>2723127</v>
      </c>
      <c r="L293" s="219">
        <f t="shared" si="71"/>
        <v>2723127</v>
      </c>
      <c r="M293" s="225">
        <f>SUM(M291:M292)</f>
        <v>2723127</v>
      </c>
      <c r="N293" s="225">
        <f>SUM(N291:N292)</f>
        <v>2723127</v>
      </c>
      <c r="O293" s="219"/>
      <c r="P293" s="219"/>
      <c r="Q293" s="219"/>
      <c r="R293" s="219"/>
      <c r="S293" s="219"/>
      <c r="T293" s="219"/>
      <c r="U293" s="219"/>
      <c r="V293" s="219"/>
      <c r="W293" s="219"/>
      <c r="X293" s="219"/>
      <c r="Y293" s="219"/>
      <c r="Z293" s="219"/>
      <c r="AA293" s="76"/>
    </row>
    <row r="294" spans="4:27" ht="13.5" thickTop="1" x14ac:dyDescent="0.2">
      <c r="H294" s="76"/>
      <c r="I294" s="76"/>
      <c r="J294" s="76"/>
      <c r="K294" s="76"/>
      <c r="L294" s="76"/>
      <c r="M294" s="76"/>
      <c r="N294" s="76"/>
      <c r="O294" s="76"/>
      <c r="P294" s="76"/>
      <c r="Q294" s="76"/>
      <c r="R294" s="76"/>
      <c r="S294" s="76"/>
      <c r="T294" s="76"/>
      <c r="U294" s="76"/>
      <c r="V294" s="76"/>
      <c r="W294" s="76"/>
      <c r="X294" s="76"/>
      <c r="Y294" s="76"/>
      <c r="Z294" s="76"/>
      <c r="AA294" s="76"/>
    </row>
    <row r="295" spans="4:27" x14ac:dyDescent="0.2">
      <c r="H295" s="76"/>
      <c r="I295" s="76"/>
      <c r="J295" s="76"/>
      <c r="K295" s="76"/>
      <c r="L295" s="76"/>
      <c r="M295" s="76"/>
      <c r="O295" s="216"/>
      <c r="P295" s="76"/>
      <c r="Q295" s="76"/>
      <c r="R295" s="76"/>
      <c r="S295" s="76"/>
      <c r="T295" s="76"/>
      <c r="U295" s="76"/>
      <c r="V295" s="76"/>
      <c r="W295" s="76"/>
      <c r="X295" s="76"/>
      <c r="Y295" s="76"/>
      <c r="Z295" s="76"/>
      <c r="AA295" s="76"/>
    </row>
    <row r="296" spans="4:27" x14ac:dyDescent="0.2">
      <c r="G296" s="2" t="s">
        <v>121</v>
      </c>
      <c r="H296" s="71" t="e">
        <f>+H48/H287</f>
        <v>#DIV/0!</v>
      </c>
      <c r="I296" s="71" t="e">
        <f>+I48/I287</f>
        <v>#DIV/0!</v>
      </c>
      <c r="J296" s="71" t="e">
        <f>+J48/J287</f>
        <v>#DIV/0!</v>
      </c>
      <c r="K296" s="71">
        <f>+L296</f>
        <v>1.66E-2</v>
      </c>
      <c r="L296" s="71">
        <v>1.66E-2</v>
      </c>
      <c r="M296" s="71">
        <v>1.66E-2</v>
      </c>
      <c r="O296" s="216"/>
      <c r="P296" s="76"/>
      <c r="Q296" s="76"/>
      <c r="R296" s="76"/>
      <c r="S296" s="76"/>
      <c r="T296" s="76"/>
      <c r="U296" s="76"/>
      <c r="V296" s="76"/>
      <c r="W296" s="76"/>
      <c r="X296" s="76"/>
      <c r="Y296" s="76"/>
      <c r="Z296" s="76"/>
      <c r="AA296" s="76"/>
    </row>
    <row r="297" spans="4:27" x14ac:dyDescent="0.2">
      <c r="H297" s="76"/>
      <c r="I297" s="76"/>
      <c r="J297" s="76"/>
      <c r="K297" s="76"/>
      <c r="L297" s="76"/>
      <c r="M297" s="76"/>
      <c r="N297" s="76"/>
      <c r="O297" s="76"/>
      <c r="P297" s="76"/>
      <c r="Q297" s="76"/>
      <c r="R297" s="76"/>
      <c r="S297" s="76"/>
      <c r="T297" s="76"/>
      <c r="U297" s="76"/>
      <c r="V297" s="76"/>
      <c r="W297" s="76"/>
      <c r="X297" s="76"/>
      <c r="Y297" s="76"/>
      <c r="Z297" s="76"/>
      <c r="AA297" s="76"/>
    </row>
    <row r="298" spans="4:27" x14ac:dyDescent="0.2">
      <c r="H298" s="76"/>
      <c r="I298" s="76"/>
      <c r="J298" s="76"/>
      <c r="K298" s="76"/>
      <c r="L298" s="76"/>
      <c r="M298" s="76"/>
      <c r="N298" s="76"/>
      <c r="O298" s="76"/>
      <c r="P298" s="76"/>
      <c r="Q298" s="76"/>
      <c r="R298" s="76"/>
      <c r="S298" s="76"/>
      <c r="T298" s="76"/>
      <c r="U298" s="76"/>
      <c r="V298" s="76"/>
      <c r="W298" s="76"/>
      <c r="X298" s="76"/>
      <c r="Y298" s="76"/>
      <c r="Z298" s="76"/>
      <c r="AA298" s="76"/>
    </row>
    <row r="299" spans="4:27" x14ac:dyDescent="0.2">
      <c r="H299" s="76"/>
      <c r="I299" s="76"/>
      <c r="J299" s="76"/>
      <c r="K299" s="76"/>
      <c r="L299" s="76"/>
      <c r="M299" s="76"/>
      <c r="N299" s="76"/>
      <c r="O299" s="76"/>
      <c r="P299" s="76"/>
      <c r="Q299" s="76"/>
      <c r="R299" s="76"/>
      <c r="S299" s="76"/>
      <c r="T299" s="76"/>
      <c r="U299" s="76"/>
      <c r="V299" s="76"/>
      <c r="W299" s="76"/>
      <c r="X299" s="76"/>
      <c r="Y299" s="76"/>
      <c r="Z299" s="76"/>
      <c r="AA299" s="76"/>
    </row>
    <row r="300" spans="4:27" ht="13.5" thickBot="1" x14ac:dyDescent="0.25">
      <c r="H300" s="76"/>
      <c r="I300" s="76"/>
      <c r="J300" s="76"/>
      <c r="K300" s="123" t="s">
        <v>122</v>
      </c>
      <c r="L300" s="204">
        <f>+L323</f>
        <v>0</v>
      </c>
      <c r="M300" s="204">
        <f t="shared" ref="M300:T300" si="72">+M323</f>
        <v>0</v>
      </c>
      <c r="N300" s="204">
        <f t="shared" si="72"/>
        <v>77772.104729999992</v>
      </c>
      <c r="O300" s="204">
        <f t="shared" si="72"/>
        <v>78201.831909999994</v>
      </c>
      <c r="P300" s="204">
        <f t="shared" si="72"/>
        <v>79246.164250000016</v>
      </c>
      <c r="Q300" s="204">
        <f t="shared" si="72"/>
        <v>80300.501799999998</v>
      </c>
      <c r="R300" s="204">
        <f t="shared" si="72"/>
        <v>81367.861569999994</v>
      </c>
      <c r="S300" s="204">
        <f t="shared" si="72"/>
        <v>82450.285489999995</v>
      </c>
      <c r="T300" s="204">
        <f t="shared" si="72"/>
        <v>83546.965490000002</v>
      </c>
      <c r="U300" s="76"/>
      <c r="V300" s="76"/>
      <c r="W300" s="76"/>
      <c r="X300" s="76"/>
      <c r="Y300" s="76"/>
      <c r="Z300" s="76"/>
      <c r="AA300" s="76"/>
    </row>
    <row r="301" spans="4:27" ht="13.5" thickBot="1" x14ac:dyDescent="0.25">
      <c r="H301" s="76"/>
      <c r="I301" s="76"/>
      <c r="J301" s="2" t="s">
        <v>123</v>
      </c>
      <c r="K301" s="226">
        <v>0</v>
      </c>
      <c r="L301" s="76"/>
      <c r="M301" s="76"/>
      <c r="N301" s="117">
        <f t="shared" ref="N301:T301" si="73">IF($C$10="IOU",1-$K301,1)</f>
        <v>1</v>
      </c>
      <c r="O301" s="117">
        <f t="shared" si="73"/>
        <v>1</v>
      </c>
      <c r="P301" s="117">
        <f t="shared" si="73"/>
        <v>1</v>
      </c>
      <c r="Q301" s="117">
        <f t="shared" si="73"/>
        <v>1</v>
      </c>
      <c r="R301" s="117">
        <f t="shared" si="73"/>
        <v>1</v>
      </c>
      <c r="S301" s="117">
        <f t="shared" si="73"/>
        <v>1</v>
      </c>
      <c r="T301" s="117">
        <f t="shared" si="73"/>
        <v>1</v>
      </c>
      <c r="U301" s="76"/>
      <c r="V301" s="76"/>
      <c r="W301" s="76"/>
      <c r="X301" s="76"/>
      <c r="Y301" s="76"/>
      <c r="Z301" s="76"/>
      <c r="AA301" s="76"/>
    </row>
    <row r="302" spans="4:27" x14ac:dyDescent="0.2">
      <c r="H302" s="76"/>
      <c r="I302" s="76"/>
      <c r="J302" s="76"/>
      <c r="K302" s="76"/>
      <c r="L302" s="76"/>
      <c r="M302" s="76"/>
      <c r="N302" s="76"/>
      <c r="O302" s="76"/>
      <c r="P302" s="76"/>
      <c r="Q302" s="76"/>
      <c r="R302" s="76"/>
      <c r="S302" s="76"/>
      <c r="T302" s="76"/>
      <c r="U302" s="76"/>
      <c r="V302" s="76"/>
      <c r="W302" s="76"/>
      <c r="X302" s="76"/>
      <c r="Y302" s="76"/>
      <c r="Z302" s="76"/>
      <c r="AA302" s="76"/>
    </row>
    <row r="303" spans="4:27" ht="18.75" x14ac:dyDescent="0.3">
      <c r="H303" s="76"/>
      <c r="I303" s="76"/>
      <c r="J303" s="76"/>
      <c r="K303" s="123" t="s">
        <v>124</v>
      </c>
      <c r="M303" s="71"/>
      <c r="N303" s="71"/>
      <c r="O303" s="71"/>
      <c r="P303" s="71"/>
      <c r="Q303" s="227">
        <v>1.5900000000000001E-2</v>
      </c>
      <c r="R303" s="71">
        <f t="shared" ref="R303:Z303" si="74">+Q303</f>
        <v>1.5900000000000001E-2</v>
      </c>
      <c r="S303" s="71">
        <f t="shared" si="74"/>
        <v>1.5900000000000001E-2</v>
      </c>
      <c r="T303" s="71">
        <f t="shared" si="74"/>
        <v>1.5900000000000001E-2</v>
      </c>
      <c r="U303" s="71">
        <f t="shared" si="74"/>
        <v>1.5900000000000001E-2</v>
      </c>
      <c r="V303" s="71">
        <f t="shared" si="74"/>
        <v>1.5900000000000001E-2</v>
      </c>
      <c r="W303" s="71">
        <f t="shared" si="74"/>
        <v>1.5900000000000001E-2</v>
      </c>
      <c r="X303" s="71">
        <f t="shared" si="74"/>
        <v>1.5900000000000001E-2</v>
      </c>
      <c r="Y303" s="71">
        <f t="shared" si="74"/>
        <v>1.5900000000000001E-2</v>
      </c>
      <c r="Z303" s="71">
        <f t="shared" si="74"/>
        <v>1.5900000000000001E-2</v>
      </c>
      <c r="AA303" s="76"/>
    </row>
    <row r="304" spans="4:27" x14ac:dyDescent="0.2">
      <c r="H304" s="76"/>
      <c r="I304" s="76"/>
      <c r="J304" s="76"/>
      <c r="K304" s="123" t="s">
        <v>125</v>
      </c>
      <c r="L304" s="204">
        <f>+L323</f>
        <v>0</v>
      </c>
      <c r="M304" s="204">
        <f t="shared" ref="M304" si="75">+M323</f>
        <v>0</v>
      </c>
      <c r="N304" s="204">
        <f>+ROUND(+N301*N300,0)</f>
        <v>77772</v>
      </c>
      <c r="O304" s="204">
        <f t="shared" ref="O304:T304" si="76">+ROUND(+O301*O300,0)</f>
        <v>78202</v>
      </c>
      <c r="P304" s="204">
        <f t="shared" si="76"/>
        <v>79246</v>
      </c>
      <c r="Q304" s="204">
        <f t="shared" si="76"/>
        <v>80301</v>
      </c>
      <c r="R304" s="204">
        <f t="shared" si="76"/>
        <v>81368</v>
      </c>
      <c r="S304" s="204">
        <f t="shared" si="76"/>
        <v>82450</v>
      </c>
      <c r="T304" s="204">
        <f t="shared" si="76"/>
        <v>83547</v>
      </c>
      <c r="U304" s="72">
        <f>ROUND(+U303*T287,0)</f>
        <v>86021</v>
      </c>
      <c r="V304" s="72">
        <f>ROUND(+V303*U287,0)</f>
        <v>87183</v>
      </c>
      <c r="W304" s="72">
        <f>ROUND(+W303*V287,0)</f>
        <v>88361</v>
      </c>
      <c r="X304" s="72">
        <f>ROUND(+X303*W287,0)</f>
        <v>89556</v>
      </c>
      <c r="Y304" s="72">
        <f>ROUND(+Y303*X287,0)</f>
        <v>90766</v>
      </c>
      <c r="Z304" s="72">
        <f>ROUND(+Z303*Y287,0)</f>
        <v>91993</v>
      </c>
      <c r="AA304" s="76"/>
    </row>
    <row r="305" spans="7:27" x14ac:dyDescent="0.2">
      <c r="H305" s="76"/>
      <c r="I305" s="76"/>
      <c r="J305" s="76"/>
      <c r="K305" s="123" t="s">
        <v>126</v>
      </c>
      <c r="L305" s="228">
        <f>+K296</f>
        <v>1.66E-2</v>
      </c>
      <c r="M305" s="228">
        <f>+M296</f>
        <v>1.66E-2</v>
      </c>
      <c r="N305" s="228">
        <f>+M296</f>
        <v>1.66E-2</v>
      </c>
      <c r="O305" s="228">
        <f t="shared" ref="O305:Z305" si="77">+N305</f>
        <v>1.66E-2</v>
      </c>
      <c r="P305" s="228">
        <f t="shared" si="77"/>
        <v>1.66E-2</v>
      </c>
      <c r="Q305" s="228">
        <f t="shared" si="77"/>
        <v>1.66E-2</v>
      </c>
      <c r="R305" s="228">
        <f t="shared" si="77"/>
        <v>1.66E-2</v>
      </c>
      <c r="S305" s="228">
        <f t="shared" si="77"/>
        <v>1.66E-2</v>
      </c>
      <c r="T305" s="228">
        <f t="shared" si="77"/>
        <v>1.66E-2</v>
      </c>
      <c r="U305" s="228">
        <f t="shared" si="77"/>
        <v>1.66E-2</v>
      </c>
      <c r="V305" s="228">
        <f t="shared" si="77"/>
        <v>1.66E-2</v>
      </c>
      <c r="W305" s="228">
        <f t="shared" si="77"/>
        <v>1.66E-2</v>
      </c>
      <c r="X305" s="228">
        <f t="shared" si="77"/>
        <v>1.66E-2</v>
      </c>
      <c r="Y305" s="228">
        <f t="shared" si="77"/>
        <v>1.66E-2</v>
      </c>
      <c r="Z305" s="228">
        <f t="shared" si="77"/>
        <v>1.66E-2</v>
      </c>
      <c r="AA305" s="76"/>
    </row>
    <row r="306" spans="7:27" x14ac:dyDescent="0.2">
      <c r="H306" s="76"/>
      <c r="I306" s="76"/>
      <c r="J306" s="76"/>
      <c r="K306" s="123" t="s">
        <v>127</v>
      </c>
      <c r="L306" s="71">
        <f>+L305*0.5</f>
        <v>8.3000000000000001E-3</v>
      </c>
      <c r="M306" s="71">
        <f>+M305*0.5</f>
        <v>8.3000000000000001E-3</v>
      </c>
      <c r="N306" s="71">
        <f>+N305*0.5</f>
        <v>8.3000000000000001E-3</v>
      </c>
      <c r="O306" s="71">
        <f t="shared" ref="O306:Z306" si="78">+O305*0.5</f>
        <v>8.3000000000000001E-3</v>
      </c>
      <c r="P306" s="71">
        <f t="shared" si="78"/>
        <v>8.3000000000000001E-3</v>
      </c>
      <c r="Q306" s="71">
        <f t="shared" si="78"/>
        <v>8.3000000000000001E-3</v>
      </c>
      <c r="R306" s="71">
        <f t="shared" si="78"/>
        <v>8.3000000000000001E-3</v>
      </c>
      <c r="S306" s="71">
        <f t="shared" si="78"/>
        <v>8.3000000000000001E-3</v>
      </c>
      <c r="T306" s="71">
        <f t="shared" si="78"/>
        <v>8.3000000000000001E-3</v>
      </c>
      <c r="U306" s="71">
        <f t="shared" si="78"/>
        <v>8.3000000000000001E-3</v>
      </c>
      <c r="V306" s="71">
        <f t="shared" si="78"/>
        <v>8.3000000000000001E-3</v>
      </c>
      <c r="W306" s="71">
        <f t="shared" si="78"/>
        <v>8.3000000000000001E-3</v>
      </c>
      <c r="X306" s="71">
        <f t="shared" si="78"/>
        <v>8.3000000000000001E-3</v>
      </c>
      <c r="Y306" s="71">
        <f t="shared" si="78"/>
        <v>8.3000000000000001E-3</v>
      </c>
      <c r="Z306" s="71">
        <f t="shared" si="78"/>
        <v>8.3000000000000001E-3</v>
      </c>
      <c r="AA306" s="76"/>
    </row>
    <row r="307" spans="7:27" x14ac:dyDescent="0.2">
      <c r="H307" s="76"/>
      <c r="K307" s="123" t="s">
        <v>128</v>
      </c>
      <c r="L307" s="72">
        <f>ROUND(+L306*L304,0)</f>
        <v>0</v>
      </c>
      <c r="M307" s="72">
        <f>ROUND(+M306*M304,0)</f>
        <v>0</v>
      </c>
      <c r="N307" s="72">
        <f>ROUND(+N306*N304,0)</f>
        <v>646</v>
      </c>
      <c r="O307" s="72">
        <f t="shared" ref="O307:Z307" si="79">ROUND(+O306*O304,0)</f>
        <v>649</v>
      </c>
      <c r="P307" s="72">
        <f t="shared" si="79"/>
        <v>658</v>
      </c>
      <c r="Q307" s="72">
        <f t="shared" si="79"/>
        <v>666</v>
      </c>
      <c r="R307" s="72">
        <f t="shared" si="79"/>
        <v>675</v>
      </c>
      <c r="S307" s="72">
        <f t="shared" si="79"/>
        <v>684</v>
      </c>
      <c r="T307" s="72">
        <f t="shared" si="79"/>
        <v>693</v>
      </c>
      <c r="U307" s="72">
        <f t="shared" si="79"/>
        <v>714</v>
      </c>
      <c r="V307" s="72">
        <f t="shared" si="79"/>
        <v>724</v>
      </c>
      <c r="W307" s="72">
        <f t="shared" si="79"/>
        <v>733</v>
      </c>
      <c r="X307" s="72">
        <f t="shared" si="79"/>
        <v>743</v>
      </c>
      <c r="Y307" s="72">
        <f t="shared" si="79"/>
        <v>753</v>
      </c>
      <c r="Z307" s="72">
        <f t="shared" si="79"/>
        <v>764</v>
      </c>
      <c r="AA307" s="76"/>
    </row>
    <row r="308" spans="7:27" x14ac:dyDescent="0.2">
      <c r="H308" s="76"/>
      <c r="K308" s="123" t="s">
        <v>129</v>
      </c>
      <c r="L308" s="73">
        <v>0.15</v>
      </c>
      <c r="M308" s="73">
        <v>0.15</v>
      </c>
      <c r="N308" s="73">
        <f>+M308</f>
        <v>0.15</v>
      </c>
      <c r="O308" s="73">
        <f t="shared" ref="O308:Z308" si="80">+N308</f>
        <v>0.15</v>
      </c>
      <c r="P308" s="73">
        <f t="shared" si="80"/>
        <v>0.15</v>
      </c>
      <c r="Q308" s="73">
        <f t="shared" si="80"/>
        <v>0.15</v>
      </c>
      <c r="R308" s="73">
        <f t="shared" si="80"/>
        <v>0.15</v>
      </c>
      <c r="S308" s="73">
        <f t="shared" si="80"/>
        <v>0.15</v>
      </c>
      <c r="T308" s="73">
        <f t="shared" si="80"/>
        <v>0.15</v>
      </c>
      <c r="U308" s="73">
        <f t="shared" si="80"/>
        <v>0.15</v>
      </c>
      <c r="V308" s="73">
        <f t="shared" si="80"/>
        <v>0.15</v>
      </c>
      <c r="W308" s="73">
        <f t="shared" si="80"/>
        <v>0.15</v>
      </c>
      <c r="X308" s="73">
        <f t="shared" si="80"/>
        <v>0.15</v>
      </c>
      <c r="Y308" s="73">
        <f t="shared" si="80"/>
        <v>0.15</v>
      </c>
      <c r="Z308" s="73">
        <f t="shared" si="80"/>
        <v>0.15</v>
      </c>
      <c r="AA308" s="76"/>
    </row>
    <row r="309" spans="7:27" x14ac:dyDescent="0.2">
      <c r="H309" s="76"/>
      <c r="K309" s="123" t="s">
        <v>130</v>
      </c>
      <c r="L309" s="72">
        <f>ROUND(+L308*L304,0)</f>
        <v>0</v>
      </c>
      <c r="M309" s="72">
        <f>ROUND(+M308*M304,0)</f>
        <v>0</v>
      </c>
      <c r="N309" s="72">
        <f t="shared" ref="N309:Z309" si="81">ROUND(+N308*N304,0)</f>
        <v>11666</v>
      </c>
      <c r="O309" s="72">
        <f t="shared" si="81"/>
        <v>11730</v>
      </c>
      <c r="P309" s="72">
        <f t="shared" si="81"/>
        <v>11887</v>
      </c>
      <c r="Q309" s="72">
        <f t="shared" si="81"/>
        <v>12045</v>
      </c>
      <c r="R309" s="72">
        <f t="shared" si="81"/>
        <v>12205</v>
      </c>
      <c r="S309" s="72">
        <f t="shared" si="81"/>
        <v>12368</v>
      </c>
      <c r="T309" s="72">
        <f t="shared" si="81"/>
        <v>12532</v>
      </c>
      <c r="U309" s="72">
        <f t="shared" si="81"/>
        <v>12903</v>
      </c>
      <c r="V309" s="72">
        <f t="shared" si="81"/>
        <v>13077</v>
      </c>
      <c r="W309" s="72">
        <f t="shared" si="81"/>
        <v>13254</v>
      </c>
      <c r="X309" s="72">
        <f t="shared" si="81"/>
        <v>13433</v>
      </c>
      <c r="Y309" s="72">
        <f t="shared" si="81"/>
        <v>13615</v>
      </c>
      <c r="Z309" s="72">
        <f t="shared" si="81"/>
        <v>13799</v>
      </c>
      <c r="AA309" s="76"/>
    </row>
    <row r="310" spans="7:27" x14ac:dyDescent="0.2">
      <c r="H310" s="76"/>
      <c r="K310" s="123" t="s">
        <v>131</v>
      </c>
      <c r="L310" s="72">
        <f>+L309*L305</f>
        <v>0</v>
      </c>
      <c r="M310" s="72">
        <f t="shared" ref="M310:Z310" si="82">+M309*M305</f>
        <v>0</v>
      </c>
      <c r="N310" s="72">
        <f t="shared" si="82"/>
        <v>193.65559999999999</v>
      </c>
      <c r="O310" s="72">
        <f t="shared" si="82"/>
        <v>194.71799999999999</v>
      </c>
      <c r="P310" s="72">
        <f t="shared" si="82"/>
        <v>197.32419999999999</v>
      </c>
      <c r="Q310" s="72">
        <f t="shared" si="82"/>
        <v>199.947</v>
      </c>
      <c r="R310" s="72">
        <f t="shared" si="82"/>
        <v>202.60300000000001</v>
      </c>
      <c r="S310" s="72">
        <f t="shared" si="82"/>
        <v>205.30879999999999</v>
      </c>
      <c r="T310" s="72">
        <f t="shared" si="82"/>
        <v>208.03120000000001</v>
      </c>
      <c r="U310" s="72">
        <f t="shared" si="82"/>
        <v>214.18979999999999</v>
      </c>
      <c r="V310" s="72">
        <f t="shared" si="82"/>
        <v>217.07820000000001</v>
      </c>
      <c r="W310" s="72">
        <f t="shared" si="82"/>
        <v>220.0164</v>
      </c>
      <c r="X310" s="72">
        <f t="shared" si="82"/>
        <v>222.98779999999999</v>
      </c>
      <c r="Y310" s="72">
        <f t="shared" si="82"/>
        <v>226.00900000000001</v>
      </c>
      <c r="Z310" s="72">
        <f t="shared" si="82"/>
        <v>229.0634</v>
      </c>
      <c r="AA310" s="76"/>
    </row>
    <row r="311" spans="7:27" x14ac:dyDescent="0.2">
      <c r="H311" s="76"/>
      <c r="K311" s="123" t="s">
        <v>132</v>
      </c>
      <c r="L311" s="72">
        <f>+K314</f>
        <v>70773</v>
      </c>
      <c r="M311" s="72">
        <f>+M305*L287</f>
        <v>81865.373399999997</v>
      </c>
      <c r="N311" s="72">
        <f>+N305*M287</f>
        <v>81865.373399999997</v>
      </c>
      <c r="O311" s="72">
        <f>+O305*N287</f>
        <v>82962.733000000007</v>
      </c>
      <c r="P311" s="72">
        <f>+P305*O287</f>
        <v>84066.1682</v>
      </c>
      <c r="Q311" s="72">
        <f>+Q305*P287</f>
        <v>85184.327600000004</v>
      </c>
      <c r="R311" s="72">
        <f>+R305*Q287</f>
        <v>86317.377200000003</v>
      </c>
      <c r="S311" s="72">
        <f>+S305*R287</f>
        <v>87465.483000000007</v>
      </c>
      <c r="T311" s="72">
        <f>+T305*S287</f>
        <v>88628.844200000007</v>
      </c>
      <c r="U311" s="72">
        <f>+U305*T287</f>
        <v>89807.693199999994</v>
      </c>
      <c r="V311" s="72">
        <f>+V305*U287</f>
        <v>91021.452000000005</v>
      </c>
      <c r="W311" s="72">
        <f>+W305*V287</f>
        <v>92251.611600000004</v>
      </c>
      <c r="X311" s="72">
        <f>+X305*W287</f>
        <v>93498.387799999997</v>
      </c>
      <c r="Y311" s="72">
        <f>+Y305*X287</f>
        <v>94762.029599999994</v>
      </c>
      <c r="Z311" s="72">
        <f>+Z305*Y287</f>
        <v>96042.736199999999</v>
      </c>
      <c r="AA311" s="76"/>
    </row>
    <row r="312" spans="7:27" ht="13.5" thickBot="1" x14ac:dyDescent="0.25">
      <c r="H312" s="76"/>
      <c r="I312" s="76"/>
      <c r="J312" s="76"/>
      <c r="K312" s="123" t="s">
        <v>133</v>
      </c>
      <c r="L312" s="219">
        <f>+L311+L307-L310</f>
        <v>70773</v>
      </c>
      <c r="M312" s="219">
        <f t="shared" ref="M312:Z312" si="83">+M311+M307-M310</f>
        <v>81865.373399999997</v>
      </c>
      <c r="N312" s="219">
        <f t="shared" si="83"/>
        <v>82317.717799999999</v>
      </c>
      <c r="O312" s="219">
        <f t="shared" si="83"/>
        <v>83417.015000000014</v>
      </c>
      <c r="P312" s="219">
        <f t="shared" si="83"/>
        <v>84526.843999999997</v>
      </c>
      <c r="Q312" s="219">
        <f t="shared" si="83"/>
        <v>85650.380600000004</v>
      </c>
      <c r="R312" s="219">
        <f t="shared" si="83"/>
        <v>86789.7742</v>
      </c>
      <c r="S312" s="219">
        <f t="shared" si="83"/>
        <v>87944.174200000009</v>
      </c>
      <c r="T312" s="219">
        <f t="shared" si="83"/>
        <v>89113.813000000009</v>
      </c>
      <c r="U312" s="219">
        <f t="shared" si="83"/>
        <v>90307.503400000001</v>
      </c>
      <c r="V312" s="219">
        <f t="shared" si="83"/>
        <v>91528.373800000001</v>
      </c>
      <c r="W312" s="219">
        <f t="shared" si="83"/>
        <v>92764.595200000011</v>
      </c>
      <c r="X312" s="219">
        <f t="shared" si="83"/>
        <v>94018.4</v>
      </c>
      <c r="Y312" s="219">
        <f t="shared" si="83"/>
        <v>95289.020599999989</v>
      </c>
      <c r="Z312" s="219">
        <f t="shared" si="83"/>
        <v>96577.6728</v>
      </c>
      <c r="AA312" s="76"/>
    </row>
    <row r="313" spans="7:27" ht="13.5" thickTop="1" x14ac:dyDescent="0.2">
      <c r="H313" s="76"/>
      <c r="I313" s="76"/>
      <c r="J313" s="76"/>
      <c r="K313" s="123"/>
      <c r="M313" s="123"/>
      <c r="N313" s="123"/>
      <c r="O313" s="123"/>
      <c r="P313" s="123"/>
      <c r="Q313" s="123"/>
      <c r="R313" s="123"/>
      <c r="S313" s="123"/>
      <c r="T313" s="123"/>
      <c r="U313" s="123"/>
      <c r="V313" s="123"/>
      <c r="W313" s="123"/>
      <c r="X313" s="123"/>
      <c r="Y313" s="123"/>
      <c r="Z313" s="123"/>
      <c r="AA313" s="76"/>
    </row>
    <row r="314" spans="7:27" x14ac:dyDescent="0.2">
      <c r="G314" s="74" t="s">
        <v>134</v>
      </c>
      <c r="H314" s="74">
        <v>0</v>
      </c>
      <c r="I314" s="74">
        <v>0</v>
      </c>
      <c r="J314" s="74">
        <v>0</v>
      </c>
      <c r="K314" s="74">
        <f>+K459</f>
        <v>70773</v>
      </c>
      <c r="L314" s="74">
        <f>+L312</f>
        <v>70773</v>
      </c>
      <c r="R314" s="76"/>
      <c r="S314" s="76"/>
      <c r="T314" s="76"/>
      <c r="U314" s="76"/>
      <c r="V314" s="76"/>
      <c r="W314" s="76"/>
      <c r="X314" s="76"/>
      <c r="Y314" s="76"/>
      <c r="Z314" s="76"/>
      <c r="AA314" s="76"/>
    </row>
    <row r="315" spans="7:27" x14ac:dyDescent="0.2">
      <c r="H315" s="76"/>
      <c r="I315" s="76"/>
      <c r="J315" s="76"/>
      <c r="K315" s="76"/>
      <c r="L315" s="123"/>
      <c r="M315" s="76"/>
      <c r="N315" s="76"/>
      <c r="O315" s="76"/>
      <c r="P315" s="76"/>
      <c r="Q315" s="76"/>
      <c r="R315" s="76"/>
      <c r="S315" s="76"/>
      <c r="T315" s="76"/>
      <c r="U315" s="76"/>
      <c r="V315" s="76"/>
      <c r="W315" s="76"/>
      <c r="X315" s="76"/>
      <c r="Y315" s="76"/>
      <c r="Z315" s="76"/>
      <c r="AA315" s="76"/>
    </row>
    <row r="316" spans="7:27" x14ac:dyDescent="0.2">
      <c r="H316" s="76"/>
      <c r="I316" s="76"/>
      <c r="J316" s="76"/>
      <c r="K316" s="76"/>
      <c r="L316" s="123"/>
      <c r="M316" s="76"/>
      <c r="N316" s="76"/>
      <c r="O316" s="76"/>
      <c r="P316" s="76"/>
      <c r="Q316" s="76"/>
      <c r="R316" s="76"/>
      <c r="S316" s="76"/>
      <c r="T316" s="76"/>
      <c r="U316" s="76"/>
      <c r="V316" s="76"/>
      <c r="W316" s="76"/>
      <c r="X316" s="76"/>
      <c r="Y316" s="76"/>
      <c r="Z316" s="76"/>
      <c r="AA316" s="76"/>
    </row>
    <row r="317" spans="7:27" x14ac:dyDescent="0.2">
      <c r="H317" s="76"/>
      <c r="I317" s="76"/>
      <c r="J317" s="76"/>
      <c r="K317" s="2" t="s">
        <v>117</v>
      </c>
      <c r="M317" s="123" t="s">
        <v>135</v>
      </c>
      <c r="N317" s="25">
        <v>1.5277653962955469E-3</v>
      </c>
      <c r="O317" s="76"/>
      <c r="P317" s="76"/>
      <c r="Q317" s="76"/>
      <c r="R317" s="76"/>
      <c r="S317" s="76"/>
      <c r="T317" s="76"/>
      <c r="U317" s="76"/>
      <c r="V317" s="76"/>
      <c r="W317" s="76"/>
      <c r="X317" s="76"/>
      <c r="Y317" s="76"/>
      <c r="Z317" s="76"/>
      <c r="AA317" s="76"/>
    </row>
    <row r="318" spans="7:27" x14ac:dyDescent="0.2">
      <c r="H318" s="76"/>
      <c r="I318" s="76"/>
      <c r="J318" s="76"/>
      <c r="K318" s="2" t="s">
        <v>136</v>
      </c>
      <c r="M318" s="123" t="s">
        <v>137</v>
      </c>
      <c r="N318" s="25">
        <v>5.6525344234822491E-3</v>
      </c>
      <c r="O318" s="76"/>
      <c r="P318" s="76"/>
      <c r="Q318" s="76"/>
      <c r="R318" s="76"/>
      <c r="S318" s="76"/>
      <c r="T318" s="76"/>
      <c r="U318" s="76"/>
      <c r="V318" s="76"/>
      <c r="W318" s="76"/>
      <c r="X318" s="76"/>
      <c r="Y318" s="76"/>
      <c r="Z318" s="76"/>
      <c r="AA318" s="76"/>
    </row>
    <row r="319" spans="7:27" x14ac:dyDescent="0.2">
      <c r="H319" s="76"/>
      <c r="I319" s="76"/>
      <c r="J319" s="76"/>
      <c r="K319" s="76"/>
      <c r="L319" s="123"/>
      <c r="M319" s="76"/>
      <c r="N319" s="76"/>
      <c r="O319" s="76"/>
      <c r="P319" s="76"/>
      <c r="Q319" s="76"/>
      <c r="R319" s="76"/>
      <c r="S319" s="76"/>
      <c r="T319" s="76"/>
      <c r="U319" s="76"/>
      <c r="V319" s="76"/>
      <c r="W319" s="76"/>
      <c r="X319" s="76"/>
      <c r="Y319" s="76"/>
      <c r="Z319" s="76"/>
      <c r="AA319" s="76"/>
    </row>
    <row r="320" spans="7:27" x14ac:dyDescent="0.2">
      <c r="H320" s="76"/>
      <c r="I320" s="76"/>
      <c r="J320" s="76"/>
      <c r="K320" s="76"/>
      <c r="L320" s="123"/>
      <c r="M320" s="76"/>
      <c r="N320" s="76"/>
      <c r="O320" s="76"/>
      <c r="P320" s="76"/>
      <c r="Q320" s="76"/>
      <c r="R320" s="76"/>
      <c r="S320" s="76"/>
      <c r="T320" s="76"/>
      <c r="U320" s="76"/>
      <c r="V320" s="76"/>
      <c r="W320" s="76"/>
      <c r="X320" s="76"/>
      <c r="Y320" s="76"/>
      <c r="Z320" s="76"/>
      <c r="AA320" s="76"/>
    </row>
    <row r="321" spans="7:27" x14ac:dyDescent="0.2">
      <c r="H321" s="76"/>
      <c r="I321" s="76"/>
      <c r="J321" s="76"/>
      <c r="K321" s="76"/>
      <c r="L321" s="123"/>
      <c r="M321" s="76"/>
      <c r="N321" s="76"/>
      <c r="O321" s="76"/>
      <c r="P321" s="76"/>
      <c r="Q321" s="76"/>
      <c r="R321" s="76"/>
      <c r="S321" s="76"/>
      <c r="T321" s="76"/>
      <c r="U321" s="76"/>
      <c r="V321" s="76"/>
      <c r="W321" s="76"/>
      <c r="X321" s="76"/>
      <c r="Y321" s="76"/>
      <c r="Z321" s="76"/>
      <c r="AA321" s="76"/>
    </row>
    <row r="322" spans="7:27" x14ac:dyDescent="0.2">
      <c r="H322" s="76"/>
      <c r="I322" s="76"/>
      <c r="J322" s="76"/>
      <c r="K322" s="76"/>
      <c r="L322" s="229"/>
      <c r="M322" s="229"/>
      <c r="N322" s="230"/>
      <c r="O322" s="230"/>
      <c r="P322" s="230"/>
      <c r="Q322" s="230"/>
      <c r="R322" s="230"/>
      <c r="S322" s="230"/>
      <c r="T322" s="230"/>
      <c r="U322" s="76"/>
      <c r="V322" s="76"/>
      <c r="W322" s="76"/>
      <c r="X322" s="76"/>
      <c r="Y322" s="76"/>
      <c r="Z322" s="76"/>
      <c r="AA322" s="76"/>
    </row>
    <row r="323" spans="7:27" x14ac:dyDescent="0.2">
      <c r="H323" s="76"/>
      <c r="I323" s="76"/>
      <c r="J323" s="76"/>
      <c r="K323" s="66" t="s">
        <v>138</v>
      </c>
      <c r="L323" s="5">
        <v>0</v>
      </c>
      <c r="M323" s="2">
        <f>+L323</f>
        <v>0</v>
      </c>
      <c r="N323" s="72">
        <f>+M312*0.95</f>
        <v>77772.104729999992</v>
      </c>
      <c r="O323" s="72">
        <f>+N312*0.95</f>
        <v>78201.831909999994</v>
      </c>
      <c r="P323" s="72">
        <f>+O312*0.95</f>
        <v>79246.164250000016</v>
      </c>
      <c r="Q323" s="72">
        <f>+P312*0.95</f>
        <v>80300.501799999998</v>
      </c>
      <c r="R323" s="72">
        <f t="shared" ref="R323:T323" si="84">+Q312*0.95</f>
        <v>81367.861569999994</v>
      </c>
      <c r="S323" s="72">
        <f t="shared" si="84"/>
        <v>82450.285489999995</v>
      </c>
      <c r="T323" s="72">
        <f t="shared" si="84"/>
        <v>83546.965490000002</v>
      </c>
      <c r="U323" s="76"/>
      <c r="V323" s="76"/>
      <c r="W323" s="76"/>
      <c r="X323" s="76"/>
      <c r="Y323" s="76"/>
      <c r="Z323" s="76"/>
      <c r="AA323" s="76"/>
    </row>
    <row r="324" spans="7:27" x14ac:dyDescent="0.2">
      <c r="H324" s="76"/>
      <c r="I324" s="76"/>
      <c r="J324" s="76"/>
      <c r="K324" s="76"/>
      <c r="L324" s="123"/>
      <c r="M324" s="76"/>
      <c r="N324" s="76"/>
      <c r="O324" s="76"/>
      <c r="P324" s="76"/>
      <c r="Q324" s="76"/>
      <c r="R324" s="76"/>
      <c r="S324" s="76"/>
      <c r="T324" s="76"/>
      <c r="U324" s="76"/>
      <c r="V324" s="76"/>
      <c r="W324" s="76"/>
      <c r="X324" s="76"/>
      <c r="Y324" s="76"/>
      <c r="Z324" s="76"/>
      <c r="AA324" s="76"/>
    </row>
    <row r="325" spans="7:27" x14ac:dyDescent="0.2">
      <c r="H325" s="76"/>
      <c r="I325" s="76"/>
      <c r="J325" s="76"/>
      <c r="K325" s="76"/>
      <c r="L325" s="5" t="s">
        <v>139</v>
      </c>
      <c r="M325" s="76"/>
      <c r="N325" s="76"/>
      <c r="O325" s="76"/>
      <c r="P325" s="76"/>
      <c r="Q325" s="76"/>
      <c r="R325" s="76"/>
      <c r="S325" s="76"/>
      <c r="T325" s="76"/>
      <c r="U325" s="76"/>
      <c r="V325" s="76"/>
      <c r="W325" s="76"/>
      <c r="X325" s="76"/>
      <c r="Y325" s="76"/>
      <c r="Z325" s="76"/>
      <c r="AA325" s="76"/>
    </row>
    <row r="326" spans="7:27" x14ac:dyDescent="0.2">
      <c r="H326" s="76"/>
      <c r="I326" s="76"/>
      <c r="J326" s="76"/>
      <c r="K326" s="76"/>
      <c r="L326" s="2" t="s">
        <v>140</v>
      </c>
      <c r="M326" s="76"/>
      <c r="N326" s="76"/>
      <c r="O326" s="76"/>
      <c r="P326" s="76"/>
      <c r="Q326" s="76"/>
      <c r="R326" s="76"/>
      <c r="S326" s="76"/>
      <c r="T326" s="76"/>
      <c r="U326" s="76"/>
      <c r="V326" s="76"/>
      <c r="W326" s="76"/>
      <c r="X326" s="76"/>
      <c r="Y326" s="76"/>
      <c r="Z326" s="76"/>
      <c r="AA326" s="76"/>
    </row>
    <row r="327" spans="7:27" x14ac:dyDescent="0.2">
      <c r="H327" s="76"/>
      <c r="I327" s="76"/>
      <c r="J327" s="76"/>
      <c r="K327" s="76"/>
      <c r="L327" s="123"/>
      <c r="M327" s="76"/>
      <c r="N327" s="76"/>
      <c r="O327" s="76"/>
      <c r="P327" s="76"/>
      <c r="Q327" s="76"/>
      <c r="R327" s="76"/>
      <c r="S327" s="76"/>
      <c r="T327" s="76"/>
      <c r="U327" s="76"/>
      <c r="V327" s="76"/>
      <c r="W327" s="76"/>
      <c r="X327" s="76"/>
      <c r="Y327" s="76"/>
      <c r="Z327" s="76"/>
      <c r="AA327" s="76"/>
    </row>
    <row r="328" spans="7:27" x14ac:dyDescent="0.2">
      <c r="H328" s="76"/>
      <c r="I328" s="76"/>
      <c r="J328" s="76"/>
      <c r="K328" s="76"/>
      <c r="L328" s="123"/>
      <c r="M328" s="76"/>
      <c r="N328" s="76"/>
      <c r="O328" s="76"/>
      <c r="P328" s="76"/>
      <c r="Q328" s="76"/>
      <c r="R328" s="76"/>
      <c r="S328" s="76"/>
      <c r="T328" s="76"/>
      <c r="U328" s="76"/>
      <c r="V328" s="76"/>
      <c r="W328" s="76"/>
      <c r="X328" s="76"/>
      <c r="Y328" s="76"/>
      <c r="Z328" s="76"/>
      <c r="AA328" s="76"/>
    </row>
    <row r="329" spans="7:27" ht="13.5" thickBot="1" x14ac:dyDescent="0.25">
      <c r="H329" s="76"/>
      <c r="I329" s="76"/>
      <c r="J329" s="76"/>
      <c r="K329" s="76"/>
      <c r="L329" s="216">
        <f>+L285</f>
        <v>2017</v>
      </c>
      <c r="M329" s="216">
        <f>+M285</f>
        <v>2018</v>
      </c>
      <c r="N329" s="76"/>
      <c r="O329" s="76"/>
      <c r="P329" s="76"/>
      <c r="Q329" s="76"/>
      <c r="R329" s="76"/>
      <c r="S329" s="76"/>
      <c r="T329" s="76"/>
      <c r="U329" s="76"/>
      <c r="V329" s="76"/>
      <c r="W329" s="76"/>
      <c r="X329" s="76"/>
      <c r="Y329" s="76"/>
      <c r="Z329" s="76"/>
      <c r="AA329" s="76"/>
    </row>
    <row r="330" spans="7:27" ht="13.5" thickBot="1" x14ac:dyDescent="0.25">
      <c r="H330" s="76"/>
      <c r="I330" s="76"/>
      <c r="J330" s="76"/>
      <c r="K330" s="76"/>
      <c r="L330" s="123"/>
      <c r="M330" s="231">
        <f>4750*M334</f>
        <v>33250</v>
      </c>
      <c r="N330" s="231">
        <f t="shared" ref="N330:Q330" si="85">4750*N334</f>
        <v>33250</v>
      </c>
      <c r="O330" s="231">
        <f t="shared" si="85"/>
        <v>33250</v>
      </c>
      <c r="P330" s="231">
        <f t="shared" si="85"/>
        <v>33250</v>
      </c>
      <c r="Q330" s="231">
        <f t="shared" si="85"/>
        <v>33250</v>
      </c>
      <c r="R330" s="232">
        <f>4750*R334</f>
        <v>33250</v>
      </c>
      <c r="S330" s="232">
        <f t="shared" ref="S330:Z330" si="86">4750*S334</f>
        <v>33250</v>
      </c>
      <c r="T330" s="232">
        <f t="shared" si="86"/>
        <v>38000</v>
      </c>
      <c r="U330" s="232">
        <f t="shared" si="86"/>
        <v>38000</v>
      </c>
      <c r="V330" s="232">
        <f t="shared" si="86"/>
        <v>38000</v>
      </c>
      <c r="W330" s="232">
        <f t="shared" si="86"/>
        <v>38000</v>
      </c>
      <c r="X330" s="232">
        <f t="shared" si="86"/>
        <v>38000</v>
      </c>
      <c r="Y330" s="232">
        <f t="shared" si="86"/>
        <v>38000</v>
      </c>
      <c r="Z330" s="232">
        <f t="shared" si="86"/>
        <v>38000</v>
      </c>
      <c r="AA330" s="76"/>
    </row>
    <row r="331" spans="7:27" x14ac:dyDescent="0.2">
      <c r="R331" s="76"/>
      <c r="S331" s="76"/>
      <c r="T331" s="76"/>
      <c r="U331" s="76"/>
      <c r="V331" s="76"/>
      <c r="W331" s="76"/>
      <c r="X331" s="76"/>
      <c r="Y331" s="76"/>
      <c r="Z331" s="76"/>
      <c r="AA331" s="76"/>
    </row>
    <row r="332" spans="7:27" x14ac:dyDescent="0.2">
      <c r="G332" s="145" t="s">
        <v>141</v>
      </c>
      <c r="H332" s="6">
        <f>+H21</f>
        <v>0</v>
      </c>
      <c r="I332" s="6">
        <f>+I21</f>
        <v>0</v>
      </c>
      <c r="J332" s="6">
        <f>+J21</f>
        <v>0</v>
      </c>
      <c r="K332" s="6">
        <f>+K21</f>
        <v>1115704</v>
      </c>
      <c r="L332" s="6">
        <f>+L21</f>
        <v>1157542.9000000001</v>
      </c>
      <c r="M332" s="6">
        <f>+M21</f>
        <v>1283059.5999999999</v>
      </c>
      <c r="N332" s="6">
        <f>ROUND(+N335*N337,0)</f>
        <v>672290</v>
      </c>
      <c r="O332" s="6">
        <f>ROUND(+O335*O337,0)</f>
        <v>675510</v>
      </c>
      <c r="P332" s="6">
        <f>ROUND(+P335*P337,0)</f>
        <v>678730</v>
      </c>
      <c r="Q332" s="5">
        <f>ROUND(+Q335*Q337,0)</f>
        <v>681950</v>
      </c>
      <c r="R332" s="76"/>
      <c r="S332" s="76"/>
      <c r="T332" s="76"/>
      <c r="U332" s="76"/>
      <c r="V332" s="76"/>
      <c r="W332" s="76"/>
      <c r="X332" s="76"/>
      <c r="Y332" s="76"/>
      <c r="Z332" s="76"/>
      <c r="AA332" s="76"/>
    </row>
    <row r="333" spans="7:27" ht="13.5" thickBot="1" x14ac:dyDescent="0.25">
      <c r="G333" s="2" t="s">
        <v>142</v>
      </c>
      <c r="H333" s="2">
        <v>0</v>
      </c>
      <c r="I333" s="2">
        <v>0</v>
      </c>
      <c r="J333" s="2">
        <v>0</v>
      </c>
      <c r="K333" s="2">
        <f>+L333</f>
        <v>1451</v>
      </c>
      <c r="L333" s="2">
        <f>1451</f>
        <v>1451</v>
      </c>
      <c r="M333" s="2">
        <f t="shared" ref="M333:Z333" si="87">+L333+M334</f>
        <v>1458</v>
      </c>
      <c r="N333" s="2">
        <f t="shared" si="87"/>
        <v>1465</v>
      </c>
      <c r="O333" s="2">
        <f t="shared" si="87"/>
        <v>1472</v>
      </c>
      <c r="P333" s="2">
        <f t="shared" si="87"/>
        <v>1479</v>
      </c>
      <c r="Q333" s="2">
        <f t="shared" si="87"/>
        <v>1486</v>
      </c>
      <c r="R333" s="2">
        <f t="shared" si="87"/>
        <v>1493</v>
      </c>
      <c r="S333" s="2">
        <f t="shared" si="87"/>
        <v>1500</v>
      </c>
      <c r="T333" s="2">
        <f t="shared" si="87"/>
        <v>1508</v>
      </c>
      <c r="U333" s="2">
        <f t="shared" si="87"/>
        <v>1516</v>
      </c>
      <c r="V333" s="2">
        <f t="shared" si="87"/>
        <v>1524</v>
      </c>
      <c r="W333" s="2">
        <f t="shared" si="87"/>
        <v>1532</v>
      </c>
      <c r="X333" s="2">
        <f t="shared" si="87"/>
        <v>1540</v>
      </c>
      <c r="Y333" s="2">
        <f t="shared" si="87"/>
        <v>1548</v>
      </c>
      <c r="Z333" s="2">
        <f t="shared" si="87"/>
        <v>1556</v>
      </c>
      <c r="AA333" s="76"/>
    </row>
    <row r="334" spans="7:27" ht="13.5" thickBot="1" x14ac:dyDescent="0.25">
      <c r="L334" s="233">
        <v>0</v>
      </c>
      <c r="M334" s="234">
        <f>ROUND(0.005*L333,0)</f>
        <v>7</v>
      </c>
      <c r="N334" s="234">
        <f t="shared" ref="N334:Q334" si="88">ROUND(0.005*M333,0)</f>
        <v>7</v>
      </c>
      <c r="O334" s="234">
        <f t="shared" si="88"/>
        <v>7</v>
      </c>
      <c r="P334" s="234">
        <f t="shared" si="88"/>
        <v>7</v>
      </c>
      <c r="Q334" s="234">
        <f t="shared" si="88"/>
        <v>7</v>
      </c>
      <c r="R334" s="123">
        <f>ROUND(+Q333*(R344),0)</f>
        <v>7</v>
      </c>
      <c r="S334" s="123">
        <f t="shared" ref="S334:Z334" si="89">ROUND(+R333*(S344),0)</f>
        <v>7</v>
      </c>
      <c r="T334" s="123">
        <f t="shared" si="89"/>
        <v>8</v>
      </c>
      <c r="U334" s="123">
        <f t="shared" si="89"/>
        <v>8</v>
      </c>
      <c r="V334" s="123">
        <f t="shared" si="89"/>
        <v>8</v>
      </c>
      <c r="W334" s="123">
        <f t="shared" si="89"/>
        <v>8</v>
      </c>
      <c r="X334" s="123">
        <f t="shared" si="89"/>
        <v>8</v>
      </c>
      <c r="Y334" s="123">
        <f t="shared" si="89"/>
        <v>8</v>
      </c>
      <c r="Z334" s="123">
        <f t="shared" si="89"/>
        <v>8</v>
      </c>
      <c r="AA334" s="76"/>
    </row>
    <row r="335" spans="7:27" x14ac:dyDescent="0.2">
      <c r="I335" s="2">
        <f t="shared" ref="I335:Q335" si="90">AVERAGE(H333:I333)</f>
        <v>0</v>
      </c>
      <c r="J335" s="2">
        <f t="shared" si="90"/>
        <v>0</v>
      </c>
      <c r="K335" s="2">
        <f t="shared" si="90"/>
        <v>725.5</v>
      </c>
      <c r="L335" s="2">
        <f t="shared" si="90"/>
        <v>1451</v>
      </c>
      <c r="M335" s="2">
        <f t="shared" si="90"/>
        <v>1454.5</v>
      </c>
      <c r="N335" s="2">
        <f t="shared" si="90"/>
        <v>1461.5</v>
      </c>
      <c r="O335" s="2">
        <f t="shared" si="90"/>
        <v>1468.5</v>
      </c>
      <c r="P335" s="2">
        <f t="shared" si="90"/>
        <v>1475.5</v>
      </c>
      <c r="Q335" s="2">
        <f t="shared" si="90"/>
        <v>1482.5</v>
      </c>
      <c r="R335" s="76"/>
      <c r="S335" s="76"/>
      <c r="T335" s="76"/>
      <c r="U335" s="76"/>
      <c r="V335" s="76"/>
      <c r="W335" s="76"/>
      <c r="X335" s="76"/>
      <c r="Y335" s="76"/>
      <c r="Z335" s="76"/>
      <c r="AA335" s="76"/>
    </row>
    <row r="336" spans="7:27" x14ac:dyDescent="0.2">
      <c r="H336" s="2" t="e">
        <f>+H332/H333</f>
        <v>#DIV/0!</v>
      </c>
      <c r="I336" s="2" t="e">
        <f>+I332/I333</f>
        <v>#DIV/0!</v>
      </c>
      <c r="J336" s="2" t="e">
        <f>+J332/J333</f>
        <v>#DIV/0!</v>
      </c>
      <c r="K336" s="2">
        <f>+K332/K333</f>
        <v>768.92074431426602</v>
      </c>
      <c r="L336" s="2">
        <f>+L332/L333</f>
        <v>797.75527222605115</v>
      </c>
      <c r="R336" s="76"/>
      <c r="S336" s="76"/>
      <c r="T336" s="76"/>
      <c r="U336" s="76"/>
      <c r="V336" s="76"/>
      <c r="W336" s="76"/>
      <c r="X336" s="76"/>
      <c r="Y336" s="76"/>
      <c r="Z336" s="76"/>
      <c r="AA336" s="76"/>
    </row>
    <row r="337" spans="8:29" x14ac:dyDescent="0.2">
      <c r="M337" s="235">
        <v>460</v>
      </c>
      <c r="N337" s="235">
        <v>460</v>
      </c>
      <c r="O337" s="235">
        <v>460</v>
      </c>
      <c r="P337" s="235">
        <v>460</v>
      </c>
      <c r="Q337" s="235">
        <v>460</v>
      </c>
      <c r="R337" s="76"/>
      <c r="S337" s="76"/>
      <c r="T337" s="76"/>
      <c r="U337" s="76"/>
      <c r="V337" s="76"/>
      <c r="W337" s="76"/>
      <c r="X337" s="76"/>
      <c r="Y337" s="76"/>
      <c r="Z337" s="76"/>
      <c r="AA337" s="76"/>
    </row>
    <row r="338" spans="8:29" x14ac:dyDescent="0.2">
      <c r="I338" s="2" t="e">
        <f t="shared" ref="I338:M338" si="91">+I332/I335</f>
        <v>#DIV/0!</v>
      </c>
      <c r="J338" s="2" t="e">
        <f t="shared" si="91"/>
        <v>#DIV/0!</v>
      </c>
      <c r="K338" s="2">
        <f t="shared" si="91"/>
        <v>1537.841488628532</v>
      </c>
      <c r="L338" s="2">
        <f t="shared" si="91"/>
        <v>797.75527222605115</v>
      </c>
      <c r="M338" s="2">
        <f t="shared" si="91"/>
        <v>882.13104159504974</v>
      </c>
      <c r="R338" s="76"/>
      <c r="S338" s="76"/>
      <c r="T338" s="76"/>
      <c r="U338" s="76"/>
      <c r="V338" s="76"/>
      <c r="W338" s="76"/>
      <c r="X338" s="76"/>
      <c r="Y338" s="76"/>
      <c r="Z338" s="76"/>
      <c r="AA338" s="76"/>
    </row>
    <row r="339" spans="8:29" x14ac:dyDescent="0.2">
      <c r="H339" s="76"/>
      <c r="I339" s="76"/>
      <c r="J339" s="76"/>
      <c r="K339" s="76"/>
      <c r="L339" s="123"/>
      <c r="M339" s="76"/>
      <c r="N339" s="76"/>
      <c r="O339" s="76"/>
      <c r="P339" s="76"/>
      <c r="Q339" s="76"/>
      <c r="R339" s="76"/>
      <c r="S339" s="76"/>
      <c r="T339" s="76"/>
      <c r="U339" s="76"/>
      <c r="V339" s="76"/>
      <c r="W339" s="76"/>
      <c r="X339" s="76"/>
      <c r="Y339" s="76"/>
      <c r="Z339" s="76"/>
      <c r="AA339" s="76"/>
    </row>
    <row r="340" spans="8:29" x14ac:dyDescent="0.2">
      <c r="H340" s="76"/>
      <c r="I340" s="76"/>
      <c r="J340" s="76"/>
      <c r="K340" s="76"/>
      <c r="L340" s="25" t="s">
        <v>143</v>
      </c>
      <c r="M340" s="75">
        <v>1451</v>
      </c>
      <c r="N340" s="76"/>
      <c r="O340" s="76"/>
      <c r="P340" s="76"/>
      <c r="Q340" s="76"/>
      <c r="R340" s="76"/>
      <c r="S340" s="76"/>
      <c r="T340" s="76"/>
      <c r="U340" s="76"/>
      <c r="V340" s="76"/>
      <c r="W340" s="76"/>
      <c r="X340" s="76"/>
      <c r="Y340" s="76"/>
      <c r="Z340" s="76"/>
      <c r="AA340" s="76"/>
    </row>
    <row r="341" spans="8:29" x14ac:dyDescent="0.2">
      <c r="H341" s="76"/>
      <c r="I341" s="76"/>
      <c r="J341" s="76"/>
      <c r="K341" s="76"/>
      <c r="L341" s="25" t="s">
        <v>144</v>
      </c>
      <c r="M341" s="75">
        <v>1451</v>
      </c>
      <c r="N341" s="76"/>
      <c r="O341" s="76"/>
      <c r="P341" s="76"/>
      <c r="Q341" s="76"/>
      <c r="R341" s="76"/>
      <c r="S341" s="76"/>
      <c r="T341" s="76"/>
      <c r="U341" s="76"/>
      <c r="V341" s="76"/>
      <c r="W341" s="76"/>
      <c r="X341" s="76"/>
      <c r="Y341" s="76"/>
      <c r="Z341" s="76"/>
      <c r="AA341" s="76"/>
    </row>
    <row r="342" spans="8:29" x14ac:dyDescent="0.2">
      <c r="H342" s="76"/>
      <c r="I342" s="76"/>
      <c r="J342" s="76"/>
      <c r="K342" s="76"/>
      <c r="L342" s="76"/>
      <c r="M342" s="77">
        <f>+M340/M341</f>
        <v>1</v>
      </c>
      <c r="N342" s="76"/>
      <c r="O342" s="76"/>
      <c r="P342" s="76"/>
      <c r="Q342" s="76"/>
      <c r="R342" s="76"/>
      <c r="S342" s="76"/>
      <c r="T342" s="76"/>
      <c r="U342" s="76"/>
      <c r="V342" s="76"/>
      <c r="W342" s="76"/>
      <c r="X342" s="76"/>
      <c r="Y342" s="76"/>
      <c r="Z342" s="76"/>
      <c r="AA342" s="76"/>
    </row>
    <row r="343" spans="8:29" ht="13.5" thickBot="1" x14ac:dyDescent="0.25">
      <c r="H343" s="76"/>
      <c r="I343" s="76"/>
      <c r="J343" s="76"/>
      <c r="K343" s="25">
        <f>1.742*1000000</f>
        <v>1742000</v>
      </c>
      <c r="L343" s="76"/>
      <c r="M343" s="76"/>
      <c r="N343" s="76"/>
      <c r="O343" s="76"/>
      <c r="P343" s="76"/>
      <c r="Q343" s="76"/>
      <c r="R343" s="76"/>
      <c r="S343" s="76"/>
      <c r="T343" s="76"/>
      <c r="U343" s="76"/>
      <c r="V343" s="76"/>
      <c r="W343" s="76"/>
      <c r="X343" s="76"/>
      <c r="Y343" s="76"/>
      <c r="Z343" s="220"/>
      <c r="AA343" s="76"/>
    </row>
    <row r="344" spans="8:29" ht="13.5" thickBot="1" x14ac:dyDescent="0.25">
      <c r="H344" s="76"/>
      <c r="I344" s="25" t="s">
        <v>145</v>
      </c>
      <c r="J344" s="76"/>
      <c r="L344" s="123"/>
      <c r="M344" s="78">
        <f t="shared" ref="M344:Q344" si="92">+M334</f>
        <v>7</v>
      </c>
      <c r="N344" s="78">
        <f t="shared" si="92"/>
        <v>7</v>
      </c>
      <c r="O344" s="78">
        <f t="shared" si="92"/>
        <v>7</v>
      </c>
      <c r="P344" s="78">
        <f t="shared" si="92"/>
        <v>7</v>
      </c>
      <c r="Q344" s="78">
        <f t="shared" si="92"/>
        <v>7</v>
      </c>
      <c r="R344" s="71">
        <v>5.0000000000000001E-3</v>
      </c>
      <c r="S344" s="71">
        <f t="shared" ref="S344:Z344" si="93">+R344</f>
        <v>5.0000000000000001E-3</v>
      </c>
      <c r="T344" s="71">
        <f t="shared" si="93"/>
        <v>5.0000000000000001E-3</v>
      </c>
      <c r="U344" s="71">
        <f t="shared" si="93"/>
        <v>5.0000000000000001E-3</v>
      </c>
      <c r="V344" s="71">
        <f t="shared" si="93"/>
        <v>5.0000000000000001E-3</v>
      </c>
      <c r="W344" s="71">
        <f t="shared" si="93"/>
        <v>5.0000000000000001E-3</v>
      </c>
      <c r="X344" s="71">
        <f t="shared" si="93"/>
        <v>5.0000000000000001E-3</v>
      </c>
      <c r="Y344" s="71">
        <f t="shared" si="93"/>
        <v>5.0000000000000001E-3</v>
      </c>
      <c r="Z344" s="71">
        <f t="shared" si="93"/>
        <v>5.0000000000000001E-3</v>
      </c>
      <c r="AA344" s="76"/>
    </row>
    <row r="345" spans="8:29" ht="13.5" thickBot="1" x14ac:dyDescent="0.25">
      <c r="H345" s="76"/>
      <c r="I345" s="123" t="s">
        <v>146</v>
      </c>
      <c r="J345" s="82">
        <v>0</v>
      </c>
      <c r="K345" s="81">
        <f>(100000*2343)/K346</f>
        <v>161474.84493452791</v>
      </c>
      <c r="L345" s="79">
        <f>+L346*K350</f>
        <v>161474.84493452791</v>
      </c>
      <c r="M345" s="79">
        <f>+M346*L350</f>
        <v>162253.84142973239</v>
      </c>
      <c r="N345" s="79">
        <f t="shared" ref="N345:Z345" si="94">+N346*M350</f>
        <v>163032.83792493687</v>
      </c>
      <c r="O345" s="79">
        <f t="shared" si="94"/>
        <v>163811.83442014136</v>
      </c>
      <c r="P345" s="79">
        <f t="shared" si="94"/>
        <v>164590.83091534584</v>
      </c>
      <c r="Q345" s="79">
        <f t="shared" si="94"/>
        <v>165369.82741055032</v>
      </c>
      <c r="R345" s="79">
        <f t="shared" si="94"/>
        <v>166196.67654760307</v>
      </c>
      <c r="S345" s="79">
        <f t="shared" si="94"/>
        <v>167027.65993034106</v>
      </c>
      <c r="T345" s="79">
        <f t="shared" si="94"/>
        <v>167862.79822999274</v>
      </c>
      <c r="U345" s="79">
        <f t="shared" si="94"/>
        <v>168702.11222114271</v>
      </c>
      <c r="V345" s="79">
        <f t="shared" si="94"/>
        <v>169545.62278224839</v>
      </c>
      <c r="W345" s="79">
        <f t="shared" si="94"/>
        <v>170393.35089615959</v>
      </c>
      <c r="X345" s="79">
        <f t="shared" si="94"/>
        <v>171245.31765064038</v>
      </c>
      <c r="Y345" s="79">
        <f t="shared" si="94"/>
        <v>172101.54423889355</v>
      </c>
      <c r="Z345" s="79">
        <f t="shared" si="94"/>
        <v>172962.05196008799</v>
      </c>
      <c r="AA345" s="76"/>
    </row>
    <row r="346" spans="8:29" ht="13.5" thickBot="1" x14ac:dyDescent="0.25">
      <c r="H346" s="76"/>
      <c r="I346" s="25" t="s">
        <v>147</v>
      </c>
      <c r="J346" s="79">
        <v>1451</v>
      </c>
      <c r="K346" s="79">
        <v>1451</v>
      </c>
      <c r="L346" s="79">
        <v>1451</v>
      </c>
      <c r="M346" s="80">
        <f>+L346+($M342*M344)</f>
        <v>1458</v>
      </c>
      <c r="N346" s="80">
        <f t="shared" ref="N346:P346" si="95">+M346+($M342*N344)</f>
        <v>1465</v>
      </c>
      <c r="O346" s="80">
        <f t="shared" si="95"/>
        <v>1472</v>
      </c>
      <c r="P346" s="80">
        <f t="shared" si="95"/>
        <v>1479</v>
      </c>
      <c r="Q346" s="80">
        <f>+P346+($M342*Q344)</f>
        <v>1486</v>
      </c>
      <c r="R346" s="79">
        <f t="shared" ref="R346:Z346" si="96">+Q346*(1+R344)</f>
        <v>1493.4299999999998</v>
      </c>
      <c r="S346" s="79">
        <f t="shared" si="96"/>
        <v>1500.8971499999998</v>
      </c>
      <c r="T346" s="79">
        <f t="shared" si="96"/>
        <v>1508.4016357499995</v>
      </c>
      <c r="U346" s="79">
        <f t="shared" si="96"/>
        <v>1515.9436439287495</v>
      </c>
      <c r="V346" s="79">
        <f t="shared" si="96"/>
        <v>1523.5233621483931</v>
      </c>
      <c r="W346" s="79">
        <f t="shared" si="96"/>
        <v>1531.1409789591348</v>
      </c>
      <c r="X346" s="79">
        <f t="shared" si="96"/>
        <v>1538.7966838539303</v>
      </c>
      <c r="Y346" s="79">
        <f t="shared" si="96"/>
        <v>1546.4906672731997</v>
      </c>
      <c r="Z346" s="79">
        <f t="shared" si="96"/>
        <v>1554.2231206095655</v>
      </c>
      <c r="AA346" s="76"/>
    </row>
    <row r="347" spans="8:29" x14ac:dyDescent="0.2">
      <c r="H347" s="76"/>
      <c r="I347" s="198" t="s">
        <v>148</v>
      </c>
      <c r="J347" s="6">
        <f>+J24-0</f>
        <v>0</v>
      </c>
      <c r="K347" s="6">
        <f>+K24-0</f>
        <v>1151216</v>
      </c>
      <c r="L347" s="6">
        <f>+L24-0</f>
        <v>1193054.9000000001</v>
      </c>
      <c r="M347" s="6">
        <f>+M24-0</f>
        <v>1318571.5999999999</v>
      </c>
      <c r="N347" s="6">
        <f>+N24-0</f>
        <v>1357249</v>
      </c>
      <c r="O347" s="6">
        <f>+O24-0</f>
        <v>1396004</v>
      </c>
      <c r="P347" s="6">
        <f>+P24-0</f>
        <v>1798912</v>
      </c>
      <c r="Q347" s="6">
        <f>+Q24-0</f>
        <v>1807278</v>
      </c>
      <c r="R347" s="6">
        <f>+R24-0</f>
        <v>1815901</v>
      </c>
      <c r="S347" s="6">
        <f>+S24-0</f>
        <v>1887428</v>
      </c>
      <c r="T347" s="6">
        <f>+T24-0</f>
        <v>1896687</v>
      </c>
      <c r="U347" s="6">
        <f>+U24-0</f>
        <v>1905993</v>
      </c>
      <c r="V347" s="6">
        <f>+V24-0</f>
        <v>1981140</v>
      </c>
      <c r="W347" s="6">
        <f>+W24-0</f>
        <v>1990868</v>
      </c>
      <c r="X347" s="6">
        <f>+X24-0</f>
        <v>2000645</v>
      </c>
      <c r="Y347" s="6">
        <f>+Y24-0</f>
        <v>2079594</v>
      </c>
      <c r="Z347" s="6">
        <f>+Z24-0</f>
        <v>2089814</v>
      </c>
      <c r="AA347" s="76"/>
    </row>
    <row r="348" spans="8:29" x14ac:dyDescent="0.2">
      <c r="H348" s="76"/>
      <c r="I348" s="76"/>
      <c r="J348" s="76"/>
      <c r="K348" s="25"/>
      <c r="L348" s="123"/>
      <c r="M348" s="76"/>
      <c r="N348" s="76"/>
      <c r="O348" s="76"/>
      <c r="P348" s="76"/>
      <c r="Q348" s="236">
        <f>+Q349/P349</f>
        <v>0.99991804901460657</v>
      </c>
      <c r="R348" s="76"/>
      <c r="S348" s="76"/>
      <c r="T348" s="236">
        <f>+T349/S349</f>
        <v>0.9999060871559905</v>
      </c>
      <c r="U348" s="76"/>
      <c r="V348" s="76"/>
      <c r="W348" s="76"/>
      <c r="X348" s="76"/>
      <c r="Y348" s="76"/>
      <c r="Z348" s="76"/>
      <c r="AA348" s="76"/>
    </row>
    <row r="349" spans="8:29" x14ac:dyDescent="0.2">
      <c r="H349" s="76"/>
      <c r="I349" s="25" t="s">
        <v>149</v>
      </c>
      <c r="J349" s="81">
        <f>+J347/J346</f>
        <v>0</v>
      </c>
      <c r="K349" s="81">
        <f>+K347/K346</f>
        <v>793.39490006891799</v>
      </c>
      <c r="L349" s="81">
        <f>+L347/L346</f>
        <v>822.22942798070301</v>
      </c>
      <c r="M349" s="81">
        <f>+M347/M346</f>
        <v>904.3700960219478</v>
      </c>
      <c r="N349" s="81">
        <f t="shared" ref="N349:Z349" si="97">+N347/N346</f>
        <v>926.44982935153587</v>
      </c>
      <c r="O349" s="81">
        <f t="shared" si="97"/>
        <v>948.37228260869563</v>
      </c>
      <c r="P349" s="81">
        <f t="shared" si="97"/>
        <v>1216.3029073698444</v>
      </c>
      <c r="Q349" s="81">
        <f t="shared" si="97"/>
        <v>1216.2032301480485</v>
      </c>
      <c r="R349" s="81">
        <f t="shared" si="97"/>
        <v>1215.9264244055632</v>
      </c>
      <c r="S349" s="81">
        <f t="shared" si="97"/>
        <v>1257.5332027247839</v>
      </c>
      <c r="T349" s="81">
        <f t="shared" si="97"/>
        <v>1257.4151042052797</v>
      </c>
      <c r="U349" s="81">
        <f t="shared" si="97"/>
        <v>1257.2980582974649</v>
      </c>
      <c r="V349" s="81">
        <f t="shared" si="97"/>
        <v>1300.3673256485545</v>
      </c>
      <c r="W349" s="81">
        <f t="shared" si="97"/>
        <v>1300.2512684059873</v>
      </c>
      <c r="X349" s="81">
        <f t="shared" si="97"/>
        <v>1300.1360225116721</v>
      </c>
      <c r="Y349" s="81">
        <f t="shared" si="97"/>
        <v>1344.7181053260267</v>
      </c>
      <c r="Z349" s="81">
        <f t="shared" si="97"/>
        <v>1344.6035979572714</v>
      </c>
      <c r="AA349" s="76"/>
    </row>
    <row r="350" spans="8:29" x14ac:dyDescent="0.2">
      <c r="H350" s="76"/>
      <c r="I350" s="25" t="s">
        <v>150</v>
      </c>
      <c r="J350" s="82">
        <f>+J345/J346</f>
        <v>0</v>
      </c>
      <c r="K350" s="82">
        <f>+K345/K346</f>
        <v>111.28521360063949</v>
      </c>
      <c r="L350" s="82">
        <f>+L345/L346</f>
        <v>111.28521360063949</v>
      </c>
      <c r="M350" s="82">
        <f>+M345/M346</f>
        <v>111.28521360063949</v>
      </c>
      <c r="N350" s="82">
        <f t="shared" ref="N350:Z350" si="98">+N345/N346</f>
        <v>111.28521360063951</v>
      </c>
      <c r="O350" s="82">
        <f t="shared" si="98"/>
        <v>111.28521360063951</v>
      </c>
      <c r="P350" s="82">
        <f t="shared" si="98"/>
        <v>111.28521360063951</v>
      </c>
      <c r="Q350" s="82">
        <f t="shared" si="98"/>
        <v>111.28521360063952</v>
      </c>
      <c r="R350" s="82">
        <f t="shared" si="98"/>
        <v>111.28521360063952</v>
      </c>
      <c r="S350" s="82">
        <f t="shared" si="98"/>
        <v>111.28521360063951</v>
      </c>
      <c r="T350" s="82">
        <f t="shared" si="98"/>
        <v>111.28521360063952</v>
      </c>
      <c r="U350" s="82">
        <f t="shared" si="98"/>
        <v>111.28521360063952</v>
      </c>
      <c r="V350" s="82">
        <f t="shared" si="98"/>
        <v>111.28521360063951</v>
      </c>
      <c r="W350" s="82">
        <f t="shared" si="98"/>
        <v>111.28521360063951</v>
      </c>
      <c r="X350" s="82">
        <f t="shared" si="98"/>
        <v>111.28521360063951</v>
      </c>
      <c r="Y350" s="82">
        <f t="shared" si="98"/>
        <v>111.28521360063951</v>
      </c>
      <c r="Z350" s="82">
        <f t="shared" si="98"/>
        <v>111.28521360063951</v>
      </c>
      <c r="AA350" s="76"/>
      <c r="AC350" s="237"/>
    </row>
    <row r="351" spans="8:29" x14ac:dyDescent="0.2">
      <c r="H351" s="76"/>
      <c r="I351" s="25"/>
      <c r="J351" s="76"/>
      <c r="L351" s="123"/>
      <c r="M351" s="76"/>
      <c r="N351" s="76"/>
      <c r="O351" s="76"/>
      <c r="P351" s="76"/>
      <c r="Q351" s="76"/>
      <c r="R351" s="76"/>
      <c r="S351" s="76"/>
      <c r="T351" s="76"/>
      <c r="U351" s="76"/>
      <c r="V351" s="76"/>
      <c r="W351" s="76"/>
      <c r="X351" s="76"/>
      <c r="Y351" s="76"/>
      <c r="Z351" s="76"/>
      <c r="AA351" s="76"/>
    </row>
    <row r="352" spans="8:29" x14ac:dyDescent="0.2">
      <c r="H352" s="76"/>
      <c r="I352" s="25" t="s">
        <v>151</v>
      </c>
      <c r="J352" s="81" t="e">
        <f>+J347/J333</f>
        <v>#DIV/0!</v>
      </c>
      <c r="K352" s="81">
        <f t="shared" ref="K352:Z352" si="99">+K347/K333</f>
        <v>793.39490006891799</v>
      </c>
      <c r="L352" s="81">
        <f t="shared" si="99"/>
        <v>822.22942798070301</v>
      </c>
      <c r="M352" s="81">
        <f t="shared" si="99"/>
        <v>904.3700960219478</v>
      </c>
      <c r="N352" s="81">
        <f t="shared" si="99"/>
        <v>926.44982935153587</v>
      </c>
      <c r="O352" s="81">
        <f t="shared" si="99"/>
        <v>948.37228260869563</v>
      </c>
      <c r="P352" s="81">
        <f t="shared" si="99"/>
        <v>1216.3029073698444</v>
      </c>
      <c r="Q352" s="81">
        <f t="shared" si="99"/>
        <v>1216.2032301480485</v>
      </c>
      <c r="R352" s="81">
        <f t="shared" si="99"/>
        <v>1216.2766242464836</v>
      </c>
      <c r="S352" s="81">
        <f t="shared" si="99"/>
        <v>1258.2853333333333</v>
      </c>
      <c r="T352" s="81">
        <f t="shared" si="99"/>
        <v>1257.75</v>
      </c>
      <c r="U352" s="81">
        <f t="shared" si="99"/>
        <v>1257.2513192612137</v>
      </c>
      <c r="V352" s="81">
        <f t="shared" si="99"/>
        <v>1299.9606299212599</v>
      </c>
      <c r="W352" s="81">
        <f t="shared" si="99"/>
        <v>1299.5221932114882</v>
      </c>
      <c r="X352" s="81">
        <f t="shared" si="99"/>
        <v>1299.1201298701299</v>
      </c>
      <c r="Y352" s="81">
        <f t="shared" si="99"/>
        <v>1343.4069767441861</v>
      </c>
      <c r="Z352" s="81">
        <f t="shared" si="99"/>
        <v>1343.0681233933162</v>
      </c>
      <c r="AA352" s="76"/>
    </row>
    <row r="353" spans="7:29" x14ac:dyDescent="0.2">
      <c r="H353" s="76"/>
      <c r="I353" s="25" t="s">
        <v>152</v>
      </c>
      <c r="J353" s="82" t="e">
        <f>+J345/J333</f>
        <v>#DIV/0!</v>
      </c>
      <c r="K353" s="82">
        <f t="shared" ref="K353:Z353" si="100">+K345/K333</f>
        <v>111.28521360063949</v>
      </c>
      <c r="L353" s="82">
        <f t="shared" si="100"/>
        <v>111.28521360063949</v>
      </c>
      <c r="M353" s="82">
        <f t="shared" si="100"/>
        <v>111.28521360063949</v>
      </c>
      <c r="N353" s="82">
        <f t="shared" si="100"/>
        <v>111.28521360063951</v>
      </c>
      <c r="O353" s="82">
        <f t="shared" si="100"/>
        <v>111.28521360063951</v>
      </c>
      <c r="P353" s="82">
        <f t="shared" si="100"/>
        <v>111.28521360063951</v>
      </c>
      <c r="Q353" s="82">
        <f t="shared" si="100"/>
        <v>111.28521360063952</v>
      </c>
      <c r="R353" s="82">
        <f t="shared" si="100"/>
        <v>111.31726493476428</v>
      </c>
      <c r="S353" s="82">
        <f t="shared" si="100"/>
        <v>111.35177328689404</v>
      </c>
      <c r="T353" s="82">
        <f t="shared" si="100"/>
        <v>111.31485293766097</v>
      </c>
      <c r="U353" s="82">
        <f t="shared" si="100"/>
        <v>111.2810766630229</v>
      </c>
      <c r="V353" s="82">
        <f t="shared" si="100"/>
        <v>111.25040864976928</v>
      </c>
      <c r="W353" s="82">
        <f t="shared" si="100"/>
        <v>111.22281390088746</v>
      </c>
      <c r="X353" s="82">
        <f t="shared" si="100"/>
        <v>111.19825821470155</v>
      </c>
      <c r="Y353" s="82">
        <f t="shared" si="100"/>
        <v>111.17670816465991</v>
      </c>
      <c r="Z353" s="82">
        <f t="shared" si="100"/>
        <v>111.15813107974807</v>
      </c>
      <c r="AA353" s="76"/>
    </row>
    <row r="354" spans="7:29" x14ac:dyDescent="0.2">
      <c r="H354" s="76"/>
      <c r="I354" s="25"/>
      <c r="J354" s="76"/>
      <c r="L354" s="123"/>
      <c r="M354" s="76"/>
      <c r="N354" s="76"/>
      <c r="O354" s="76"/>
      <c r="P354" s="76"/>
      <c r="Q354" s="76"/>
      <c r="R354" s="76"/>
      <c r="S354" s="76"/>
      <c r="T354" s="76"/>
      <c r="U354" s="76"/>
      <c r="V354" s="76"/>
      <c r="W354" s="76"/>
      <c r="X354" s="76"/>
      <c r="Y354" s="76"/>
      <c r="Z354" s="76"/>
      <c r="AA354" s="76"/>
    </row>
    <row r="355" spans="7:29" x14ac:dyDescent="0.2">
      <c r="H355" s="76"/>
      <c r="I355" s="25" t="s">
        <v>153</v>
      </c>
      <c r="J355" s="76"/>
      <c r="L355" s="123"/>
      <c r="M355" s="72">
        <f>+M346*L349</f>
        <v>1198810.505995865</v>
      </c>
      <c r="N355" s="72">
        <f>AVERAGE(M346:N346)*M349</f>
        <v>1321736.8953360766</v>
      </c>
      <c r="O355" s="72">
        <f t="shared" ref="O355:Z355" si="101">AVERAGE(N346:O346)*N349</f>
        <v>1360491.5744027304</v>
      </c>
      <c r="P355" s="72">
        <f t="shared" si="101"/>
        <v>1399323.3029891304</v>
      </c>
      <c r="Q355" s="72">
        <f t="shared" si="101"/>
        <v>1803169.0601757944</v>
      </c>
      <c r="R355" s="72">
        <f t="shared" si="101"/>
        <v>1811796.1950000001</v>
      </c>
      <c r="S355" s="72">
        <f t="shared" si="101"/>
        <v>1820440.7525000002</v>
      </c>
      <c r="T355" s="72">
        <f t="shared" si="101"/>
        <v>1892146.57</v>
      </c>
      <c r="U355" s="72">
        <f t="shared" si="101"/>
        <v>1901428.7174999998</v>
      </c>
      <c r="V355" s="72">
        <f t="shared" si="101"/>
        <v>1910757.9824999999</v>
      </c>
      <c r="W355" s="72">
        <f t="shared" si="101"/>
        <v>1986092.8499999999</v>
      </c>
      <c r="X355" s="72">
        <f t="shared" si="101"/>
        <v>1995845.17</v>
      </c>
      <c r="Y355" s="72">
        <f t="shared" si="101"/>
        <v>2005646.6124999998</v>
      </c>
      <c r="Z355" s="72">
        <f t="shared" si="101"/>
        <v>2084792.9849999999</v>
      </c>
      <c r="AA355" s="76"/>
    </row>
    <row r="356" spans="7:29" x14ac:dyDescent="0.2">
      <c r="H356" s="76"/>
      <c r="I356" s="25"/>
      <c r="J356" s="76"/>
      <c r="L356" s="238"/>
      <c r="M356" s="72"/>
      <c r="N356" s="72"/>
      <c r="O356" s="72"/>
      <c r="P356" s="72"/>
      <c r="Q356" s="72"/>
      <c r="R356" s="72"/>
      <c r="S356" s="72"/>
      <c r="T356" s="72"/>
      <c r="U356" s="72"/>
      <c r="V356" s="72"/>
      <c r="W356" s="72"/>
      <c r="X356" s="72"/>
      <c r="Y356" s="72"/>
      <c r="Z356" s="72"/>
      <c r="AA356" s="76"/>
    </row>
    <row r="357" spans="7:29" x14ac:dyDescent="0.2">
      <c r="H357" s="76"/>
      <c r="I357" s="25"/>
      <c r="J357" s="76"/>
      <c r="L357" s="123"/>
      <c r="M357" s="72"/>
      <c r="N357" s="72"/>
      <c r="O357" s="72"/>
      <c r="P357" s="72"/>
      <c r="Q357" s="74" t="s">
        <v>155</v>
      </c>
      <c r="R357" s="72"/>
      <c r="S357" s="72"/>
      <c r="T357" s="72"/>
      <c r="U357" s="72"/>
      <c r="V357" s="72"/>
      <c r="W357" s="72"/>
      <c r="X357" s="72"/>
      <c r="Y357" s="72"/>
      <c r="Z357" s="72"/>
      <c r="AA357" s="76"/>
    </row>
    <row r="358" spans="7:29" x14ac:dyDescent="0.2">
      <c r="H358" s="76"/>
      <c r="I358" s="76"/>
      <c r="J358" s="76"/>
      <c r="K358" s="25"/>
      <c r="L358" s="123"/>
      <c r="M358" s="239">
        <f>+M285</f>
        <v>2018</v>
      </c>
      <c r="N358" s="239">
        <f>+N285</f>
        <v>2019</v>
      </c>
      <c r="O358" s="239">
        <f>+O285</f>
        <v>2020</v>
      </c>
      <c r="P358" s="239">
        <f>+P285</f>
        <v>2021</v>
      </c>
      <c r="Q358" s="239">
        <f>+Q285</f>
        <v>2022</v>
      </c>
      <c r="R358" s="239">
        <f>+R285</f>
        <v>2023</v>
      </c>
      <c r="S358" s="239">
        <f>+S285</f>
        <v>2024</v>
      </c>
      <c r="T358" s="239">
        <f>+T285</f>
        <v>2025</v>
      </c>
      <c r="U358" s="239">
        <f>+U285</f>
        <v>2026</v>
      </c>
      <c r="V358" s="239">
        <f>+V285</f>
        <v>2027</v>
      </c>
      <c r="W358" s="239">
        <f>+W285</f>
        <v>2028</v>
      </c>
      <c r="X358" s="239">
        <f>+X285</f>
        <v>2029</v>
      </c>
      <c r="Y358" s="239">
        <f>+Y285</f>
        <v>2030</v>
      </c>
      <c r="Z358" s="239">
        <f>+Z285</f>
        <v>2031</v>
      </c>
      <c r="AA358" s="76"/>
    </row>
    <row r="359" spans="7:29" ht="13.5" thickBot="1" x14ac:dyDescent="0.25">
      <c r="H359" s="76"/>
      <c r="I359" s="76"/>
      <c r="J359" s="76"/>
      <c r="K359" s="25"/>
      <c r="M359" s="2" t="s">
        <v>154</v>
      </c>
      <c r="N359" s="240"/>
      <c r="O359" s="240"/>
      <c r="P359" s="171">
        <v>0.28999999999999998</v>
      </c>
      <c r="Q359" s="171"/>
      <c r="R359" s="171"/>
      <c r="S359" s="171">
        <v>3.5000000000000003E-2</v>
      </c>
      <c r="T359" s="171"/>
      <c r="U359" s="171"/>
      <c r="V359" s="171">
        <v>3.5000000000000003E-2</v>
      </c>
      <c r="W359" s="171"/>
      <c r="X359" s="171"/>
      <c r="Y359" s="171">
        <v>3.5000000000000003E-2</v>
      </c>
      <c r="Z359" s="240"/>
    </row>
    <row r="360" spans="7:29" ht="13.5" thickBot="1" x14ac:dyDescent="0.25">
      <c r="H360" s="76"/>
      <c r="I360" s="76"/>
      <c r="J360" s="76"/>
      <c r="K360" s="76"/>
      <c r="L360" s="241">
        <f>+L349</f>
        <v>822.22942798070301</v>
      </c>
      <c r="M360" s="241">
        <f>+M349</f>
        <v>904.3700960219478</v>
      </c>
      <c r="N360" s="241">
        <f>+N349</f>
        <v>926.44982935153587</v>
      </c>
      <c r="O360" s="242">
        <f>N360*(1+O359)</f>
        <v>926.44982935153587</v>
      </c>
      <c r="P360" s="243">
        <f t="shared" ref="P360:Z360" si="102">O360*(1+P359)</f>
        <v>1195.1202798634813</v>
      </c>
      <c r="Q360" s="243">
        <f t="shared" si="102"/>
        <v>1195.1202798634813</v>
      </c>
      <c r="R360" s="243">
        <f t="shared" si="102"/>
        <v>1195.1202798634813</v>
      </c>
      <c r="S360" s="243">
        <f t="shared" si="102"/>
        <v>1236.949489658703</v>
      </c>
      <c r="T360" s="243">
        <f t="shared" si="102"/>
        <v>1236.949489658703</v>
      </c>
      <c r="U360" s="243">
        <f t="shared" si="102"/>
        <v>1236.949489658703</v>
      </c>
      <c r="V360" s="243">
        <f t="shared" si="102"/>
        <v>1280.2427217967575</v>
      </c>
      <c r="W360" s="243">
        <f t="shared" si="102"/>
        <v>1280.2427217967575</v>
      </c>
      <c r="X360" s="244">
        <f t="shared" si="102"/>
        <v>1280.2427217967575</v>
      </c>
      <c r="Y360" s="245">
        <f t="shared" si="102"/>
        <v>1325.0512170596439</v>
      </c>
      <c r="Z360" s="245">
        <f t="shared" si="102"/>
        <v>1325.0512170596439</v>
      </c>
      <c r="AA360" s="83">
        <f>1.04^10</f>
        <v>1.4802442849183446</v>
      </c>
      <c r="AB360" s="241">
        <f>+AA360*M360</f>
        <v>1338.6886660875427</v>
      </c>
      <c r="AC360" s="246">
        <f>+AB360-X360</f>
        <v>58.445944290785292</v>
      </c>
    </row>
    <row r="361" spans="7:29" x14ac:dyDescent="0.2">
      <c r="H361" s="76"/>
      <c r="I361" s="76"/>
      <c r="J361" s="76"/>
      <c r="K361" s="76"/>
      <c r="L361" s="123"/>
      <c r="M361" s="76"/>
      <c r="N361" s="76"/>
      <c r="O361" s="247">
        <f>+O360-N360</f>
        <v>0</v>
      </c>
      <c r="P361" s="247">
        <f>+P360-O360</f>
        <v>268.67045051194543</v>
      </c>
      <c r="Q361" s="247">
        <f>+Q360-P360</f>
        <v>0</v>
      </c>
      <c r="R361" s="247">
        <f t="shared" ref="R361:Z361" si="103">+R360-Q360</f>
        <v>0</v>
      </c>
      <c r="S361" s="247">
        <f t="shared" si="103"/>
        <v>41.829209795221686</v>
      </c>
      <c r="T361" s="247">
        <f t="shared" si="103"/>
        <v>0</v>
      </c>
      <c r="U361" s="247">
        <f t="shared" si="103"/>
        <v>0</v>
      </c>
      <c r="V361" s="247">
        <f t="shared" si="103"/>
        <v>43.293232138054464</v>
      </c>
      <c r="W361" s="247">
        <f t="shared" si="103"/>
        <v>0</v>
      </c>
      <c r="X361" s="247">
        <f t="shared" si="103"/>
        <v>0</v>
      </c>
      <c r="Y361" s="247">
        <f t="shared" si="103"/>
        <v>44.808495262886481</v>
      </c>
      <c r="Z361" s="247">
        <f t="shared" si="103"/>
        <v>0</v>
      </c>
      <c r="AA361" s="76"/>
    </row>
    <row r="362" spans="7:29" x14ac:dyDescent="0.2">
      <c r="H362" s="76"/>
      <c r="I362" s="76"/>
      <c r="J362" s="76"/>
      <c r="K362" s="76"/>
      <c r="L362" s="123"/>
      <c r="M362" s="76"/>
      <c r="N362" s="76"/>
      <c r="O362" s="76"/>
      <c r="P362" s="76"/>
      <c r="Q362" s="76"/>
      <c r="R362" s="76"/>
      <c r="S362" s="76"/>
      <c r="T362" s="76"/>
      <c r="U362" s="76"/>
      <c r="V362" s="76"/>
      <c r="W362" s="76"/>
      <c r="X362" s="76"/>
      <c r="Y362" s="76"/>
      <c r="Z362" s="76"/>
      <c r="AA362" s="76"/>
    </row>
    <row r="363" spans="7:29" ht="15" x14ac:dyDescent="0.25">
      <c r="G363" s="84"/>
      <c r="H363" s="85"/>
      <c r="J363" s="85"/>
      <c r="K363" s="85"/>
      <c r="L363" s="248"/>
      <c r="M363" s="248">
        <f>(((+M346-L346)/2)*L349)</f>
        <v>2877.8029979324606</v>
      </c>
      <c r="N363" s="248">
        <f>(((+N346-M346)/2)*M349)</f>
        <v>3165.2953360768174</v>
      </c>
      <c r="O363" s="248">
        <f>(((+O346-N346)/2)*N349)</f>
        <v>3242.5744027303754</v>
      </c>
      <c r="P363" s="248">
        <f>(((+P346-O346)/2)*P360)+(O346*P360)</f>
        <v>1763399.9729385667</v>
      </c>
      <c r="Q363" s="248">
        <f>(((+Q346-P346)/2)*P349)</f>
        <v>4257.0601757944551</v>
      </c>
      <c r="R363" s="248">
        <f>(((+R346-Q346)/2)*Q349)</f>
        <v>4518.1949999999006</v>
      </c>
      <c r="S363" s="248">
        <f>(((+S346-R346)/2)*R349)</f>
        <v>4539.7524999999687</v>
      </c>
      <c r="T363" s="248">
        <f>(((+T346-S346)/2)*S349)</f>
        <v>4718.5699999998315</v>
      </c>
      <c r="U363" s="248">
        <f>(((+U346-T346)/2)*T349)</f>
        <v>4741.7174999999625</v>
      </c>
      <c r="V363" s="248">
        <f>(((+V346-U346)/2)*U349)</f>
        <v>4764.9824999999137</v>
      </c>
      <c r="W363" s="248">
        <f>(((+W346-V346)/2)*V349)</f>
        <v>4952.8499999998703</v>
      </c>
      <c r="X363" s="248">
        <f>(((+X346-W346)/2)*W349)</f>
        <v>4977.1699999998627</v>
      </c>
      <c r="Y363" s="248">
        <f>(((+Y346-X346)/2)*X349)</f>
        <v>5001.6124999998647</v>
      </c>
      <c r="Z363" s="248">
        <f>(((+Z346-Y346)/2)*Y349)</f>
        <v>5198.9849999998523</v>
      </c>
      <c r="AA363" s="76"/>
    </row>
    <row r="364" spans="7:29" ht="15" x14ac:dyDescent="0.25">
      <c r="G364" s="84"/>
      <c r="H364" s="85"/>
      <c r="J364" s="85"/>
      <c r="K364" s="85"/>
      <c r="L364" s="248"/>
      <c r="M364" s="248"/>
      <c r="N364" s="248"/>
      <c r="O364" s="248"/>
      <c r="P364" s="248"/>
      <c r="Q364" s="248"/>
      <c r="R364" s="248"/>
      <c r="S364" s="248"/>
      <c r="T364" s="248"/>
      <c r="U364" s="248"/>
      <c r="V364" s="248"/>
      <c r="W364" s="248"/>
      <c r="X364" s="248"/>
      <c r="Y364" s="248"/>
      <c r="Z364" s="248"/>
      <c r="AA364" s="76"/>
    </row>
    <row r="365" spans="7:29" ht="15" x14ac:dyDescent="0.25">
      <c r="G365" s="84"/>
      <c r="H365" s="85"/>
      <c r="J365" s="85"/>
      <c r="K365" s="85"/>
      <c r="L365" s="248"/>
      <c r="M365" s="248">
        <f>+ROUND((L360*(L346+((M346-L346)/2))),0)</f>
        <v>1195933</v>
      </c>
      <c r="N365" s="248">
        <f>+ROUND((M360*(M346+((N346-M346)/2))),0)</f>
        <v>1321737</v>
      </c>
      <c r="O365" s="248">
        <f>+ROUND((N360*(N346+((O346-N346)/2))),0)</f>
        <v>1360492</v>
      </c>
      <c r="P365" s="248">
        <f>+ROUND((O360*(O346+((P346-O346)/2))),0)</f>
        <v>1366977</v>
      </c>
      <c r="Q365" s="248">
        <f>+ROUND((P360*(P346+((Q346-P346)/2))),0)</f>
        <v>1771766</v>
      </c>
      <c r="R365" s="248">
        <f>+ROUND((Q360*(Q346+((R346-Q346)/2))),0)</f>
        <v>1780389</v>
      </c>
      <c r="S365" s="248">
        <f>+ROUND((R360*(R346+((S346-R346)/2))),0)</f>
        <v>1789291</v>
      </c>
      <c r="T365" s="248">
        <f>+ROUND((S360*(S346+((T346-S346)/2))),0)</f>
        <v>1861175</v>
      </c>
      <c r="U365" s="248">
        <f>+ROUND((T360*(T346+((U346-T346)/2))),0)</f>
        <v>1870481</v>
      </c>
      <c r="V365" s="248">
        <f>+ROUND((U360*(U346+((V346-U346)/2))),0)</f>
        <v>1879834</v>
      </c>
      <c r="W365" s="248">
        <f>+ROUND((V360*(V346+((W346-V346)/2))),0)</f>
        <v>1955356</v>
      </c>
      <c r="X365" s="248">
        <f>+ROUND((W360*(W346+((X346-W346)/2))),0)</f>
        <v>1965133</v>
      </c>
      <c r="Y365" s="248">
        <f>+ROUND((X360*(X346+((Y346-X346)/2))),0)</f>
        <v>1974958</v>
      </c>
      <c r="Z365" s="248">
        <f>+ROUND((Y360*(Y346+((Z346-Y346)/2))),0)</f>
        <v>2054302</v>
      </c>
      <c r="AA365" s="76"/>
    </row>
    <row r="366" spans="7:29" ht="15" x14ac:dyDescent="0.25">
      <c r="G366" s="84"/>
      <c r="H366" s="85"/>
      <c r="J366" s="85"/>
      <c r="K366" s="85"/>
      <c r="L366" s="248"/>
      <c r="M366" s="248">
        <f>+ROUND((+M361*(L346+((M346-L346)/2))),0)</f>
        <v>0</v>
      </c>
      <c r="N366" s="248">
        <f>+ROUND((+N361*(M346+((N346-M346)/2))),0)</f>
        <v>0</v>
      </c>
      <c r="O366" s="248">
        <f>+ROUND((+O361*(N346+((O346-N346)/2))),0)</f>
        <v>0</v>
      </c>
      <c r="P366" s="248">
        <f>+ROUND((+P361*(O346+((P346-O346)/2))),0)</f>
        <v>396423</v>
      </c>
      <c r="Q366" s="248">
        <f>+ROUND((+Q361*(P346+((Q346-P346)/2))),0)</f>
        <v>0</v>
      </c>
      <c r="R366" s="248">
        <f>+ROUND((+R361*(Q346+((R346-Q346)/2))),0)</f>
        <v>0</v>
      </c>
      <c r="S366" s="248">
        <f>+ROUND((+S361*(R346+((S346-R346)/2))),0)</f>
        <v>62625</v>
      </c>
      <c r="T366" s="248">
        <f>+ROUND((+T361*(S346+((T346-S346)/2))),0)</f>
        <v>0</v>
      </c>
      <c r="U366" s="248">
        <f>+ROUND((+U361*(T346+((U346-T346)/2))),0)</f>
        <v>0</v>
      </c>
      <c r="V366" s="248">
        <f>+ROUND((+V361*(U346+((V346-U346)/2))),0)</f>
        <v>65794</v>
      </c>
      <c r="W366" s="248">
        <f>+ROUND((+W361*(V346+((W346-V346)/2))),0)</f>
        <v>0</v>
      </c>
      <c r="X366" s="248">
        <f>+ROUND((+X361*(W346+((X346-W346)/2))),0)</f>
        <v>0</v>
      </c>
      <c r="Y366" s="248">
        <f>+ROUND((+Y361*(X346+((Y346-X346)/2))),0)</f>
        <v>69124</v>
      </c>
      <c r="Z366" s="248">
        <f>+ROUND((+Z361*(Y346+((Z346-Y346)/2))),0)</f>
        <v>0</v>
      </c>
      <c r="AA366" s="76"/>
    </row>
    <row r="367" spans="7:29" ht="15" x14ac:dyDescent="0.25">
      <c r="G367" s="84"/>
      <c r="H367" s="85"/>
      <c r="J367" s="85"/>
      <c r="K367" s="85"/>
      <c r="L367" s="85"/>
      <c r="M367" s="85"/>
      <c r="R367" s="76"/>
      <c r="S367" s="76"/>
      <c r="T367" s="76"/>
      <c r="U367" s="76"/>
      <c r="V367" s="76"/>
      <c r="W367" s="76"/>
      <c r="X367" s="76"/>
      <c r="Y367" s="76"/>
      <c r="Z367" s="76"/>
      <c r="AA367" s="76"/>
    </row>
    <row r="368" spans="7:29" ht="15.75" thickBot="1" x14ac:dyDescent="0.3">
      <c r="G368" s="85"/>
      <c r="H368" s="85"/>
      <c r="I368" s="85"/>
      <c r="J368" s="85"/>
      <c r="K368" s="85"/>
      <c r="L368" s="248"/>
      <c r="M368" s="248"/>
      <c r="R368" s="76"/>
      <c r="S368" s="76"/>
      <c r="T368" s="76"/>
      <c r="U368" s="76"/>
      <c r="V368" s="76"/>
      <c r="W368" s="76"/>
      <c r="X368" s="76"/>
      <c r="Y368" s="76"/>
      <c r="Z368" s="76"/>
      <c r="AA368" s="76"/>
    </row>
    <row r="369" spans="8:27" ht="15" x14ac:dyDescent="0.25">
      <c r="H369" s="249"/>
      <c r="I369" s="250"/>
      <c r="J369" s="251"/>
      <c r="K369" s="251"/>
      <c r="L369" s="251"/>
      <c r="M369" s="250"/>
      <c r="N369" s="250"/>
      <c r="O369" s="250"/>
      <c r="P369" s="250"/>
      <c r="Q369" s="250"/>
      <c r="R369" s="252"/>
      <c r="S369" s="252"/>
      <c r="T369" s="252"/>
      <c r="U369" s="252"/>
      <c r="V369" s="252"/>
      <c r="W369" s="252"/>
      <c r="X369" s="252"/>
      <c r="Y369" s="252"/>
      <c r="Z369" s="253"/>
      <c r="AA369" s="76"/>
    </row>
    <row r="370" spans="8:27" ht="15" x14ac:dyDescent="0.25">
      <c r="H370" s="86" t="s">
        <v>156</v>
      </c>
      <c r="I370" s="4"/>
      <c r="J370" s="4"/>
      <c r="K370" s="254"/>
      <c r="L370" s="254"/>
      <c r="M370" s="4"/>
      <c r="N370" s="4"/>
      <c r="O370" s="4"/>
      <c r="P370" s="4"/>
      <c r="Q370" s="4"/>
      <c r="R370" s="255"/>
      <c r="S370" s="255"/>
      <c r="T370" s="255"/>
      <c r="U370" s="255"/>
      <c r="V370" s="255"/>
      <c r="W370" s="255"/>
      <c r="X370" s="255"/>
      <c r="Y370" s="255"/>
      <c r="Z370" s="256"/>
      <c r="AA370" s="76"/>
    </row>
    <row r="371" spans="8:27" ht="15" x14ac:dyDescent="0.25">
      <c r="H371" s="86" t="s">
        <v>157</v>
      </c>
      <c r="I371" s="87" t="s">
        <v>135</v>
      </c>
      <c r="J371" s="257">
        <v>1.4319999999999999E-3</v>
      </c>
      <c r="K371" s="255"/>
      <c r="L371" s="258"/>
      <c r="M371" s="259">
        <f>ROUND(+$J371*L289,0)</f>
        <v>4632</v>
      </c>
      <c r="N371" s="259">
        <f>ROUND(+$J371*M289,0)</f>
        <v>4515</v>
      </c>
      <c r="O371" s="259">
        <f>ROUND(+$J371*N289,0)</f>
        <v>4509</v>
      </c>
      <c r="P371" s="259">
        <f>ROUND(+$J371*O289,0)</f>
        <v>4501</v>
      </c>
      <c r="Q371" s="259">
        <f>ROUND(+$J371*P289,0)</f>
        <v>4494</v>
      </c>
      <c r="R371" s="259">
        <f>ROUND(+$J371*Q289,0)</f>
        <v>4486</v>
      </c>
      <c r="S371" s="259">
        <f>ROUND(+$J371*R289,0)</f>
        <v>4478</v>
      </c>
      <c r="T371" s="259">
        <f>ROUND(+$J371*S289,0)</f>
        <v>4470</v>
      </c>
      <c r="U371" s="259">
        <f>ROUND(+$J371*T289,0)</f>
        <v>4462</v>
      </c>
      <c r="V371" s="259">
        <f>ROUND(+$J371*U289,0)</f>
        <v>4456</v>
      </c>
      <c r="W371" s="259">
        <f>ROUND(+$J371*V289,0)</f>
        <v>4450</v>
      </c>
      <c r="X371" s="259">
        <f>ROUND(+$J371*W289,0)</f>
        <v>4444</v>
      </c>
      <c r="Y371" s="259">
        <f>ROUND(+$J371*X289,0)</f>
        <v>4437</v>
      </c>
      <c r="Z371" s="260">
        <f>ROUND(+$J371*Y289,0)</f>
        <v>4431</v>
      </c>
      <c r="AA371" s="76"/>
    </row>
    <row r="372" spans="8:27" ht="15" x14ac:dyDescent="0.25">
      <c r="H372" s="86" t="s">
        <v>158</v>
      </c>
      <c r="I372" s="87" t="s">
        <v>159</v>
      </c>
      <c r="J372" s="257">
        <v>5.6899999999999997E-3</v>
      </c>
      <c r="K372" s="255"/>
      <c r="L372" s="258"/>
      <c r="M372" s="259">
        <f>ROUND(+$J372*L24,0)</f>
        <v>6788</v>
      </c>
      <c r="N372" s="259">
        <f>ROUND(+$J372*M24,0)</f>
        <v>7503</v>
      </c>
      <c r="O372" s="259">
        <f>ROUND(+$J372*N24,0)</f>
        <v>7723</v>
      </c>
      <c r="P372" s="259">
        <f>ROUND(+$J372*O24,0)</f>
        <v>7943</v>
      </c>
      <c r="Q372" s="259">
        <f>ROUND(+$J372*P24,0)</f>
        <v>10236</v>
      </c>
      <c r="R372" s="259">
        <f>ROUND(+$J372*Q24,0)</f>
        <v>10283</v>
      </c>
      <c r="S372" s="259">
        <f>ROUND(+$J372*R24,0)</f>
        <v>10332</v>
      </c>
      <c r="T372" s="259">
        <f>ROUND(+$J372*S24,0)</f>
        <v>10739</v>
      </c>
      <c r="U372" s="259">
        <f>ROUND(+$J372*T24,0)</f>
        <v>10792</v>
      </c>
      <c r="V372" s="259">
        <f>ROUND(+$J372*U24,0)</f>
        <v>10845</v>
      </c>
      <c r="W372" s="259">
        <f>ROUND(+$J372*V24,0)</f>
        <v>11273</v>
      </c>
      <c r="X372" s="259">
        <f>ROUND(+$J372*W24,0)</f>
        <v>11328</v>
      </c>
      <c r="Y372" s="259">
        <f>ROUND(+$J372*X24,0)</f>
        <v>11384</v>
      </c>
      <c r="Z372" s="260">
        <f>ROUND(+$J372*Y24,0)</f>
        <v>11833</v>
      </c>
      <c r="AA372" s="76"/>
    </row>
    <row r="373" spans="8:27" ht="15.75" thickBot="1" x14ac:dyDescent="0.3">
      <c r="H373" s="261"/>
      <c r="I373" s="255"/>
      <c r="J373" s="255"/>
      <c r="K373" s="255"/>
      <c r="L373" s="258"/>
      <c r="M373" s="262">
        <f>SUM(M371:M372)</f>
        <v>11420</v>
      </c>
      <c r="N373" s="262">
        <f t="shared" ref="N373:Z373" si="104">SUM(N371:N372)</f>
        <v>12018</v>
      </c>
      <c r="O373" s="262">
        <f t="shared" si="104"/>
        <v>12232</v>
      </c>
      <c r="P373" s="262">
        <f t="shared" si="104"/>
        <v>12444</v>
      </c>
      <c r="Q373" s="262">
        <f t="shared" si="104"/>
        <v>14730</v>
      </c>
      <c r="R373" s="262">
        <f t="shared" si="104"/>
        <v>14769</v>
      </c>
      <c r="S373" s="262">
        <f t="shared" si="104"/>
        <v>14810</v>
      </c>
      <c r="T373" s="262">
        <f t="shared" si="104"/>
        <v>15209</v>
      </c>
      <c r="U373" s="262">
        <f t="shared" si="104"/>
        <v>15254</v>
      </c>
      <c r="V373" s="262">
        <f t="shared" si="104"/>
        <v>15301</v>
      </c>
      <c r="W373" s="262">
        <f t="shared" si="104"/>
        <v>15723</v>
      </c>
      <c r="X373" s="262">
        <f t="shared" si="104"/>
        <v>15772</v>
      </c>
      <c r="Y373" s="262">
        <f t="shared" si="104"/>
        <v>15821</v>
      </c>
      <c r="Z373" s="263">
        <f t="shared" si="104"/>
        <v>16264</v>
      </c>
      <c r="AA373" s="76"/>
    </row>
    <row r="374" spans="8:27" ht="13.5" thickTop="1" x14ac:dyDescent="0.2">
      <c r="H374" s="261"/>
      <c r="I374" s="255"/>
      <c r="J374" s="255"/>
      <c r="K374" s="255"/>
      <c r="L374" s="258"/>
      <c r="M374" s="255"/>
      <c r="N374" s="255"/>
      <c r="O374" s="255"/>
      <c r="P374" s="255"/>
      <c r="Q374" s="255"/>
      <c r="R374" s="255"/>
      <c r="S374" s="255"/>
      <c r="T374" s="255"/>
      <c r="U374" s="255"/>
      <c r="V374" s="255"/>
      <c r="W374" s="255"/>
      <c r="X374" s="255"/>
      <c r="Y374" s="255"/>
      <c r="Z374" s="256"/>
      <c r="AA374" s="76"/>
    </row>
    <row r="375" spans="8:27" ht="13.5" thickBot="1" x14ac:dyDescent="0.25">
      <c r="H375" s="264"/>
      <c r="I375" s="265"/>
      <c r="J375" s="265"/>
      <c r="K375" s="265"/>
      <c r="L375" s="266"/>
      <c r="M375" s="265"/>
      <c r="N375" s="265"/>
      <c r="O375" s="265"/>
      <c r="P375" s="265"/>
      <c r="Q375" s="265"/>
      <c r="R375" s="265"/>
      <c r="S375" s="265"/>
      <c r="T375" s="265"/>
      <c r="U375" s="265"/>
      <c r="V375" s="265"/>
      <c r="W375" s="265"/>
      <c r="X375" s="265"/>
      <c r="Y375" s="265"/>
      <c r="Z375" s="267"/>
      <c r="AA375" s="76"/>
    </row>
    <row r="376" spans="8:27" ht="15" x14ac:dyDescent="0.25">
      <c r="H376" s="76"/>
      <c r="I376" s="76"/>
      <c r="J376" s="85"/>
      <c r="K376" s="76"/>
      <c r="L376" s="123"/>
      <c r="M376" s="76"/>
      <c r="N376" s="76"/>
      <c r="O376" s="76"/>
      <c r="P376" s="76"/>
      <c r="Q376" s="76"/>
      <c r="R376" s="76"/>
      <c r="S376" s="76"/>
      <c r="T376" s="76"/>
      <c r="U376" s="76"/>
      <c r="V376" s="76"/>
      <c r="W376" s="76"/>
      <c r="X376" s="76"/>
      <c r="Y376" s="76"/>
      <c r="Z376" s="76"/>
      <c r="AA376" s="76"/>
    </row>
    <row r="377" spans="8:27" ht="15" x14ac:dyDescent="0.25">
      <c r="H377" s="76"/>
      <c r="I377" s="76"/>
      <c r="J377" s="85"/>
      <c r="K377" s="76"/>
      <c r="L377" s="123"/>
      <c r="M377" s="76"/>
      <c r="N377" s="76"/>
      <c r="O377" s="76"/>
      <c r="P377" s="76"/>
      <c r="Q377" s="76"/>
      <c r="R377" s="76"/>
      <c r="S377" s="76"/>
      <c r="T377" s="76"/>
      <c r="U377" s="76"/>
      <c r="V377" s="76"/>
      <c r="W377" s="76"/>
      <c r="X377" s="76"/>
      <c r="Y377" s="76"/>
      <c r="Z377" s="76"/>
      <c r="AA377" s="76"/>
    </row>
    <row r="378" spans="8:27" ht="15" x14ac:dyDescent="0.25">
      <c r="H378" s="76"/>
      <c r="I378" s="76"/>
      <c r="J378" s="85"/>
      <c r="K378" s="76"/>
      <c r="L378" s="123"/>
      <c r="M378" s="76"/>
      <c r="N378" s="76"/>
      <c r="O378" s="76"/>
      <c r="P378" s="76"/>
      <c r="Q378" s="76"/>
      <c r="R378" s="76"/>
      <c r="S378" s="76"/>
      <c r="T378" s="76"/>
      <c r="U378" s="76"/>
      <c r="V378" s="76"/>
      <c r="W378" s="76"/>
      <c r="X378" s="76"/>
      <c r="Y378" s="76"/>
      <c r="Z378" s="76"/>
      <c r="AA378" s="76"/>
    </row>
    <row r="379" spans="8:27" ht="15" x14ac:dyDescent="0.25">
      <c r="H379" s="76"/>
      <c r="I379" s="76"/>
      <c r="J379" s="85"/>
      <c r="K379" s="76"/>
      <c r="L379" s="123"/>
      <c r="M379" s="76"/>
      <c r="N379" s="76"/>
      <c r="O379" s="76"/>
      <c r="P379" s="76"/>
      <c r="Q379" s="76"/>
      <c r="R379" s="76"/>
      <c r="S379" s="76"/>
      <c r="T379" s="76"/>
      <c r="U379" s="76"/>
      <c r="V379" s="76"/>
      <c r="W379" s="76"/>
      <c r="X379" s="76"/>
      <c r="Y379" s="76"/>
      <c r="Z379" s="76"/>
      <c r="AA379" s="76"/>
    </row>
    <row r="380" spans="8:27" x14ac:dyDescent="0.2">
      <c r="H380" s="76"/>
      <c r="I380" s="76"/>
      <c r="J380" s="87"/>
      <c r="K380" s="76"/>
      <c r="L380" s="123"/>
      <c r="M380" s="76"/>
      <c r="N380" s="76"/>
      <c r="O380" s="76"/>
      <c r="P380" s="76"/>
      <c r="Q380" s="76"/>
      <c r="R380" s="76"/>
      <c r="S380" s="76"/>
      <c r="T380" s="76"/>
      <c r="U380" s="76"/>
      <c r="V380" s="76"/>
      <c r="W380" s="76"/>
      <c r="X380" s="76"/>
      <c r="Y380" s="76"/>
      <c r="Z380" s="76"/>
      <c r="AA380" s="76"/>
    </row>
    <row r="381" spans="8:27" x14ac:dyDescent="0.2">
      <c r="H381" s="76"/>
      <c r="I381" s="76"/>
      <c r="J381" s="76"/>
      <c r="K381" s="76"/>
      <c r="L381" s="123"/>
      <c r="M381" s="76"/>
      <c r="N381" s="76"/>
      <c r="O381" s="76"/>
      <c r="P381" s="76"/>
      <c r="Q381" s="76"/>
      <c r="R381" s="76"/>
      <c r="S381" s="76"/>
      <c r="T381" s="76"/>
      <c r="U381" s="76"/>
      <c r="V381" s="76"/>
      <c r="W381" s="76"/>
      <c r="X381" s="76"/>
      <c r="Y381" s="76"/>
      <c r="Z381" s="76"/>
      <c r="AA381" s="76"/>
    </row>
    <row r="382" spans="8:27" x14ac:dyDescent="0.2">
      <c r="H382" s="76"/>
      <c r="I382" s="76"/>
      <c r="J382" s="76"/>
      <c r="K382" s="76"/>
      <c r="L382" s="123"/>
      <c r="M382" s="76"/>
      <c r="N382" s="76"/>
      <c r="O382" s="76"/>
      <c r="P382" s="76"/>
      <c r="Q382" s="76"/>
      <c r="R382" s="76"/>
      <c r="S382" s="76"/>
      <c r="T382" s="76"/>
      <c r="U382" s="76"/>
      <c r="V382" s="76"/>
      <c r="W382" s="76"/>
      <c r="X382" s="76"/>
      <c r="Y382" s="76"/>
      <c r="Z382" s="76"/>
      <c r="AA382" s="76"/>
    </row>
    <row r="383" spans="8:27" x14ac:dyDescent="0.2">
      <c r="H383" s="76"/>
      <c r="I383" s="76"/>
      <c r="J383" s="76"/>
      <c r="K383" s="2" t="s">
        <v>184</v>
      </c>
      <c r="O383" s="76"/>
      <c r="P383" s="76"/>
      <c r="Q383" s="76"/>
      <c r="R383" s="76"/>
      <c r="S383" s="76"/>
      <c r="T383" s="76"/>
      <c r="U383" s="76"/>
      <c r="V383" s="76"/>
      <c r="W383" s="76"/>
      <c r="X383" s="76"/>
      <c r="Y383" s="76"/>
      <c r="Z383" s="76"/>
      <c r="AA383" s="76"/>
    </row>
    <row r="384" spans="8:27" ht="15" x14ac:dyDescent="0.25">
      <c r="H384" s="76"/>
      <c r="I384" s="76"/>
      <c r="J384" s="76"/>
      <c r="K384" s="69" t="s">
        <v>160</v>
      </c>
      <c r="L384" s="224">
        <f>+L293</f>
        <v>2723127</v>
      </c>
      <c r="M384" s="76"/>
      <c r="O384" s="76"/>
      <c r="P384" s="76"/>
      <c r="Q384" s="76"/>
      <c r="R384" s="76"/>
      <c r="S384" s="76"/>
      <c r="T384" s="76"/>
      <c r="U384" s="76"/>
      <c r="V384" s="76"/>
      <c r="W384" s="76"/>
      <c r="X384" s="76"/>
      <c r="Y384" s="76"/>
      <c r="Z384" s="76"/>
      <c r="AA384" s="76"/>
    </row>
    <row r="385" spans="8:27" ht="15" x14ac:dyDescent="0.25">
      <c r="H385" s="76"/>
      <c r="I385" s="76"/>
      <c r="J385" s="76"/>
      <c r="K385" s="69" t="s">
        <v>161</v>
      </c>
      <c r="L385" s="5">
        <f>+L287</f>
        <v>4931649</v>
      </c>
      <c r="M385" s="76"/>
      <c r="N385" s="5"/>
      <c r="O385" s="76"/>
      <c r="P385" s="76"/>
      <c r="Q385" s="76"/>
      <c r="R385" s="76"/>
      <c r="S385" s="76"/>
      <c r="T385" s="76"/>
      <c r="U385" s="76"/>
      <c r="V385" s="76"/>
      <c r="W385" s="76"/>
      <c r="X385" s="76"/>
      <c r="Y385" s="76"/>
      <c r="Z385" s="76"/>
      <c r="AA385" s="76"/>
    </row>
    <row r="386" spans="8:27" ht="15" x14ac:dyDescent="0.25">
      <c r="H386" s="76"/>
      <c r="I386" s="76"/>
      <c r="J386" s="76"/>
      <c r="K386" s="69" t="s">
        <v>162</v>
      </c>
      <c r="L386" s="5">
        <f>+L289</f>
        <v>3234859</v>
      </c>
      <c r="M386" s="76"/>
      <c r="N386" s="5"/>
      <c r="O386" s="76"/>
      <c r="P386" s="76"/>
      <c r="Q386" s="76"/>
      <c r="R386" s="76"/>
      <c r="S386" s="76"/>
      <c r="T386" s="76"/>
      <c r="U386" s="76"/>
      <c r="V386" s="76"/>
      <c r="W386" s="76"/>
      <c r="X386" s="76"/>
      <c r="Y386" s="76"/>
      <c r="Z386" s="76"/>
      <c r="AA386" s="76"/>
    </row>
    <row r="387" spans="8:27" ht="15" x14ac:dyDescent="0.25">
      <c r="H387" s="76"/>
      <c r="I387" s="76"/>
      <c r="J387" s="76"/>
      <c r="K387" s="69" t="s">
        <v>46</v>
      </c>
      <c r="L387" s="5">
        <f>+L40</f>
        <v>1193054.9000000001</v>
      </c>
      <c r="M387" s="76"/>
      <c r="O387" s="76"/>
      <c r="P387" s="76"/>
      <c r="Q387" s="76"/>
      <c r="R387" s="76"/>
      <c r="S387" s="76"/>
      <c r="T387" s="76"/>
      <c r="U387" s="76"/>
      <c r="V387" s="76"/>
      <c r="W387" s="76"/>
      <c r="X387" s="76"/>
      <c r="Y387" s="76"/>
      <c r="Z387" s="76"/>
      <c r="AA387" s="76"/>
    </row>
    <row r="388" spans="8:27" ht="15" x14ac:dyDescent="0.25">
      <c r="H388" s="76"/>
      <c r="I388" s="76"/>
      <c r="J388" s="76"/>
      <c r="K388" s="69" t="s">
        <v>7</v>
      </c>
      <c r="L388" s="5">
        <f>+L41</f>
        <v>-173563.5399999998</v>
      </c>
      <c r="M388" s="76"/>
      <c r="O388" s="76"/>
      <c r="P388" s="76"/>
      <c r="Q388" s="76"/>
      <c r="R388" s="76"/>
      <c r="S388" s="76"/>
      <c r="T388" s="76"/>
      <c r="U388" s="76"/>
      <c r="V388" s="76"/>
      <c r="W388" s="76"/>
      <c r="X388" s="76"/>
      <c r="Y388" s="76"/>
      <c r="Z388" s="76"/>
      <c r="AA388" s="76"/>
    </row>
    <row r="389" spans="8:27" ht="15" x14ac:dyDescent="0.25">
      <c r="H389" s="76"/>
      <c r="I389" s="76"/>
      <c r="J389" s="76"/>
      <c r="K389" s="69" t="s">
        <v>4</v>
      </c>
      <c r="L389" s="5">
        <f>+L42</f>
        <v>-244336.5399999998</v>
      </c>
      <c r="M389" s="76"/>
      <c r="O389" s="76"/>
      <c r="P389" s="76"/>
      <c r="Q389" s="76"/>
      <c r="R389" s="76"/>
      <c r="S389" s="76"/>
      <c r="T389" s="76"/>
      <c r="U389" s="76"/>
      <c r="V389" s="76"/>
      <c r="W389" s="76"/>
      <c r="X389" s="76"/>
      <c r="Y389" s="76"/>
      <c r="Z389" s="76"/>
      <c r="AA389" s="76"/>
    </row>
    <row r="390" spans="8:27" ht="15" x14ac:dyDescent="0.25">
      <c r="H390" s="76"/>
      <c r="I390" s="76"/>
      <c r="J390" s="76"/>
      <c r="K390" s="69" t="s">
        <v>147</v>
      </c>
      <c r="L390" s="224">
        <f>+L346</f>
        <v>1451</v>
      </c>
      <c r="M390" s="76"/>
      <c r="O390" s="76"/>
      <c r="P390" s="76"/>
      <c r="Q390" s="76"/>
      <c r="R390" s="76"/>
      <c r="S390" s="76"/>
      <c r="T390" s="76"/>
      <c r="U390" s="76"/>
      <c r="V390" s="76"/>
      <c r="W390" s="76"/>
      <c r="X390" s="76"/>
      <c r="Y390" s="76"/>
      <c r="Z390" s="76"/>
      <c r="AA390" s="76"/>
    </row>
    <row r="391" spans="8:27" ht="15" x14ac:dyDescent="0.25">
      <c r="H391" s="76"/>
      <c r="I391" s="76"/>
      <c r="J391" s="76"/>
      <c r="K391" s="69" t="s">
        <v>163</v>
      </c>
      <c r="L391" s="224">
        <v>4218</v>
      </c>
      <c r="M391" s="76"/>
      <c r="O391" s="76"/>
      <c r="P391" s="76"/>
      <c r="Q391" s="76"/>
      <c r="R391" s="76"/>
      <c r="S391" s="76"/>
      <c r="T391" s="76"/>
      <c r="U391" s="76"/>
      <c r="V391" s="76"/>
      <c r="W391" s="76"/>
      <c r="X391" s="76"/>
      <c r="Y391" s="76"/>
      <c r="Z391" s="76"/>
      <c r="AA391" s="76"/>
    </row>
    <row r="392" spans="8:27" x14ac:dyDescent="0.2">
      <c r="H392" s="76"/>
      <c r="I392" s="76"/>
      <c r="J392" s="76"/>
      <c r="K392" s="76"/>
      <c r="L392" s="123"/>
      <c r="M392" s="76"/>
      <c r="N392" s="76"/>
      <c r="O392" s="76"/>
      <c r="P392" s="76"/>
      <c r="Q392" s="76"/>
      <c r="R392" s="76"/>
      <c r="S392" s="76"/>
      <c r="T392" s="76"/>
      <c r="U392" s="76"/>
      <c r="V392" s="76"/>
      <c r="W392" s="76"/>
      <c r="X392" s="76"/>
      <c r="Y392" s="76"/>
      <c r="Z392" s="76"/>
      <c r="AA392" s="76"/>
    </row>
    <row r="393" spans="8:27" x14ac:dyDescent="0.2">
      <c r="H393" s="76"/>
      <c r="I393" s="76"/>
      <c r="J393" s="76"/>
      <c r="K393" s="76"/>
      <c r="L393" s="123"/>
      <c r="M393" s="76"/>
      <c r="N393" s="76"/>
      <c r="O393" s="76"/>
      <c r="P393" s="76"/>
      <c r="Q393" s="76"/>
      <c r="R393" s="76"/>
      <c r="S393" s="76"/>
      <c r="T393" s="76"/>
      <c r="U393" s="76"/>
      <c r="V393" s="76"/>
      <c r="W393" s="76"/>
      <c r="X393" s="76"/>
      <c r="Y393" s="76"/>
      <c r="Z393" s="76"/>
      <c r="AA393" s="76"/>
    </row>
    <row r="394" spans="8:27" x14ac:dyDescent="0.2">
      <c r="H394" s="76"/>
      <c r="I394" s="76"/>
      <c r="J394" s="76"/>
      <c r="K394" s="76"/>
      <c r="L394" s="123"/>
      <c r="M394" s="76"/>
      <c r="N394" s="76"/>
      <c r="O394" s="76"/>
      <c r="P394" s="76"/>
      <c r="Q394" s="76"/>
      <c r="R394" s="76"/>
      <c r="S394" s="76"/>
      <c r="T394" s="76"/>
      <c r="U394" s="76"/>
      <c r="V394" s="76"/>
      <c r="W394" s="76"/>
      <c r="X394" s="76"/>
      <c r="Y394" s="76"/>
      <c r="Z394" s="76"/>
      <c r="AA394" s="76"/>
    </row>
    <row r="395" spans="8:27" x14ac:dyDescent="0.2">
      <c r="H395" s="76"/>
      <c r="I395" s="76"/>
      <c r="J395" s="76"/>
      <c r="K395" s="76"/>
      <c r="L395" s="123"/>
      <c r="M395" s="76"/>
      <c r="N395" s="76"/>
      <c r="O395" s="76"/>
      <c r="P395" s="76"/>
      <c r="Q395" s="76"/>
      <c r="R395" s="76"/>
      <c r="S395" s="76"/>
      <c r="T395" s="76"/>
      <c r="U395" s="76"/>
      <c r="V395" s="76"/>
      <c r="W395" s="76"/>
      <c r="X395" s="76"/>
      <c r="Y395" s="76"/>
      <c r="Z395" s="76"/>
      <c r="AA395" s="76"/>
    </row>
    <row r="396" spans="8:27" x14ac:dyDescent="0.2">
      <c r="H396" s="76"/>
      <c r="I396" s="76"/>
      <c r="J396" s="76"/>
      <c r="K396" s="76"/>
      <c r="L396" s="123"/>
      <c r="M396" s="76"/>
      <c r="N396" s="76"/>
      <c r="O396" s="76"/>
      <c r="P396" s="76"/>
      <c r="Q396" s="76"/>
      <c r="R396" s="76"/>
      <c r="S396" s="76"/>
      <c r="T396" s="76"/>
      <c r="U396" s="76"/>
      <c r="V396" s="76"/>
      <c r="W396" s="76"/>
      <c r="X396" s="76"/>
      <c r="Y396" s="76"/>
      <c r="Z396" s="76"/>
      <c r="AA396" s="76"/>
    </row>
    <row r="397" spans="8:27" x14ac:dyDescent="0.2">
      <c r="H397" s="76"/>
      <c r="I397" s="2" t="s">
        <v>164</v>
      </c>
      <c r="J397" s="224">
        <f>+J287</f>
        <v>0</v>
      </c>
      <c r="K397" s="224">
        <f>+K287</f>
        <v>0</v>
      </c>
      <c r="L397" s="224">
        <f>+L287</f>
        <v>4931649</v>
      </c>
      <c r="M397" s="224">
        <f>+M287</f>
        <v>4931649</v>
      </c>
      <c r="N397" s="76"/>
      <c r="O397" s="76"/>
      <c r="P397" s="76"/>
      <c r="Q397" s="76"/>
      <c r="R397" s="76"/>
      <c r="S397" s="76"/>
      <c r="T397" s="76"/>
      <c r="U397" s="76"/>
      <c r="V397" s="76"/>
      <c r="W397" s="76"/>
      <c r="X397" s="76"/>
      <c r="Y397" s="76"/>
      <c r="Z397" s="76"/>
      <c r="AA397" s="76"/>
    </row>
    <row r="398" spans="8:27" x14ac:dyDescent="0.2">
      <c r="H398" s="76"/>
      <c r="I398" s="2" t="s">
        <v>165</v>
      </c>
      <c r="J398" s="224">
        <f>+J289</f>
        <v>0</v>
      </c>
      <c r="K398" s="224">
        <f>+K289</f>
        <v>0</v>
      </c>
      <c r="L398" s="224">
        <f>+L289</f>
        <v>3234859</v>
      </c>
      <c r="M398" s="224">
        <f>+M289</f>
        <v>3152993.6266000001</v>
      </c>
      <c r="N398" s="76"/>
      <c r="O398" s="76"/>
      <c r="P398" s="76"/>
      <c r="Q398" s="76"/>
      <c r="R398" s="76"/>
      <c r="S398" s="76"/>
      <c r="T398" s="76"/>
      <c r="U398" s="76"/>
      <c r="V398" s="76"/>
      <c r="W398" s="76"/>
      <c r="X398" s="76"/>
      <c r="Y398" s="76"/>
      <c r="Z398" s="76"/>
      <c r="AA398" s="76"/>
    </row>
    <row r="399" spans="8:27" x14ac:dyDescent="0.2">
      <c r="H399" s="76"/>
      <c r="I399" s="76"/>
      <c r="N399" s="76"/>
      <c r="O399" s="76"/>
      <c r="P399" s="76"/>
      <c r="Q399" s="76"/>
      <c r="R399" s="76"/>
      <c r="S399" s="76"/>
      <c r="T399" s="76"/>
      <c r="U399" s="76"/>
      <c r="V399" s="76"/>
      <c r="W399" s="76"/>
      <c r="X399" s="76"/>
      <c r="Y399" s="76"/>
      <c r="Z399" s="76"/>
      <c r="AA399" s="76"/>
    </row>
    <row r="400" spans="8:27" x14ac:dyDescent="0.2">
      <c r="I400" s="2" t="s">
        <v>166</v>
      </c>
      <c r="J400" s="224">
        <f>+J346</f>
        <v>1451</v>
      </c>
      <c r="K400" s="224">
        <f>+K346</f>
        <v>1451</v>
      </c>
      <c r="L400" s="224">
        <f>+L346</f>
        <v>1451</v>
      </c>
      <c r="M400" s="224">
        <f>+M346</f>
        <v>1458</v>
      </c>
      <c r="R400" s="76"/>
      <c r="S400" s="76"/>
      <c r="T400" s="76"/>
      <c r="U400" s="76"/>
      <c r="V400" s="76"/>
      <c r="W400" s="76"/>
      <c r="X400" s="76"/>
      <c r="Y400" s="76"/>
      <c r="Z400" s="76"/>
      <c r="AA400" s="76"/>
    </row>
    <row r="401" spans="5:27" x14ac:dyDescent="0.2">
      <c r="W401" s="76"/>
      <c r="X401" s="76"/>
      <c r="Y401" s="76"/>
      <c r="Z401" s="76"/>
      <c r="AA401" s="76"/>
    </row>
    <row r="402" spans="5:27" x14ac:dyDescent="0.2">
      <c r="W402" s="76"/>
      <c r="X402" s="76"/>
      <c r="Y402" s="76"/>
      <c r="Z402" s="76"/>
      <c r="AA402" s="76"/>
    </row>
    <row r="403" spans="5:27" ht="15" x14ac:dyDescent="0.25">
      <c r="E403" s="13"/>
      <c r="F403" s="13"/>
      <c r="G403" s="13"/>
      <c r="H403" s="88">
        <f>+H19</f>
        <v>2013</v>
      </c>
      <c r="I403" s="88">
        <f>+I19</f>
        <v>2014</v>
      </c>
      <c r="J403" s="88">
        <f>+J19</f>
        <v>2015</v>
      </c>
      <c r="K403" s="88">
        <f>+K19</f>
        <v>2016</v>
      </c>
      <c r="L403" s="88">
        <f>+L19</f>
        <v>2017</v>
      </c>
      <c r="M403" s="88">
        <f>+M19</f>
        <v>2018</v>
      </c>
      <c r="N403" s="13"/>
      <c r="O403" s="13"/>
      <c r="P403" s="13"/>
      <c r="Q403" s="13"/>
      <c r="R403" s="13"/>
      <c r="S403" s="13"/>
      <c r="T403" s="13"/>
      <c r="U403" s="13"/>
      <c r="V403" s="13"/>
      <c r="W403" s="76"/>
      <c r="X403" s="76"/>
      <c r="Y403" s="76"/>
      <c r="Z403" s="76"/>
      <c r="AA403" s="76"/>
    </row>
    <row r="404" spans="5:27" ht="15" x14ac:dyDescent="0.25">
      <c r="E404" s="13"/>
      <c r="F404" s="13"/>
      <c r="G404" s="13"/>
      <c r="J404" s="13"/>
      <c r="K404" s="13"/>
      <c r="L404" s="13"/>
      <c r="M404" s="13"/>
      <c r="N404" s="13"/>
      <c r="O404" s="89"/>
      <c r="P404" s="13"/>
      <c r="Q404" s="13"/>
      <c r="R404" s="13"/>
      <c r="S404" s="13"/>
      <c r="T404" s="13"/>
      <c r="U404" s="13"/>
      <c r="V404" s="13"/>
      <c r="W404" s="76"/>
      <c r="X404" s="76"/>
      <c r="Y404" s="76"/>
      <c r="Z404" s="76"/>
      <c r="AA404" s="76"/>
    </row>
    <row r="405" spans="5:27" ht="15" x14ac:dyDescent="0.25">
      <c r="E405" s="13"/>
      <c r="F405" s="13"/>
      <c r="G405" s="13"/>
      <c r="J405" s="13"/>
      <c r="K405" s="13"/>
      <c r="L405" s="13"/>
      <c r="M405" s="13"/>
      <c r="N405" s="13"/>
      <c r="O405" s="89"/>
      <c r="P405" s="13"/>
      <c r="Q405" s="13"/>
      <c r="R405" s="13"/>
      <c r="S405" s="13"/>
      <c r="T405" s="13"/>
      <c r="U405" s="13"/>
      <c r="V405" s="13"/>
      <c r="W405" s="76"/>
      <c r="X405" s="76"/>
      <c r="Y405" s="76"/>
      <c r="Z405" s="76"/>
      <c r="AA405" s="76"/>
    </row>
    <row r="406" spans="5:27" ht="15" x14ac:dyDescent="0.25">
      <c r="E406" s="13"/>
      <c r="F406" s="13"/>
      <c r="G406" s="13" t="s">
        <v>32</v>
      </c>
      <c r="H406" s="2">
        <v>0</v>
      </c>
      <c r="I406" s="2">
        <v>0</v>
      </c>
      <c r="J406" s="2">
        <v>0</v>
      </c>
      <c r="K406" s="268">
        <f>+K415</f>
        <v>109158</v>
      </c>
      <c r="L406" s="268">
        <f>+K406*(1+$AC$28)</f>
        <v>111341.16</v>
      </c>
      <c r="M406" s="268">
        <f t="shared" ref="M406:M408" si="105">+L406*(1+$AC$28)</f>
        <v>113567.9832</v>
      </c>
      <c r="N406" s="13"/>
      <c r="O406" s="90"/>
      <c r="P406" s="13">
        <v>0.15</v>
      </c>
      <c r="Q406" s="13"/>
      <c r="R406" s="13" t="s">
        <v>32</v>
      </c>
      <c r="S406" s="151" t="s">
        <v>33</v>
      </c>
      <c r="T406" s="152"/>
      <c r="U406" s="153" t="s">
        <v>34</v>
      </c>
      <c r="V406" s="154">
        <v>0.15</v>
      </c>
      <c r="W406" s="13">
        <v>0.15</v>
      </c>
      <c r="X406" s="76"/>
      <c r="Y406" s="76"/>
      <c r="Z406" s="76"/>
      <c r="AA406" s="76"/>
    </row>
    <row r="407" spans="5:27" ht="15" x14ac:dyDescent="0.25">
      <c r="E407" s="13"/>
      <c r="F407" s="13"/>
      <c r="G407" s="13" t="s">
        <v>35</v>
      </c>
      <c r="H407" s="2">
        <v>0</v>
      </c>
      <c r="I407" s="2">
        <v>0</v>
      </c>
      <c r="J407" s="2">
        <v>0</v>
      </c>
      <c r="K407" s="268">
        <f>+K424</f>
        <v>136840</v>
      </c>
      <c r="L407" s="268">
        <f t="shared" ref="L407:L408" si="106">+K407*(1+$AC$28)</f>
        <v>139576.79999999999</v>
      </c>
      <c r="M407" s="268">
        <f t="shared" si="105"/>
        <v>142368.33599999998</v>
      </c>
      <c r="N407" s="13"/>
      <c r="O407" s="90"/>
      <c r="P407" s="13">
        <v>0.5</v>
      </c>
      <c r="Q407" s="91"/>
      <c r="R407" s="13" t="s">
        <v>35</v>
      </c>
      <c r="S407" s="151" t="s">
        <v>36</v>
      </c>
      <c r="T407" s="152"/>
      <c r="U407" s="153" t="s">
        <v>37</v>
      </c>
      <c r="V407" s="154">
        <v>0.5</v>
      </c>
      <c r="W407" s="13">
        <v>0.5</v>
      </c>
      <c r="X407" s="76"/>
      <c r="Y407" s="76"/>
      <c r="Z407" s="76"/>
      <c r="AA407" s="76"/>
    </row>
    <row r="408" spans="5:27" ht="15" x14ac:dyDescent="0.25">
      <c r="G408" s="13" t="s">
        <v>38</v>
      </c>
      <c r="H408" s="2">
        <v>0</v>
      </c>
      <c r="I408" s="2">
        <v>0</v>
      </c>
      <c r="J408" s="2">
        <v>0</v>
      </c>
      <c r="K408" s="268">
        <f>+K419</f>
        <v>22587</v>
      </c>
      <c r="L408" s="268">
        <f t="shared" si="106"/>
        <v>23038.74</v>
      </c>
      <c r="M408" s="268">
        <f t="shared" si="105"/>
        <v>23499.514800000001</v>
      </c>
      <c r="Q408" s="13"/>
      <c r="R408" s="13" t="s">
        <v>38</v>
      </c>
      <c r="S408" s="151" t="s">
        <v>39</v>
      </c>
      <c r="T408" s="152"/>
      <c r="U408" s="153" t="s">
        <v>40</v>
      </c>
      <c r="V408" s="154">
        <v>0.1</v>
      </c>
      <c r="W408" s="13">
        <v>0.1</v>
      </c>
      <c r="X408" s="76"/>
      <c r="Y408" s="76"/>
      <c r="Z408" s="76"/>
      <c r="AA408" s="76"/>
    </row>
    <row r="409" spans="5:27" ht="15" x14ac:dyDescent="0.25">
      <c r="G409" s="13"/>
      <c r="H409" s="13"/>
      <c r="I409" s="13"/>
      <c r="J409" s="13"/>
      <c r="K409" s="13"/>
      <c r="M409" s="13"/>
      <c r="P409" s="15"/>
      <c r="Q409" s="13"/>
      <c r="R409" s="13"/>
      <c r="S409" s="13"/>
      <c r="T409" s="13"/>
      <c r="U409" s="13"/>
      <c r="V409" s="13"/>
      <c r="W409" s="76"/>
      <c r="X409" s="76"/>
      <c r="Y409" s="76"/>
      <c r="Z409" s="76"/>
      <c r="AA409" s="76"/>
    </row>
    <row r="410" spans="5:27" ht="15" x14ac:dyDescent="0.25">
      <c r="G410" s="13"/>
      <c r="H410" s="13"/>
      <c r="I410" s="13"/>
      <c r="J410" s="13"/>
      <c r="K410" s="13"/>
      <c r="M410" s="13"/>
      <c r="P410" s="15"/>
      <c r="Q410" s="13"/>
      <c r="R410" s="13"/>
      <c r="S410" s="13"/>
      <c r="T410" s="13"/>
      <c r="U410" s="13"/>
      <c r="V410" s="13"/>
      <c r="W410" s="76"/>
      <c r="X410" s="76"/>
      <c r="Y410" s="76"/>
      <c r="Z410" s="76"/>
      <c r="AA410" s="76"/>
    </row>
    <row r="411" spans="5:27" ht="15" x14ac:dyDescent="0.25">
      <c r="G411" s="13"/>
      <c r="H411" s="13"/>
      <c r="I411" s="13"/>
      <c r="J411" s="13"/>
      <c r="K411" s="13"/>
      <c r="L411" s="13"/>
      <c r="M411" s="13"/>
      <c r="P411" s="15"/>
      <c r="Q411" s="13"/>
      <c r="R411" s="13"/>
      <c r="S411" s="13"/>
      <c r="T411" s="13"/>
      <c r="U411" s="13"/>
      <c r="V411" s="13"/>
      <c r="W411" s="76"/>
      <c r="X411" s="76"/>
      <c r="Y411" s="76"/>
      <c r="Z411" s="76"/>
      <c r="AA411" s="76"/>
    </row>
    <row r="412" spans="5:27" ht="15" x14ac:dyDescent="0.25">
      <c r="G412" s="92" t="s">
        <v>167</v>
      </c>
      <c r="H412" s="93"/>
      <c r="I412" s="93"/>
      <c r="J412" s="93"/>
      <c r="K412" s="93"/>
      <c r="L412" s="269"/>
      <c r="M412" s="93"/>
      <c r="N412" s="270"/>
      <c r="P412" s="15"/>
      <c r="Q412" s="13"/>
      <c r="R412" s="13"/>
      <c r="S412" s="13"/>
      <c r="T412" s="13"/>
      <c r="U412" s="13"/>
      <c r="V412" s="13"/>
      <c r="W412" s="76"/>
      <c r="X412" s="76"/>
      <c r="Y412" s="76"/>
      <c r="Z412" s="76"/>
      <c r="AA412" s="76"/>
    </row>
    <row r="413" spans="5:27" ht="15" x14ac:dyDescent="0.25">
      <c r="G413" s="94"/>
      <c r="H413" s="13"/>
      <c r="I413" s="13"/>
      <c r="J413" s="13"/>
      <c r="K413" s="13"/>
      <c r="L413" s="13"/>
      <c r="M413" s="13"/>
      <c r="N413" s="271"/>
      <c r="P413" s="15"/>
      <c r="Q413" s="13"/>
      <c r="R413" s="13"/>
      <c r="S413" s="13"/>
      <c r="T413" s="13"/>
      <c r="U413" s="13"/>
      <c r="V413" s="13"/>
      <c r="W413" s="76"/>
      <c r="X413" s="76"/>
      <c r="Y413" s="76"/>
      <c r="Z413" s="76"/>
      <c r="AA413" s="76"/>
    </row>
    <row r="414" spans="5:27" ht="15" x14ac:dyDescent="0.25">
      <c r="G414" s="272"/>
      <c r="H414" s="4"/>
      <c r="I414" s="4"/>
      <c r="J414" s="4"/>
      <c r="K414" s="4"/>
      <c r="L414" s="4"/>
      <c r="M414" s="4"/>
      <c r="N414" s="271"/>
      <c r="P414" s="15"/>
      <c r="Q414" s="13"/>
      <c r="R414" s="13"/>
      <c r="S414" s="13"/>
      <c r="T414" s="13"/>
      <c r="U414" s="13"/>
      <c r="V414" s="13"/>
      <c r="W414" s="76"/>
      <c r="X414" s="76"/>
      <c r="Y414" s="76"/>
      <c r="Z414" s="76"/>
      <c r="AA414" s="76"/>
    </row>
    <row r="415" spans="5:27" ht="15" x14ac:dyDescent="0.25">
      <c r="G415" s="95" t="s">
        <v>168</v>
      </c>
      <c r="H415" s="96" t="s">
        <v>169</v>
      </c>
      <c r="I415" s="4"/>
      <c r="J415" s="96"/>
      <c r="K415" s="97">
        <v>109158</v>
      </c>
      <c r="L415" s="4"/>
      <c r="M415" s="4"/>
      <c r="N415" s="271"/>
      <c r="P415" s="15"/>
      <c r="Q415" s="13"/>
      <c r="R415" s="13"/>
      <c r="S415" s="13"/>
      <c r="T415" s="13"/>
      <c r="U415" s="13"/>
      <c r="V415" s="13"/>
      <c r="W415" s="76"/>
      <c r="X415" s="76"/>
      <c r="Y415" s="76"/>
      <c r="Z415" s="76"/>
      <c r="AA415" s="76"/>
    </row>
    <row r="416" spans="5:27" ht="15" x14ac:dyDescent="0.25">
      <c r="G416" s="95"/>
      <c r="H416" s="96"/>
      <c r="I416" s="4"/>
      <c r="J416" s="96"/>
      <c r="K416" s="97"/>
      <c r="L416" s="4"/>
      <c r="M416" s="4"/>
      <c r="N416" s="271"/>
      <c r="P416" s="15"/>
      <c r="Q416" s="13"/>
      <c r="R416" s="13"/>
      <c r="S416" s="13"/>
      <c r="T416" s="13"/>
      <c r="U416" s="13"/>
      <c r="V416" s="13"/>
      <c r="W416" s="76"/>
      <c r="X416" s="76"/>
      <c r="Y416" s="76"/>
      <c r="Z416" s="76"/>
      <c r="AA416" s="76"/>
    </row>
    <row r="417" spans="7:27" ht="15" x14ac:dyDescent="0.25">
      <c r="G417" s="95" t="s">
        <v>170</v>
      </c>
      <c r="H417" s="96" t="s">
        <v>171</v>
      </c>
      <c r="I417" s="4"/>
      <c r="J417" s="96"/>
      <c r="K417" s="97">
        <v>7119</v>
      </c>
      <c r="L417" s="4"/>
      <c r="M417" s="4"/>
      <c r="N417" s="271"/>
      <c r="P417" s="15"/>
      <c r="Q417" s="13"/>
      <c r="R417" s="13"/>
      <c r="S417" s="13"/>
      <c r="T417" s="13"/>
      <c r="U417" s="13"/>
      <c r="V417" s="13"/>
      <c r="W417" s="76"/>
      <c r="X417" s="76"/>
      <c r="Y417" s="76"/>
      <c r="Z417" s="76"/>
      <c r="AA417" s="76"/>
    </row>
    <row r="418" spans="7:27" ht="15" x14ac:dyDescent="0.25">
      <c r="G418" s="95" t="s">
        <v>170</v>
      </c>
      <c r="H418" s="96" t="s">
        <v>39</v>
      </c>
      <c r="I418" s="4"/>
      <c r="J418" s="96"/>
      <c r="K418" s="97">
        <v>15468</v>
      </c>
      <c r="L418" s="4"/>
      <c r="M418" s="4"/>
      <c r="N418" s="271"/>
      <c r="P418" s="15"/>
      <c r="Q418" s="13"/>
      <c r="R418" s="13"/>
      <c r="S418" s="13"/>
      <c r="T418" s="13"/>
      <c r="U418" s="13"/>
      <c r="V418" s="13"/>
      <c r="W418" s="76"/>
      <c r="X418" s="76"/>
      <c r="Y418" s="76"/>
      <c r="Z418" s="76"/>
      <c r="AA418" s="76"/>
    </row>
    <row r="419" spans="7:27" ht="15.75" thickBot="1" x14ac:dyDescent="0.3">
      <c r="G419" s="95"/>
      <c r="H419" s="96"/>
      <c r="I419" s="4"/>
      <c r="J419" s="96"/>
      <c r="K419" s="98">
        <v>22587</v>
      </c>
      <c r="L419" s="4"/>
      <c r="M419" s="4"/>
      <c r="N419" s="271"/>
      <c r="P419" s="15"/>
      <c r="Q419" s="13"/>
      <c r="R419" s="13"/>
      <c r="S419" s="13"/>
      <c r="T419" s="13"/>
      <c r="U419" s="13"/>
      <c r="V419" s="13"/>
      <c r="W419" s="76"/>
      <c r="X419" s="76"/>
      <c r="Y419" s="76"/>
      <c r="Z419" s="76"/>
      <c r="AA419" s="76"/>
    </row>
    <row r="420" spans="7:27" ht="15.75" thickTop="1" x14ac:dyDescent="0.25">
      <c r="G420" s="95"/>
      <c r="H420" s="96"/>
      <c r="I420" s="4"/>
      <c r="J420" s="96"/>
      <c r="K420" s="97"/>
      <c r="L420" s="4"/>
      <c r="M420" s="4"/>
      <c r="N420" s="271"/>
      <c r="P420" s="15"/>
      <c r="Q420" s="13"/>
      <c r="R420" s="13"/>
      <c r="S420" s="13"/>
      <c r="T420" s="13"/>
      <c r="U420" s="13"/>
      <c r="V420" s="13"/>
      <c r="W420" s="76"/>
      <c r="X420" s="76"/>
      <c r="Y420" s="76"/>
      <c r="Z420" s="76"/>
      <c r="AA420" s="76"/>
    </row>
    <row r="421" spans="7:27" ht="15" x14ac:dyDescent="0.25">
      <c r="G421" s="95" t="s">
        <v>172</v>
      </c>
      <c r="H421" s="96" t="s">
        <v>173</v>
      </c>
      <c r="I421" s="4"/>
      <c r="J421" s="96"/>
      <c r="K421" s="97">
        <v>113945</v>
      </c>
      <c r="L421" s="4"/>
      <c r="M421" s="4"/>
      <c r="N421" s="271"/>
      <c r="P421" s="15"/>
      <c r="Q421" s="13"/>
      <c r="R421" s="13"/>
      <c r="S421" s="13"/>
      <c r="T421" s="13"/>
      <c r="U421" s="13"/>
      <c r="V421" s="13"/>
      <c r="W421" s="76"/>
      <c r="X421" s="76"/>
      <c r="Y421" s="76"/>
      <c r="Z421" s="76"/>
      <c r="AA421" s="76"/>
    </row>
    <row r="422" spans="7:27" ht="15" x14ac:dyDescent="0.25">
      <c r="G422" s="95" t="s">
        <v>172</v>
      </c>
      <c r="H422" s="96" t="s">
        <v>174</v>
      </c>
      <c r="I422" s="4"/>
      <c r="J422" s="96"/>
      <c r="K422" s="97">
        <v>11424</v>
      </c>
      <c r="L422" s="4"/>
      <c r="M422" s="4"/>
      <c r="N422" s="271"/>
      <c r="P422" s="15"/>
      <c r="Q422" s="13"/>
      <c r="R422" s="13"/>
      <c r="S422" s="13"/>
      <c r="T422" s="13"/>
      <c r="U422" s="13"/>
      <c r="V422" s="13"/>
      <c r="W422" s="76"/>
      <c r="X422" s="76"/>
      <c r="Y422" s="76"/>
      <c r="Z422" s="76"/>
      <c r="AA422" s="76"/>
    </row>
    <row r="423" spans="7:27" ht="15" x14ac:dyDescent="0.25">
      <c r="G423" s="95" t="s">
        <v>172</v>
      </c>
      <c r="H423" s="96" t="s">
        <v>175</v>
      </c>
      <c r="I423" s="4"/>
      <c r="J423" s="96"/>
      <c r="K423" s="97">
        <v>11471</v>
      </c>
      <c r="L423" s="4"/>
      <c r="M423" s="4"/>
      <c r="N423" s="271"/>
      <c r="P423" s="15"/>
      <c r="Q423" s="13"/>
      <c r="R423" s="13"/>
      <c r="S423" s="13"/>
      <c r="T423" s="13"/>
      <c r="U423" s="13"/>
      <c r="V423" s="13"/>
      <c r="W423" s="76"/>
      <c r="X423" s="76"/>
      <c r="Y423" s="76"/>
      <c r="Z423" s="76"/>
      <c r="AA423" s="76"/>
    </row>
    <row r="424" spans="7:27" ht="15.75" thickBot="1" x14ac:dyDescent="0.3">
      <c r="G424" s="95"/>
      <c r="H424" s="96"/>
      <c r="I424" s="4"/>
      <c r="J424" s="4"/>
      <c r="K424" s="273">
        <v>136840</v>
      </c>
      <c r="L424" s="4"/>
      <c r="M424" s="4"/>
      <c r="N424" s="271"/>
      <c r="P424" s="15"/>
      <c r="Q424" s="13"/>
      <c r="R424" s="13"/>
      <c r="S424" s="13"/>
      <c r="T424" s="13"/>
      <c r="U424" s="13"/>
      <c r="V424" s="13"/>
      <c r="W424" s="76"/>
      <c r="X424" s="76"/>
      <c r="Y424" s="76"/>
      <c r="Z424" s="76"/>
      <c r="AA424" s="76"/>
    </row>
    <row r="425" spans="7:27" ht="15.75" thickTop="1" x14ac:dyDescent="0.25">
      <c r="G425" s="274"/>
      <c r="H425" s="275"/>
      <c r="I425" s="275"/>
      <c r="J425" s="275"/>
      <c r="K425" s="275"/>
      <c r="L425" s="275"/>
      <c r="M425" s="275"/>
      <c r="N425" s="276"/>
      <c r="P425" s="15"/>
      <c r="Q425" s="13"/>
      <c r="R425" s="13"/>
      <c r="S425" s="13"/>
      <c r="T425" s="13"/>
      <c r="U425" s="13"/>
      <c r="V425" s="13"/>
      <c r="W425" s="76"/>
      <c r="X425" s="76"/>
      <c r="Y425" s="76"/>
      <c r="Z425" s="76"/>
      <c r="AA425" s="76"/>
    </row>
    <row r="426" spans="7:27" ht="15" x14ac:dyDescent="0.25">
      <c r="P426" s="15"/>
      <c r="Q426" s="13"/>
      <c r="R426" s="13"/>
      <c r="S426" s="13"/>
      <c r="T426" s="13"/>
      <c r="U426" s="13"/>
      <c r="V426" s="13"/>
      <c r="W426" s="76"/>
      <c r="X426" s="76"/>
      <c r="Y426" s="76"/>
      <c r="Z426" s="76"/>
      <c r="AA426" s="76"/>
    </row>
    <row r="427" spans="7:27" ht="15" x14ac:dyDescent="0.25">
      <c r="P427" s="15"/>
      <c r="Q427" s="13"/>
      <c r="R427" s="13"/>
      <c r="S427" s="13"/>
      <c r="T427" s="13"/>
      <c r="U427" s="13"/>
      <c r="V427" s="13"/>
      <c r="W427" s="76"/>
      <c r="X427" s="76"/>
      <c r="Y427" s="76"/>
      <c r="Z427" s="76"/>
      <c r="AA427" s="76"/>
    </row>
    <row r="428" spans="7:27" ht="15" x14ac:dyDescent="0.25">
      <c r="P428" s="15"/>
      <c r="Q428" s="13"/>
      <c r="R428" s="13"/>
      <c r="S428" s="13"/>
      <c r="T428" s="13"/>
      <c r="U428" s="13"/>
      <c r="V428" s="13"/>
      <c r="W428" s="76"/>
      <c r="X428" s="76"/>
      <c r="Y428" s="76"/>
      <c r="Z428" s="76"/>
      <c r="AA428" s="76"/>
    </row>
    <row r="429" spans="7:27" ht="15" x14ac:dyDescent="0.25">
      <c r="P429" s="15"/>
      <c r="Q429" s="13"/>
      <c r="R429" s="13"/>
      <c r="S429" s="13"/>
      <c r="T429" s="13"/>
      <c r="U429" s="13"/>
      <c r="V429" s="13"/>
      <c r="W429" s="76"/>
      <c r="X429" s="76"/>
      <c r="Y429" s="76"/>
      <c r="Z429" s="76"/>
      <c r="AA429" s="76"/>
    </row>
    <row r="430" spans="7:27" ht="15" x14ac:dyDescent="0.25">
      <c r="P430" s="15"/>
      <c r="Q430" s="13"/>
      <c r="R430" s="13"/>
      <c r="S430" s="13"/>
      <c r="T430" s="13"/>
      <c r="U430" s="13"/>
      <c r="V430" s="13"/>
      <c r="W430" s="76"/>
      <c r="X430" s="76"/>
      <c r="Y430" s="76"/>
      <c r="Z430" s="76"/>
      <c r="AA430" s="76"/>
    </row>
    <row r="431" spans="7:27" ht="15" x14ac:dyDescent="0.25">
      <c r="P431" s="15"/>
      <c r="Q431" s="13"/>
      <c r="R431" s="13"/>
      <c r="S431" s="13"/>
      <c r="T431" s="13"/>
      <c r="U431" s="13"/>
      <c r="V431" s="13"/>
      <c r="W431" s="76"/>
      <c r="X431" s="76"/>
      <c r="Y431" s="76"/>
      <c r="Z431" s="76"/>
      <c r="AA431" s="76"/>
    </row>
    <row r="432" spans="7:27" ht="15" x14ac:dyDescent="0.25">
      <c r="P432" s="15"/>
      <c r="Q432" s="13"/>
      <c r="R432" s="13"/>
      <c r="S432" s="13"/>
      <c r="T432" s="13"/>
      <c r="U432" s="13"/>
      <c r="V432" s="13"/>
      <c r="W432" s="76"/>
      <c r="X432" s="76"/>
      <c r="Y432" s="76"/>
      <c r="Z432" s="76"/>
      <c r="AA432" s="76"/>
    </row>
    <row r="433" spans="5:27" ht="15" x14ac:dyDescent="0.25">
      <c r="P433" s="15"/>
      <c r="Q433" s="13"/>
      <c r="R433" s="13"/>
      <c r="S433" s="13"/>
      <c r="T433" s="13"/>
      <c r="U433" s="13"/>
      <c r="V433" s="13"/>
      <c r="W433" s="76"/>
      <c r="X433" s="76"/>
      <c r="Y433" s="76"/>
      <c r="Z433" s="76"/>
      <c r="AA433" s="76"/>
    </row>
    <row r="434" spans="5:27" ht="15" x14ac:dyDescent="0.25">
      <c r="P434" s="15"/>
      <c r="Q434" s="13"/>
      <c r="R434" s="13"/>
      <c r="S434" s="13"/>
      <c r="T434" s="13"/>
      <c r="U434" s="13"/>
      <c r="V434" s="13"/>
      <c r="W434" s="76"/>
      <c r="X434" s="76"/>
      <c r="Y434" s="76"/>
      <c r="Z434" s="76"/>
      <c r="AA434" s="76"/>
    </row>
    <row r="435" spans="5:27" ht="15" x14ac:dyDescent="0.25">
      <c r="P435" s="15"/>
      <c r="Q435" s="13"/>
      <c r="R435" s="13"/>
      <c r="S435" s="13"/>
      <c r="T435" s="13"/>
      <c r="U435" s="13"/>
      <c r="V435" s="13"/>
      <c r="W435" s="76"/>
      <c r="X435" s="76"/>
      <c r="Y435" s="76"/>
      <c r="Z435" s="76"/>
      <c r="AA435" s="76"/>
    </row>
    <row r="436" spans="5:27" ht="15" x14ac:dyDescent="0.25">
      <c r="P436" s="15"/>
      <c r="Q436" s="13"/>
      <c r="R436" s="13"/>
      <c r="S436" s="13"/>
      <c r="T436" s="13"/>
      <c r="U436" s="13"/>
      <c r="V436" s="13"/>
      <c r="W436" s="76"/>
      <c r="X436" s="76"/>
      <c r="Y436" s="76"/>
      <c r="Z436" s="76"/>
      <c r="AA436" s="76"/>
    </row>
    <row r="437" spans="5:27" ht="15" x14ac:dyDescent="0.25">
      <c r="P437" s="15"/>
      <c r="Q437" s="13"/>
      <c r="R437" s="13"/>
      <c r="S437" s="13"/>
      <c r="T437" s="13"/>
      <c r="U437" s="13"/>
      <c r="V437" s="13"/>
      <c r="W437" s="76"/>
      <c r="X437" s="76"/>
      <c r="Y437" s="76"/>
      <c r="Z437" s="76"/>
      <c r="AA437" s="76"/>
    </row>
    <row r="438" spans="5:27" ht="15" x14ac:dyDescent="0.25">
      <c r="J438" s="96"/>
      <c r="P438" s="15"/>
      <c r="Q438" s="13"/>
      <c r="R438" s="13"/>
      <c r="S438" s="13"/>
      <c r="T438" s="13"/>
      <c r="U438" s="13"/>
      <c r="V438" s="13"/>
      <c r="W438" s="76"/>
      <c r="X438" s="76"/>
      <c r="Y438" s="76"/>
      <c r="Z438" s="76"/>
      <c r="AA438" s="76"/>
    </row>
    <row r="439" spans="5:27" ht="15" x14ac:dyDescent="0.25">
      <c r="J439" s="96"/>
      <c r="P439" s="15"/>
      <c r="Q439" s="13"/>
      <c r="R439" s="13"/>
      <c r="S439" s="13"/>
      <c r="T439" s="13"/>
      <c r="U439" s="13"/>
      <c r="V439" s="13"/>
      <c r="W439" s="76"/>
      <c r="X439" s="76"/>
      <c r="Y439" s="76"/>
      <c r="Z439" s="76"/>
      <c r="AA439" s="76"/>
    </row>
    <row r="440" spans="5:27" ht="15" x14ac:dyDescent="0.25">
      <c r="F440" s="13"/>
      <c r="M440" s="13"/>
      <c r="N440" s="13"/>
      <c r="O440" s="13"/>
      <c r="P440" s="13"/>
      <c r="Q440" s="13"/>
      <c r="R440" s="13"/>
      <c r="S440" s="13"/>
      <c r="T440" s="13"/>
      <c r="U440" s="13"/>
      <c r="V440" s="13"/>
      <c r="W440" s="76"/>
      <c r="X440" s="76"/>
      <c r="Y440" s="76"/>
      <c r="Z440" s="76"/>
      <c r="AA440" s="76"/>
    </row>
    <row r="441" spans="5:27" ht="15" x14ac:dyDescent="0.25">
      <c r="F441" s="13"/>
      <c r="M441" s="13"/>
      <c r="N441" s="13"/>
      <c r="O441" s="13"/>
      <c r="P441" s="13"/>
      <c r="Q441" s="13"/>
      <c r="R441" s="13"/>
      <c r="S441" s="13"/>
      <c r="T441" s="13"/>
      <c r="U441" s="13"/>
      <c r="V441" s="13"/>
      <c r="W441" s="76"/>
      <c r="X441" s="76"/>
      <c r="Y441" s="76"/>
      <c r="Z441" s="76"/>
      <c r="AA441" s="76"/>
    </row>
    <row r="442" spans="5:27" ht="15" x14ac:dyDescent="0.25">
      <c r="F442" s="13"/>
      <c r="M442" s="13"/>
      <c r="N442" s="13"/>
      <c r="O442" s="13"/>
      <c r="P442" s="13"/>
      <c r="Q442" s="13"/>
      <c r="R442" s="13"/>
      <c r="S442" s="13"/>
      <c r="T442" s="13"/>
      <c r="U442" s="13"/>
      <c r="V442" s="13"/>
      <c r="W442" s="76"/>
      <c r="X442" s="76"/>
      <c r="Y442" s="76"/>
      <c r="Z442" s="76"/>
      <c r="AA442" s="76"/>
    </row>
    <row r="443" spans="5:27" ht="15" x14ac:dyDescent="0.25">
      <c r="E443" s="13"/>
      <c r="F443" s="13"/>
      <c r="G443" s="13"/>
      <c r="J443" s="13"/>
      <c r="K443" s="99"/>
      <c r="L443" s="13"/>
      <c r="M443" s="13"/>
      <c r="N443" s="13"/>
      <c r="O443" s="13"/>
      <c r="P443" s="13"/>
      <c r="Q443" s="13"/>
      <c r="R443" s="13"/>
      <c r="S443" s="13"/>
      <c r="T443" s="13"/>
      <c r="U443" s="13"/>
      <c r="V443" s="13"/>
      <c r="W443" s="76"/>
      <c r="X443" s="76"/>
      <c r="Y443" s="76"/>
      <c r="Z443" s="76"/>
      <c r="AA443" s="76"/>
    </row>
    <row r="444" spans="5:27" x14ac:dyDescent="0.2">
      <c r="G444" s="2" t="s">
        <v>176</v>
      </c>
      <c r="H444" s="2">
        <v>0</v>
      </c>
      <c r="I444" s="2">
        <v>0</v>
      </c>
      <c r="J444" s="2">
        <v>0</v>
      </c>
      <c r="K444" s="2">
        <v>65544</v>
      </c>
      <c r="L444" s="123"/>
      <c r="M444" s="76"/>
      <c r="N444" s="76"/>
      <c r="O444" s="76"/>
      <c r="P444" s="76"/>
      <c r="Q444" s="76"/>
      <c r="W444" s="76"/>
      <c r="X444" s="76"/>
      <c r="Y444" s="76"/>
      <c r="Z444" s="76"/>
      <c r="AA444" s="76"/>
    </row>
    <row r="445" spans="5:27" ht="15" x14ac:dyDescent="0.2">
      <c r="E445" s="100" t="s">
        <v>177</v>
      </c>
      <c r="F445" s="100"/>
      <c r="G445" s="100"/>
      <c r="H445" s="100"/>
      <c r="I445" s="100"/>
      <c r="J445" s="100"/>
      <c r="K445" s="100"/>
      <c r="L445" s="101">
        <v>6842383</v>
      </c>
      <c r="M445" s="101">
        <v>4742081</v>
      </c>
      <c r="N445" s="101">
        <v>11782781</v>
      </c>
      <c r="O445" s="101">
        <v>6795581</v>
      </c>
      <c r="P445" s="101">
        <v>4482781</v>
      </c>
      <c r="Q445" s="101">
        <v>4482781</v>
      </c>
      <c r="R445" s="101">
        <v>4482781</v>
      </c>
      <c r="S445" s="101">
        <v>4482781</v>
      </c>
      <c r="T445" s="101">
        <v>4482783</v>
      </c>
      <c r="U445" s="102"/>
      <c r="W445" s="76"/>
      <c r="X445" s="76"/>
      <c r="Y445" s="76"/>
      <c r="Z445" s="76"/>
      <c r="AA445" s="76"/>
    </row>
    <row r="446" spans="5:27" ht="15.75" thickBot="1" x14ac:dyDescent="0.25">
      <c r="E446" s="96"/>
      <c r="F446" s="96"/>
      <c r="G446" s="96"/>
      <c r="H446" s="96"/>
      <c r="I446" s="96"/>
      <c r="J446" s="96"/>
      <c r="K446" s="96"/>
      <c r="L446" s="96"/>
      <c r="M446" s="96"/>
      <c r="N446" s="96"/>
      <c r="O446" s="96"/>
      <c r="P446" s="76"/>
      <c r="Q446" s="76"/>
      <c r="W446" s="76"/>
      <c r="X446" s="76"/>
      <c r="Y446" s="76"/>
      <c r="Z446" s="76"/>
      <c r="AA446" s="76"/>
    </row>
    <row r="447" spans="5:27" ht="15" x14ac:dyDescent="0.25">
      <c r="E447" s="96"/>
      <c r="F447" s="96"/>
      <c r="H447" s="103">
        <v>2013</v>
      </c>
      <c r="I447" s="103">
        <v>2014</v>
      </c>
      <c r="J447" s="103">
        <v>2015</v>
      </c>
      <c r="K447" s="277">
        <v>2016</v>
      </c>
      <c r="L447" s="277">
        <v>2017</v>
      </c>
      <c r="M447" s="96"/>
      <c r="N447" s="96"/>
      <c r="O447" s="104" t="s">
        <v>178</v>
      </c>
      <c r="P447" s="76" t="s">
        <v>179</v>
      </c>
      <c r="Q447" s="76" t="s">
        <v>180</v>
      </c>
      <c r="W447" s="76"/>
      <c r="X447" s="76"/>
      <c r="Y447" s="76"/>
      <c r="Z447" s="76"/>
      <c r="AA447" s="76"/>
    </row>
    <row r="448" spans="5:27" ht="15" x14ac:dyDescent="0.2">
      <c r="E448" s="96"/>
      <c r="F448" s="96"/>
      <c r="H448" s="76"/>
      <c r="I448" s="76"/>
      <c r="J448" s="76"/>
      <c r="K448" s="76"/>
      <c r="L448" s="96"/>
      <c r="M448" s="96"/>
      <c r="N448" s="96"/>
      <c r="O448" s="105"/>
      <c r="P448" s="76"/>
      <c r="Q448" s="76"/>
      <c r="W448" s="76"/>
      <c r="X448" s="76"/>
      <c r="Y448" s="76"/>
      <c r="Z448" s="76"/>
      <c r="AA448" s="76"/>
    </row>
    <row r="449" spans="5:27" ht="15" x14ac:dyDescent="0.2">
      <c r="E449" s="96"/>
      <c r="F449" s="96"/>
      <c r="G449" s="2" t="s">
        <v>115</v>
      </c>
      <c r="H449" s="217">
        <v>0</v>
      </c>
      <c r="I449" s="217">
        <v>0</v>
      </c>
      <c r="J449" s="217">
        <v>0</v>
      </c>
      <c r="K449" s="108">
        <v>2670112</v>
      </c>
      <c r="L449" s="108">
        <f>+O449</f>
        <v>4931649</v>
      </c>
      <c r="M449" s="96"/>
      <c r="N449" s="96"/>
      <c r="O449" s="278">
        <v>4931649</v>
      </c>
      <c r="P449" s="108">
        <v>0</v>
      </c>
      <c r="Q449" s="76"/>
      <c r="W449" s="76"/>
      <c r="X449" s="76"/>
      <c r="Y449" s="76"/>
      <c r="Z449" s="76"/>
      <c r="AA449" s="76"/>
    </row>
    <row r="450" spans="5:27" ht="15" x14ac:dyDescent="0.2">
      <c r="E450" s="96"/>
      <c r="F450" s="96"/>
      <c r="G450" s="2" t="s">
        <v>116</v>
      </c>
      <c r="H450" s="217">
        <v>0</v>
      </c>
      <c r="I450" s="217">
        <v>0</v>
      </c>
      <c r="J450" s="217">
        <v>0</v>
      </c>
      <c r="K450" s="108">
        <v>1259243</v>
      </c>
      <c r="L450" s="108">
        <f>+O450</f>
        <v>1696790</v>
      </c>
      <c r="M450" s="96"/>
      <c r="N450" s="96"/>
      <c r="O450" s="278">
        <v>1696790</v>
      </c>
      <c r="P450" s="108">
        <v>0</v>
      </c>
      <c r="Q450" s="76"/>
      <c r="W450" s="76"/>
      <c r="X450" s="76"/>
      <c r="Y450" s="76"/>
      <c r="Z450" s="76"/>
      <c r="AA450" s="76"/>
    </row>
    <row r="451" spans="5:27" ht="15.75" thickBot="1" x14ac:dyDescent="0.4">
      <c r="E451" s="96"/>
      <c r="F451" s="96"/>
      <c r="G451" s="218" t="s">
        <v>117</v>
      </c>
      <c r="H451" s="219">
        <v>0</v>
      </c>
      <c r="I451" s="219">
        <v>0</v>
      </c>
      <c r="J451" s="219">
        <v>0</v>
      </c>
      <c r="K451" s="219">
        <f>+K449-K450</f>
        <v>1410869</v>
      </c>
      <c r="L451" s="219">
        <f>+L449-L450</f>
        <v>3234859</v>
      </c>
      <c r="M451" s="96"/>
      <c r="N451" s="96"/>
      <c r="O451" s="279">
        <f>+O449-O450</f>
        <v>3234859</v>
      </c>
      <c r="P451" s="219">
        <f>+P449-P450</f>
        <v>0</v>
      </c>
      <c r="Q451" s="280">
        <f>+O451-P451</f>
        <v>3234859</v>
      </c>
      <c r="W451" s="76"/>
      <c r="X451" s="76"/>
      <c r="Y451" s="76"/>
      <c r="Z451" s="76"/>
      <c r="AA451" s="76"/>
    </row>
    <row r="452" spans="5:27" ht="15.75" thickTop="1" x14ac:dyDescent="0.2">
      <c r="E452" s="96"/>
      <c r="F452" s="96"/>
      <c r="H452" s="76"/>
      <c r="I452" s="76"/>
      <c r="J452" s="76"/>
      <c r="K452" s="76"/>
      <c r="L452" s="76"/>
      <c r="M452" s="96"/>
      <c r="N452" s="96"/>
      <c r="O452" s="281"/>
      <c r="P452" s="76"/>
      <c r="Q452" s="76"/>
      <c r="W452" s="76"/>
      <c r="X452" s="76"/>
      <c r="Y452" s="76"/>
      <c r="Z452" s="76"/>
      <c r="AA452" s="76"/>
    </row>
    <row r="453" spans="5:27" ht="15" x14ac:dyDescent="0.25">
      <c r="E453" s="96"/>
      <c r="F453" s="96"/>
      <c r="G453" s="69" t="s">
        <v>118</v>
      </c>
      <c r="H453" s="217">
        <v>0</v>
      </c>
      <c r="I453" s="217">
        <v>0</v>
      </c>
      <c r="J453" s="217">
        <v>0</v>
      </c>
      <c r="K453" s="217">
        <v>0</v>
      </c>
      <c r="L453" s="217">
        <f>+K453</f>
        <v>0</v>
      </c>
      <c r="M453" s="96"/>
      <c r="N453" s="96"/>
      <c r="O453" s="278">
        <v>81927</v>
      </c>
      <c r="P453" s="76"/>
      <c r="Q453" s="76"/>
      <c r="W453" s="76"/>
      <c r="X453" s="76"/>
      <c r="Y453" s="76"/>
      <c r="Z453" s="76"/>
      <c r="AA453" s="76"/>
    </row>
    <row r="454" spans="5:27" ht="15.75" thickBot="1" x14ac:dyDescent="0.3">
      <c r="E454" s="96"/>
      <c r="F454" s="96"/>
      <c r="G454" s="69" t="s">
        <v>119</v>
      </c>
      <c r="H454" s="217">
        <v>0</v>
      </c>
      <c r="I454" s="217">
        <v>0</v>
      </c>
      <c r="J454" s="217">
        <v>0</v>
      </c>
      <c r="K454" s="217">
        <v>2723127</v>
      </c>
      <c r="L454" s="217">
        <v>0</v>
      </c>
      <c r="M454" s="96"/>
      <c r="N454" s="96"/>
      <c r="O454" s="106"/>
      <c r="P454" s="76"/>
      <c r="Q454" s="76"/>
      <c r="W454" s="76"/>
      <c r="X454" s="76"/>
      <c r="Y454" s="76"/>
      <c r="Z454" s="76"/>
      <c r="AA454" s="76"/>
    </row>
    <row r="455" spans="5:27" ht="15.75" thickBot="1" x14ac:dyDescent="0.25">
      <c r="E455" s="96"/>
      <c r="F455" s="96"/>
      <c r="G455" s="218" t="s">
        <v>120</v>
      </c>
      <c r="H455" s="219">
        <v>0</v>
      </c>
      <c r="I455" s="219">
        <v>0</v>
      </c>
      <c r="J455" s="219">
        <v>0</v>
      </c>
      <c r="K455" s="219">
        <f>SUM(K453:K454)</f>
        <v>2723127</v>
      </c>
      <c r="L455" s="219">
        <f>SUM(L453:L454)</f>
        <v>0</v>
      </c>
      <c r="M455" s="96"/>
      <c r="N455" s="96"/>
      <c r="O455" s="96"/>
      <c r="P455" s="76"/>
      <c r="Q455" s="76"/>
      <c r="W455" s="76"/>
      <c r="X455" s="76"/>
      <c r="Y455" s="76"/>
      <c r="Z455" s="76"/>
      <c r="AA455" s="76"/>
    </row>
    <row r="456" spans="5:27" ht="15.75" thickTop="1" x14ac:dyDescent="0.2">
      <c r="E456" s="96"/>
      <c r="F456" s="96"/>
      <c r="G456" s="96"/>
      <c r="H456" s="96"/>
      <c r="I456" s="96"/>
      <c r="J456" s="96"/>
      <c r="K456" s="96"/>
      <c r="L456" s="96"/>
      <c r="M456" s="96"/>
      <c r="N456" s="96"/>
      <c r="O456" s="96"/>
      <c r="P456" s="76"/>
      <c r="Q456" s="76"/>
      <c r="W456" s="76"/>
      <c r="X456" s="76"/>
      <c r="Y456" s="76"/>
      <c r="Z456" s="76"/>
      <c r="AA456" s="76"/>
    </row>
    <row r="457" spans="5:27" ht="15" x14ac:dyDescent="0.2">
      <c r="E457" s="87" t="s">
        <v>181</v>
      </c>
      <c r="F457" s="96"/>
      <c r="G457" s="96"/>
      <c r="H457" s="107">
        <v>0</v>
      </c>
      <c r="I457" s="107">
        <v>0</v>
      </c>
      <c r="J457" s="107">
        <v>0</v>
      </c>
      <c r="K457" s="107">
        <f>+K459/K449</f>
        <v>2.65056297263935E-2</v>
      </c>
      <c r="L457" s="107">
        <f>+O453/O449</f>
        <v>1.6612496144798625E-2</v>
      </c>
      <c r="M457" s="96"/>
      <c r="N457" s="96"/>
      <c r="O457" s="96"/>
      <c r="P457" s="76"/>
      <c r="Q457" s="76"/>
      <c r="W457" s="76"/>
      <c r="X457" s="76"/>
      <c r="Y457" s="76"/>
      <c r="Z457" s="76"/>
      <c r="AA457" s="76"/>
    </row>
    <row r="458" spans="5:27" ht="15" x14ac:dyDescent="0.2">
      <c r="E458" s="96"/>
      <c r="F458" s="96"/>
      <c r="G458" s="96"/>
      <c r="H458" s="96"/>
      <c r="I458" s="96"/>
      <c r="J458" s="96"/>
      <c r="K458" s="96"/>
      <c r="L458" s="96"/>
      <c r="M458" s="96"/>
      <c r="N458" s="96"/>
      <c r="O458" s="96"/>
      <c r="P458" s="76"/>
      <c r="Q458" s="76"/>
      <c r="W458" s="76"/>
      <c r="X458" s="76"/>
      <c r="Y458" s="76"/>
      <c r="Z458" s="76"/>
      <c r="AA458" s="76"/>
    </row>
    <row r="459" spans="5:27" ht="15" x14ac:dyDescent="0.2">
      <c r="E459" s="96" t="s">
        <v>134</v>
      </c>
      <c r="F459" s="96"/>
      <c r="G459" s="96"/>
      <c r="H459" s="102">
        <v>0</v>
      </c>
      <c r="I459" s="102">
        <v>0</v>
      </c>
      <c r="J459" s="102">
        <v>0</v>
      </c>
      <c r="K459" s="102">
        <v>70773</v>
      </c>
      <c r="L459" s="282">
        <f>+O453</f>
        <v>81927</v>
      </c>
      <c r="M459" s="96"/>
      <c r="N459" s="96"/>
      <c r="O459" s="96"/>
      <c r="P459" s="76"/>
      <c r="Q459" s="76"/>
      <c r="W459" s="76"/>
      <c r="X459" s="76"/>
      <c r="Y459" s="76"/>
      <c r="Z459" s="76"/>
      <c r="AA459" s="76"/>
    </row>
    <row r="460" spans="5:27" ht="15" x14ac:dyDescent="0.2">
      <c r="E460" s="96"/>
      <c r="F460" s="96"/>
      <c r="G460" s="96"/>
      <c r="H460" s="96"/>
      <c r="I460" s="96"/>
      <c r="J460" s="96"/>
      <c r="K460" s="96"/>
      <c r="L460" s="96"/>
      <c r="M460" s="96"/>
      <c r="N460" s="96"/>
      <c r="O460" s="96"/>
      <c r="P460" s="76"/>
      <c r="Q460" s="76"/>
      <c r="W460" s="76"/>
      <c r="X460" s="76"/>
      <c r="Y460" s="76"/>
      <c r="Z460" s="76"/>
      <c r="AA460" s="76"/>
    </row>
    <row r="461" spans="5:27" ht="15" x14ac:dyDescent="0.2">
      <c r="E461" s="96"/>
      <c r="F461" s="96"/>
      <c r="G461" s="96"/>
      <c r="H461" s="96"/>
      <c r="I461" s="96"/>
      <c r="J461" s="96"/>
      <c r="K461" s="96"/>
      <c r="L461" s="96"/>
      <c r="M461" s="108"/>
      <c r="N461" s="96"/>
      <c r="O461" s="96"/>
      <c r="P461" s="76"/>
      <c r="Q461" s="76"/>
      <c r="W461" s="76"/>
      <c r="X461" s="76"/>
      <c r="Y461" s="76"/>
      <c r="Z461" s="76"/>
      <c r="AA461" s="76"/>
    </row>
  </sheetData>
  <mergeCells count="19">
    <mergeCell ref="H259:M259"/>
    <mergeCell ref="H251:M251"/>
    <mergeCell ref="H252:Q252"/>
    <mergeCell ref="H254:L254"/>
    <mergeCell ref="H256:M256"/>
    <mergeCell ref="H257:M257"/>
    <mergeCell ref="H258:M258"/>
    <mergeCell ref="H250:M250"/>
    <mergeCell ref="H204:M204"/>
    <mergeCell ref="H209:M209"/>
    <mergeCell ref="H213:M213"/>
    <mergeCell ref="H216:M216"/>
    <mergeCell ref="H218:M218"/>
    <mergeCell ref="H220:M220"/>
    <mergeCell ref="H222:M222"/>
    <mergeCell ref="H224:M224"/>
    <mergeCell ref="H225:M225"/>
    <mergeCell ref="H240:L240"/>
    <mergeCell ref="H246:M246"/>
  </mergeCells>
  <printOptions horizontalCentered="1"/>
  <pageMargins left="0.45" right="0.45" top="0.75" bottom="0.5" header="0.3" footer="0.3"/>
  <pageSetup scale="68" orientation="landscape" horizontalDpi="1200" verticalDpi="1200" r:id="rId1"/>
  <colBreaks count="1" manualBreakCount="1">
    <brk id="17" min="286" max="459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12</vt:i4>
      </vt:variant>
    </vt:vector>
  </HeadingPairs>
  <TitlesOfParts>
    <vt:vector size="18" baseType="lpstr">
      <vt:lpstr>Ex 12 muni</vt:lpstr>
      <vt:lpstr>13</vt:lpstr>
      <vt:lpstr>water muni</vt:lpstr>
      <vt:lpstr>water iou</vt:lpstr>
      <vt:lpstr>swer muni</vt:lpstr>
      <vt:lpstr>sewer iou</vt:lpstr>
      <vt:lpstr>'13'!Print_Area</vt:lpstr>
      <vt:lpstr>'Ex 12 muni'!Print_Area</vt:lpstr>
      <vt:lpstr>'sewer iou'!Print_Area</vt:lpstr>
      <vt:lpstr>'swer muni'!Print_Area</vt:lpstr>
      <vt:lpstr>'water iou'!Print_Area</vt:lpstr>
      <vt:lpstr>'water muni'!Print_Area</vt:lpstr>
      <vt:lpstr>'13'!Print_Titles</vt:lpstr>
      <vt:lpstr>'Ex 12 muni'!Print_Titles</vt:lpstr>
      <vt:lpstr>'sewer iou'!Print_Titles</vt:lpstr>
      <vt:lpstr>'swer muni'!Print_Titles</vt:lpstr>
      <vt:lpstr>'water iou'!Print_Titles</vt:lpstr>
      <vt:lpstr>'water muni'!Print_Titles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Walker, Harold, III</dc:creator>
  <cp:lastModifiedBy>Walker, Harold, III</cp:lastModifiedBy>
  <cp:lastPrinted>2018-06-20T20:47:01Z</cp:lastPrinted>
  <dcterms:created xsi:type="dcterms:W3CDTF">2018-06-20T19:51:53Z</dcterms:created>
  <dcterms:modified xsi:type="dcterms:W3CDTF">2018-06-20T20:51:14Z</dcterms:modified>
</cp:coreProperties>
</file>