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A work\1 - WORKING Area\Marketing 4\Exeter TWP\Analysis - FMV\POST FILING\Deficiency\GF Responses\"/>
    </mc:Choice>
  </mc:AlternateContent>
  <xr:revisionPtr revIDLastSave="0" documentId="8_{010FF4EC-DE1C-47D7-8730-62B252358769}" xr6:coauthVersionLast="31" xr6:coauthVersionMax="31" xr10:uidLastSave="{00000000-0000-0000-0000-000000000000}"/>
  <bookViews>
    <workbookView xWindow="0" yWindow="0" windowWidth="28800" windowHeight="11325" xr2:uid="{00000000-000D-0000-FFFF-FFFF00000000}"/>
  </bookViews>
  <sheets>
    <sheet name="Fund 17 2017" sheetId="1" r:id="rId1"/>
    <sheet name="Sewer 2017" sheetId="2" r:id="rId2"/>
    <sheet name="2017 Sewer Line costs" sheetId="5" r:id="rId3"/>
    <sheet name="Budget Requests 2017" sheetId="3" r:id="rId4"/>
    <sheet name=" Budget Request 2017 - page 2" sheetId="4" r:id="rId5"/>
    <sheet name="Capital Expenditures 2016-2021" sheetId="6" r:id="rId6"/>
  </sheets>
  <definedNames>
    <definedName name="_xlnm.Print_Area" localSheetId="0">'Fund 17 2017'!$A$1:$S$42</definedName>
    <definedName name="_xlnm.Print_Area" localSheetId="1">'Sewer 2017'!$A$1:$X$173</definedName>
    <definedName name="Z_335AE900_CBF5_4B9C_9F01_37D3AE4D028B_.wvu.Cols" localSheetId="0" hidden="1">'Fund 17 2017'!$E:$I</definedName>
    <definedName name="Z_335AE900_CBF5_4B9C_9F01_37D3AE4D028B_.wvu.Cols" localSheetId="1" hidden="1">'Sewer 2017'!$E:$I</definedName>
    <definedName name="Z_335AE900_CBF5_4B9C_9F01_37D3AE4D028B_.wvu.PrintArea" localSheetId="0" hidden="1">'Fund 17 2017'!$A$1:$W$173</definedName>
    <definedName name="Z_335AE900_CBF5_4B9C_9F01_37D3AE4D028B_.wvu.PrintArea" localSheetId="1" hidden="1">'Sewer 2017'!$A$1:$X$173</definedName>
    <definedName name="Z_3D6CA43F_5063_46BF_82B8_2523815F918D_.wvu.Cols" localSheetId="0" hidden="1">'Fund 17 2017'!$E:$H</definedName>
    <definedName name="Z_3D6CA43F_5063_46BF_82B8_2523815F918D_.wvu.Cols" localSheetId="1" hidden="1">'Sewer 2017'!$E:$H</definedName>
    <definedName name="Z_3D6CA43F_5063_46BF_82B8_2523815F918D_.wvu.PrintArea" localSheetId="0" hidden="1">'Fund 17 2017'!$A$1:$W$175</definedName>
    <definedName name="Z_3D6CA43F_5063_46BF_82B8_2523815F918D_.wvu.PrintArea" localSheetId="1" hidden="1">'Sewer 2017'!$A$1:$X$175</definedName>
    <definedName name="Z_3D6CA43F_5063_46BF_82B8_2523815F918D_.wvu.Rows" localSheetId="0" hidden="1">'Fund 17 2017'!#REF!</definedName>
    <definedName name="Z_3D6CA43F_5063_46BF_82B8_2523815F918D_.wvu.Rows" localSheetId="1" hidden="1">'Sewer 2017'!#REF!</definedName>
    <definedName name="Z_830ED1A3_1A4F_4773_8A10_ACA04DBD8F07_.wvu.Cols" localSheetId="0" hidden="1">'Fund 17 2017'!$E:$I</definedName>
    <definedName name="Z_830ED1A3_1A4F_4773_8A10_ACA04DBD8F07_.wvu.Cols" localSheetId="1" hidden="1">'Sewer 2017'!$E:$I</definedName>
    <definedName name="Z_830ED1A3_1A4F_4773_8A10_ACA04DBD8F07_.wvu.PrintArea" localSheetId="0" hidden="1">'Fund 17 2017'!$A$1:$W$173</definedName>
    <definedName name="Z_830ED1A3_1A4F_4773_8A10_ACA04DBD8F07_.wvu.PrintArea" localSheetId="1" hidden="1">'Sewer 2017'!$A$1:$X$173</definedName>
    <definedName name="Z_92D38273_CFB8_4761_B62E_B56B8EE05B1F_.wvu.PrintArea" localSheetId="0" hidden="1">'Fund 17 2017'!$A$1:$W$175</definedName>
    <definedName name="Z_92D38273_CFB8_4761_B62E_B56B8EE05B1F_.wvu.PrintArea" localSheetId="1" hidden="1">'Sewer 2017'!$A$1:$X$175</definedName>
    <definedName name="Z_A9D91934_808A_485C_94A2_092EF5BDF227_.wvu.Cols" localSheetId="0" hidden="1">'Fund 17 2017'!$D:$H</definedName>
    <definedName name="Z_A9D91934_808A_485C_94A2_092EF5BDF227_.wvu.Cols" localSheetId="1" hidden="1">'Sewer 2017'!$D:$H</definedName>
    <definedName name="Z_AB5B1231_30B6_4C9A_A331_1DC9E04A4A49_.wvu.PrintArea" localSheetId="0" hidden="1">'Fund 17 2017'!$A$1:$W$175</definedName>
    <definedName name="Z_AB5B1231_30B6_4C9A_A331_1DC9E04A4A49_.wvu.PrintArea" localSheetId="1" hidden="1">'Sewer 2017'!$A$1:$X$175</definedName>
    <definedName name="Z_B419BFEB_CF83_425E_9ADD_9E138ABC3FF1_.wvu.PrintArea" localSheetId="0" hidden="1">'Fund 17 2017'!$A$1:$J$175</definedName>
    <definedName name="Z_B419BFEB_CF83_425E_9ADD_9E138ABC3FF1_.wvu.PrintArea" localSheetId="1" hidden="1">'Sewer 2017'!$A$1:$J$175</definedName>
    <definedName name="Z_C321B809_16C5_4B7B_94A8_9F46C2CF89B9_.wvu.Cols" localSheetId="0" hidden="1">'Fund 17 2017'!$E:$I</definedName>
    <definedName name="Z_C321B809_16C5_4B7B_94A8_9F46C2CF89B9_.wvu.Cols" localSheetId="1" hidden="1">'Sewer 2017'!$E:$I</definedName>
    <definedName name="Z_C321B809_16C5_4B7B_94A8_9F46C2CF89B9_.wvu.PrintArea" localSheetId="0" hidden="1">'Fund 17 2017'!$A$1:$W$173</definedName>
    <definedName name="Z_C321B809_16C5_4B7B_94A8_9F46C2CF89B9_.wvu.PrintArea" localSheetId="1" hidden="1">'Sewer 2017'!$A$1:$X$173</definedName>
    <definedName name="Z_F05EEA67_41C2_48CC_BDD1_897F0F6D6314_.wvu.Cols" localSheetId="0" hidden="1">'Fund 17 2017'!$D:$D</definedName>
    <definedName name="Z_F05EEA67_41C2_48CC_BDD1_897F0F6D6314_.wvu.Cols" localSheetId="1" hidden="1">'Sewer 2017'!$D:$D</definedName>
    <definedName name="Z_F05EEA67_41C2_48CC_BDD1_897F0F6D6314_.wvu.PrintArea" localSheetId="0" hidden="1">'Fund 17 2017'!$A$1:$J$175</definedName>
    <definedName name="Z_F05EEA67_41C2_48CC_BDD1_897F0F6D6314_.wvu.PrintArea" localSheetId="1" hidden="1">'Sewer 2017'!$A$1:$J$175</definedName>
  </definedNames>
  <calcPr calcId="179017"/>
  <customWorkbookViews>
    <customWorkbookView name="Carol Leinbach - Personal View" guid="{335AE900-CBF5-4B9C-9F01-37D3AE4D028B}" mergeInterval="0" personalView="1" maximized="1" xWindow="1" yWindow="1" windowWidth="1247" windowHeight="478" activeSheetId="1"/>
    <customWorkbookView name="Nancy Jack - Personal View" guid="{3D6CA43F-5063-46BF-82B8-2523815F918D}" mergeInterval="0" personalView="1" maximized="1" xWindow="1" yWindow="1" windowWidth="1436" windowHeight="761" activeSheetId="1"/>
    <customWorkbookView name="Troy - Personal View" guid="{830ED1A3-1A4F-4773-8A10-ACA04DBD8F07}" mergeInterval="0" personalView="1" maximized="1" xWindow="1" yWindow="1" windowWidth="1436" windowHeight="670" activeSheetId="1"/>
    <customWorkbookView name="Troy Bingaman - Personal View" guid="{C321B809-16C5-4B7B-94A8-9F46C2CF89B9}" mergeInterval="0" personalView="1" maximized="1" xWindow="1" yWindow="1" windowWidth="1679" windowHeight="739" activeSheetId="1"/>
  </customWorkbookViews>
</workbook>
</file>

<file path=xl/calcChain.xml><?xml version="1.0" encoding="utf-8"?>
<calcChain xmlns="http://schemas.openxmlformats.org/spreadsheetml/2006/main">
  <c r="K64" i="6" l="1"/>
  <c r="J64" i="6"/>
  <c r="I64" i="6"/>
  <c r="H64" i="6"/>
  <c r="G64" i="6"/>
  <c r="G68" i="6" s="1"/>
  <c r="E64" i="6"/>
  <c r="E70" i="6" s="1"/>
  <c r="N30" i="1"/>
  <c r="N34" i="1" s="1"/>
  <c r="M29" i="1"/>
  <c r="P23" i="1"/>
  <c r="P30" i="1" s="1"/>
  <c r="P34" i="1" s="1"/>
  <c r="O23" i="1"/>
  <c r="O30" i="1" s="1"/>
  <c r="O34" i="1" s="1"/>
  <c r="M23" i="1"/>
  <c r="M30" i="1" s="1"/>
  <c r="L23" i="1"/>
  <c r="L30" i="1" s="1"/>
  <c r="L34" i="1" s="1"/>
  <c r="K23" i="1"/>
  <c r="K30" i="1" s="1"/>
  <c r="K34" i="1" s="1"/>
  <c r="I23" i="1"/>
  <c r="G23" i="1"/>
  <c r="F23" i="1"/>
  <c r="E23" i="1"/>
  <c r="C23" i="1"/>
  <c r="J19" i="1"/>
  <c r="J23" i="1" s="1"/>
  <c r="H17" i="1"/>
  <c r="H23" i="1" s="1"/>
  <c r="G16" i="1"/>
  <c r="D16" i="1"/>
  <c r="D23" i="1" s="1"/>
  <c r="C16" i="1"/>
  <c r="P10" i="1"/>
  <c r="P29" i="1" s="1"/>
  <c r="P31" i="1" s="1"/>
  <c r="O10" i="1"/>
  <c r="O29" i="1" s="1"/>
  <c r="N10" i="1"/>
  <c r="N29" i="1" s="1"/>
  <c r="N31" i="1" s="1"/>
  <c r="M10" i="1"/>
  <c r="L10" i="1"/>
  <c r="L29" i="1" s="1"/>
  <c r="K10" i="1"/>
  <c r="K29" i="1" s="1"/>
  <c r="K31" i="1" s="1"/>
  <c r="K33" i="1" s="1"/>
  <c r="L27" i="1" s="1"/>
  <c r="J10" i="1"/>
  <c r="I10" i="1"/>
  <c r="H10" i="1"/>
  <c r="G10" i="1"/>
  <c r="F10" i="1"/>
  <c r="E10" i="1"/>
  <c r="D10" i="1"/>
  <c r="C10" i="1"/>
  <c r="H4" i="1"/>
  <c r="O31" i="1" l="1"/>
  <c r="H66" i="6"/>
  <c r="G70" i="6"/>
  <c r="M34" i="1"/>
  <c r="M31" i="1"/>
  <c r="L31" i="1"/>
  <c r="L33" i="1" s="1"/>
  <c r="M27" i="1" s="1"/>
  <c r="M33" i="1" s="1"/>
  <c r="N27" i="1" s="1"/>
  <c r="N33" i="1" s="1"/>
  <c r="O27" i="1" s="1"/>
  <c r="O33" i="1" s="1"/>
  <c r="P27" i="1" s="1"/>
  <c r="P33" i="1" s="1"/>
  <c r="H70" i="6" l="1"/>
  <c r="I66" i="6"/>
  <c r="H68" i="6"/>
  <c r="I68" i="6" l="1"/>
  <c r="I70" i="6"/>
  <c r="J66" i="6"/>
  <c r="J68" i="6" l="1"/>
  <c r="J70" i="6"/>
  <c r="K66" i="6"/>
  <c r="K70" i="6" l="1"/>
  <c r="K68" i="6"/>
  <c r="Q137" i="2" l="1"/>
  <c r="Q135" i="2"/>
  <c r="T135" i="2" s="1"/>
  <c r="G30" i="5" l="1"/>
  <c r="K28" i="5"/>
  <c r="I28" i="5"/>
  <c r="K27" i="5"/>
  <c r="I27" i="5"/>
  <c r="K26" i="5"/>
  <c r="I26" i="5"/>
  <c r="K25" i="5"/>
  <c r="I25" i="5"/>
  <c r="K24" i="5"/>
  <c r="I24" i="5"/>
  <c r="K23" i="5"/>
  <c r="I23" i="5"/>
  <c r="K22" i="5"/>
  <c r="I22" i="5"/>
  <c r="K21" i="5"/>
  <c r="I21" i="5"/>
  <c r="K20" i="5"/>
  <c r="I20" i="5"/>
  <c r="K19" i="5"/>
  <c r="I19" i="5"/>
  <c r="K18" i="5"/>
  <c r="I18" i="5"/>
  <c r="K17" i="5"/>
  <c r="I17" i="5"/>
  <c r="K16" i="5"/>
  <c r="I16" i="5"/>
  <c r="K15" i="5"/>
  <c r="I15" i="5"/>
  <c r="K14" i="5"/>
  <c r="I14" i="5"/>
  <c r="K13" i="5"/>
  <c r="I13" i="5"/>
  <c r="K12" i="5"/>
  <c r="I12" i="5"/>
  <c r="K11" i="5"/>
  <c r="I11" i="5"/>
  <c r="K10" i="5"/>
  <c r="I10" i="5"/>
  <c r="K9" i="5"/>
  <c r="I9" i="5"/>
  <c r="K8" i="5"/>
  <c r="I8" i="5"/>
  <c r="K7" i="5"/>
  <c r="I7" i="5"/>
  <c r="K6" i="5"/>
  <c r="I6" i="5"/>
  <c r="K5" i="5"/>
  <c r="I5" i="5"/>
  <c r="K4" i="5"/>
  <c r="I4" i="5"/>
  <c r="K3" i="5"/>
  <c r="K30" i="5" s="1"/>
  <c r="I3" i="5"/>
  <c r="I30" i="5" l="1"/>
  <c r="B41" i="3"/>
  <c r="T107" i="2" l="1"/>
  <c r="U107" i="2" s="1"/>
  <c r="V107" i="2" s="1"/>
  <c r="W107" i="2" s="1"/>
  <c r="T48" i="2"/>
  <c r="U48" i="2" s="1"/>
  <c r="V48" i="2" s="1"/>
  <c r="W48" i="2" s="1"/>
  <c r="T63" i="2"/>
  <c r="U63" i="2" s="1"/>
  <c r="V63" i="2" s="1"/>
  <c r="W63" i="2" s="1"/>
  <c r="T125" i="2" l="1"/>
  <c r="U125" i="2" s="1"/>
  <c r="V125" i="2" s="1"/>
  <c r="W125" i="2" s="1"/>
  <c r="T123" i="2"/>
  <c r="U123" i="2" s="1"/>
  <c r="V123" i="2" s="1"/>
  <c r="W123" i="2" s="1"/>
  <c r="T120" i="2"/>
  <c r="U120" i="2" s="1"/>
  <c r="V120" i="2" s="1"/>
  <c r="W120" i="2" s="1"/>
  <c r="U119" i="2"/>
  <c r="V119" i="2" s="1"/>
  <c r="W119" i="2" s="1"/>
  <c r="T119" i="2"/>
  <c r="T116" i="2"/>
  <c r="U116" i="2" s="1"/>
  <c r="V116" i="2" s="1"/>
  <c r="W116" i="2" s="1"/>
  <c r="T115" i="2"/>
  <c r="U115" i="2" s="1"/>
  <c r="V115" i="2" s="1"/>
  <c r="W115" i="2" s="1"/>
  <c r="T113" i="2"/>
  <c r="U113" i="2" s="1"/>
  <c r="V113" i="2" s="1"/>
  <c r="W113" i="2" s="1"/>
  <c r="T95" i="2"/>
  <c r="U95" i="2" s="1"/>
  <c r="V95" i="2" s="1"/>
  <c r="W95" i="2" s="1"/>
  <c r="T92" i="2"/>
  <c r="U92" i="2" s="1"/>
  <c r="V92" i="2" s="1"/>
  <c r="W92" i="2" s="1"/>
  <c r="T91" i="2"/>
  <c r="U91" i="2" s="1"/>
  <c r="V91" i="2" s="1"/>
  <c r="W91" i="2" s="1"/>
  <c r="T80" i="2"/>
  <c r="U80" i="2" s="1"/>
  <c r="V80" i="2" s="1"/>
  <c r="W80" i="2" s="1"/>
  <c r="T76" i="2"/>
  <c r="U76" i="2" s="1"/>
  <c r="V76" i="2" s="1"/>
  <c r="W76" i="2" s="1"/>
  <c r="T75" i="2"/>
  <c r="U75" i="2" s="1"/>
  <c r="V75" i="2" s="1"/>
  <c r="W75" i="2" s="1"/>
  <c r="T74" i="2"/>
  <c r="U74" i="2" s="1"/>
  <c r="V74" i="2" s="1"/>
  <c r="W74" i="2" s="1"/>
  <c r="T73" i="2"/>
  <c r="T71" i="2"/>
  <c r="U71" i="2" s="1"/>
  <c r="V71" i="2" s="1"/>
  <c r="W71" i="2" s="1"/>
  <c r="Q61" i="2"/>
  <c r="T61" i="2" s="1"/>
  <c r="Q60" i="2"/>
  <c r="T60" i="2" s="1"/>
  <c r="Q49" i="2"/>
  <c r="Q46" i="2" l="1"/>
  <c r="T46" i="2" s="1"/>
  <c r="N142" i="2" l="1"/>
  <c r="N144" i="2"/>
  <c r="Q152" i="2" l="1"/>
  <c r="W152" i="2"/>
  <c r="V152" i="2"/>
  <c r="W156" i="2"/>
  <c r="Q47" i="2"/>
  <c r="Q6" i="2"/>
  <c r="Q25" i="2" s="1"/>
  <c r="O147" i="2"/>
  <c r="O58" i="2"/>
  <c r="N156" i="2"/>
  <c r="N147" i="2"/>
  <c r="N128" i="2"/>
  <c r="N102" i="2"/>
  <c r="R53" i="2"/>
  <c r="N58" i="2"/>
  <c r="N25" i="2"/>
  <c r="R161" i="2"/>
  <c r="R160" i="2"/>
  <c r="R159" i="2"/>
  <c r="R158" i="2"/>
  <c r="U156" i="2"/>
  <c r="Q156" i="2"/>
  <c r="P156" i="2"/>
  <c r="M156" i="2"/>
  <c r="L156" i="2"/>
  <c r="K156" i="2"/>
  <c r="J156" i="2"/>
  <c r="I156" i="2"/>
  <c r="H156" i="2"/>
  <c r="G156" i="2"/>
  <c r="F156" i="2"/>
  <c r="E156" i="2"/>
  <c r="R154" i="2"/>
  <c r="R153" i="2"/>
  <c r="U152" i="2"/>
  <c r="T152" i="2"/>
  <c r="T156" i="2"/>
  <c r="R151" i="2"/>
  <c r="P147" i="2"/>
  <c r="L147" i="2"/>
  <c r="J147" i="2"/>
  <c r="I147" i="2"/>
  <c r="H147" i="2"/>
  <c r="G147" i="2"/>
  <c r="F147" i="2"/>
  <c r="E147" i="2"/>
  <c r="T146" i="2"/>
  <c r="U146" i="2" s="1"/>
  <c r="V146" i="2" s="1"/>
  <c r="W146" i="2" s="1"/>
  <c r="R146" i="2"/>
  <c r="V145" i="2"/>
  <c r="W145" i="2" s="1"/>
  <c r="T145" i="2"/>
  <c r="U145" i="2" s="1"/>
  <c r="R145" i="2"/>
  <c r="R144" i="2"/>
  <c r="M144" i="2"/>
  <c r="Q143" i="2"/>
  <c r="T143" i="2" s="1"/>
  <c r="U143" i="2" s="1"/>
  <c r="V143" i="2" s="1"/>
  <c r="W143" i="2" s="1"/>
  <c r="K143" i="2"/>
  <c r="M142" i="2"/>
  <c r="T141" i="2"/>
  <c r="U141" i="2" s="1"/>
  <c r="V141" i="2" s="1"/>
  <c r="W141" i="2" s="1"/>
  <c r="R141" i="2"/>
  <c r="K141" i="2"/>
  <c r="K147" i="2" s="1"/>
  <c r="Q140" i="2"/>
  <c r="R140" i="2" s="1"/>
  <c r="T139" i="2"/>
  <c r="U139" i="2" s="1"/>
  <c r="V139" i="2" s="1"/>
  <c r="W139" i="2" s="1"/>
  <c r="R139" i="2"/>
  <c r="T138" i="2"/>
  <c r="U138" i="2" s="1"/>
  <c r="V138" i="2" s="1"/>
  <c r="W138" i="2" s="1"/>
  <c r="R138" i="2"/>
  <c r="R137" i="2"/>
  <c r="T136" i="2"/>
  <c r="U136" i="2" s="1"/>
  <c r="V136" i="2" s="1"/>
  <c r="W136" i="2" s="1"/>
  <c r="R136" i="2"/>
  <c r="R134" i="2"/>
  <c r="R133" i="2"/>
  <c r="O128" i="2"/>
  <c r="M128" i="2"/>
  <c r="L128" i="2"/>
  <c r="K128" i="2"/>
  <c r="J128" i="2"/>
  <c r="I128" i="2"/>
  <c r="H128" i="2"/>
  <c r="G128" i="2"/>
  <c r="F128" i="2"/>
  <c r="E128" i="2"/>
  <c r="R126" i="2"/>
  <c r="R125" i="2"/>
  <c r="T124" i="2"/>
  <c r="U124" i="2" s="1"/>
  <c r="V124" i="2" s="1"/>
  <c r="W124" i="2" s="1"/>
  <c r="R124" i="2"/>
  <c r="R123" i="2"/>
  <c r="R122" i="2"/>
  <c r="R121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P106" i="2"/>
  <c r="P128" i="2" s="1"/>
  <c r="Q105" i="2"/>
  <c r="R105" i="2" s="1"/>
  <c r="Q104" i="2"/>
  <c r="T104" i="2" s="1"/>
  <c r="O102" i="2"/>
  <c r="M102" i="2"/>
  <c r="L102" i="2"/>
  <c r="K102" i="2"/>
  <c r="J102" i="2"/>
  <c r="I102" i="2"/>
  <c r="H102" i="2"/>
  <c r="G102" i="2"/>
  <c r="F102" i="2"/>
  <c r="E102" i="2"/>
  <c r="R100" i="2"/>
  <c r="R99" i="2"/>
  <c r="R98" i="2"/>
  <c r="R97" i="2"/>
  <c r="R96" i="2"/>
  <c r="R95" i="2"/>
  <c r="R94" i="2"/>
  <c r="R93" i="2"/>
  <c r="R92" i="2"/>
  <c r="R91" i="2"/>
  <c r="R90" i="2"/>
  <c r="R80" i="2"/>
  <c r="R79" i="2"/>
  <c r="R78" i="2"/>
  <c r="R77" i="2"/>
  <c r="R76" i="2"/>
  <c r="R75" i="2"/>
  <c r="R74" i="2"/>
  <c r="U73" i="2"/>
  <c r="V73" i="2" s="1"/>
  <c r="W73" i="2" s="1"/>
  <c r="R73" i="2"/>
  <c r="R72" i="2"/>
  <c r="R71" i="2"/>
  <c r="R70" i="2"/>
  <c r="U69" i="2"/>
  <c r="V69" i="2" s="1"/>
  <c r="W69" i="2" s="1"/>
  <c r="R69" i="2"/>
  <c r="T68" i="2"/>
  <c r="U68" i="2" s="1"/>
  <c r="V68" i="2" s="1"/>
  <c r="W68" i="2" s="1"/>
  <c r="R68" i="2"/>
  <c r="T67" i="2"/>
  <c r="U67" i="2" s="1"/>
  <c r="V67" i="2" s="1"/>
  <c r="W67" i="2" s="1"/>
  <c r="R67" i="2"/>
  <c r="T66" i="2"/>
  <c r="U66" i="2" s="1"/>
  <c r="V66" i="2" s="1"/>
  <c r="W66" i="2" s="1"/>
  <c r="R66" i="2"/>
  <c r="R65" i="2"/>
  <c r="R64" i="2"/>
  <c r="R63" i="2"/>
  <c r="P62" i="2"/>
  <c r="P102" i="2" s="1"/>
  <c r="R61" i="2"/>
  <c r="Q62" i="2"/>
  <c r="R62" i="2" s="1"/>
  <c r="K58" i="2"/>
  <c r="J58" i="2"/>
  <c r="H58" i="2"/>
  <c r="G58" i="2"/>
  <c r="F58" i="2"/>
  <c r="E58" i="2"/>
  <c r="E162" i="2" s="1"/>
  <c r="R56" i="2"/>
  <c r="I56" i="2"/>
  <c r="R55" i="2"/>
  <c r="R54" i="2"/>
  <c r="R52" i="2"/>
  <c r="I52" i="2"/>
  <c r="R51" i="2"/>
  <c r="T50" i="2"/>
  <c r="U50" i="2" s="1"/>
  <c r="V50" i="2" s="1"/>
  <c r="W50" i="2" s="1"/>
  <c r="R50" i="2"/>
  <c r="T49" i="2"/>
  <c r="U49" i="2" s="1"/>
  <c r="V49" i="2" s="1"/>
  <c r="W49" i="2" s="1"/>
  <c r="R49" i="2"/>
  <c r="R48" i="2"/>
  <c r="R47" i="2"/>
  <c r="P47" i="2"/>
  <c r="P58" i="2" s="1"/>
  <c r="M47" i="2"/>
  <c r="M58" i="2" s="1"/>
  <c r="L47" i="2"/>
  <c r="L58" i="2" s="1"/>
  <c r="P25" i="2"/>
  <c r="P34" i="2" s="1"/>
  <c r="O25" i="2"/>
  <c r="M25" i="2"/>
  <c r="L25" i="2"/>
  <c r="K25" i="2"/>
  <c r="J25" i="2"/>
  <c r="I25" i="2"/>
  <c r="H25" i="2"/>
  <c r="G25" i="2"/>
  <c r="F25" i="2"/>
  <c r="E25" i="2"/>
  <c r="R23" i="2"/>
  <c r="R22" i="2"/>
  <c r="R21" i="2"/>
  <c r="R20" i="2"/>
  <c r="R19" i="2"/>
  <c r="R18" i="2"/>
  <c r="R17" i="2"/>
  <c r="R16" i="2"/>
  <c r="R15" i="2"/>
  <c r="R14" i="2"/>
  <c r="R13" i="2"/>
  <c r="R11" i="2"/>
  <c r="R10" i="2"/>
  <c r="R9" i="2"/>
  <c r="R8" i="2"/>
  <c r="T7" i="2"/>
  <c r="U7" i="2" s="1"/>
  <c r="V7" i="2" s="1"/>
  <c r="W7" i="2" s="1"/>
  <c r="R7" i="2"/>
  <c r="R4" i="2"/>
  <c r="M147" i="2" l="1"/>
  <c r="N162" i="2"/>
  <c r="I58" i="2"/>
  <c r="I162" i="2" s="1"/>
  <c r="R135" i="2"/>
  <c r="Q106" i="2"/>
  <c r="R106" i="2" s="1"/>
  <c r="R60" i="2"/>
  <c r="Q58" i="2"/>
  <c r="R58" i="2" s="1"/>
  <c r="R46" i="2"/>
  <c r="V156" i="2"/>
  <c r="K162" i="2"/>
  <c r="G162" i="2"/>
  <c r="O149" i="2"/>
  <c r="N149" i="2"/>
  <c r="R143" i="2"/>
  <c r="U61" i="2"/>
  <c r="V61" i="2" s="1"/>
  <c r="W61" i="2" s="1"/>
  <c r="Q102" i="2"/>
  <c r="R102" i="2" s="1"/>
  <c r="F162" i="2"/>
  <c r="J162" i="2"/>
  <c r="M162" i="2"/>
  <c r="M149" i="2"/>
  <c r="S25" i="2"/>
  <c r="Q34" i="2"/>
  <c r="R25" i="2"/>
  <c r="L149" i="2"/>
  <c r="L162" i="2"/>
  <c r="I149" i="2"/>
  <c r="T6" i="2"/>
  <c r="P162" i="2"/>
  <c r="P35" i="2" s="1"/>
  <c r="P39" i="2" s="1"/>
  <c r="U104" i="2"/>
  <c r="Q147" i="2"/>
  <c r="R147" i="2" s="1"/>
  <c r="G149" i="2"/>
  <c r="K149" i="2"/>
  <c r="P149" i="2"/>
  <c r="F149" i="2"/>
  <c r="H149" i="2"/>
  <c r="J149" i="2"/>
  <c r="Q128" i="2"/>
  <c r="R128" i="2" s="1"/>
  <c r="R104" i="2"/>
  <c r="T105" i="2"/>
  <c r="U105" i="2" s="1"/>
  <c r="V105" i="2" s="1"/>
  <c r="W105" i="2" s="1"/>
  <c r="R120" i="2"/>
  <c r="U135" i="2"/>
  <c r="T137" i="2"/>
  <c r="U137" i="2" s="1"/>
  <c r="V137" i="2" s="1"/>
  <c r="W137" i="2" s="1"/>
  <c r="T140" i="2"/>
  <c r="U140" i="2" s="1"/>
  <c r="V140" i="2" s="1"/>
  <c r="W140" i="2" s="1"/>
  <c r="E149" i="2"/>
  <c r="O156" i="2"/>
  <c r="R156" i="2" s="1"/>
  <c r="R152" i="2"/>
  <c r="H162" i="2"/>
  <c r="T106" i="2" l="1"/>
  <c r="T128" i="2" s="1"/>
  <c r="O162" i="2"/>
  <c r="P38" i="2"/>
  <c r="Q32" i="2" s="1"/>
  <c r="T62" i="2"/>
  <c r="T102" i="2" s="1"/>
  <c r="U60" i="2"/>
  <c r="U6" i="2"/>
  <c r="T25" i="2"/>
  <c r="Q149" i="2"/>
  <c r="R149" i="2" s="1"/>
  <c r="U147" i="2"/>
  <c r="V135" i="2"/>
  <c r="T47" i="2"/>
  <c r="T58" i="2" s="1"/>
  <c r="U46" i="2"/>
  <c r="U106" i="2"/>
  <c r="U128" i="2" s="1"/>
  <c r="V104" i="2"/>
  <c r="T147" i="2"/>
  <c r="Q162" i="2"/>
  <c r="P36" i="2"/>
  <c r="T162" i="2" l="1"/>
  <c r="T149" i="2"/>
  <c r="R162" i="2"/>
  <c r="S162" i="2"/>
  <c r="Q35" i="2"/>
  <c r="W104" i="2"/>
  <c r="V106" i="2"/>
  <c r="V128" i="2" s="1"/>
  <c r="V147" i="2"/>
  <c r="W135" i="2"/>
  <c r="W147" i="2" s="1"/>
  <c r="U25" i="2"/>
  <c r="V6" i="2"/>
  <c r="U62" i="2"/>
  <c r="U102" i="2" s="1"/>
  <c r="U162" i="2" s="1"/>
  <c r="V60" i="2"/>
  <c r="V46" i="2"/>
  <c r="U47" i="2"/>
  <c r="U58" i="2" s="1"/>
  <c r="T34" i="2"/>
  <c r="T26" i="2"/>
  <c r="U149" i="2" l="1"/>
  <c r="V47" i="2"/>
  <c r="V58" i="2" s="1"/>
  <c r="W46" i="2"/>
  <c r="W6" i="2"/>
  <c r="W25" i="2" s="1"/>
  <c r="V25" i="2"/>
  <c r="V62" i="2"/>
  <c r="V102" i="2" s="1"/>
  <c r="W60" i="2"/>
  <c r="U26" i="2"/>
  <c r="U34" i="2"/>
  <c r="W106" i="2"/>
  <c r="W128" i="2" s="1"/>
  <c r="Q39" i="2"/>
  <c r="Q36" i="2"/>
  <c r="Q38" i="2"/>
  <c r="T32" i="2" s="1"/>
  <c r="T163" i="2"/>
  <c r="T35" i="2"/>
  <c r="T39" i="2" s="1"/>
  <c r="V162" i="2" l="1"/>
  <c r="V149" i="2"/>
  <c r="T38" i="2"/>
  <c r="U32" i="2" s="1"/>
  <c r="W62" i="2"/>
  <c r="W102" i="2" s="1"/>
  <c r="T36" i="2"/>
  <c r="W26" i="2"/>
  <c r="W34" i="2"/>
  <c r="V34" i="2"/>
  <c r="V26" i="2"/>
  <c r="W47" i="2"/>
  <c r="W58" i="2" s="1"/>
  <c r="U163" i="2"/>
  <c r="U35" i="2"/>
  <c r="U39" i="2" s="1"/>
  <c r="W149" i="2" l="1"/>
  <c r="W162" i="2"/>
  <c r="U36" i="2"/>
  <c r="U38" i="2"/>
  <c r="V32" i="2" s="1"/>
  <c r="V163" i="2"/>
  <c r="V35" i="2"/>
  <c r="V39" i="2" s="1"/>
  <c r="V38" i="2" l="1"/>
  <c r="W32" i="2" s="1"/>
  <c r="W163" i="2"/>
  <c r="W35" i="2"/>
  <c r="V36" i="2"/>
  <c r="W39" i="2" l="1"/>
  <c r="W36" i="2"/>
  <c r="W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 Leinbach</author>
  </authors>
  <commentList>
    <comment ref="C4" authorId="0" shapeId="0" xr:uid="{00000000-0006-0000-0000-000001000000}">
      <text>
        <r>
          <rPr>
            <b/>
            <i/>
            <sz val="9"/>
            <color indexed="81"/>
            <rFont val="Tahoma"/>
            <family val="2"/>
          </rPr>
          <t>Carol Leinbach:</t>
        </r>
        <r>
          <rPr>
            <i/>
            <sz val="9"/>
            <color indexed="81"/>
            <rFont val="Tahoma"/>
            <family val="2"/>
          </rPr>
          <t xml:space="preserve">
average unspent funds @1.35% 
8,612,589.73x.5x.0135=58,134.98</t>
        </r>
      </text>
    </comment>
    <comment ref="C5" authorId="0" shapeId="0" xr:uid="{00000000-0006-0000-0000-000002000000}">
      <text>
        <r>
          <rPr>
            <b/>
            <i/>
            <sz val="9"/>
            <color indexed="81"/>
            <rFont val="Tahoma"/>
            <family val="2"/>
          </rPr>
          <t>Carol Leinbach:</t>
        </r>
        <r>
          <rPr>
            <i/>
            <sz val="9"/>
            <color indexed="81"/>
            <rFont val="Tahoma"/>
            <family val="2"/>
          </rPr>
          <t xml:space="preserve">
Sludge Dryer Grant
</t>
        </r>
      </text>
    </comment>
    <comment ref="I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PENNDOT 50% Reimb of Gannett Flemming Invoices.  Fund 8 - $4,335.95  Fund 17 - $17,501.57 Total $21,837.52</t>
        </r>
      </text>
    </comment>
    <comment ref="E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includes $120,000 for bridge replacement, 50% reimbursement from Penndot in 2013</t>
        </r>
        <r>
          <rPr>
            <i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 Leinbach</author>
    <author>doris</author>
    <author>Paul Herb</author>
    <author>H. David Miller</author>
    <author>Troy Bingaman</author>
  </authors>
  <commentList>
    <comment ref="T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$7 mil jumbo cd matures 7/15/18. Receive interest Jan and July. $362,810 ($7 mil x .05183)  </t>
        </r>
      </text>
    </comment>
    <comment ref="U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Assumed $7,000,000 from CD would be transferred to Fund 17 for capital projects.</t>
        </r>
      </text>
    </comment>
    <comment ref="X4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Peter: Interest may decrease in reality, but a 2% increase may is best case.
</t>
        </r>
      </text>
    </comment>
    <comment ref="Q6" authorId="2" shapeId="0" xr:uid="{00000000-0006-0000-0100-000004000000}">
      <text>
        <r>
          <rPr>
            <b/>
            <sz val="9"/>
            <color indexed="81"/>
            <rFont val="Tahoma"/>
            <family val="2"/>
          </rPr>
          <t>Paul Herb:</t>
        </r>
        <r>
          <rPr>
            <sz val="9"/>
            <color indexed="81"/>
            <rFont val="Tahoma"/>
            <family val="2"/>
          </rPr>
          <t xml:space="preserve">
To be determined</t>
        </r>
      </text>
    </comment>
    <comment ref="X18" authorId="1" shapeId="0" xr:uid="{00000000-0006-0000-0100-000005000000}">
      <text>
        <r>
          <rPr>
            <b/>
            <sz val="8"/>
            <color indexed="81"/>
            <rFont val="Tahoma"/>
            <family val="2"/>
          </rPr>
          <t>Peter: Not as many connections due to decrease in residential units.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updated for rate increase</t>
        </r>
      </text>
    </comment>
    <comment ref="X48" authorId="1" shapeId="0" xr:uid="{00000000-0006-0000-0100-000007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49" authorId="1" shapeId="0" xr:uid="{00000000-0006-0000-0100-000008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54" authorId="1" shapeId="0" xr:uid="{00000000-0006-0000-0100-000009000000}">
      <text>
        <r>
          <rPr>
            <b/>
            <sz val="8"/>
            <color indexed="81"/>
            <rFont val="Tahoma"/>
            <family val="2"/>
          </rPr>
          <t>Peter: Replacement of meters.  Switch 100 or so per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6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updated for rate increase</t>
        </r>
      </text>
    </comment>
    <comment ref="X63" authorId="1" shapeId="0" xr:uid="{00000000-0006-0000-0100-00000B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65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Peter: $96,000 for liquid polymer.  Future chemical costs may vary according to plant condition and projects.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66" authorId="1" shapeId="0" xr:uid="{00000000-0006-0000-0100-00000D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67" authorId="1" shapeId="0" xr:uid="{00000000-0006-0000-0100-00000E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68" authorId="1" shapeId="0" xr:uid="{00000000-0006-0000-0100-00000F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69" authorId="1" shapeId="0" xr:uid="{00000000-0006-0000-0100-000010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71" authorId="1" shapeId="0" xr:uid="{00000000-0006-0000-0100-000011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73" authorId="1" shapeId="0" xr:uid="{00000000-0006-0000-0100-000012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74" authorId="1" shapeId="0" xr:uid="{00000000-0006-0000-0100-000013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75" authorId="1" shapeId="0" xr:uid="{00000000-0006-0000-0100-000014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76" authorId="1" shapeId="0" xr:uid="{00000000-0006-0000-0100-000015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80" authorId="1" shapeId="0" xr:uid="{00000000-0006-0000-0100-000016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K90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>Carol Leinbach:</t>
        </r>
        <r>
          <rPr>
            <sz val="8"/>
            <color indexed="81"/>
            <rFont val="Tahoma"/>
            <family val="2"/>
          </rPr>
          <t xml:space="preserve">
changed per email from Paul 8/15 increased from $50,000 to include weekly grit and screenings</t>
        </r>
      </text>
    </comment>
    <comment ref="X91" authorId="1" shapeId="0" xr:uid="{00000000-0006-0000-0100-000018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92" authorId="1" shapeId="0" xr:uid="{00000000-0006-0000-0100-000019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95" authorId="1" shapeId="0" xr:uid="{00000000-0006-0000-0100-00001A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K98" authorId="3" shapeId="0" xr:uid="{00000000-0006-0000-0100-00001B000000}">
      <text>
        <r>
          <rPr>
            <b/>
            <sz val="8"/>
            <color indexed="81"/>
            <rFont val="Tahoma"/>
            <family val="2"/>
          </rPr>
          <t>H. David Miller:</t>
        </r>
        <r>
          <rPr>
            <sz val="8"/>
            <color indexed="81"/>
            <rFont val="Tahoma"/>
            <family val="2"/>
          </rPr>
          <t xml:space="preserve">
Upgrade SCADA system</t>
        </r>
      </text>
    </comment>
    <comment ref="M100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Increased to agree with quotes</t>
        </r>
      </text>
    </comment>
    <comment ref="M107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updated for rate increase</t>
        </r>
      </text>
    </comment>
    <comment ref="X107" authorId="1" shapeId="0" xr:uid="{00000000-0006-0000-0100-00001E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108" authorId="1" shapeId="0" xr:uid="{00000000-0006-0000-0100-00001F000000}">
      <text>
        <r>
          <rPr>
            <b/>
            <sz val="8"/>
            <color indexed="81"/>
            <rFont val="Tahoma"/>
            <family val="2"/>
          </rPr>
          <t xml:space="preserve">Peter: Supplies and other expenses will vary.  Rough projections needed.
</t>
        </r>
      </text>
    </comment>
    <comment ref="X113" authorId="1" shapeId="0" xr:uid="{00000000-0006-0000-0100-000020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115" authorId="1" shapeId="0" xr:uid="{00000000-0006-0000-0100-000021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L117" authorId="0" shapeId="0" xr:uid="{00000000-0006-0000-0100-000022000000}">
      <text>
        <r>
          <rPr>
            <b/>
            <sz val="8"/>
            <color indexed="81"/>
            <rFont val="Tahoma"/>
            <family val="2"/>
          </rPr>
          <t>Carol Leinbach:</t>
        </r>
        <r>
          <rPr>
            <sz val="8"/>
            <color indexed="81"/>
            <rFont val="Tahoma"/>
            <family val="2"/>
          </rPr>
          <t xml:space="preserve">
Paying Agent Fee M&amp;T</t>
        </r>
      </text>
    </comment>
    <comment ref="L119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PEL Study $26,300x36% remaining portion in GF</t>
        </r>
      </text>
    </comment>
    <comment ref="M119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Includes $56,250x36% for PEL Study offset by DCED EIP Grant remaining 64% in the GF</t>
        </r>
      </text>
    </comment>
    <comment ref="X120" authorId="1" shapeId="0" xr:uid="{00000000-0006-0000-0100-000025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X123" authorId="1" shapeId="0" xr:uid="{00000000-0006-0000-0100-000026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P124" authorId="2" shapeId="0" xr:uid="{00000000-0006-0000-0100-000027000000}">
      <text>
        <r>
          <rPr>
            <b/>
            <sz val="9"/>
            <color indexed="81"/>
            <rFont val="Tahoma"/>
            <family val="2"/>
          </rPr>
          <t>Paul Herb:</t>
        </r>
        <r>
          <rPr>
            <sz val="9"/>
            <color indexed="81"/>
            <rFont val="Tahoma"/>
            <family val="2"/>
          </rPr>
          <t xml:space="preserve">
BKF paying with credit card is reason this is so high</t>
        </r>
      </text>
    </comment>
    <comment ref="X125" authorId="1" shapeId="0" xr:uid="{00000000-0006-0000-0100-000028000000}">
      <text>
        <r>
          <rPr>
            <b/>
            <sz val="8"/>
            <color indexed="81"/>
            <rFont val="Tahoma"/>
            <family val="2"/>
          </rPr>
          <t>Peter: Depends on projects and annual operations.</t>
        </r>
      </text>
    </comment>
    <comment ref="M126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Includes $5,000 Phone Replacement</t>
        </r>
      </text>
    </comment>
    <comment ref="J136" authorId="4" shapeId="0" xr:uid="{00000000-0006-0000-0100-00002A000000}">
      <text>
        <r>
          <rPr>
            <b/>
            <sz val="9"/>
            <color indexed="81"/>
            <rFont val="Tahoma"/>
            <family val="2"/>
          </rPr>
          <t>Troy Bingaman:</t>
        </r>
        <r>
          <rPr>
            <sz val="9"/>
            <color indexed="81"/>
            <rFont val="Tahoma"/>
            <family val="2"/>
          </rPr>
          <t xml:space="preserve">
Non-U MMO $107,469/8 x 4 (Eva, Paul, Dave, 1/2 Troy &amp; 1/2 Carol)</t>
        </r>
      </text>
    </comment>
    <comment ref="K136" authorId="4" shapeId="0" xr:uid="{00000000-0006-0000-0100-00002B000000}">
      <text>
        <r>
          <rPr>
            <b/>
            <sz val="9"/>
            <color indexed="81"/>
            <rFont val="Tahoma"/>
            <family val="2"/>
          </rPr>
          <t>Troy Bingaman:</t>
        </r>
        <r>
          <rPr>
            <sz val="9"/>
            <color indexed="81"/>
            <rFont val="Tahoma"/>
            <family val="2"/>
          </rPr>
          <t xml:space="preserve">
Non-U MMO $107,469/8 x 4 (Eva, Paul, Dave, 1/2 Troy &amp; 1/2 Carol)
Carol updated 10/26/11 per allocation</t>
        </r>
      </text>
    </comment>
    <comment ref="M141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Includes $14.76 PCOR Fee &amp; $568.45 Transitional Reinsurance Fee</t>
        </r>
      </text>
    </comment>
    <comment ref="B151" authorId="0" shapeId="0" xr:uid="{00000000-0006-0000-0100-00002D000000}">
      <text>
        <r>
          <rPr>
            <b/>
            <sz val="8"/>
            <color indexed="81"/>
            <rFont val="Tahoma"/>
            <family val="2"/>
          </rPr>
          <t>Carol Leinbach:</t>
        </r>
        <r>
          <rPr>
            <sz val="8"/>
            <color indexed="81"/>
            <rFont val="Tahoma"/>
            <family val="2"/>
          </rPr>
          <t xml:space="preserve">
Refunded Series B of 2002 Note</t>
        </r>
      </text>
    </comment>
    <comment ref="B152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Carol Leinbach:</t>
        </r>
        <r>
          <rPr>
            <sz val="9"/>
            <color indexed="81"/>
            <rFont val="Tahoma"/>
            <family val="2"/>
          </rPr>
          <t xml:space="preserve">
Refunded Series of 2009</t>
        </r>
      </text>
    </comment>
    <comment ref="I152" authorId="0" shapeId="0" xr:uid="{00000000-0006-0000-0100-00002F000000}">
      <text>
        <r>
          <rPr>
            <b/>
            <sz val="8"/>
            <color indexed="81"/>
            <rFont val="Tahoma"/>
            <family val="2"/>
          </rPr>
          <t>Carol Leinbach:</t>
        </r>
        <r>
          <rPr>
            <sz val="8"/>
            <color indexed="81"/>
            <rFont val="Tahoma"/>
            <family val="2"/>
          </rPr>
          <t xml:space="preserve">
see separate tab for interest calculation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Herb</author>
  </authors>
  <commentList>
    <comment ref="G2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Paul Herb:</t>
        </r>
        <r>
          <rPr>
            <sz val="9"/>
            <color indexed="81"/>
            <rFont val="Tahoma"/>
            <family val="2"/>
          </rPr>
          <t xml:space="preserve">
This is a maybe</t>
        </r>
      </text>
    </comment>
    <comment ref="G2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Paul Herb:</t>
        </r>
        <r>
          <rPr>
            <sz val="9"/>
            <color indexed="81"/>
            <rFont val="Tahoma"/>
            <family val="2"/>
          </rPr>
          <t xml:space="preserve">
This may never happen</t>
        </r>
      </text>
    </comment>
  </commentList>
</comments>
</file>

<file path=xl/sharedStrings.xml><?xml version="1.0" encoding="utf-8"?>
<sst xmlns="http://schemas.openxmlformats.org/spreadsheetml/2006/main" count="766" uniqueCount="465">
  <si>
    <t>ACCOUNT</t>
  </si>
  <si>
    <t>2010</t>
  </si>
  <si>
    <t>2011</t>
  </si>
  <si>
    <t>2012</t>
  </si>
  <si>
    <t>2013</t>
  </si>
  <si>
    <t>2014</t>
  </si>
  <si>
    <t>2015</t>
  </si>
  <si>
    <t>2016</t>
  </si>
  <si>
    <t>2017</t>
  </si>
  <si>
    <t>Long-Term Outlook</t>
  </si>
  <si>
    <t>NUMBER</t>
  </si>
  <si>
    <t>DESCRIPTION</t>
  </si>
  <si>
    <t>ACTUAL</t>
  </si>
  <si>
    <t>BUDGET</t>
  </si>
  <si>
    <t>OUTLOOK</t>
  </si>
  <si>
    <t>Notes &amp; Comments</t>
  </si>
  <si>
    <t>08-340-010</t>
  </si>
  <si>
    <t>Interest - Sewer</t>
  </si>
  <si>
    <t>08-364-131</t>
  </si>
  <si>
    <t>Sewer Rents</t>
  </si>
  <si>
    <t>08-364-132</t>
  </si>
  <si>
    <t>St. Lawrence Treatment Fee</t>
  </si>
  <si>
    <t>08-364-133</t>
  </si>
  <si>
    <t>Industrial Surcharges</t>
  </si>
  <si>
    <t>08-364-140</t>
  </si>
  <si>
    <t>Septage/Sludge Receiving</t>
  </si>
  <si>
    <t>08-364-160</t>
  </si>
  <si>
    <t>Penalties - Sewer</t>
  </si>
  <si>
    <t>08-364-170</t>
  </si>
  <si>
    <t>Misc Service Charges</t>
  </si>
  <si>
    <t>08-380-110</t>
  </si>
  <si>
    <t>Miscellaneous Income</t>
  </si>
  <si>
    <t>08-380-112</t>
  </si>
  <si>
    <t>Certification Fees</t>
  </si>
  <si>
    <t>08-380-120</t>
  </si>
  <si>
    <t>Tapping Fees</t>
  </si>
  <si>
    <t>08-380-130</t>
  </si>
  <si>
    <t>St. Lawrence Addt'l Capacity</t>
  </si>
  <si>
    <t>08-380-160</t>
  </si>
  <si>
    <t>Capacity Fees</t>
  </si>
  <si>
    <t>08-391-100</t>
  </si>
  <si>
    <t>Sale of Assets</t>
  </si>
  <si>
    <t>08-393-110</t>
  </si>
  <si>
    <t>St. Lawrence Bond Revenue</t>
  </si>
  <si>
    <t>08-393-120</t>
  </si>
  <si>
    <t>General Obligation Note</t>
  </si>
  <si>
    <t>08-394-000</t>
  </si>
  <si>
    <t>Refund Prior Year Expense</t>
  </si>
  <si>
    <t>Beginning Cash Balance</t>
  </si>
  <si>
    <t>Increase(Decrease)</t>
  </si>
  <si>
    <t>Proposed Balance</t>
  </si>
  <si>
    <t>3 mo operating</t>
  </si>
  <si>
    <t>08-428-140</t>
  </si>
  <si>
    <t>Wages-Collection Syst</t>
  </si>
  <si>
    <t>08-428-161</t>
  </si>
  <si>
    <t>FICA/Medicare</t>
  </si>
  <si>
    <t>08-428-162</t>
  </si>
  <si>
    <t>Unemployment Comp</t>
  </si>
  <si>
    <t>08-428-250</t>
  </si>
  <si>
    <t>Maint Supplies - Collection</t>
  </si>
  <si>
    <t>5% annual increase</t>
  </si>
  <si>
    <t>08-428-251</t>
  </si>
  <si>
    <t>Maint of Equipment</t>
  </si>
  <si>
    <t xml:space="preserve">5% increase </t>
  </si>
  <si>
    <t>08-428-260</t>
  </si>
  <si>
    <t>Tools &amp; Minor Equip</t>
  </si>
  <si>
    <t>08-428-313</t>
  </si>
  <si>
    <t>Engineering - Sewer</t>
  </si>
  <si>
    <t>08-428-450</t>
  </si>
  <si>
    <t>Contracted Services-Collection</t>
  </si>
  <si>
    <t>08-428-742</t>
  </si>
  <si>
    <t>Capital Purchase - Meters</t>
  </si>
  <si>
    <t>08-428-743</t>
  </si>
  <si>
    <t>Installation - Meters</t>
  </si>
  <si>
    <t>08-428-744</t>
  </si>
  <si>
    <t>Capital Purchase-Equip</t>
  </si>
  <si>
    <t>Total Collection System</t>
  </si>
  <si>
    <t>08-429-140</t>
  </si>
  <si>
    <t>Wages-Treatment System</t>
  </si>
  <si>
    <t>08-429-141</t>
  </si>
  <si>
    <t>Wages-Veh Maint</t>
  </si>
  <si>
    <t>08-429-161</t>
  </si>
  <si>
    <t>08-429-162</t>
  </si>
  <si>
    <t>08-429-220</t>
  </si>
  <si>
    <t>Gen Operating Supplies</t>
  </si>
  <si>
    <t>08-429-221</t>
  </si>
  <si>
    <t>Misc Chemicals</t>
  </si>
  <si>
    <t>08-429-222</t>
  </si>
  <si>
    <t>Chlorine</t>
  </si>
  <si>
    <t>08-429-223</t>
  </si>
  <si>
    <t>Chemicals - Biosolids Dust Control</t>
  </si>
  <si>
    <t>08-429-225</t>
  </si>
  <si>
    <t>Lab Supplies</t>
  </si>
  <si>
    <t>08-429-230</t>
  </si>
  <si>
    <t>Fuel - Plant</t>
  </si>
  <si>
    <t>08-429-238</t>
  </si>
  <si>
    <t>Uniform Rental</t>
  </si>
  <si>
    <t>hold the line</t>
  </si>
  <si>
    <t>08-429-251</t>
  </si>
  <si>
    <t>Veh Maint-Gas/Oil</t>
  </si>
  <si>
    <t>Slight increase in coming years</t>
  </si>
  <si>
    <t>08-429-252</t>
  </si>
  <si>
    <t>Veh Maint-Tires</t>
  </si>
  <si>
    <t>08-429-253</t>
  </si>
  <si>
    <t>Veh Maint-Repair Parts</t>
  </si>
  <si>
    <t>08-429-254</t>
  </si>
  <si>
    <t>Maint/Rep-Building</t>
  </si>
  <si>
    <t>08-429-255</t>
  </si>
  <si>
    <t>Maint/Rep M&amp;E</t>
  </si>
  <si>
    <t>08-429-256</t>
  </si>
  <si>
    <t>Maint/Rep-Pump Stations</t>
  </si>
  <si>
    <t>08-429-257</t>
  </si>
  <si>
    <t>Maint/Rep-Meters</t>
  </si>
  <si>
    <t>08-429-258</t>
  </si>
  <si>
    <t>Maint/Rep-Grinder Pumps</t>
  </si>
  <si>
    <t>08-429-260</t>
  </si>
  <si>
    <t>Tools/Minor Equip</t>
  </si>
  <si>
    <t>08-429-316</t>
  </si>
  <si>
    <t>Lab Fees</t>
  </si>
  <si>
    <t>2006</t>
  </si>
  <si>
    <t>2007</t>
  </si>
  <si>
    <t>2008</t>
  </si>
  <si>
    <t>08-429-317</t>
  </si>
  <si>
    <t>Sludge Removal</t>
  </si>
  <si>
    <t>08-429-320</t>
  </si>
  <si>
    <t>Communications</t>
  </si>
  <si>
    <t>08-429-329</t>
  </si>
  <si>
    <t>Communications-PA One Call</t>
  </si>
  <si>
    <t>08-429-361</t>
  </si>
  <si>
    <t>Electricity</t>
  </si>
  <si>
    <t>08-429-362</t>
  </si>
  <si>
    <t>Electricity-Pump Stations</t>
  </si>
  <si>
    <t>08-429-451</t>
  </si>
  <si>
    <t>Contracted Serv-Vehicles</t>
  </si>
  <si>
    <t>5% Increase</t>
  </si>
  <si>
    <t>08-429-452</t>
  </si>
  <si>
    <t>Contracted Serv-Building</t>
  </si>
  <si>
    <t>08-429-453</t>
  </si>
  <si>
    <t>Contracted Serv-Equipment</t>
  </si>
  <si>
    <t>08-429-454</t>
  </si>
  <si>
    <t>Contracted Serv-Instrument</t>
  </si>
  <si>
    <t>08-429-740</t>
  </si>
  <si>
    <t>Capital Purchase M &amp; E</t>
  </si>
  <si>
    <t xml:space="preserve">Total Treatment System </t>
  </si>
  <si>
    <t>08-480-140</t>
  </si>
  <si>
    <t>Wages-Other Staff</t>
  </si>
  <si>
    <t>08-480-141</t>
  </si>
  <si>
    <t>Wages-Billing</t>
  </si>
  <si>
    <t>08-480-161</t>
  </si>
  <si>
    <t>08-480-162</t>
  </si>
  <si>
    <t>08-480-200</t>
  </si>
  <si>
    <t>DP Supplies</t>
  </si>
  <si>
    <t>Miscellaneous Supplies, etc.</t>
  </si>
  <si>
    <t>08-480-210</t>
  </si>
  <si>
    <t>Office Supplies</t>
  </si>
  <si>
    <t>08-480-212</t>
  </si>
  <si>
    <t>Billing Supplies</t>
  </si>
  <si>
    <t>08-480-302</t>
  </si>
  <si>
    <t>Training</t>
  </si>
  <si>
    <t>08-480-311</t>
  </si>
  <si>
    <t>Auditing Services</t>
  </si>
  <si>
    <t>08-480-313</t>
  </si>
  <si>
    <t>Engineering Services</t>
  </si>
  <si>
    <t>08-480-314</t>
  </si>
  <si>
    <t>Legal Service</t>
  </si>
  <si>
    <t>08-480-316</t>
  </si>
  <si>
    <t>DP Tech Support</t>
  </si>
  <si>
    <t>Expected to Increase</t>
  </si>
  <si>
    <t>08-480-317</t>
  </si>
  <si>
    <t>Bank Charges</t>
  </si>
  <si>
    <t>08-480-318</t>
  </si>
  <si>
    <t>Misc Services</t>
  </si>
  <si>
    <t>08-480-320</t>
  </si>
  <si>
    <t>Consulting Services</t>
  </si>
  <si>
    <t>08-480-321</t>
  </si>
  <si>
    <t>Meter Readings</t>
  </si>
  <si>
    <t>08-480-340</t>
  </si>
  <si>
    <t>Advertising/Printing</t>
  </si>
  <si>
    <t>08-480-374</t>
  </si>
  <si>
    <t>DP Equip Maint</t>
  </si>
  <si>
    <t>08-480-384</t>
  </si>
  <si>
    <t>Equipment Rental</t>
  </si>
  <si>
    <t>08-480-390</t>
  </si>
  <si>
    <t>Credit Card Fees/Sewer</t>
  </si>
  <si>
    <t>08-480-420</t>
  </si>
  <si>
    <t>Dues/Subscriptions</t>
  </si>
  <si>
    <t>08-480-700</t>
  </si>
  <si>
    <t>Capital Purchase</t>
  </si>
  <si>
    <t>Total Sewer Administration</t>
  </si>
  <si>
    <t>08-481-161</t>
  </si>
  <si>
    <t>08-481-162</t>
  </si>
  <si>
    <t xml:space="preserve">Unemployment Comp </t>
  </si>
  <si>
    <t>08-483-300</t>
  </si>
  <si>
    <t>Union Pension</t>
  </si>
  <si>
    <t>08-483-310</t>
  </si>
  <si>
    <t>Non-Uniformed Pension</t>
  </si>
  <si>
    <t>6% annual increase projected</t>
  </si>
  <si>
    <t>08-484-000</t>
  </si>
  <si>
    <t>Workman's Comp Insurance</t>
  </si>
  <si>
    <t>3% increase per year</t>
  </si>
  <si>
    <t>08-486-351</t>
  </si>
  <si>
    <t>Vehicle Insurance</t>
  </si>
  <si>
    <t>08-486-352</t>
  </si>
  <si>
    <t>Casualty Insurance</t>
  </si>
  <si>
    <t>08-486-353</t>
  </si>
  <si>
    <t>Bonding</t>
  </si>
  <si>
    <t>08-487-100</t>
  </si>
  <si>
    <t>Health &amp; Hospital</t>
  </si>
  <si>
    <t>08-487-150</t>
  </si>
  <si>
    <t>Union Health &amp; Welfare</t>
  </si>
  <si>
    <t>08-487-200</t>
  </si>
  <si>
    <t>Life Insurance</t>
  </si>
  <si>
    <t>08-487-250</t>
  </si>
  <si>
    <t>Long-term Disability Insurance</t>
  </si>
  <si>
    <t>Total Insurance &amp; Benefits</t>
  </si>
  <si>
    <t xml:space="preserve">    TOTAL O &amp; M</t>
  </si>
  <si>
    <t>08-471-130</t>
  </si>
  <si>
    <t>Debt to 2026 Includes both refi's</t>
  </si>
  <si>
    <t>08-471-100</t>
  </si>
  <si>
    <t>Debt Service - 07 GO Bonds</t>
  </si>
  <si>
    <t>08-475-000</t>
  </si>
  <si>
    <t>Fiscal Agent Fees</t>
  </si>
  <si>
    <t>Total Debt Service</t>
  </si>
  <si>
    <t>08-489-388</t>
  </si>
  <si>
    <t>Authority Expenses</t>
  </si>
  <si>
    <t>08-491-000</t>
  </si>
  <si>
    <t>Refunds-Prior Year Revenue</t>
  </si>
  <si>
    <t xml:space="preserve">    TOTAL EXPENSES</t>
  </si>
  <si>
    <t>2018</t>
  </si>
  <si>
    <t>Debt Service - 12-13 GO Bonds</t>
  </si>
  <si>
    <t>08-471-120</t>
  </si>
  <si>
    <t>Debt Service - 05 GO Notes</t>
  </si>
  <si>
    <t>2005</t>
  </si>
  <si>
    <t>08-480-260</t>
  </si>
  <si>
    <t>Minor Equip</t>
  </si>
  <si>
    <t>08-492-010</t>
  </si>
  <si>
    <t>Transfer to General Fund</t>
  </si>
  <si>
    <t>That includes all Industry &amp; Restaurants</t>
  </si>
  <si>
    <t xml:space="preserve">Slight increase in coming years </t>
  </si>
  <si>
    <t>Projected Revenue</t>
  </si>
  <si>
    <t>Projected Expenses</t>
  </si>
  <si>
    <t>08-380-100</t>
  </si>
  <si>
    <t>State Grant</t>
  </si>
  <si>
    <t>PROJECTED</t>
  </si>
  <si>
    <t>2019</t>
  </si>
  <si>
    <t>Plan on replacing 1 a year (Baumstown)</t>
  </si>
  <si>
    <t>Co-pay</t>
  </si>
  <si>
    <t>Arbitrage Calculation, PEL Study, Rapid Assessment EIP Phase II, Outsource payroll</t>
  </si>
  <si>
    <t>08-392-000</t>
  </si>
  <si>
    <t>Redemption of Cert of Deposit</t>
  </si>
  <si>
    <t>08-492-017</t>
  </si>
  <si>
    <t>Transfer to Sewer Capital Proj Fd 17</t>
  </si>
  <si>
    <t>CD matures 7/15/2018</t>
  </si>
  <si>
    <t>Transfer of Cert of Deposit proceeds to Fd 17</t>
  </si>
  <si>
    <t>St.Lawrence owes Exeter some money</t>
  </si>
  <si>
    <t>2% Increase 2017-2020</t>
  </si>
  <si>
    <r>
      <t xml:space="preserve">2.8% 2015, 3.1% 2016, 3.4% 2017, </t>
    </r>
    <r>
      <rPr>
        <sz val="9"/>
        <rFont val="Book Antiqua"/>
        <family val="1"/>
      </rPr>
      <t>3% 2018-2020</t>
    </r>
    <r>
      <rPr>
        <sz val="8"/>
        <rFont val="Book Antiqua"/>
        <family val="1"/>
      </rPr>
      <t xml:space="preserve"> (budget only)</t>
    </r>
  </si>
  <si>
    <t>Incr. 2% (budget only)</t>
  </si>
  <si>
    <t>4.3% 2016 / 6% increase per year thereafter</t>
  </si>
  <si>
    <t>8% in 2016 / 3% increase per year</t>
  </si>
  <si>
    <t>2.4 in 16 / 2.3 in 17 - 2.5% 2018 - 2020</t>
  </si>
  <si>
    <t>AMOUNT</t>
  </si>
  <si>
    <t>%</t>
  </si>
  <si>
    <t>Due to Trsf to Gen</t>
  </si>
  <si>
    <t>19/20 Due to loss of Jumbo CD Interest</t>
  </si>
  <si>
    <t>INCREASE OVER 2016</t>
  </si>
  <si>
    <t>2020</t>
  </si>
  <si>
    <t>2021</t>
  </si>
  <si>
    <t>Final payment 2021</t>
  </si>
  <si>
    <t>Rates will be increased- % not known at this time</t>
  </si>
  <si>
    <t>Replace all meter with radio head reads, new software in 2017,2018</t>
  </si>
  <si>
    <t xml:space="preserve">Bid year for polymer - unstable </t>
  </si>
  <si>
    <t>3% annual increase</t>
  </si>
  <si>
    <t>..</t>
  </si>
  <si>
    <t>2% Increase- if BKF continues to pay with a card, much higher</t>
  </si>
  <si>
    <t>See Budget Request sheet</t>
  </si>
  <si>
    <t>See Budget Request sheet - Remaining Fund 17 could pay for most of this line item</t>
  </si>
  <si>
    <t>Remove item, incorporate into other line items - legal/Engineering</t>
  </si>
  <si>
    <t>GVC engineering for capital projects</t>
  </si>
  <si>
    <t>2017 BUDGET REQUESTS</t>
  </si>
  <si>
    <t>Acct#</t>
  </si>
  <si>
    <t>08</t>
  </si>
  <si>
    <t>-</t>
  </si>
  <si>
    <t>429</t>
  </si>
  <si>
    <t>740</t>
  </si>
  <si>
    <t xml:space="preserve">Title  </t>
  </si>
  <si>
    <t>Capital Projects/Purchase M &amp; E</t>
  </si>
  <si>
    <t>Proposed for 2017:</t>
  </si>
  <si>
    <t>Amount</t>
  </si>
  <si>
    <t>Description</t>
  </si>
  <si>
    <t xml:space="preserve">$ </t>
  </si>
  <si>
    <t>Replace 3 Raw Wastewater Pumps</t>
  </si>
  <si>
    <t>Replace Water Pumps &amp; Controls</t>
  </si>
  <si>
    <t>Install Odor Control - Dryer Room</t>
  </si>
  <si>
    <t>Replace Collector Chains and Cross - one yearly</t>
  </si>
  <si>
    <t>Dewatering Power Feed to MPD-2</t>
  </si>
  <si>
    <t>Replace Potable Water System</t>
  </si>
  <si>
    <t>Centrifical Scum pump - Primary PS - replace</t>
  </si>
  <si>
    <t>Upgrade Scada System</t>
  </si>
  <si>
    <t>Heating/AC Unit for Control Building</t>
  </si>
  <si>
    <t>Sludge conveyor - to take cake sludge</t>
  </si>
  <si>
    <t>Replace Truck 24</t>
  </si>
  <si>
    <t>Replace Recirculation Pump #2 Digester</t>
  </si>
  <si>
    <t>Loader Bucket for 5074M Tractor</t>
  </si>
  <si>
    <t>Install New Body/eith Liftgate</t>
  </si>
  <si>
    <t>Unkown Repairs or Equipment</t>
  </si>
  <si>
    <t xml:space="preserve">Total $ </t>
  </si>
  <si>
    <t>428</t>
  </si>
  <si>
    <t>450</t>
  </si>
  <si>
    <t>Contracted Services Collection</t>
  </si>
  <si>
    <t>744</t>
  </si>
  <si>
    <t>Capital Purchase Equipment</t>
  </si>
  <si>
    <t>Smartshore Trenching</t>
  </si>
  <si>
    <t>Pipe Size</t>
  </si>
  <si>
    <t xml:space="preserve">Length     [Ft.] </t>
  </si>
  <si>
    <t>Lining Cost Range</t>
  </si>
  <si>
    <t>West 38th Street</t>
  </si>
  <si>
    <t>Ironstone Drive</t>
  </si>
  <si>
    <t>Gibraltar Road</t>
  </si>
  <si>
    <t>Lorane Road</t>
  </si>
  <si>
    <t>Lincoln Road</t>
  </si>
  <si>
    <t>Shelbourne Road</t>
  </si>
  <si>
    <t>Rugby Road</t>
  </si>
  <si>
    <t>Hearthstone Drive</t>
  </si>
  <si>
    <t>Total</t>
  </si>
  <si>
    <t>Target Area for Sewerline Lining</t>
  </si>
  <si>
    <t>Street</t>
  </si>
  <si>
    <t>MH Section</t>
  </si>
  <si>
    <t>Circle Avenue</t>
  </si>
  <si>
    <t>A97 - A96A</t>
  </si>
  <si>
    <t>Dewald Avenue</t>
  </si>
  <si>
    <t>A81 - A80</t>
  </si>
  <si>
    <t>Club Drive</t>
  </si>
  <si>
    <t>FR4C - FR4B</t>
  </si>
  <si>
    <t>B432A - B432</t>
  </si>
  <si>
    <t>91 - 90</t>
  </si>
  <si>
    <t>84 - 83A</t>
  </si>
  <si>
    <t>Old Friedensburg Road</t>
  </si>
  <si>
    <t>B406 - B405</t>
  </si>
  <si>
    <t>Oley Turnpike Road</t>
  </si>
  <si>
    <t>B470J - B470H</t>
  </si>
  <si>
    <t>Heidelberg Avenue</t>
  </si>
  <si>
    <t>B355 - B331</t>
  </si>
  <si>
    <t>Possum Lane</t>
  </si>
  <si>
    <t>2M11A - 2M11</t>
  </si>
  <si>
    <t>2M11 - 2M7</t>
  </si>
  <si>
    <t>Romig Avenue</t>
  </si>
  <si>
    <t>B269 - B268</t>
  </si>
  <si>
    <t>Anderson Avenue</t>
  </si>
  <si>
    <t>A140 - A139</t>
  </si>
  <si>
    <t>24B - 23B</t>
  </si>
  <si>
    <t>12B - 7B</t>
  </si>
  <si>
    <t>Hilldale Road</t>
  </si>
  <si>
    <t>R7 - R8</t>
  </si>
  <si>
    <t>Olwy Turnpike Road</t>
  </si>
  <si>
    <t>B470C - B470B</t>
  </si>
  <si>
    <t>PV1 - B165</t>
  </si>
  <si>
    <t>B165 - B164A</t>
  </si>
  <si>
    <t>B164A - B164</t>
  </si>
  <si>
    <t>B10 - B11</t>
  </si>
  <si>
    <t>A10 - A9</t>
  </si>
  <si>
    <t>C50 - C49</t>
  </si>
  <si>
    <t>Dauphin Avenue</t>
  </si>
  <si>
    <t>C30A - C30</t>
  </si>
  <si>
    <t>A103 - A101</t>
  </si>
  <si>
    <t>B63 - B62A</t>
  </si>
  <si>
    <t>Engineering - Minor project that may come up &amp; slip Line specs, engineering for Shelbourne Rd Bridge, sewer relocation.</t>
  </si>
  <si>
    <t>5% starting 2019</t>
  </si>
  <si>
    <t>Screenings/grit, always -  sludge if there are issues with Class A</t>
  </si>
  <si>
    <t>Locked in price 1/1/17 to 11/30/18</t>
  </si>
  <si>
    <t>Slip lining       L.F. of clay pipe *see tab "sewer line costs</t>
  </si>
  <si>
    <t>17-340-010</t>
  </si>
  <si>
    <t>Interest</t>
  </si>
  <si>
    <t>17-380-100</t>
  </si>
  <si>
    <t>State Grant Proceeds</t>
  </si>
  <si>
    <t>17-380-110</t>
  </si>
  <si>
    <t>Miscellaneous</t>
  </si>
  <si>
    <t>PENNDOT 50% reimb bridge replacement, 562 Manhole adjustments.</t>
  </si>
  <si>
    <t>17-392-080</t>
  </si>
  <si>
    <t>Transfer from Sewer Fund</t>
  </si>
  <si>
    <t>CD matures 07/15/2018</t>
  </si>
  <si>
    <t>17-393-100</t>
  </si>
  <si>
    <t>General Obligation Bonds - 2009</t>
  </si>
  <si>
    <t>17-393-120</t>
  </si>
  <si>
    <t xml:space="preserve">  TOTAL REVENUES</t>
  </si>
  <si>
    <t>17-428-450</t>
  </si>
  <si>
    <t>Contracted Services - Sewer</t>
  </si>
  <si>
    <t>17-429-310</t>
  </si>
  <si>
    <t>Professional Serv - WWTP</t>
  </si>
  <si>
    <t xml:space="preserve"> </t>
  </si>
  <si>
    <t>17-429-313</t>
  </si>
  <si>
    <t>Engineering Serv - Sewer Project</t>
  </si>
  <si>
    <t>Engineering for possibly 5 projects</t>
  </si>
  <si>
    <t>17-429-475</t>
  </si>
  <si>
    <t>Professional Fees - Bond Issue</t>
  </si>
  <si>
    <t>17-429-610</t>
  </si>
  <si>
    <t>Sewer Slip-line Project/Glen Oley</t>
  </si>
  <si>
    <t>17-429-720</t>
  </si>
  <si>
    <t>Capital Purchase-Sewer Replacement</t>
  </si>
  <si>
    <t>17-429-721</t>
  </si>
  <si>
    <t>Capital Project</t>
  </si>
  <si>
    <t>17-429-740</t>
  </si>
  <si>
    <t>Capital Purchase-Sewer Equip</t>
  </si>
  <si>
    <t>17-429-741</t>
  </si>
  <si>
    <t>Capital Purchase-Sludge Dryer</t>
  </si>
  <si>
    <t xml:space="preserve">  TOTAL EXPENSES</t>
  </si>
  <si>
    <t>Exhibit No. 2</t>
  </si>
  <si>
    <t>Exeter Township</t>
  </si>
  <si>
    <t>Capital Plan</t>
  </si>
  <si>
    <t>CAPITAL EXPENSES</t>
  </si>
  <si>
    <t>Engineering (All Projects)</t>
  </si>
  <si>
    <t>Replace Water Pumps and Controls</t>
  </si>
  <si>
    <t>Replace Collector Chains and Cross Collectors</t>
  </si>
  <si>
    <t>Gas Unit for Equipment on Digester Roof</t>
  </si>
  <si>
    <t>Odor Control -Dryer Room</t>
  </si>
  <si>
    <t>Dewatering Power Feed to MDP-2</t>
  </si>
  <si>
    <t>Replace Portable Water System</t>
  </si>
  <si>
    <t>Other Capital Purchases</t>
  </si>
  <si>
    <t>d/er Misc</t>
  </si>
  <si>
    <t>Replace Roof on Garage</t>
  </si>
  <si>
    <t>Rotary Swivel Dryer</t>
  </si>
  <si>
    <t>Manhole Rehab</t>
  </si>
  <si>
    <t>Pipe Line &amp; Service Line lining</t>
  </si>
  <si>
    <t>Engineering - Sludge Conveyor</t>
  </si>
  <si>
    <t xml:space="preserve">Replace Truck 24 </t>
  </si>
  <si>
    <t>Centrifugal Scum pump - Primary PS</t>
  </si>
  <si>
    <t>Sludge Conveyor</t>
  </si>
  <si>
    <t>Loader Bucket for 5075M Tractor</t>
  </si>
  <si>
    <t>Install New Body/with Liftgate</t>
  </si>
  <si>
    <t>Replece Recirculation Pump #2 Digester</t>
  </si>
  <si>
    <t>Blatter for in-line repairs</t>
  </si>
  <si>
    <t>Replace Air Compressor</t>
  </si>
  <si>
    <t xml:space="preserve">Schuylkill River Trunk Engineering </t>
  </si>
  <si>
    <t>Antietam Engineering</t>
  </si>
  <si>
    <t xml:space="preserve">Inspection Schuylkill Trunk </t>
  </si>
  <si>
    <t>Inspections Antietam Trunk</t>
  </si>
  <si>
    <t>Recirculation Pump (Centrifugal)</t>
  </si>
  <si>
    <t>Replace Rooftop Heating Units Garage &amp; Headwork's Building</t>
  </si>
  <si>
    <t>Replace Roof on Headworks Building &amp; Generator Gargage Building</t>
  </si>
  <si>
    <t>Replace Schuylkill Trunk Line</t>
  </si>
  <si>
    <t xml:space="preserve">Antietam Trunk Line Replacement </t>
  </si>
  <si>
    <t>Replace Carbon in Dryer Scrubber</t>
  </si>
  <si>
    <t>Replace Bearing in One Centrifuge</t>
  </si>
  <si>
    <t>Replace 2 Industrial Compressor's (Primary Pumping)</t>
  </si>
  <si>
    <t>Pave WTP Streets</t>
  </si>
  <si>
    <t>Slip Line Project</t>
  </si>
  <si>
    <t>Replace Crane Truck</t>
  </si>
  <si>
    <t>Heister's Creek Trunk Engineering</t>
  </si>
  <si>
    <t>Drive Mechanism for Pista Grit System</t>
  </si>
  <si>
    <t>Vacuum Primer System for Pista</t>
  </si>
  <si>
    <t>Thickener Drive</t>
  </si>
  <si>
    <t>Replace Pumps in all Pump Stations</t>
  </si>
  <si>
    <t>Replace Econoline Van</t>
  </si>
  <si>
    <t>Heister's Creek Trunk Inspection</t>
  </si>
  <si>
    <t>Purchase One Rotary Lobe Pump for Digester</t>
  </si>
  <si>
    <t>Replace Digester Roof</t>
  </si>
  <si>
    <t>Dilute Pumps (3)</t>
  </si>
  <si>
    <t>Replace Bearing in 3 Blowers</t>
  </si>
  <si>
    <t>Replace  3 Sludge Pumps in Pump Stations 2</t>
  </si>
  <si>
    <t>Heister's Creek Trunk Replacement</t>
  </si>
  <si>
    <t>Unknown Repairs or Equipment</t>
  </si>
  <si>
    <t>Total Capital Expenses</t>
  </si>
  <si>
    <t>Fund 17 Starting Balance</t>
  </si>
  <si>
    <t>Total Capital Projects - Funded by Rates</t>
  </si>
  <si>
    <t>Fund 17 Final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</si>
</sst>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&quot;$&quot;* #,##0_);_(&quot;$&quot;* \(#,##0\);_(&quot;$&quot;* &quot;-&quot;??_);_(@_)"/>
    <numFmt numFmtId="167" formatCode="&quot;$&quot;#,##0;[Red]&quot;$&quot;#,##0"/>
    <numFmt numFmtId="168" formatCode="_(* #,##0_);_(* \(#,##0\);_(* &quot;-&quot;??_);_(@_)"/>
    <numFmt numFmtId="169" formatCode="&quot; Required rates - &quot;0%&quot; Collection Rate&quot;"/>
  </numFmts>
  <fonts count="41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Geneva"/>
    </font>
    <font>
      <b/>
      <u/>
      <sz val="10"/>
      <name val="Book Antiqua"/>
      <family val="1"/>
    </font>
    <font>
      <sz val="10"/>
      <name val="Book Antiqua"/>
      <family val="1"/>
    </font>
    <font>
      <sz val="8"/>
      <name val="Geneva"/>
      <family val="2"/>
    </font>
    <font>
      <sz val="10"/>
      <name val="Geneva"/>
      <family val="2"/>
    </font>
    <font>
      <sz val="8"/>
      <name val="Book Antiqua"/>
      <family val="1"/>
    </font>
    <font>
      <sz val="10"/>
      <color rgb="FFFF0000"/>
      <name val="Book Antiqua"/>
      <family val="1"/>
    </font>
    <font>
      <u/>
      <sz val="10"/>
      <name val="Book Antiqua"/>
      <family val="1"/>
    </font>
    <font>
      <b/>
      <sz val="8"/>
      <name val="Book Antiqua"/>
      <family val="1"/>
    </font>
    <font>
      <b/>
      <i/>
      <sz val="10"/>
      <name val="Book Antiqua"/>
      <family val="1"/>
    </font>
    <font>
      <sz val="10"/>
      <color indexed="10"/>
      <name val="Geneva"/>
      <family val="2"/>
    </font>
    <font>
      <sz val="12"/>
      <name val="Book Antiqua"/>
      <family val="1"/>
    </font>
    <font>
      <sz val="11"/>
      <name val="Book Antiqua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Geneva"/>
    </font>
    <font>
      <u/>
      <sz val="10"/>
      <color rgb="FFFF0000"/>
      <name val="Book Antiqua"/>
      <family val="1"/>
    </font>
    <font>
      <sz val="9"/>
      <name val="Book Antiqua"/>
      <family val="1"/>
    </font>
    <font>
      <sz val="10"/>
      <color theme="1"/>
      <name val="Book Antiqua"/>
      <family val="1"/>
    </font>
    <font>
      <u/>
      <sz val="10"/>
      <color theme="1"/>
      <name val="Book Antiqua"/>
      <family val="1"/>
    </font>
    <font>
      <sz val="10"/>
      <color rgb="FF00B050"/>
      <name val="Book Antiqua"/>
      <family val="1"/>
    </font>
    <font>
      <sz val="8"/>
      <color rgb="FFFF0000"/>
      <name val="Book Antiqua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Arial"/>
      <family val="2"/>
    </font>
    <font>
      <b/>
      <i/>
      <sz val="9"/>
      <color indexed="81"/>
      <name val="Tahoma"/>
      <family val="2"/>
    </font>
    <font>
      <i/>
      <sz val="9"/>
      <color indexed="81"/>
      <name val="Tahoma"/>
      <family val="2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b/>
      <sz val="10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3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0" xfId="4" applyFont="1" applyAlignment="1">
      <alignment horizontal="center"/>
    </xf>
    <xf numFmtId="0" fontId="4" fillId="0" borderId="0" xfId="4" applyFont="1" applyFill="1" applyAlignment="1">
      <alignment horizontal="center"/>
    </xf>
    <xf numFmtId="1" fontId="4" fillId="0" borderId="0" xfId="4" quotePrefix="1" applyNumberFormat="1" applyFont="1" applyFill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4" quotePrefix="1" applyFont="1" applyAlignment="1">
      <alignment horizontal="center"/>
    </xf>
    <xf numFmtId="0" fontId="4" fillId="0" borderId="0" xfId="4" quotePrefix="1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3" applyFont="1" applyAlignment="1">
      <alignment horizontal="center"/>
    </xf>
    <xf numFmtId="0" fontId="6" fillId="0" borderId="0" xfId="5" applyFont="1" applyAlignment="1">
      <alignment horizontal="left"/>
    </xf>
    <xf numFmtId="0" fontId="6" fillId="0" borderId="0" xfId="4" applyFont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6" fontId="10" fillId="0" borderId="0" xfId="0" applyNumberFormat="1" applyFont="1"/>
    <xf numFmtId="6" fontId="7" fillId="0" borderId="0" xfId="0" applyNumberFormat="1" applyFont="1"/>
    <xf numFmtId="6" fontId="7" fillId="0" borderId="0" xfId="0" applyNumberFormat="1" applyFont="1" applyFill="1"/>
    <xf numFmtId="6" fontId="7" fillId="0" borderId="0" xfId="6" applyNumberFormat="1" applyFont="1" applyFill="1"/>
    <xf numFmtId="0" fontId="7" fillId="0" borderId="0" xfId="0" applyFont="1" applyAlignment="1">
      <alignment wrapText="1"/>
    </xf>
    <xf numFmtId="1" fontId="7" fillId="0" borderId="0" xfId="0" applyNumberFormat="1" applyFont="1"/>
    <xf numFmtId="6" fontId="7" fillId="0" borderId="0" xfId="6" applyNumberFormat="1" applyFont="1"/>
    <xf numFmtId="9" fontId="7" fillId="0" borderId="0" xfId="0" applyNumberFormat="1" applyFont="1" applyAlignment="1">
      <alignment horizontal="left" wrapText="1"/>
    </xf>
    <xf numFmtId="6" fontId="7" fillId="0" borderId="0" xfId="6" applyNumberFormat="1" applyFont="1" applyFill="1" applyAlignment="1">
      <alignment wrapText="1"/>
    </xf>
    <xf numFmtId="6" fontId="12" fillId="0" borderId="0" xfId="0" applyNumberFormat="1" applyFont="1"/>
    <xf numFmtId="6" fontId="12" fillId="0" borderId="0" xfId="6" applyNumberFormat="1" applyFont="1"/>
    <xf numFmtId="0" fontId="10" fillId="0" borderId="0" xfId="0" applyFont="1"/>
    <xf numFmtId="6" fontId="13" fillId="0" borderId="0" xfId="0" applyNumberFormat="1" applyFont="1"/>
    <xf numFmtId="6" fontId="4" fillId="0" borderId="0" xfId="0" applyNumberFormat="1" applyFont="1"/>
    <xf numFmtId="164" fontId="10" fillId="0" borderId="0" xfId="2" applyNumberFormat="1" applyFont="1"/>
    <xf numFmtId="5" fontId="12" fillId="0" borderId="0" xfId="0" applyNumberFormat="1" applyFont="1"/>
    <xf numFmtId="0" fontId="7" fillId="0" borderId="0" xfId="0" applyFont="1" applyAlignment="1">
      <alignment horizontal="left"/>
    </xf>
    <xf numFmtId="0" fontId="6" fillId="0" borderId="0" xfId="0" applyFont="1"/>
    <xf numFmtId="165" fontId="10" fillId="0" borderId="0" xfId="0" applyNumberFormat="1" applyFont="1" applyFill="1"/>
    <xf numFmtId="165" fontId="7" fillId="0" borderId="0" xfId="0" applyNumberFormat="1" applyFont="1" applyFill="1"/>
    <xf numFmtId="165" fontId="10" fillId="0" borderId="0" xfId="0" applyNumberFormat="1" applyFont="1"/>
    <xf numFmtId="165" fontId="7" fillId="0" borderId="0" xfId="7" applyNumberFormat="1" applyFont="1" applyFill="1"/>
    <xf numFmtId="0" fontId="7" fillId="0" borderId="0" xfId="6" applyFont="1" applyAlignment="1">
      <alignment wrapText="1"/>
    </xf>
    <xf numFmtId="0" fontId="14" fillId="0" borderId="0" xfId="0" applyFont="1"/>
    <xf numFmtId="0" fontId="4" fillId="0" borderId="0" xfId="0" applyFont="1"/>
    <xf numFmtId="165" fontId="13" fillId="0" borderId="0" xfId="0" applyNumberFormat="1" applyFont="1"/>
    <xf numFmtId="5" fontId="4" fillId="0" borderId="0" xfId="0" applyNumberFormat="1" applyFont="1"/>
    <xf numFmtId="165" fontId="4" fillId="0" borderId="0" xfId="0" applyNumberFormat="1" applyFont="1"/>
    <xf numFmtId="9" fontId="7" fillId="0" borderId="0" xfId="6" applyNumberFormat="1" applyFont="1" applyAlignment="1">
      <alignment horizontal="left" wrapText="1"/>
    </xf>
    <xf numFmtId="0" fontId="15" fillId="0" borderId="0" xfId="0" applyFont="1"/>
    <xf numFmtId="165" fontId="7" fillId="0" borderId="0" xfId="8" applyNumberFormat="1" applyFont="1" applyFill="1"/>
    <xf numFmtId="165" fontId="11" fillId="0" borderId="0" xfId="8" applyNumberFormat="1" applyFont="1" applyFill="1"/>
    <xf numFmtId="6" fontId="12" fillId="0" borderId="0" xfId="6" applyNumberFormat="1" applyFont="1" applyFill="1"/>
    <xf numFmtId="5" fontId="13" fillId="0" borderId="0" xfId="0" applyNumberFormat="1" applyFont="1"/>
    <xf numFmtId="9" fontId="7" fillId="0" borderId="0" xfId="0" applyNumberFormat="1" applyFont="1" applyAlignment="1">
      <alignment horizontal="left"/>
    </xf>
    <xf numFmtId="165" fontId="9" fillId="0" borderId="0" xfId="0" applyNumberFormat="1" applyFont="1"/>
    <xf numFmtId="166" fontId="10" fillId="0" borderId="0" xfId="1" applyNumberFormat="1" applyFont="1"/>
    <xf numFmtId="6" fontId="12" fillId="0" borderId="0" xfId="0" applyNumberFormat="1" applyFont="1" applyFill="1"/>
    <xf numFmtId="165" fontId="7" fillId="0" borderId="0" xfId="0" applyNumberFormat="1" applyFont="1"/>
    <xf numFmtId="166" fontId="13" fillId="0" borderId="0" xfId="1" applyNumberFormat="1" applyFont="1"/>
    <xf numFmtId="0" fontId="16" fillId="0" borderId="0" xfId="0" applyFont="1"/>
    <xf numFmtId="165" fontId="7" fillId="0" borderId="0" xfId="0" applyNumberFormat="1" applyFont="1" applyAlignment="1">
      <alignment horizontal="right"/>
    </xf>
    <xf numFmtId="0" fontId="17" fillId="0" borderId="0" xfId="0" applyFont="1"/>
    <xf numFmtId="165" fontId="10" fillId="0" borderId="0" xfId="7" applyNumberFormat="1" applyFont="1"/>
    <xf numFmtId="0" fontId="22" fillId="0" borderId="0" xfId="7" applyFont="1"/>
    <xf numFmtId="5" fontId="13" fillId="0" borderId="0" xfId="7" applyNumberFormat="1" applyFont="1"/>
    <xf numFmtId="165" fontId="13" fillId="0" borderId="0" xfId="7" applyNumberFormat="1" applyFont="1"/>
    <xf numFmtId="0" fontId="7" fillId="0" borderId="0" xfId="7" applyFont="1"/>
    <xf numFmtId="0" fontId="7" fillId="0" borderId="0" xfId="7" applyFont="1" applyFill="1"/>
    <xf numFmtId="6" fontId="23" fillId="0" borderId="0" xfId="0" applyNumberFormat="1" applyFont="1"/>
    <xf numFmtId="6" fontId="23" fillId="0" borderId="0" xfId="6" applyNumberFormat="1" applyFont="1"/>
    <xf numFmtId="0" fontId="24" fillId="0" borderId="0" xfId="6" applyFont="1" applyAlignment="1">
      <alignment wrapText="1"/>
    </xf>
    <xf numFmtId="6" fontId="25" fillId="0" borderId="0" xfId="6" applyNumberFormat="1" applyFont="1"/>
    <xf numFmtId="0" fontId="11" fillId="0" borderId="0" xfId="0" applyFont="1" applyAlignment="1">
      <alignment wrapText="1"/>
    </xf>
    <xf numFmtId="6" fontId="25" fillId="0" borderId="0" xfId="0" applyNumberFormat="1" applyFont="1"/>
    <xf numFmtId="6" fontId="26" fillId="0" borderId="0" xfId="6" applyNumberFormat="1" applyFont="1"/>
    <xf numFmtId="6" fontId="26" fillId="0" borderId="0" xfId="0" applyNumberFormat="1" applyFont="1"/>
    <xf numFmtId="6" fontId="9" fillId="0" borderId="0" xfId="0" applyNumberFormat="1" applyFont="1"/>
    <xf numFmtId="6" fontId="4" fillId="0" borderId="0" xfId="6" applyNumberFormat="1" applyFont="1" applyFill="1"/>
    <xf numFmtId="6" fontId="11" fillId="0" borderId="0" xfId="6" applyNumberFormat="1" applyFont="1" applyFill="1"/>
    <xf numFmtId="0" fontId="13" fillId="0" borderId="0" xfId="6" applyFont="1" applyAlignment="1">
      <alignment wrapText="1"/>
    </xf>
    <xf numFmtId="0" fontId="10" fillId="0" borderId="0" xfId="0" applyFont="1" applyAlignment="1">
      <alignment wrapText="1"/>
    </xf>
    <xf numFmtId="1" fontId="4" fillId="0" borderId="0" xfId="4" applyNumberFormat="1" applyFont="1" applyFill="1" applyAlignment="1">
      <alignment horizontal="center"/>
    </xf>
    <xf numFmtId="0" fontId="2" fillId="0" borderId="0" xfId="10"/>
    <xf numFmtId="0" fontId="30" fillId="0" borderId="0" xfId="10" applyFont="1"/>
    <xf numFmtId="49" fontId="0" fillId="0" borderId="1" xfId="10" applyNumberFormat="1" applyFont="1" applyBorder="1" applyAlignment="1">
      <alignment horizontal="right"/>
    </xf>
    <xf numFmtId="0" fontId="2" fillId="0" borderId="0" xfId="10" quotePrefix="1" applyAlignment="1">
      <alignment horizontal="center"/>
    </xf>
    <xf numFmtId="49" fontId="0" fillId="0" borderId="1" xfId="10" applyNumberFormat="1" applyFont="1" applyBorder="1" applyAlignment="1">
      <alignment horizontal="center"/>
    </xf>
    <xf numFmtId="0" fontId="2" fillId="0" borderId="0" xfId="10" quotePrefix="1"/>
    <xf numFmtId="0" fontId="32" fillId="0" borderId="0" xfId="10" applyFont="1"/>
    <xf numFmtId="0" fontId="32" fillId="0" borderId="0" xfId="10" applyFont="1" applyAlignment="1">
      <alignment horizontal="right"/>
    </xf>
    <xf numFmtId="4" fontId="2" fillId="0" borderId="0" xfId="10" applyNumberFormat="1" applyBorder="1" applyAlignment="1">
      <alignment horizontal="left"/>
    </xf>
    <xf numFmtId="49" fontId="0" fillId="0" borderId="0" xfId="10" applyNumberFormat="1" applyFont="1" applyBorder="1" applyAlignment="1"/>
    <xf numFmtId="49" fontId="2" fillId="0" borderId="0" xfId="10" applyNumberFormat="1" applyBorder="1" applyAlignment="1"/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2" fontId="0" fillId="0" borderId="4" xfId="0" applyNumberFormat="1" applyBorder="1" applyAlignment="1">
      <alignment horizontal="center" vertical="center"/>
    </xf>
    <xf numFmtId="42" fontId="0" fillId="0" borderId="5" xfId="0" applyNumberFormat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33" fillId="0" borderId="0" xfId="0" applyFont="1"/>
    <xf numFmtId="0" fontId="6" fillId="0" borderId="0" xfId="0" applyFont="1" applyFill="1" applyAlignment="1">
      <alignment horizontal="center"/>
    </xf>
    <xf numFmtId="167" fontId="7" fillId="0" borderId="0" xfId="0" applyNumberFormat="1" applyFont="1" applyFill="1"/>
    <xf numFmtId="167" fontId="25" fillId="0" borderId="0" xfId="0" applyNumberFormat="1" applyFont="1" applyFill="1"/>
    <xf numFmtId="0" fontId="10" fillId="0" borderId="0" xfId="0" applyFont="1" applyFill="1"/>
    <xf numFmtId="0" fontId="10" fillId="0" borderId="0" xfId="11" applyFont="1" applyFill="1" applyAlignment="1">
      <alignment wrapText="1"/>
    </xf>
    <xf numFmtId="167" fontId="11" fillId="0" borderId="0" xfId="0" applyNumberFormat="1" applyFont="1" applyFill="1"/>
    <xf numFmtId="0" fontId="28" fillId="0" borderId="0" xfId="11" applyFont="1" applyFill="1" applyAlignment="1">
      <alignment wrapText="1"/>
    </xf>
    <xf numFmtId="167" fontId="12" fillId="0" borderId="0" xfId="0" applyNumberFormat="1" applyFont="1" applyFill="1"/>
    <xf numFmtId="167" fontId="4" fillId="0" borderId="0" xfId="0" applyNumberFormat="1" applyFont="1"/>
    <xf numFmtId="164" fontId="7" fillId="0" borderId="0" xfId="2" applyNumberFormat="1" applyFont="1"/>
    <xf numFmtId="167" fontId="7" fillId="0" borderId="0" xfId="0" applyNumberFormat="1" applyFont="1"/>
    <xf numFmtId="0" fontId="7" fillId="0" borderId="0" xfId="0" applyFont="1" applyFill="1"/>
    <xf numFmtId="167" fontId="7" fillId="0" borderId="0" xfId="3" applyNumberFormat="1" applyFont="1"/>
    <xf numFmtId="164" fontId="10" fillId="0" borderId="0" xfId="3" applyNumberFormat="1" applyFont="1"/>
    <xf numFmtId="0" fontId="7" fillId="0" borderId="0" xfId="11" applyFont="1"/>
    <xf numFmtId="165" fontId="7" fillId="0" borderId="0" xfId="11" applyNumberFormat="1" applyFont="1" applyFill="1"/>
    <xf numFmtId="165" fontId="25" fillId="0" borderId="0" xfId="0" applyNumberFormat="1" applyFont="1"/>
    <xf numFmtId="164" fontId="10" fillId="0" borderId="0" xfId="11" applyNumberFormat="1" applyFont="1" applyAlignment="1">
      <alignment wrapText="1"/>
    </xf>
    <xf numFmtId="167" fontId="7" fillId="0" borderId="0" xfId="5" applyNumberFormat="1" applyFont="1" applyFill="1"/>
    <xf numFmtId="167" fontId="25" fillId="0" borderId="0" xfId="5" applyNumberFormat="1" applyFont="1" applyFill="1"/>
    <xf numFmtId="164" fontId="10" fillId="0" borderId="0" xfId="12" applyNumberFormat="1" applyFont="1" applyAlignment="1">
      <alignment wrapText="1"/>
    </xf>
    <xf numFmtId="167" fontId="7" fillId="0" borderId="0" xfId="11" applyNumberFormat="1" applyFont="1" applyFill="1"/>
    <xf numFmtId="167" fontId="7" fillId="0" borderId="0" xfId="3" applyNumberFormat="1" applyFont="1" applyFill="1"/>
    <xf numFmtId="167" fontId="27" fillId="0" borderId="0" xfId="3" applyNumberFormat="1" applyFont="1" applyFill="1"/>
    <xf numFmtId="167" fontId="7" fillId="0" borderId="0" xfId="11" applyNumberFormat="1" applyFont="1"/>
    <xf numFmtId="164" fontId="10" fillId="0" borderId="0" xfId="0" applyNumberFormat="1" applyFont="1"/>
    <xf numFmtId="167" fontId="12" fillId="0" borderId="0" xfId="5" applyNumberFormat="1" applyFont="1" applyFill="1"/>
    <xf numFmtId="0" fontId="7" fillId="0" borderId="0" xfId="0" applyFont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Fill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" fontId="7" fillId="0" borderId="0" xfId="0" applyNumberFormat="1" applyFont="1" applyAlignment="1">
      <alignment horizontal="right"/>
    </xf>
    <xf numFmtId="168" fontId="36" fillId="0" borderId="0" xfId="13" applyNumberFormat="1" applyFont="1" applyAlignment="1">
      <alignment horizontal="center"/>
    </xf>
    <xf numFmtId="168" fontId="36" fillId="0" borderId="0" xfId="14" applyNumberFormat="1" applyFont="1" applyAlignment="1">
      <alignment horizontal="center"/>
    </xf>
    <xf numFmtId="168" fontId="36" fillId="0" borderId="0" xfId="15" applyNumberFormat="1" applyFont="1" applyAlignment="1">
      <alignment horizontal="center"/>
    </xf>
    <xf numFmtId="168" fontId="36" fillId="0" borderId="0" xfId="13" applyNumberFormat="1" applyFont="1"/>
    <xf numFmtId="0" fontId="37" fillId="0" borderId="1" xfId="13" applyNumberFormat="1" applyFont="1" applyBorder="1" applyAlignment="1">
      <alignment horizontal="center"/>
    </xf>
    <xf numFmtId="168" fontId="36" fillId="0" borderId="1" xfId="15" applyNumberFormat="1" applyFont="1" applyBorder="1" applyAlignment="1">
      <alignment horizontal="center"/>
    </xf>
    <xf numFmtId="0" fontId="36" fillId="0" borderId="1" xfId="15" applyNumberFormat="1" applyFont="1" applyBorder="1" applyAlignment="1">
      <alignment horizontal="center"/>
    </xf>
    <xf numFmtId="168" fontId="36" fillId="0" borderId="0" xfId="14" applyNumberFormat="1" applyFont="1"/>
    <xf numFmtId="0" fontId="3" fillId="0" borderId="0" xfId="5"/>
    <xf numFmtId="168" fontId="38" fillId="0" borderId="0" xfId="15" applyNumberFormat="1" applyFont="1"/>
    <xf numFmtId="6" fontId="39" fillId="0" borderId="0" xfId="15" applyNumberFormat="1" applyFont="1"/>
    <xf numFmtId="168" fontId="39" fillId="0" borderId="0" xfId="15" applyNumberFormat="1" applyFont="1" applyBorder="1"/>
    <xf numFmtId="168" fontId="36" fillId="0" borderId="0" xfId="15" applyNumberFormat="1" applyFont="1" applyAlignment="1"/>
    <xf numFmtId="6" fontId="38" fillId="0" borderId="4" xfId="16" applyNumberFormat="1" applyFont="1" applyBorder="1"/>
    <xf numFmtId="168" fontId="36" fillId="0" borderId="0" xfId="15" applyNumberFormat="1" applyFont="1" applyAlignment="1">
      <alignment horizontal="right"/>
    </xf>
    <xf numFmtId="6" fontId="38" fillId="0" borderId="0" xfId="15" applyNumberFormat="1" applyFont="1"/>
    <xf numFmtId="168" fontId="36" fillId="0" borderId="0" xfId="15" applyNumberFormat="1" applyFont="1"/>
    <xf numFmtId="6" fontId="38" fillId="0" borderId="2" xfId="16" applyNumberFormat="1" applyFont="1" applyBorder="1"/>
    <xf numFmtId="168" fontId="38" fillId="0" borderId="0" xfId="15" applyNumberFormat="1" applyFont="1" applyBorder="1"/>
    <xf numFmtId="44" fontId="38" fillId="0" borderId="0" xfId="16" applyFont="1" applyBorder="1"/>
    <xf numFmtId="169" fontId="36" fillId="0" borderId="0" xfId="15" applyNumberFormat="1" applyFont="1" applyBorder="1" applyAlignment="1">
      <alignment horizontal="left"/>
    </xf>
    <xf numFmtId="168" fontId="36" fillId="0" borderId="0" xfId="15" applyNumberFormat="1" applyFont="1" applyBorder="1"/>
    <xf numFmtId="43" fontId="38" fillId="0" borderId="0" xfId="15" applyNumberFormat="1" applyFont="1" applyBorder="1"/>
    <xf numFmtId="0" fontId="40" fillId="0" borderId="0" xfId="15" applyNumberFormat="1" applyFont="1" applyBorder="1" applyAlignment="1">
      <alignment horizontal="center"/>
    </xf>
    <xf numFmtId="168" fontId="38" fillId="0" borderId="0" xfId="15" applyNumberFormat="1" applyFont="1" applyFill="1" applyBorder="1"/>
    <xf numFmtId="9" fontId="38" fillId="0" borderId="0" xfId="9" applyFont="1" applyFill="1" applyBorder="1"/>
    <xf numFmtId="164" fontId="38" fillId="0" borderId="0" xfId="9" applyNumberFormat="1" applyFont="1" applyBorder="1"/>
    <xf numFmtId="1" fontId="4" fillId="0" borderId="0" xfId="4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9" fillId="0" borderId="0" xfId="10" applyFont="1" applyAlignment="1">
      <alignment horizontal="center"/>
    </xf>
    <xf numFmtId="49" fontId="0" fillId="0" borderId="1" xfId="10" applyNumberFormat="1" applyFont="1" applyBorder="1" applyAlignment="1"/>
    <xf numFmtId="49" fontId="2" fillId="0" borderId="1" xfId="10" applyNumberFormat="1" applyBorder="1" applyAlignment="1"/>
    <xf numFmtId="0" fontId="31" fillId="0" borderId="0" xfId="10" applyFont="1" applyAlignment="1">
      <alignment horizontal="center"/>
    </xf>
    <xf numFmtId="4" fontId="2" fillId="0" borderId="1" xfId="10" applyNumberFormat="1" applyBorder="1" applyAlignment="1">
      <alignment horizontal="left"/>
    </xf>
  </cellXfs>
  <cellStyles count="17">
    <cellStyle name="Comma 2 2" xfId="14" xr:uid="{00000000-0005-0000-0000-000000000000}"/>
    <cellStyle name="Comma 3" xfId="15" xr:uid="{00000000-0005-0000-0000-000001000000}"/>
    <cellStyle name="Comma 5" xfId="13" xr:uid="{00000000-0005-0000-0000-000002000000}"/>
    <cellStyle name="Currency" xfId="1" builtinId="4"/>
    <cellStyle name="Currency 2" xfId="16" xr:uid="{00000000-0005-0000-0000-000004000000}"/>
    <cellStyle name="Normal" xfId="0" builtinId="0"/>
    <cellStyle name="Normal 2" xfId="7" xr:uid="{00000000-0005-0000-0000-000006000000}"/>
    <cellStyle name="Normal 2 2" xfId="8" xr:uid="{00000000-0005-0000-0000-000007000000}"/>
    <cellStyle name="Normal 2 3" xfId="10" xr:uid="{00000000-0005-0000-0000-000008000000}"/>
    <cellStyle name="Normal 3" xfId="3" xr:uid="{00000000-0005-0000-0000-000009000000}"/>
    <cellStyle name="Normal 4" xfId="5" xr:uid="{00000000-0005-0000-0000-00000A000000}"/>
    <cellStyle name="Normal 5" xfId="4" xr:uid="{00000000-0005-0000-0000-00000B000000}"/>
    <cellStyle name="Normal 6" xfId="11" xr:uid="{00000000-0005-0000-0000-00000C000000}"/>
    <cellStyle name="Normal 6 3" xfId="12" xr:uid="{00000000-0005-0000-0000-00000D000000}"/>
    <cellStyle name="Normal 9" xfId="6" xr:uid="{00000000-0005-0000-0000-00000E000000}"/>
    <cellStyle name="Percent" xfId="2" builtinId="5"/>
    <cellStyle name="Percent 3" xfId="9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showRuler="0" zoomScale="80" zoomScaleNormal="80" zoomScaleSheetLayoutView="70" workbookViewId="0">
      <selection activeCell="A28" sqref="A28"/>
    </sheetView>
  </sheetViews>
  <sheetFormatPr defaultRowHeight="12.75"/>
  <cols>
    <col min="1" max="1" width="11.7109375" bestFit="1" customWidth="1"/>
    <col min="2" max="2" width="34" customWidth="1"/>
    <col min="3" max="3" width="12.5703125" customWidth="1"/>
    <col min="4" max="4" width="12.7109375" customWidth="1"/>
    <col min="5" max="5" width="13" customWidth="1"/>
    <col min="6" max="7" width="13.7109375" customWidth="1"/>
    <col min="8" max="8" width="13.7109375" hidden="1" customWidth="1"/>
    <col min="9" max="11" width="13.7109375" customWidth="1"/>
    <col min="12" max="15" width="11.7109375" bestFit="1" customWidth="1"/>
    <col min="16" max="16" width="11.7109375" customWidth="1"/>
    <col min="17" max="17" width="33.28515625" customWidth="1"/>
    <col min="18" max="19" width="9.140625" customWidth="1"/>
  </cols>
  <sheetData>
    <row r="1" spans="1:18" ht="15.75">
      <c r="A1" s="102" t="s">
        <v>0</v>
      </c>
      <c r="B1" s="15"/>
      <c r="C1" s="9" t="s">
        <v>1</v>
      </c>
      <c r="D1" s="9" t="s">
        <v>2</v>
      </c>
      <c r="E1" s="5" t="s">
        <v>3</v>
      </c>
      <c r="F1" s="9" t="s">
        <v>4</v>
      </c>
      <c r="G1" s="9" t="s">
        <v>5</v>
      </c>
      <c r="H1" s="9" t="s">
        <v>6</v>
      </c>
      <c r="I1" s="9">
        <v>2015</v>
      </c>
      <c r="J1" s="9" t="s">
        <v>7</v>
      </c>
      <c r="K1" s="9" t="s">
        <v>7</v>
      </c>
      <c r="L1" s="9" t="s">
        <v>8</v>
      </c>
      <c r="M1" s="7" t="s">
        <v>228</v>
      </c>
      <c r="N1" s="7" t="s">
        <v>244</v>
      </c>
      <c r="O1" s="7" t="s">
        <v>266</v>
      </c>
      <c r="P1" s="7" t="s">
        <v>267</v>
      </c>
      <c r="Q1" s="102"/>
      <c r="R1" s="103"/>
    </row>
    <row r="2" spans="1:18" ht="15.75">
      <c r="A2" s="15" t="s">
        <v>10</v>
      </c>
      <c r="B2" s="15" t="s">
        <v>11</v>
      </c>
      <c r="C2" s="15" t="s">
        <v>12</v>
      </c>
      <c r="D2" s="15" t="s">
        <v>12</v>
      </c>
      <c r="E2" s="15" t="s">
        <v>12</v>
      </c>
      <c r="F2" s="15" t="s">
        <v>12</v>
      </c>
      <c r="G2" s="15" t="s">
        <v>12</v>
      </c>
      <c r="H2" s="13" t="s">
        <v>13</v>
      </c>
      <c r="I2" s="104" t="s">
        <v>12</v>
      </c>
      <c r="J2" s="13" t="s">
        <v>13</v>
      </c>
      <c r="K2" s="15" t="s">
        <v>243</v>
      </c>
      <c r="L2" s="14" t="s">
        <v>13</v>
      </c>
      <c r="M2" s="14" t="s">
        <v>14</v>
      </c>
      <c r="N2" s="14" t="s">
        <v>14</v>
      </c>
      <c r="O2" s="14" t="s">
        <v>14</v>
      </c>
      <c r="P2" s="14" t="s">
        <v>14</v>
      </c>
      <c r="Q2" s="15" t="s">
        <v>15</v>
      </c>
      <c r="R2" s="103"/>
    </row>
    <row r="3" spans="1:18" ht="15.75">
      <c r="A3" s="15"/>
      <c r="B3" s="3"/>
      <c r="C3" s="15"/>
      <c r="D3" s="15"/>
      <c r="Q3" s="15"/>
      <c r="R3" s="103"/>
    </row>
    <row r="4" spans="1:18" ht="15">
      <c r="A4" s="3" t="s">
        <v>371</v>
      </c>
      <c r="B4" s="3" t="s">
        <v>372</v>
      </c>
      <c r="C4" s="105">
        <v>86369.31</v>
      </c>
      <c r="D4" s="105">
        <v>54057.26</v>
      </c>
      <c r="E4" s="105">
        <v>13651.22</v>
      </c>
      <c r="F4" s="105">
        <v>7577</v>
      </c>
      <c r="G4" s="105">
        <v>6495.53</v>
      </c>
      <c r="H4" s="106">
        <f>1000000*0.003</f>
        <v>3000</v>
      </c>
      <c r="I4" s="105">
        <v>4300</v>
      </c>
      <c r="J4" s="106">
        <v>2000</v>
      </c>
      <c r="K4" s="106">
        <v>2200</v>
      </c>
      <c r="L4" s="106">
        <v>1000</v>
      </c>
      <c r="M4" s="106">
        <v>0</v>
      </c>
      <c r="N4" s="106">
        <v>0</v>
      </c>
      <c r="O4" s="106">
        <v>0</v>
      </c>
      <c r="P4" s="106">
        <v>0</v>
      </c>
      <c r="Q4" s="107"/>
      <c r="R4" s="103"/>
    </row>
    <row r="5" spans="1:18" ht="15">
      <c r="A5" s="3" t="s">
        <v>373</v>
      </c>
      <c r="B5" s="3" t="s">
        <v>374</v>
      </c>
      <c r="C5" s="105">
        <v>1000000</v>
      </c>
      <c r="D5" s="105">
        <v>0</v>
      </c>
      <c r="E5" s="105">
        <v>0</v>
      </c>
      <c r="F5" s="105">
        <v>0</v>
      </c>
      <c r="G5" s="105">
        <v>0</v>
      </c>
      <c r="H5" s="105">
        <v>0</v>
      </c>
      <c r="I5" s="105">
        <v>0</v>
      </c>
      <c r="J5" s="105">
        <v>0</v>
      </c>
      <c r="K5" s="105"/>
      <c r="L5" s="105">
        <v>0</v>
      </c>
      <c r="M5" s="105">
        <v>0</v>
      </c>
      <c r="N5" s="105">
        <v>0</v>
      </c>
      <c r="O5" s="105">
        <v>0</v>
      </c>
      <c r="P5" s="105">
        <v>0</v>
      </c>
      <c r="Q5" s="30"/>
      <c r="R5" s="103"/>
    </row>
    <row r="6" spans="1:18" ht="25.5">
      <c r="A6" s="3" t="s">
        <v>375</v>
      </c>
      <c r="B6" s="3" t="s">
        <v>376</v>
      </c>
      <c r="C6" s="105">
        <v>1079.32</v>
      </c>
      <c r="D6" s="105">
        <v>0</v>
      </c>
      <c r="E6" s="105">
        <v>0</v>
      </c>
      <c r="F6" s="105">
        <v>0</v>
      </c>
      <c r="G6" s="105">
        <v>0</v>
      </c>
      <c r="H6" s="105">
        <v>19500</v>
      </c>
      <c r="I6" s="105">
        <v>17501.57</v>
      </c>
      <c r="J6" s="105">
        <v>0</v>
      </c>
      <c r="K6" s="105">
        <v>4816.6499999999996</v>
      </c>
      <c r="L6" s="105">
        <v>0</v>
      </c>
      <c r="M6" s="105">
        <v>0</v>
      </c>
      <c r="N6" s="105">
        <v>0</v>
      </c>
      <c r="O6" s="105">
        <v>0</v>
      </c>
      <c r="P6" s="105">
        <v>0</v>
      </c>
      <c r="Q6" s="108" t="s">
        <v>377</v>
      </c>
      <c r="R6" s="103"/>
    </row>
    <row r="7" spans="1:18" ht="15">
      <c r="A7" s="3" t="s">
        <v>378</v>
      </c>
      <c r="B7" s="3" t="s">
        <v>379</v>
      </c>
      <c r="C7" s="105">
        <v>0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/>
      <c r="L7" s="105">
        <v>0</v>
      </c>
      <c r="M7" s="109">
        <v>7000000</v>
      </c>
      <c r="N7" s="105">
        <v>0</v>
      </c>
      <c r="O7" s="105">
        <v>0</v>
      </c>
      <c r="P7" s="105">
        <v>0</v>
      </c>
      <c r="Q7" s="110" t="s">
        <v>380</v>
      </c>
      <c r="R7" s="103"/>
    </row>
    <row r="8" spans="1:18" ht="15">
      <c r="A8" s="3" t="s">
        <v>381</v>
      </c>
      <c r="B8" s="3" t="s">
        <v>382</v>
      </c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/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30"/>
      <c r="R8" s="103"/>
    </row>
    <row r="9" spans="1:18" ht="15">
      <c r="A9" s="3" t="s">
        <v>383</v>
      </c>
      <c r="B9" s="3" t="s">
        <v>45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/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30"/>
      <c r="R9" s="103"/>
    </row>
    <row r="10" spans="1:18" ht="15.75">
      <c r="A10" s="3"/>
      <c r="B10" s="42" t="s">
        <v>384</v>
      </c>
      <c r="C10" s="112">
        <f t="shared" ref="C10:N10" si="0">SUM(C4:C9)</f>
        <v>1087448.6300000001</v>
      </c>
      <c r="D10" s="112">
        <f t="shared" si="0"/>
        <v>54057.26</v>
      </c>
      <c r="E10" s="112">
        <f t="shared" si="0"/>
        <v>13651.22</v>
      </c>
      <c r="F10" s="112">
        <f t="shared" si="0"/>
        <v>7577</v>
      </c>
      <c r="G10" s="112">
        <f t="shared" si="0"/>
        <v>6495.53</v>
      </c>
      <c r="H10" s="112">
        <f t="shared" ref="H10" si="1">SUM(H4:H9)</f>
        <v>22500</v>
      </c>
      <c r="I10" s="112">
        <f t="shared" si="0"/>
        <v>21801.57</v>
      </c>
      <c r="J10" s="112">
        <f t="shared" si="0"/>
        <v>2000</v>
      </c>
      <c r="K10" s="112">
        <f t="shared" si="0"/>
        <v>7016.65</v>
      </c>
      <c r="L10" s="112">
        <f t="shared" si="0"/>
        <v>1000</v>
      </c>
      <c r="M10" s="112">
        <f t="shared" si="0"/>
        <v>7000000</v>
      </c>
      <c r="N10" s="112">
        <f t="shared" si="0"/>
        <v>0</v>
      </c>
      <c r="O10" s="112">
        <f t="shared" ref="O10:P10" si="2">SUM(O4:O9)</f>
        <v>0</v>
      </c>
      <c r="P10" s="112">
        <f t="shared" si="2"/>
        <v>0</v>
      </c>
      <c r="Q10" s="113"/>
      <c r="R10" s="103"/>
    </row>
    <row r="11" spans="1:18" ht="15.75">
      <c r="A11" s="3"/>
      <c r="B11" s="4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3"/>
      <c r="R11" s="103"/>
    </row>
    <row r="12" spans="1:18" ht="15">
      <c r="A12" s="3" t="s">
        <v>385</v>
      </c>
      <c r="B12" s="3" t="s">
        <v>386</v>
      </c>
      <c r="C12" s="114">
        <v>0</v>
      </c>
      <c r="D12" s="114">
        <v>0</v>
      </c>
      <c r="E12" s="114">
        <v>0</v>
      </c>
      <c r="F12" s="114">
        <v>0</v>
      </c>
      <c r="G12" s="114">
        <v>59042</v>
      </c>
      <c r="H12" s="114">
        <v>0</v>
      </c>
      <c r="I12" s="114">
        <v>0</v>
      </c>
      <c r="J12" s="114">
        <v>0</v>
      </c>
      <c r="K12" s="114"/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33"/>
      <c r="R12" s="103"/>
    </row>
    <row r="13" spans="1:18" ht="15">
      <c r="A13" s="115" t="s">
        <v>387</v>
      </c>
      <c r="B13" s="3" t="s">
        <v>388</v>
      </c>
      <c r="C13" s="114">
        <v>0</v>
      </c>
      <c r="D13" s="114">
        <v>0</v>
      </c>
      <c r="E13" s="114">
        <v>0</v>
      </c>
      <c r="F13" s="114">
        <v>0</v>
      </c>
      <c r="G13" s="114">
        <v>0</v>
      </c>
      <c r="H13" s="114">
        <v>0</v>
      </c>
      <c r="I13" s="114">
        <v>0</v>
      </c>
      <c r="J13" s="114">
        <v>0</v>
      </c>
      <c r="K13" s="114"/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33" t="s">
        <v>389</v>
      </c>
      <c r="R13" s="103"/>
    </row>
    <row r="14" spans="1:18" ht="23.25" customHeight="1">
      <c r="A14" s="3" t="s">
        <v>390</v>
      </c>
      <c r="B14" s="3" t="s">
        <v>391</v>
      </c>
      <c r="C14" s="114">
        <v>0</v>
      </c>
      <c r="D14" s="114">
        <v>0</v>
      </c>
      <c r="E14" s="114">
        <v>725</v>
      </c>
      <c r="F14" s="114">
        <v>0</v>
      </c>
      <c r="G14" s="114">
        <v>0</v>
      </c>
      <c r="H14" s="114">
        <v>139000</v>
      </c>
      <c r="I14" s="116">
        <v>22000</v>
      </c>
      <c r="J14" s="116">
        <v>139102</v>
      </c>
      <c r="K14" s="116">
        <v>100000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7" t="s">
        <v>392</v>
      </c>
      <c r="R14" s="103"/>
    </row>
    <row r="15" spans="1:18" ht="15">
      <c r="A15" s="3" t="s">
        <v>393</v>
      </c>
      <c r="B15" s="3" t="s">
        <v>394</v>
      </c>
      <c r="C15" s="114">
        <v>0</v>
      </c>
      <c r="D15" s="114">
        <v>0</v>
      </c>
      <c r="E15" s="114">
        <v>0</v>
      </c>
      <c r="F15" s="114">
        <v>0</v>
      </c>
      <c r="G15" s="114">
        <v>0</v>
      </c>
      <c r="H15" s="114">
        <v>0</v>
      </c>
      <c r="I15" s="114">
        <v>0</v>
      </c>
      <c r="J15" s="114">
        <v>0</v>
      </c>
      <c r="K15" s="114"/>
      <c r="L15" s="114">
        <v>0</v>
      </c>
      <c r="M15" s="114">
        <v>0</v>
      </c>
      <c r="N15" s="114">
        <v>0</v>
      </c>
      <c r="O15" s="114">
        <v>0</v>
      </c>
      <c r="P15" s="114">
        <v>0</v>
      </c>
      <c r="Q15" s="30"/>
      <c r="R15" s="103"/>
    </row>
    <row r="16" spans="1:18" ht="15">
      <c r="A16" s="115" t="s">
        <v>395</v>
      </c>
      <c r="B16" s="118" t="s">
        <v>396</v>
      </c>
      <c r="C16" s="114">
        <f>100000-100000</f>
        <v>0</v>
      </c>
      <c r="D16" s="114">
        <f>100000-100000</f>
        <v>0</v>
      </c>
      <c r="E16" s="57">
        <v>7010.45</v>
      </c>
      <c r="F16" s="119">
        <v>0</v>
      </c>
      <c r="G16" s="120">
        <f>1000000-1000000</f>
        <v>0</v>
      </c>
      <c r="H16" s="57">
        <v>0</v>
      </c>
      <c r="I16" s="57">
        <v>0</v>
      </c>
      <c r="J16" s="57">
        <v>0</v>
      </c>
      <c r="K16" s="57"/>
      <c r="L16" s="57">
        <v>0</v>
      </c>
      <c r="M16" s="116">
        <v>0</v>
      </c>
      <c r="N16" s="116">
        <v>0</v>
      </c>
      <c r="O16" s="114">
        <v>0</v>
      </c>
      <c r="P16" s="114">
        <v>0</v>
      </c>
      <c r="Q16" s="121"/>
      <c r="R16" s="103"/>
    </row>
    <row r="17" spans="1:18" ht="15.75" customHeight="1">
      <c r="A17" s="115" t="s">
        <v>397</v>
      </c>
      <c r="B17" s="115" t="s">
        <v>398</v>
      </c>
      <c r="C17" s="105">
        <v>7934.6</v>
      </c>
      <c r="D17" s="122">
        <v>62740.97</v>
      </c>
      <c r="E17" s="122">
        <v>640777.69999999995</v>
      </c>
      <c r="F17" s="122">
        <v>113088</v>
      </c>
      <c r="G17" s="122">
        <v>13112.22</v>
      </c>
      <c r="H17" s="123">
        <f>45000+23000+64000</f>
        <v>132000</v>
      </c>
      <c r="I17" s="122">
        <v>75000</v>
      </c>
      <c r="J17" s="122">
        <v>10000</v>
      </c>
      <c r="K17" s="122">
        <v>0</v>
      </c>
      <c r="L17" s="122">
        <v>0</v>
      </c>
      <c r="M17" s="116">
        <v>0</v>
      </c>
      <c r="N17" s="116">
        <v>0</v>
      </c>
      <c r="O17" s="116">
        <v>0</v>
      </c>
      <c r="P17" s="116">
        <v>0</v>
      </c>
      <c r="Q17" s="124"/>
      <c r="R17" s="103"/>
    </row>
    <row r="18" spans="1:18" ht="15">
      <c r="A18" s="115" t="s">
        <v>399</v>
      </c>
      <c r="B18" s="115" t="s">
        <v>400</v>
      </c>
      <c r="C18" s="105">
        <v>0</v>
      </c>
      <c r="D18" s="105">
        <v>0</v>
      </c>
      <c r="E18" s="114">
        <v>0</v>
      </c>
      <c r="F18" s="114">
        <v>0</v>
      </c>
      <c r="G18" s="114">
        <v>0</v>
      </c>
      <c r="H18" s="114">
        <v>554592</v>
      </c>
      <c r="I18" s="116">
        <v>245000</v>
      </c>
      <c r="J18" s="116">
        <v>1003827</v>
      </c>
      <c r="K18" s="116">
        <v>150000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21"/>
      <c r="R18" s="103"/>
    </row>
    <row r="19" spans="1:18" ht="15">
      <c r="A19" s="115" t="s">
        <v>401</v>
      </c>
      <c r="B19" s="115" t="s">
        <v>402</v>
      </c>
      <c r="C19" s="105">
        <v>44385.81</v>
      </c>
      <c r="D19" s="122">
        <v>218954.77</v>
      </c>
      <c r="E19" s="105">
        <v>342202.06</v>
      </c>
      <c r="F19" s="125">
        <v>163942</v>
      </c>
      <c r="G19" s="105">
        <v>330000.68</v>
      </c>
      <c r="H19" s="105">
        <v>147978</v>
      </c>
      <c r="I19" s="126">
        <v>147978</v>
      </c>
      <c r="J19" s="127">
        <f>17621+21000</f>
        <v>38621</v>
      </c>
      <c r="K19" s="127">
        <v>30000</v>
      </c>
      <c r="L19" s="126">
        <v>0</v>
      </c>
      <c r="M19" s="116">
        <v>0</v>
      </c>
      <c r="N19" s="116">
        <v>0</v>
      </c>
      <c r="O19" s="116">
        <v>0</v>
      </c>
      <c r="P19" s="116">
        <v>0</v>
      </c>
      <c r="Q19" s="121"/>
      <c r="R19" s="103"/>
    </row>
    <row r="20" spans="1:18" ht="15">
      <c r="A20" s="115"/>
      <c r="B20" s="115"/>
      <c r="C20" s="105"/>
      <c r="D20" s="122">
        <v>0</v>
      </c>
      <c r="E20" s="114"/>
      <c r="F20" s="128"/>
      <c r="G20" s="114"/>
      <c r="H20" s="114"/>
      <c r="I20" s="114"/>
      <c r="J20" s="114"/>
      <c r="K20" s="114"/>
      <c r="L20" s="114"/>
      <c r="Q20" s="129"/>
      <c r="R20" s="103"/>
    </row>
    <row r="21" spans="1:18" ht="15">
      <c r="A21" s="115" t="s">
        <v>403</v>
      </c>
      <c r="B21" s="115" t="s">
        <v>404</v>
      </c>
      <c r="C21" s="111">
        <v>5205212.8</v>
      </c>
      <c r="D21" s="130">
        <v>668486.40000000002</v>
      </c>
      <c r="E21" s="130">
        <v>30925.64</v>
      </c>
      <c r="F21" s="130">
        <v>11194</v>
      </c>
      <c r="G21" s="130">
        <v>3232.5</v>
      </c>
      <c r="H21" s="130">
        <v>5000</v>
      </c>
      <c r="I21" s="130">
        <v>0</v>
      </c>
      <c r="J21" s="130">
        <v>5000</v>
      </c>
      <c r="K21" s="130">
        <v>5000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29"/>
      <c r="R21" s="103"/>
    </row>
    <row r="22" spans="1:18" ht="15">
      <c r="A22" s="115"/>
      <c r="B22" s="115"/>
      <c r="Q22" s="107"/>
      <c r="R22" s="103"/>
    </row>
    <row r="23" spans="1:18" ht="15.75">
      <c r="A23" s="3"/>
      <c r="B23" s="42" t="s">
        <v>405</v>
      </c>
      <c r="C23" s="112">
        <f>SUM(C13:C22)</f>
        <v>5257533.21</v>
      </c>
      <c r="D23" s="112">
        <f>SUM(D13:D22)</f>
        <v>950182.14</v>
      </c>
      <c r="E23" s="112">
        <f>SUM(E13:E22)</f>
        <v>1021640.85</v>
      </c>
      <c r="F23" s="112">
        <f>SUM(F13:F22)</f>
        <v>288224</v>
      </c>
      <c r="G23" s="112">
        <f>SUM(G12:G22)</f>
        <v>405387.4</v>
      </c>
      <c r="H23" s="112">
        <f>SUM(H13:H22)</f>
        <v>978570</v>
      </c>
      <c r="I23" s="112">
        <f t="shared" ref="I23:P23" si="3">SUM(I12:I22)</f>
        <v>489978</v>
      </c>
      <c r="J23" s="112">
        <f t="shared" si="3"/>
        <v>1196550</v>
      </c>
      <c r="K23" s="112">
        <f t="shared" si="3"/>
        <v>285000</v>
      </c>
      <c r="L23" s="112">
        <f t="shared" si="3"/>
        <v>0</v>
      </c>
      <c r="M23" s="112">
        <f t="shared" si="3"/>
        <v>0</v>
      </c>
      <c r="N23" s="112">
        <v>0</v>
      </c>
      <c r="O23" s="112">
        <f t="shared" si="3"/>
        <v>0</v>
      </c>
      <c r="P23" s="112">
        <f t="shared" si="3"/>
        <v>0</v>
      </c>
      <c r="Q23" s="113"/>
      <c r="R23" s="103"/>
    </row>
    <row r="24" spans="1:18" ht="15.75">
      <c r="A24" s="3"/>
      <c r="B24" s="42"/>
      <c r="C24" s="112"/>
      <c r="D24" s="112"/>
      <c r="Q24" s="113"/>
      <c r="R24" s="103"/>
    </row>
    <row r="25" spans="1:18" ht="15.75">
      <c r="A25" s="3"/>
      <c r="B25" s="42"/>
      <c r="C25" s="112"/>
      <c r="D25" s="112"/>
      <c r="F25" s="9"/>
      <c r="G25" s="9"/>
      <c r="H25" s="9"/>
      <c r="I25" s="9"/>
      <c r="J25" s="9"/>
      <c r="K25" s="9" t="s">
        <v>7</v>
      </c>
      <c r="L25" s="9" t="s">
        <v>8</v>
      </c>
      <c r="M25" s="7" t="s">
        <v>228</v>
      </c>
      <c r="N25" s="7" t="s">
        <v>244</v>
      </c>
      <c r="O25" s="7" t="s">
        <v>266</v>
      </c>
      <c r="P25" s="7" t="s">
        <v>267</v>
      </c>
      <c r="Q25" s="113"/>
      <c r="R25" s="103"/>
    </row>
    <row r="26" spans="1:18" ht="15.75">
      <c r="A26" s="3"/>
      <c r="B26" s="42"/>
      <c r="F26" s="13"/>
      <c r="G26" s="13"/>
      <c r="H26" s="13"/>
      <c r="I26" s="13"/>
      <c r="J26" s="13"/>
      <c r="K26" s="15" t="s">
        <v>243</v>
      </c>
      <c r="L26" s="14" t="s">
        <v>13</v>
      </c>
      <c r="M26" s="14" t="s">
        <v>14</v>
      </c>
      <c r="N26" s="14" t="s">
        <v>14</v>
      </c>
      <c r="O26" s="14" t="s">
        <v>14</v>
      </c>
      <c r="P26" s="14" t="s">
        <v>14</v>
      </c>
      <c r="Q26" s="113"/>
      <c r="R26" s="103"/>
    </row>
    <row r="27" spans="1:18" ht="16.5">
      <c r="A27" s="61"/>
      <c r="B27" s="131"/>
      <c r="C27" s="38"/>
      <c r="I27" s="131"/>
      <c r="J27" s="131" t="s">
        <v>48</v>
      </c>
      <c r="K27" s="38">
        <v>1529970.87</v>
      </c>
      <c r="L27" s="38">
        <f>+K33</f>
        <v>1251987.52</v>
      </c>
      <c r="M27" s="38">
        <f>L33</f>
        <v>1252987.52</v>
      </c>
      <c r="N27" s="38">
        <f>M33</f>
        <v>8252987.5199999996</v>
      </c>
      <c r="O27" s="38">
        <f>N33</f>
        <v>8252987.5199999996</v>
      </c>
      <c r="P27" s="38">
        <f>O33</f>
        <v>8252987.5199999996</v>
      </c>
      <c r="R27" s="103"/>
    </row>
    <row r="28" spans="1:18" ht="16.5">
      <c r="A28" s="61"/>
      <c r="B28" s="131"/>
      <c r="C28" s="57"/>
      <c r="D28" s="3"/>
      <c r="I28" s="3"/>
      <c r="J28" s="38"/>
      <c r="K28" s="38"/>
      <c r="L28" s="38"/>
      <c r="R28" s="103"/>
    </row>
    <row r="29" spans="1:18" ht="13.5">
      <c r="A29" s="3"/>
      <c r="B29" s="131"/>
      <c r="C29" s="132"/>
      <c r="D29" s="20"/>
      <c r="I29" s="131"/>
      <c r="J29" s="131" t="s">
        <v>239</v>
      </c>
      <c r="K29" s="38">
        <f t="shared" ref="K29:P29" si="4">K10</f>
        <v>7016.65</v>
      </c>
      <c r="L29" s="38">
        <f t="shared" si="4"/>
        <v>1000</v>
      </c>
      <c r="M29" s="38">
        <f t="shared" si="4"/>
        <v>7000000</v>
      </c>
      <c r="N29" s="38">
        <f t="shared" si="4"/>
        <v>0</v>
      </c>
      <c r="O29" s="38">
        <f t="shared" si="4"/>
        <v>0</v>
      </c>
      <c r="P29" s="38">
        <f t="shared" si="4"/>
        <v>0</v>
      </c>
    </row>
    <row r="30" spans="1:18" ht="13.5">
      <c r="A30" s="3"/>
      <c r="B30" s="131"/>
      <c r="C30" s="57"/>
      <c r="D30" s="3"/>
      <c r="I30" s="131"/>
      <c r="J30" s="131" t="s">
        <v>240</v>
      </c>
      <c r="K30" s="133">
        <f t="shared" ref="K30:P30" si="5">K23</f>
        <v>285000</v>
      </c>
      <c r="L30" s="133">
        <f t="shared" si="5"/>
        <v>0</v>
      </c>
      <c r="M30" s="133">
        <f t="shared" si="5"/>
        <v>0</v>
      </c>
      <c r="N30" s="133">
        <f t="shared" si="5"/>
        <v>0</v>
      </c>
      <c r="O30" s="133">
        <f t="shared" si="5"/>
        <v>0</v>
      </c>
      <c r="P30" s="133">
        <f t="shared" si="5"/>
        <v>0</v>
      </c>
    </row>
    <row r="31" spans="1:18" ht="13.5">
      <c r="A31" s="3"/>
      <c r="B31" s="131"/>
      <c r="C31" s="3"/>
      <c r="I31" s="131"/>
      <c r="J31" s="131" t="s">
        <v>49</v>
      </c>
      <c r="K31" s="38">
        <f t="shared" ref="K31:P31" si="6">K29-K30</f>
        <v>-277983.34999999998</v>
      </c>
      <c r="L31" s="38">
        <f t="shared" si="6"/>
        <v>1000</v>
      </c>
      <c r="M31" s="38">
        <f t="shared" si="6"/>
        <v>7000000</v>
      </c>
      <c r="N31" s="38">
        <f t="shared" si="6"/>
        <v>0</v>
      </c>
      <c r="O31" s="38">
        <f t="shared" si="6"/>
        <v>0</v>
      </c>
      <c r="P31" s="38">
        <f t="shared" si="6"/>
        <v>0</v>
      </c>
    </row>
    <row r="32" spans="1:18" ht="13.5">
      <c r="A32" s="3"/>
      <c r="B32" s="3"/>
      <c r="C32" s="3"/>
      <c r="I32" s="134"/>
      <c r="J32" s="131"/>
    </row>
    <row r="33" spans="9:16" ht="15">
      <c r="I33" s="135"/>
      <c r="J33" s="2" t="s">
        <v>50</v>
      </c>
      <c r="K33" s="57">
        <f t="shared" ref="K33:P33" si="7">K27+K31</f>
        <v>1251987.52</v>
      </c>
      <c r="L33" s="57">
        <f t="shared" si="7"/>
        <v>1252987.52</v>
      </c>
      <c r="M33" s="57">
        <f t="shared" si="7"/>
        <v>8252987.5199999996</v>
      </c>
      <c r="N33" s="57">
        <f t="shared" si="7"/>
        <v>8252987.5199999996</v>
      </c>
      <c r="O33" s="57">
        <f t="shared" si="7"/>
        <v>8252987.5199999996</v>
      </c>
      <c r="P33" s="57">
        <f t="shared" si="7"/>
        <v>8252987.5199999996</v>
      </c>
    </row>
    <row r="34" spans="9:16" ht="13.5">
      <c r="J34" s="136" t="s">
        <v>51</v>
      </c>
      <c r="K34" s="20">
        <f t="shared" ref="K34:P34" si="8">(K30/12)*3</f>
        <v>71250</v>
      </c>
      <c r="L34" s="20">
        <f t="shared" si="8"/>
        <v>0</v>
      </c>
      <c r="M34" s="20">
        <f t="shared" si="8"/>
        <v>0</v>
      </c>
      <c r="N34" s="20">
        <f t="shared" si="8"/>
        <v>0</v>
      </c>
      <c r="O34" s="20">
        <f t="shared" si="8"/>
        <v>0</v>
      </c>
      <c r="P34" s="20">
        <f t="shared" si="8"/>
        <v>0</v>
      </c>
    </row>
  </sheetData>
  <customSheetViews>
    <customSheetView guid="{335AE900-CBF5-4B9C-9F01-37D3AE4D028B}" scale="80" showPageBreaks="1" printArea="1" hiddenColumns="1" showRuler="0" topLeftCell="A13">
      <selection activeCell="J29" sqref="J29"/>
      <rowBreaks count="4" manualBreakCount="4">
        <brk id="42" max="16383" man="1"/>
        <brk id="86" max="22" man="1"/>
        <brk id="129" max="22" man="1"/>
        <brk id="174" max="16383" man="1"/>
      </rowBreaks>
      <pageMargins left="0.25" right="0" top="0.5" bottom="0.25" header="0.25" footer="0"/>
      <printOptions gridLines="1"/>
      <pageSetup paperSize="5" scale="67" fitToHeight="0" orientation="landscape" r:id="rId1"/>
      <headerFooter alignWithMargins="0">
        <oddHeader xml:space="preserve">&amp;C&amp;"Book Antiqua,Bold"&amp;12 2016 SEWER BUDGET </oddHeader>
      </headerFooter>
    </customSheetView>
    <customSheetView guid="{830ED1A3-1A4F-4773-8A10-ACA04DBD8F07}" showPageBreaks="1" printArea="1" hiddenColumns="1" view="pageBreakPreview" showRuler="0">
      <pane ySplit="2" topLeftCell="A3" activePane="bottomLeft" state="frozen"/>
      <selection pane="bottomLeft" activeCell="T37" sqref="T37"/>
      <rowBreaks count="4" manualBreakCount="4">
        <brk id="42" max="16383" man="1"/>
        <brk id="86" max="22" man="1"/>
        <brk id="129" max="22" man="1"/>
        <brk id="174" max="16383" man="1"/>
      </rowBreaks>
      <pageMargins left="0.25" right="0" top="0.5" bottom="0.25" header="0.25" footer="0"/>
      <printOptions gridLines="1"/>
      <pageSetup paperSize="5" scale="68" fitToHeight="0" orientation="landscape" r:id="rId2"/>
      <headerFooter alignWithMargins="0">
        <oddHeader xml:space="preserve">&amp;C&amp;"Book Antiqua,Bold"&amp;12 2016 SEWER BUDGET </oddHeader>
      </headerFooter>
    </customSheetView>
    <customSheetView guid="{C321B809-16C5-4B7B-94A8-9F46C2CF89B9}" showPageBreaks="1" printArea="1" hiddenColumns="1" view="pageBreakPreview" showRuler="0">
      <pane ySplit="2" topLeftCell="A9" activePane="bottomLeft" state="frozen"/>
      <selection pane="bottomLeft" activeCell="S8" sqref="S8:V8"/>
      <rowBreaks count="4" manualBreakCount="4">
        <brk id="42" max="16383" man="1"/>
        <brk id="86" max="22" man="1"/>
        <brk id="129" max="22" man="1"/>
        <brk id="174" max="16383" man="1"/>
      </rowBreaks>
      <pageMargins left="0.25" right="0" top="0.5" bottom="0.25" header="0.25" footer="0"/>
      <printOptions gridLines="1"/>
      <pageSetup paperSize="5" scale="68" fitToHeight="0" orientation="landscape" r:id="rId3"/>
      <headerFooter alignWithMargins="0">
        <oddHeader xml:space="preserve">&amp;C&amp;"Book Antiqua,Bold"&amp;12 2016 SEWER BUDGET </oddHeader>
      </headerFooter>
    </customSheetView>
  </customSheetViews>
  <printOptions gridLines="1"/>
  <pageMargins left="0.25" right="0" top="0.5" bottom="0.25" header="0.25" footer="0"/>
  <pageSetup paperSize="5" scale="67" fitToHeight="0" orientation="landscape" r:id="rId4"/>
  <headerFooter alignWithMargins="0">
    <oddHeader xml:space="preserve">&amp;C&amp;"Book Antiqua,Bold"&amp;12 2016 SEWER BUDGET </oddHeader>
  </headerFooter>
  <rowBreaks count="4" manualBreakCount="4">
    <brk id="42" max="16383" man="1"/>
    <brk id="86" max="18" man="1"/>
    <brk id="129" max="18" man="1"/>
    <brk id="174" max="16383" man="1"/>
  </row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65"/>
  <sheetViews>
    <sheetView showRuler="0" zoomScale="80" zoomScaleNormal="80" zoomScaleSheetLayoutView="7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T136" sqref="T136"/>
    </sheetView>
  </sheetViews>
  <sheetFormatPr defaultRowHeight="12.75"/>
  <cols>
    <col min="1" max="1" width="10.85546875" customWidth="1"/>
    <col min="2" max="2" width="11.5703125" customWidth="1"/>
    <col min="3" max="3" width="21.140625" customWidth="1"/>
    <col min="4" max="4" width="0.28515625" customWidth="1"/>
    <col min="5" max="6" width="12.140625" hidden="1" customWidth="1"/>
    <col min="7" max="7" width="11.7109375" style="16" hidden="1" customWidth="1"/>
    <col min="8" max="8" width="12.140625" style="16" hidden="1" customWidth="1"/>
    <col min="9" max="9" width="13.28515625" style="17" hidden="1" customWidth="1"/>
    <col min="10" max="10" width="13" style="17" customWidth="1"/>
    <col min="11" max="11" width="13.7109375" style="17" customWidth="1"/>
    <col min="12" max="12" width="13.28515625" style="17" customWidth="1"/>
    <col min="13" max="14" width="12.140625" style="17" customWidth="1"/>
    <col min="15" max="17" width="12.7109375" style="17" customWidth="1"/>
    <col min="18" max="18" width="13.42578125" style="17" customWidth="1"/>
    <col min="19" max="19" width="7.85546875" style="17" customWidth="1"/>
    <col min="20" max="20" width="12.7109375" style="17" customWidth="1"/>
    <col min="21" max="21" width="13.28515625" style="17" customWidth="1"/>
    <col min="22" max="23" width="12.7109375" style="17" customWidth="1"/>
    <col min="24" max="24" width="52.85546875" style="18" customWidth="1"/>
  </cols>
  <sheetData>
    <row r="1" spans="1:24" ht="15">
      <c r="A1" s="1" t="s">
        <v>0</v>
      </c>
      <c r="B1" s="2"/>
      <c r="C1" s="3"/>
      <c r="D1" s="3"/>
      <c r="E1" s="6" t="s">
        <v>232</v>
      </c>
      <c r="F1" s="6" t="s">
        <v>119</v>
      </c>
      <c r="G1" s="6" t="s">
        <v>120</v>
      </c>
      <c r="H1" s="6" t="s">
        <v>121</v>
      </c>
      <c r="I1" s="7" t="s">
        <v>1</v>
      </c>
      <c r="J1" s="7" t="s">
        <v>2</v>
      </c>
      <c r="K1" s="8" t="s">
        <v>3</v>
      </c>
      <c r="L1" s="8" t="s">
        <v>4</v>
      </c>
      <c r="M1" s="9" t="s">
        <v>5</v>
      </c>
      <c r="N1" s="9" t="s">
        <v>6</v>
      </c>
      <c r="O1" s="6" t="s">
        <v>7</v>
      </c>
      <c r="P1" s="9" t="s">
        <v>7</v>
      </c>
      <c r="Q1" s="6" t="s">
        <v>8</v>
      </c>
      <c r="R1" s="164" t="s">
        <v>265</v>
      </c>
      <c r="S1" s="164"/>
      <c r="T1" s="6" t="s">
        <v>228</v>
      </c>
      <c r="U1" s="6" t="s">
        <v>244</v>
      </c>
      <c r="V1" s="6" t="s">
        <v>266</v>
      </c>
      <c r="W1" s="6" t="s">
        <v>267</v>
      </c>
      <c r="X1" s="10" t="s">
        <v>9</v>
      </c>
    </row>
    <row r="2" spans="1:24" ht="15">
      <c r="A2" s="11" t="s">
        <v>10</v>
      </c>
      <c r="B2" s="12" t="s">
        <v>11</v>
      </c>
      <c r="C2" s="3"/>
      <c r="D2" s="3"/>
      <c r="E2" s="13" t="s">
        <v>12</v>
      </c>
      <c r="F2" s="13" t="s">
        <v>12</v>
      </c>
      <c r="G2" s="14" t="s">
        <v>12</v>
      </c>
      <c r="H2" s="14" t="s">
        <v>12</v>
      </c>
      <c r="I2" s="15" t="s">
        <v>12</v>
      </c>
      <c r="J2" s="15" t="s">
        <v>12</v>
      </c>
      <c r="K2" s="15" t="s">
        <v>12</v>
      </c>
      <c r="L2" s="15" t="s">
        <v>12</v>
      </c>
      <c r="M2" s="15" t="s">
        <v>12</v>
      </c>
      <c r="N2" s="15" t="s">
        <v>12</v>
      </c>
      <c r="O2" s="15" t="s">
        <v>13</v>
      </c>
      <c r="P2" s="15" t="s">
        <v>243</v>
      </c>
      <c r="Q2" s="15" t="s">
        <v>13</v>
      </c>
      <c r="R2" s="15" t="s">
        <v>261</v>
      </c>
      <c r="S2" s="15" t="s">
        <v>262</v>
      </c>
      <c r="T2" s="13" t="s">
        <v>14</v>
      </c>
      <c r="U2" s="13" t="s">
        <v>14</v>
      </c>
      <c r="V2" s="13" t="s">
        <v>14</v>
      </c>
      <c r="W2" s="13" t="s">
        <v>14</v>
      </c>
      <c r="X2" s="10" t="s">
        <v>15</v>
      </c>
    </row>
    <row r="3" spans="1:24" ht="13.5">
      <c r="A3" s="3"/>
      <c r="B3" s="3"/>
      <c r="C3" s="3"/>
      <c r="D3" s="3"/>
      <c r="E3" s="3"/>
      <c r="F3" s="16"/>
    </row>
    <row r="4" spans="1:24" ht="13.5">
      <c r="A4" s="3" t="s">
        <v>16</v>
      </c>
      <c r="B4" s="3" t="s">
        <v>17</v>
      </c>
      <c r="C4" s="3"/>
      <c r="D4" s="3"/>
      <c r="E4" s="20">
        <v>490303.15</v>
      </c>
      <c r="F4" s="20">
        <v>525185.52</v>
      </c>
      <c r="G4" s="20">
        <v>508479.82</v>
      </c>
      <c r="H4" s="20">
        <v>416466.91</v>
      </c>
      <c r="I4" s="20">
        <v>405089.82</v>
      </c>
      <c r="J4" s="20">
        <v>399237.88</v>
      </c>
      <c r="K4" s="21">
        <v>377601.18</v>
      </c>
      <c r="L4" s="21">
        <v>379248</v>
      </c>
      <c r="M4" s="22">
        <v>373571.35</v>
      </c>
      <c r="N4" s="25">
        <v>360630.39</v>
      </c>
      <c r="O4" s="22">
        <v>375000</v>
      </c>
      <c r="P4" s="22">
        <v>378000</v>
      </c>
      <c r="Q4" s="22">
        <v>375000</v>
      </c>
      <c r="R4" s="22">
        <f>Q4-O4</f>
        <v>0</v>
      </c>
      <c r="S4" s="22"/>
      <c r="T4" s="22">
        <v>375000</v>
      </c>
      <c r="U4" s="22">
        <v>7500</v>
      </c>
      <c r="V4" s="22">
        <v>7500</v>
      </c>
      <c r="W4" s="22">
        <v>7500</v>
      </c>
      <c r="X4" s="23"/>
    </row>
    <row r="5" spans="1:24" ht="13.5">
      <c r="A5" s="3"/>
      <c r="B5" s="3"/>
      <c r="C5" s="3"/>
      <c r="D5" s="3"/>
      <c r="E5" s="20"/>
      <c r="F5" s="20"/>
      <c r="G5" s="20"/>
      <c r="H5" s="20"/>
      <c r="I5" s="20"/>
      <c r="J5" s="20"/>
      <c r="K5" s="20"/>
      <c r="L5" s="20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4" ht="13.5">
      <c r="A6" s="3" t="s">
        <v>18</v>
      </c>
      <c r="B6" s="3" t="s">
        <v>19</v>
      </c>
      <c r="C6" s="3"/>
      <c r="D6" s="3"/>
      <c r="E6" s="20">
        <v>2075424.92</v>
      </c>
      <c r="F6" s="20">
        <v>2361233.2000000002</v>
      </c>
      <c r="G6" s="20">
        <v>2529944.14</v>
      </c>
      <c r="H6" s="20">
        <v>3136377.19</v>
      </c>
      <c r="I6" s="20">
        <v>3063331.74</v>
      </c>
      <c r="J6" s="21">
        <v>3341057.45</v>
      </c>
      <c r="K6" s="21">
        <v>3120902.01</v>
      </c>
      <c r="L6" s="21">
        <v>3096996</v>
      </c>
      <c r="M6" s="22">
        <v>3229961.81</v>
      </c>
      <c r="N6" s="25">
        <v>3255628.01</v>
      </c>
      <c r="O6" s="22">
        <v>3333000</v>
      </c>
      <c r="P6" s="22">
        <v>3333000</v>
      </c>
      <c r="Q6" s="22">
        <f>P6*101%</f>
        <v>3366330</v>
      </c>
      <c r="R6" s="22">
        <v>0</v>
      </c>
      <c r="S6" s="22"/>
      <c r="T6" s="22">
        <f>Q6*101%</f>
        <v>3399993.3</v>
      </c>
      <c r="U6" s="22">
        <f t="shared" ref="U6:W7" si="0">T6*101%</f>
        <v>3433993.233</v>
      </c>
      <c r="V6" s="22">
        <f t="shared" si="0"/>
        <v>3468333.1653300002</v>
      </c>
      <c r="W6" s="22">
        <f t="shared" si="0"/>
        <v>3503016.4969833004</v>
      </c>
      <c r="X6" s="26" t="s">
        <v>269</v>
      </c>
    </row>
    <row r="7" spans="1:24" ht="13.5">
      <c r="A7" s="3" t="s">
        <v>20</v>
      </c>
      <c r="B7" s="3" t="s">
        <v>21</v>
      </c>
      <c r="C7" s="3"/>
      <c r="D7" s="3"/>
      <c r="E7" s="20">
        <v>166047.57999999999</v>
      </c>
      <c r="F7" s="20">
        <v>139015.96</v>
      </c>
      <c r="G7" s="20">
        <v>160259.14000000001</v>
      </c>
      <c r="H7" s="20">
        <v>148462.65</v>
      </c>
      <c r="I7" s="20">
        <v>147083.96</v>
      </c>
      <c r="J7" s="20">
        <v>106516.99</v>
      </c>
      <c r="K7" s="20">
        <v>113954.14</v>
      </c>
      <c r="L7" s="21">
        <v>128093</v>
      </c>
      <c r="M7" s="22">
        <v>78802.22</v>
      </c>
      <c r="N7" s="25">
        <v>22727.11</v>
      </c>
      <c r="O7" s="22">
        <v>117311.5</v>
      </c>
      <c r="P7" s="22">
        <v>103000</v>
      </c>
      <c r="Q7" s="22">
        <v>118484.61500000001</v>
      </c>
      <c r="R7" s="22">
        <f t="shared" ref="R7:R25" si="1">Q7-O7</f>
        <v>1173.1150000000052</v>
      </c>
      <c r="S7" s="22"/>
      <c r="T7" s="22">
        <f>Q7*101%</f>
        <v>119669.46115</v>
      </c>
      <c r="U7" s="22">
        <f t="shared" si="0"/>
        <v>120866.15576150001</v>
      </c>
      <c r="V7" s="22">
        <f t="shared" si="0"/>
        <v>122074.81731911501</v>
      </c>
      <c r="W7" s="22">
        <f t="shared" si="0"/>
        <v>123295.56549230617</v>
      </c>
      <c r="X7" s="53" t="s">
        <v>254</v>
      </c>
    </row>
    <row r="8" spans="1:24" ht="13.5">
      <c r="A8" s="3" t="s">
        <v>22</v>
      </c>
      <c r="B8" s="3" t="s">
        <v>23</v>
      </c>
      <c r="C8" s="3"/>
      <c r="D8" s="3"/>
      <c r="E8" s="20">
        <v>119108</v>
      </c>
      <c r="F8" s="20">
        <v>188957.25</v>
      </c>
      <c r="G8" s="20">
        <v>146577.41</v>
      </c>
      <c r="H8" s="20">
        <v>330903.34000000003</v>
      </c>
      <c r="I8" s="20">
        <v>560561.6</v>
      </c>
      <c r="J8" s="21">
        <v>787796.4</v>
      </c>
      <c r="K8" s="21">
        <v>439091.1</v>
      </c>
      <c r="L8" s="21">
        <v>324684</v>
      </c>
      <c r="M8" s="22">
        <v>476459.48</v>
      </c>
      <c r="N8" s="25">
        <v>579301.65</v>
      </c>
      <c r="O8" s="22">
        <v>400000</v>
      </c>
      <c r="P8" s="22">
        <v>600000</v>
      </c>
      <c r="Q8" s="22">
        <v>500000</v>
      </c>
      <c r="R8" s="22">
        <f t="shared" si="1"/>
        <v>100000</v>
      </c>
      <c r="S8" s="22"/>
      <c r="T8" s="22">
        <v>500000</v>
      </c>
      <c r="U8" s="22">
        <v>500000</v>
      </c>
      <c r="V8" s="22">
        <v>500000</v>
      </c>
      <c r="W8" s="22">
        <v>500000</v>
      </c>
      <c r="X8" s="27" t="s">
        <v>237</v>
      </c>
    </row>
    <row r="9" spans="1:24" ht="13.5">
      <c r="A9" s="3" t="s">
        <v>24</v>
      </c>
      <c r="B9" s="3" t="s">
        <v>25</v>
      </c>
      <c r="C9" s="3"/>
      <c r="D9" s="3"/>
      <c r="E9" s="20">
        <v>914515.61</v>
      </c>
      <c r="F9" s="20">
        <v>770525.56</v>
      </c>
      <c r="G9" s="20">
        <v>730025.59</v>
      </c>
      <c r="H9" s="20">
        <v>872574.03</v>
      </c>
      <c r="I9" s="20">
        <v>866360.55</v>
      </c>
      <c r="J9" s="21">
        <v>950087.99</v>
      </c>
      <c r="K9" s="21">
        <v>976535.04000000004</v>
      </c>
      <c r="L9" s="21">
        <v>957608</v>
      </c>
      <c r="M9" s="22">
        <v>859515.04</v>
      </c>
      <c r="N9" s="25">
        <v>921690.41</v>
      </c>
      <c r="O9" s="22">
        <v>900000</v>
      </c>
      <c r="P9" s="22">
        <v>1150000</v>
      </c>
      <c r="Q9" s="22">
        <v>900000</v>
      </c>
      <c r="R9" s="22">
        <f t="shared" si="1"/>
        <v>0</v>
      </c>
      <c r="S9" s="22"/>
      <c r="T9" s="22">
        <v>900000</v>
      </c>
      <c r="U9" s="22">
        <v>900000</v>
      </c>
      <c r="V9" s="22">
        <v>900000</v>
      </c>
      <c r="W9" s="22">
        <v>900000</v>
      </c>
      <c r="X9" s="23"/>
    </row>
    <row r="10" spans="1:24" ht="13.5">
      <c r="A10" s="3" t="s">
        <v>26</v>
      </c>
      <c r="B10" s="3" t="s">
        <v>27</v>
      </c>
      <c r="C10" s="3"/>
      <c r="D10" s="3"/>
      <c r="E10" s="20">
        <v>53961.32</v>
      </c>
      <c r="F10" s="20">
        <v>68257.22</v>
      </c>
      <c r="G10" s="20">
        <v>49854.05</v>
      </c>
      <c r="H10" s="20">
        <v>96044.83</v>
      </c>
      <c r="I10" s="20">
        <v>75378.850000000006</v>
      </c>
      <c r="J10" s="20">
        <v>101520.57</v>
      </c>
      <c r="K10" s="20">
        <v>71883.62</v>
      </c>
      <c r="L10" s="21">
        <v>74513</v>
      </c>
      <c r="M10" s="25">
        <v>108453.55</v>
      </c>
      <c r="N10" s="25">
        <v>116857.86</v>
      </c>
      <c r="O10" s="25">
        <v>90000</v>
      </c>
      <c r="P10" s="25">
        <v>100000</v>
      </c>
      <c r="Q10" s="25">
        <v>85000</v>
      </c>
      <c r="R10" s="22">
        <f t="shared" si="1"/>
        <v>-5000</v>
      </c>
      <c r="S10" s="25"/>
      <c r="T10" s="25">
        <v>80000</v>
      </c>
      <c r="U10" s="25">
        <v>75000</v>
      </c>
      <c r="V10" s="25">
        <v>75000</v>
      </c>
      <c r="W10" s="25">
        <v>75000</v>
      </c>
      <c r="X10" s="23"/>
    </row>
    <row r="11" spans="1:24" ht="13.5">
      <c r="A11" s="3" t="s">
        <v>28</v>
      </c>
      <c r="B11" s="3" t="s">
        <v>29</v>
      </c>
      <c r="C11" s="3"/>
      <c r="D11" s="3"/>
      <c r="E11" s="20">
        <v>20138.22</v>
      </c>
      <c r="F11" s="20">
        <v>20360.13</v>
      </c>
      <c r="G11" s="20">
        <v>18885.34</v>
      </c>
      <c r="H11" s="20">
        <v>16771.53</v>
      </c>
      <c r="I11" s="20">
        <v>17221</v>
      </c>
      <c r="J11" s="20">
        <v>21970</v>
      </c>
      <c r="K11" s="20">
        <v>16855</v>
      </c>
      <c r="L11" s="21">
        <v>23323</v>
      </c>
      <c r="M11" s="25">
        <v>23045.74</v>
      </c>
      <c r="N11" s="25">
        <v>199486.44</v>
      </c>
      <c r="O11" s="25">
        <v>15000</v>
      </c>
      <c r="P11" s="25">
        <v>82000</v>
      </c>
      <c r="Q11" s="25">
        <v>15000</v>
      </c>
      <c r="R11" s="22">
        <f t="shared" si="1"/>
        <v>0</v>
      </c>
      <c r="S11" s="25"/>
      <c r="T11" s="25">
        <v>15000</v>
      </c>
      <c r="U11" s="25">
        <v>15000</v>
      </c>
      <c r="V11" s="25">
        <v>15000</v>
      </c>
      <c r="W11" s="25">
        <v>15000</v>
      </c>
      <c r="X11" s="23"/>
    </row>
    <row r="12" spans="1:24" ht="13.5">
      <c r="A12" s="3"/>
      <c r="B12" s="3"/>
      <c r="C12" s="3"/>
      <c r="D12" s="3"/>
      <c r="E12" s="20"/>
      <c r="F12" s="20"/>
      <c r="G12" s="20"/>
      <c r="H12" s="20"/>
      <c r="I12" s="20"/>
      <c r="J12" s="20"/>
      <c r="K12" s="20"/>
      <c r="L12" s="21"/>
      <c r="M12" s="25"/>
      <c r="N12" s="25"/>
      <c r="O12" s="25"/>
      <c r="P12" s="25"/>
      <c r="Q12" s="25"/>
      <c r="R12" s="22"/>
      <c r="S12" s="25"/>
      <c r="T12" s="25"/>
      <c r="U12" s="25"/>
      <c r="V12" s="25"/>
      <c r="W12" s="25"/>
      <c r="X12" s="23"/>
    </row>
    <row r="13" spans="1:24" ht="13.5">
      <c r="A13" s="3" t="s">
        <v>241</v>
      </c>
      <c r="B13" s="3" t="s">
        <v>242</v>
      </c>
      <c r="C13" s="3"/>
      <c r="D13" s="3"/>
      <c r="E13" s="20"/>
      <c r="F13" s="20"/>
      <c r="G13" s="20"/>
      <c r="H13" s="20"/>
      <c r="I13" s="25">
        <v>0</v>
      </c>
      <c r="J13" s="25">
        <v>0</v>
      </c>
      <c r="K13" s="25">
        <v>0</v>
      </c>
      <c r="L13" s="25">
        <v>0</v>
      </c>
      <c r="M13" s="25">
        <v>19331</v>
      </c>
      <c r="N13" s="25">
        <v>4697</v>
      </c>
      <c r="O13" s="25">
        <v>0</v>
      </c>
      <c r="P13" s="25">
        <v>0</v>
      </c>
      <c r="Q13" s="25">
        <v>0</v>
      </c>
      <c r="R13" s="22">
        <f t="shared" si="1"/>
        <v>0</v>
      </c>
      <c r="S13" s="25"/>
      <c r="T13" s="25">
        <v>0</v>
      </c>
      <c r="U13" s="25">
        <v>0</v>
      </c>
      <c r="V13" s="25">
        <v>0</v>
      </c>
      <c r="W13" s="25">
        <v>0</v>
      </c>
      <c r="X13" s="23"/>
    </row>
    <row r="14" spans="1:24" ht="13.5">
      <c r="A14" s="3" t="s">
        <v>30</v>
      </c>
      <c r="B14" s="3" t="s">
        <v>31</v>
      </c>
      <c r="C14" s="3"/>
      <c r="D14" s="3"/>
      <c r="E14" s="20">
        <v>74.400000000000006</v>
      </c>
      <c r="F14" s="20">
        <v>0</v>
      </c>
      <c r="G14" s="20">
        <v>256</v>
      </c>
      <c r="H14" s="20">
        <v>40276.339999999997</v>
      </c>
      <c r="I14" s="20">
        <v>695.31</v>
      </c>
      <c r="J14" s="20">
        <v>623.70000000000005</v>
      </c>
      <c r="K14" s="20">
        <v>620.20000000000005</v>
      </c>
      <c r="L14" s="21">
        <v>1903</v>
      </c>
      <c r="M14" s="25">
        <v>728.43</v>
      </c>
      <c r="N14" s="25">
        <v>375</v>
      </c>
      <c r="O14" s="25">
        <v>0</v>
      </c>
      <c r="P14" s="25">
        <v>500</v>
      </c>
      <c r="Q14" s="25">
        <v>0</v>
      </c>
      <c r="R14" s="22">
        <f t="shared" si="1"/>
        <v>0</v>
      </c>
      <c r="S14" s="25"/>
      <c r="T14" s="25">
        <v>0</v>
      </c>
      <c r="U14" s="25">
        <v>0</v>
      </c>
      <c r="V14" s="25">
        <v>0</v>
      </c>
      <c r="W14" s="25">
        <v>0</v>
      </c>
      <c r="X14" s="23"/>
    </row>
    <row r="15" spans="1:24" ht="13.5">
      <c r="A15" s="3" t="s">
        <v>32</v>
      </c>
      <c r="B15" s="3" t="s">
        <v>33</v>
      </c>
      <c r="C15" s="3"/>
      <c r="D15" s="3"/>
      <c r="E15" s="20">
        <v>10665</v>
      </c>
      <c r="F15" s="20">
        <v>11636</v>
      </c>
      <c r="G15" s="20">
        <v>11180</v>
      </c>
      <c r="H15" s="20">
        <v>9860</v>
      </c>
      <c r="I15" s="20">
        <v>11990</v>
      </c>
      <c r="J15" s="20">
        <v>11279.52</v>
      </c>
      <c r="K15" s="20">
        <v>12785</v>
      </c>
      <c r="L15" s="21">
        <v>12890</v>
      </c>
      <c r="M15" s="25">
        <v>13855</v>
      </c>
      <c r="N15" s="25">
        <v>16155</v>
      </c>
      <c r="O15" s="25">
        <v>13000</v>
      </c>
      <c r="P15" s="25">
        <v>13000</v>
      </c>
      <c r="Q15" s="25">
        <v>13000</v>
      </c>
      <c r="R15" s="22">
        <f t="shared" si="1"/>
        <v>0</v>
      </c>
      <c r="S15" s="25"/>
      <c r="T15" s="25">
        <v>13000</v>
      </c>
      <c r="U15" s="25">
        <v>13000</v>
      </c>
      <c r="V15" s="25">
        <v>13000</v>
      </c>
      <c r="W15" s="25">
        <v>13000</v>
      </c>
      <c r="X15" s="23"/>
    </row>
    <row r="16" spans="1:24" ht="13.5">
      <c r="A16" s="3" t="s">
        <v>34</v>
      </c>
      <c r="B16" s="3" t="s">
        <v>35</v>
      </c>
      <c r="C16" s="3"/>
      <c r="D16" s="3"/>
      <c r="E16" s="20">
        <v>5785</v>
      </c>
      <c r="F16" s="20">
        <v>5785</v>
      </c>
      <c r="G16" s="20">
        <v>7930</v>
      </c>
      <c r="H16" s="20">
        <v>4095</v>
      </c>
      <c r="I16" s="20">
        <v>1490</v>
      </c>
      <c r="J16" s="21">
        <v>1300</v>
      </c>
      <c r="K16" s="21">
        <v>1105</v>
      </c>
      <c r="L16" s="21">
        <v>2532</v>
      </c>
      <c r="M16" s="22">
        <v>2635</v>
      </c>
      <c r="N16" s="25">
        <v>910</v>
      </c>
      <c r="O16" s="22">
        <v>5000</v>
      </c>
      <c r="P16" s="22">
        <v>5000</v>
      </c>
      <c r="Q16" s="22">
        <v>5000</v>
      </c>
      <c r="R16" s="22">
        <f t="shared" si="1"/>
        <v>0</v>
      </c>
      <c r="S16" s="22"/>
      <c r="T16" s="25">
        <v>5000</v>
      </c>
      <c r="U16" s="25">
        <v>5000</v>
      </c>
      <c r="V16" s="25">
        <v>5000</v>
      </c>
      <c r="W16" s="25">
        <v>5000</v>
      </c>
      <c r="X16" s="23"/>
    </row>
    <row r="17" spans="1:24" ht="13.5">
      <c r="A17" s="3" t="s">
        <v>36</v>
      </c>
      <c r="B17" s="3" t="s">
        <v>37</v>
      </c>
      <c r="C17" s="3"/>
      <c r="D17" s="3"/>
      <c r="E17" s="20">
        <v>4795</v>
      </c>
      <c r="F17" s="20">
        <v>9590</v>
      </c>
      <c r="G17" s="20">
        <v>9590</v>
      </c>
      <c r="H17" s="20">
        <v>9590</v>
      </c>
      <c r="I17" s="20">
        <v>9590</v>
      </c>
      <c r="J17" s="20">
        <v>9590</v>
      </c>
      <c r="K17" s="20">
        <v>9590</v>
      </c>
      <c r="L17" s="21">
        <v>9590</v>
      </c>
      <c r="M17" s="25">
        <v>9590</v>
      </c>
      <c r="N17" s="25">
        <v>9590</v>
      </c>
      <c r="O17" s="25">
        <v>0</v>
      </c>
      <c r="P17" s="25">
        <v>5000</v>
      </c>
      <c r="Q17" s="25">
        <v>0</v>
      </c>
      <c r="R17" s="22">
        <f t="shared" si="1"/>
        <v>0</v>
      </c>
      <c r="S17" s="25"/>
      <c r="T17" s="25">
        <v>0</v>
      </c>
      <c r="U17" s="25">
        <v>0</v>
      </c>
      <c r="V17" s="25">
        <v>0</v>
      </c>
      <c r="W17" s="25">
        <v>0</v>
      </c>
      <c r="X17" s="23"/>
    </row>
    <row r="18" spans="1:24" ht="29.25" customHeight="1">
      <c r="A18" s="3" t="s">
        <v>38</v>
      </c>
      <c r="B18" s="3" t="s">
        <v>39</v>
      </c>
      <c r="C18" s="3"/>
      <c r="D18" s="3"/>
      <c r="E18" s="20">
        <v>322031.48</v>
      </c>
      <c r="F18" s="20">
        <v>344351.64</v>
      </c>
      <c r="G18" s="20">
        <v>317406.5</v>
      </c>
      <c r="H18" s="20">
        <v>259435.5</v>
      </c>
      <c r="I18" s="20">
        <v>111370</v>
      </c>
      <c r="J18" s="21">
        <v>240235</v>
      </c>
      <c r="K18" s="21">
        <v>44195</v>
      </c>
      <c r="L18" s="21">
        <v>108290</v>
      </c>
      <c r="M18" s="22">
        <v>62150</v>
      </c>
      <c r="N18" s="25">
        <v>37230</v>
      </c>
      <c r="O18" s="22">
        <v>50000</v>
      </c>
      <c r="P18" s="22">
        <v>40000</v>
      </c>
      <c r="Q18" s="22">
        <v>50000</v>
      </c>
      <c r="R18" s="22">
        <f t="shared" si="1"/>
        <v>0</v>
      </c>
      <c r="S18" s="22"/>
      <c r="T18" s="22">
        <v>50000</v>
      </c>
      <c r="U18" s="22">
        <v>50000</v>
      </c>
      <c r="V18" s="22">
        <v>50000</v>
      </c>
      <c r="W18" s="22">
        <v>50000</v>
      </c>
      <c r="X18" s="79"/>
    </row>
    <row r="19" spans="1:24" ht="13.5">
      <c r="A19" s="3" t="s">
        <v>40</v>
      </c>
      <c r="B19" s="3" t="s">
        <v>41</v>
      </c>
      <c r="C19" s="3"/>
      <c r="D19" s="3"/>
      <c r="E19" s="20">
        <v>0</v>
      </c>
      <c r="F19" s="20">
        <v>12800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1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2">
        <f t="shared" si="1"/>
        <v>0</v>
      </c>
      <c r="S19" s="25"/>
      <c r="T19" s="25">
        <v>0</v>
      </c>
      <c r="U19" s="25">
        <v>0</v>
      </c>
      <c r="V19" s="25">
        <v>0</v>
      </c>
      <c r="W19" s="25">
        <v>0</v>
      </c>
      <c r="X19" s="80"/>
    </row>
    <row r="20" spans="1:24" ht="13.5">
      <c r="A20" s="3" t="s">
        <v>42</v>
      </c>
      <c r="B20" s="3" t="s">
        <v>43</v>
      </c>
      <c r="C20" s="3"/>
      <c r="D20" s="3"/>
      <c r="E20" s="20">
        <v>15925</v>
      </c>
      <c r="F20" s="20">
        <v>7962.65</v>
      </c>
      <c r="G20" s="20">
        <v>15925.3</v>
      </c>
      <c r="H20" s="20">
        <v>23887.95</v>
      </c>
      <c r="I20" s="20">
        <v>27203.79</v>
      </c>
      <c r="J20" s="21">
        <v>50930.69</v>
      </c>
      <c r="K20" s="21">
        <v>53639.75</v>
      </c>
      <c r="L20" s="21">
        <v>53246</v>
      </c>
      <c r="M20" s="22">
        <v>26813.82</v>
      </c>
      <c r="N20" s="25">
        <v>55267.5</v>
      </c>
      <c r="O20" s="22">
        <v>54000</v>
      </c>
      <c r="P20" s="22">
        <v>57500</v>
      </c>
      <c r="Q20" s="22">
        <v>54000</v>
      </c>
      <c r="R20" s="22">
        <f t="shared" si="1"/>
        <v>0</v>
      </c>
      <c r="S20" s="22"/>
      <c r="T20" s="22">
        <v>54000</v>
      </c>
      <c r="U20" s="22">
        <v>54000</v>
      </c>
      <c r="V20" s="22">
        <v>54000</v>
      </c>
      <c r="W20" s="22">
        <v>54000</v>
      </c>
      <c r="X20" s="80"/>
    </row>
    <row r="21" spans="1:24" ht="13.5">
      <c r="A21" s="3" t="s">
        <v>44</v>
      </c>
      <c r="B21" s="3" t="s">
        <v>45</v>
      </c>
      <c r="C21" s="3"/>
      <c r="D21" s="3"/>
      <c r="E21" s="20">
        <v>0</v>
      </c>
      <c r="F21" s="20">
        <v>0</v>
      </c>
      <c r="G21" s="20">
        <v>0</v>
      </c>
      <c r="H21" s="20">
        <v>52165.919999999998</v>
      </c>
      <c r="I21" s="20">
        <v>0</v>
      </c>
      <c r="J21" s="20">
        <v>0</v>
      </c>
      <c r="K21" s="20">
        <v>0</v>
      </c>
      <c r="L21" s="21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2">
        <f t="shared" si="1"/>
        <v>0</v>
      </c>
      <c r="S21" s="25"/>
      <c r="T21" s="25">
        <v>0</v>
      </c>
      <c r="U21" s="25">
        <v>0</v>
      </c>
      <c r="V21" s="25">
        <v>0</v>
      </c>
      <c r="W21" s="25">
        <v>0</v>
      </c>
      <c r="X21" s="80"/>
    </row>
    <row r="22" spans="1:24" ht="13.5">
      <c r="A22" s="3" t="s">
        <v>248</v>
      </c>
      <c r="B22" s="3" t="s">
        <v>249</v>
      </c>
      <c r="C22" s="3"/>
      <c r="D22" s="3"/>
      <c r="E22" s="20"/>
      <c r="F22" s="20"/>
      <c r="G22" s="20"/>
      <c r="H22" s="20"/>
      <c r="I22" s="20"/>
      <c r="J22" s="20">
        <v>0</v>
      </c>
      <c r="K22" s="20">
        <v>0</v>
      </c>
      <c r="L22" s="20">
        <v>0</v>
      </c>
      <c r="M22" s="20">
        <v>0</v>
      </c>
      <c r="N22" s="25">
        <v>0</v>
      </c>
      <c r="O22" s="20">
        <v>0</v>
      </c>
      <c r="P22" s="20">
        <v>0</v>
      </c>
      <c r="Q22" s="20">
        <v>0</v>
      </c>
      <c r="R22" s="22">
        <f t="shared" si="1"/>
        <v>0</v>
      </c>
      <c r="S22" s="20"/>
      <c r="T22" s="25">
        <v>7000000</v>
      </c>
      <c r="U22" s="25">
        <v>0</v>
      </c>
      <c r="V22" s="20">
        <v>0</v>
      </c>
      <c r="W22" s="20">
        <v>0</v>
      </c>
      <c r="X22" s="80" t="s">
        <v>252</v>
      </c>
    </row>
    <row r="23" spans="1:24" ht="13.5">
      <c r="A23" s="3" t="s">
        <v>46</v>
      </c>
      <c r="B23" s="3" t="s">
        <v>47</v>
      </c>
      <c r="C23" s="3"/>
      <c r="D23" s="3"/>
      <c r="E23" s="28">
        <v>0</v>
      </c>
      <c r="F23" s="28">
        <v>1058.67</v>
      </c>
      <c r="G23" s="28">
        <v>5339.7</v>
      </c>
      <c r="H23" s="28">
        <v>6121.1</v>
      </c>
      <c r="I23" s="28">
        <v>0</v>
      </c>
      <c r="J23" s="28">
        <v>0</v>
      </c>
      <c r="K23" s="28">
        <v>0</v>
      </c>
      <c r="L23" s="28">
        <v>78</v>
      </c>
      <c r="M23" s="29">
        <v>0</v>
      </c>
      <c r="N23" s="29">
        <v>4335.95</v>
      </c>
      <c r="O23" s="29">
        <v>0</v>
      </c>
      <c r="P23" s="29">
        <v>0</v>
      </c>
      <c r="Q23" s="29">
        <v>0</v>
      </c>
      <c r="R23" s="51">
        <f t="shared" si="1"/>
        <v>0</v>
      </c>
      <c r="S23" s="29"/>
      <c r="T23" s="29">
        <v>0</v>
      </c>
      <c r="U23" s="29">
        <v>0</v>
      </c>
      <c r="V23" s="29">
        <v>0</v>
      </c>
      <c r="W23" s="29">
        <v>0</v>
      </c>
      <c r="X23" s="80"/>
    </row>
    <row r="24" spans="1:24" ht="13.5">
      <c r="A24" s="3"/>
      <c r="B24" s="3"/>
      <c r="C24" s="3"/>
      <c r="D24" s="3"/>
      <c r="E24" s="20"/>
      <c r="F24" s="19"/>
      <c r="G24" s="30"/>
      <c r="I24" s="20"/>
      <c r="J24" s="20"/>
      <c r="K24" s="20"/>
      <c r="L24" s="20"/>
      <c r="M24" s="20"/>
      <c r="N24" s="20"/>
      <c r="O24" s="20"/>
      <c r="P24" s="20"/>
      <c r="Q24" s="20"/>
      <c r="R24" s="22"/>
      <c r="S24" s="20"/>
      <c r="T24" s="20"/>
      <c r="U24" s="20"/>
      <c r="V24" s="20"/>
      <c r="W24" s="20"/>
      <c r="X24" s="80"/>
    </row>
    <row r="25" spans="1:24" ht="15">
      <c r="A25" s="3"/>
      <c r="B25" s="3"/>
      <c r="C25" s="3"/>
      <c r="D25" s="3"/>
      <c r="E25" s="32">
        <f>SUM(E3:E24)</f>
        <v>4198774.68</v>
      </c>
      <c r="F25" s="32">
        <f>SUM(F4:F24)</f>
        <v>4466718.8000000007</v>
      </c>
      <c r="G25" s="32">
        <f>SUM(G4:G24)</f>
        <v>4511652.99</v>
      </c>
      <c r="H25" s="32">
        <f t="shared" ref="H25:W25" si="2">SUM(H4:H23)</f>
        <v>5423032.29</v>
      </c>
      <c r="I25" s="32">
        <f t="shared" si="2"/>
        <v>5297366.6199999992</v>
      </c>
      <c r="J25" s="32">
        <f t="shared" si="2"/>
        <v>6022146.1900000013</v>
      </c>
      <c r="K25" s="32">
        <f>SUM(K4:K23)</f>
        <v>5238757.040000001</v>
      </c>
      <c r="L25" s="32">
        <f t="shared" si="2"/>
        <v>5172994</v>
      </c>
      <c r="M25" s="32">
        <f t="shared" si="2"/>
        <v>5284912.4400000004</v>
      </c>
      <c r="N25" s="32">
        <f t="shared" si="2"/>
        <v>5584882.3200000012</v>
      </c>
      <c r="O25" s="32">
        <f t="shared" si="2"/>
        <v>5352311.5</v>
      </c>
      <c r="P25" s="32">
        <f t="shared" si="2"/>
        <v>5867000</v>
      </c>
      <c r="Q25" s="32">
        <f>SUM(Q4:Q23)</f>
        <v>5481814.6150000002</v>
      </c>
      <c r="R25" s="77">
        <f t="shared" si="1"/>
        <v>129503.11500000022</v>
      </c>
      <c r="S25" s="33">
        <f>(Q25-O25)/O25</f>
        <v>2.4195735804988221E-2</v>
      </c>
      <c r="T25" s="32">
        <f t="shared" si="2"/>
        <v>12511662.761149999</v>
      </c>
      <c r="U25" s="32">
        <f t="shared" si="2"/>
        <v>5174359.3887614999</v>
      </c>
      <c r="V25" s="32">
        <f t="shared" si="2"/>
        <v>5209907.9826491158</v>
      </c>
      <c r="W25" s="32">
        <f t="shared" si="2"/>
        <v>5245812.0624756068</v>
      </c>
      <c r="X25" s="80"/>
    </row>
    <row r="26" spans="1:24" ht="15">
      <c r="A26" s="3"/>
      <c r="B26" s="3"/>
      <c r="C26" s="3"/>
      <c r="D26" s="3"/>
      <c r="E26" s="3"/>
      <c r="F26" s="31"/>
      <c r="G26" s="31"/>
      <c r="H26" s="31"/>
      <c r="I26" s="32"/>
      <c r="J26" s="32"/>
      <c r="O26" s="33"/>
      <c r="P26" s="33"/>
      <c r="S26" s="33"/>
      <c r="T26" s="33">
        <f>(T25-Q25)/Q25</f>
        <v>1.2823943602386849</v>
      </c>
      <c r="U26" s="33">
        <f>(U25-T25)/T25</f>
        <v>-0.5864371117140067</v>
      </c>
      <c r="V26" s="33">
        <f>(V25-U25)/U25</f>
        <v>6.8701439573034028E-3</v>
      </c>
      <c r="W26" s="33">
        <f>(W25-V25)/V25</f>
        <v>6.8914998011605135E-3</v>
      </c>
      <c r="X26" s="80"/>
    </row>
    <row r="27" spans="1:24" ht="15">
      <c r="A27" s="3"/>
      <c r="B27" s="3"/>
      <c r="C27" s="3"/>
      <c r="D27" s="3"/>
      <c r="E27" s="3"/>
      <c r="F27" s="31"/>
      <c r="G27" s="31"/>
      <c r="H27" s="31"/>
      <c r="I27" s="32"/>
      <c r="J27" s="32"/>
      <c r="X27" s="80"/>
    </row>
    <row r="28" spans="1:24" ht="15">
      <c r="A28" s="3"/>
      <c r="B28" s="3"/>
      <c r="C28" s="3"/>
      <c r="D28" s="3"/>
      <c r="E28" s="3"/>
      <c r="F28" s="31"/>
      <c r="G28" s="31"/>
      <c r="H28" s="31"/>
      <c r="I28" s="32"/>
      <c r="J28" s="32"/>
      <c r="X28" s="80"/>
    </row>
    <row r="29" spans="1:24" ht="15">
      <c r="A29" s="3"/>
      <c r="B29" s="3"/>
      <c r="C29" s="3"/>
      <c r="D29" s="3"/>
      <c r="E29" s="3"/>
      <c r="F29" s="31"/>
      <c r="G29" s="31"/>
      <c r="H29" s="31"/>
      <c r="L29" s="8"/>
      <c r="O29" s="81"/>
      <c r="P29" s="9" t="s">
        <v>7</v>
      </c>
      <c r="Q29" s="6" t="s">
        <v>8</v>
      </c>
      <c r="R29" s="81"/>
      <c r="S29" s="81"/>
      <c r="T29" s="6" t="s">
        <v>228</v>
      </c>
      <c r="U29" s="6" t="s">
        <v>244</v>
      </c>
      <c r="V29" s="6" t="s">
        <v>266</v>
      </c>
      <c r="W29" s="6" t="s">
        <v>267</v>
      </c>
      <c r="X29" s="80"/>
    </row>
    <row r="30" spans="1:24" ht="15">
      <c r="A30" s="3"/>
      <c r="B30" s="3"/>
      <c r="C30" s="3"/>
      <c r="D30" s="3"/>
      <c r="E30" s="3"/>
      <c r="F30" s="31"/>
      <c r="G30" s="31"/>
      <c r="H30" s="31"/>
      <c r="L30" s="15"/>
      <c r="O30" s="15"/>
      <c r="P30" s="15" t="s">
        <v>243</v>
      </c>
      <c r="Q30" s="15" t="s">
        <v>13</v>
      </c>
      <c r="R30" s="15"/>
      <c r="S30" s="15"/>
      <c r="T30" s="13" t="s">
        <v>14</v>
      </c>
      <c r="U30" s="13" t="s">
        <v>14</v>
      </c>
      <c r="V30" s="13" t="s">
        <v>14</v>
      </c>
      <c r="W30" s="13" t="s">
        <v>14</v>
      </c>
      <c r="X30" s="80"/>
    </row>
    <row r="31" spans="1:24" ht="14.25">
      <c r="A31" s="3"/>
      <c r="B31" s="3"/>
      <c r="C31" s="3"/>
      <c r="D31" s="3"/>
      <c r="E31" s="3"/>
      <c r="F31" s="31"/>
      <c r="G31" s="31"/>
      <c r="H31" s="31"/>
      <c r="X31" s="80"/>
    </row>
    <row r="32" spans="1:24" ht="14.25">
      <c r="A32" s="3"/>
      <c r="B32" s="3"/>
      <c r="D32" s="3"/>
      <c r="E32" s="3"/>
      <c r="F32" s="31"/>
      <c r="G32" s="31"/>
      <c r="H32" s="31"/>
      <c r="M32" s="3" t="s">
        <v>48</v>
      </c>
      <c r="O32" s="20"/>
      <c r="P32" s="20">
        <v>3109921</v>
      </c>
      <c r="Q32" s="20">
        <f>P38</f>
        <v>3557400.1935000001</v>
      </c>
      <c r="R32" s="20"/>
      <c r="S32" s="20"/>
      <c r="T32" s="20">
        <f>Q38</f>
        <v>1993884.9563789992</v>
      </c>
      <c r="U32" s="20">
        <f>T38</f>
        <v>1031324.5281043686</v>
      </c>
      <c r="V32" s="20">
        <f>U38</f>
        <v>-4507200.7187887002</v>
      </c>
      <c r="W32" s="20">
        <f>V38</f>
        <v>-5523003.9587413948</v>
      </c>
      <c r="X32" s="80"/>
    </row>
    <row r="33" spans="1:24" ht="14.25">
      <c r="A33" s="3"/>
      <c r="B33" s="3"/>
      <c r="D33" s="3"/>
      <c r="E33" s="3"/>
      <c r="F33" s="31"/>
      <c r="G33" s="31"/>
      <c r="H33" s="31"/>
      <c r="M33" s="3"/>
      <c r="O33" s="3"/>
      <c r="P33" s="3"/>
      <c r="Q33" s="3"/>
      <c r="R33" s="3"/>
      <c r="S33" s="3"/>
      <c r="T33" s="3"/>
      <c r="U33" s="3"/>
      <c r="V33" s="3"/>
      <c r="W33" s="3"/>
      <c r="X33" s="80"/>
    </row>
    <row r="34" spans="1:24" ht="14.25">
      <c r="A34" s="3"/>
      <c r="B34" s="3"/>
      <c r="D34" s="3"/>
      <c r="E34" s="3"/>
      <c r="F34" s="31"/>
      <c r="G34" s="31"/>
      <c r="H34" s="31"/>
      <c r="M34" s="3" t="s">
        <v>239</v>
      </c>
      <c r="O34" s="20"/>
      <c r="P34" s="20">
        <f>P25</f>
        <v>5867000</v>
      </c>
      <c r="Q34" s="20">
        <f t="shared" ref="Q34:W34" si="3">Q25</f>
        <v>5481814.6150000002</v>
      </c>
      <c r="R34" s="20"/>
      <c r="S34" s="20"/>
      <c r="T34" s="20">
        <f t="shared" si="3"/>
        <v>12511662.761149999</v>
      </c>
      <c r="U34" s="20">
        <f t="shared" si="3"/>
        <v>5174359.3887614999</v>
      </c>
      <c r="V34" s="20">
        <f t="shared" si="3"/>
        <v>5209907.9826491158</v>
      </c>
      <c r="W34" s="20">
        <f t="shared" si="3"/>
        <v>5245812.0624756068</v>
      </c>
      <c r="X34" s="80"/>
    </row>
    <row r="35" spans="1:24" ht="14.25">
      <c r="A35" s="3"/>
      <c r="B35" s="3"/>
      <c r="D35" s="3"/>
      <c r="E35" s="3"/>
      <c r="F35" s="31"/>
      <c r="G35" s="31"/>
      <c r="H35" s="31"/>
      <c r="M35" s="3" t="s">
        <v>240</v>
      </c>
      <c r="O35" s="34"/>
      <c r="P35" s="34">
        <f>P162</f>
        <v>5419520.8064999999</v>
      </c>
      <c r="Q35" s="34">
        <f>Q162</f>
        <v>7045329.8521210002</v>
      </c>
      <c r="R35" s="34"/>
      <c r="S35" s="34"/>
      <c r="T35" s="34">
        <f>T162</f>
        <v>13474223.18942463</v>
      </c>
      <c r="U35" s="34">
        <f>U162</f>
        <v>10712884.635654569</v>
      </c>
      <c r="V35" s="34">
        <f>V162</f>
        <v>6225711.2226018105</v>
      </c>
      <c r="W35" s="34">
        <f>W162</f>
        <v>7357120.3219892709</v>
      </c>
      <c r="X35" s="80"/>
    </row>
    <row r="36" spans="1:24" ht="14.25">
      <c r="A36" s="3"/>
      <c r="B36" s="3"/>
      <c r="D36" s="3"/>
      <c r="E36" s="3"/>
      <c r="F36" s="31"/>
      <c r="G36" s="31"/>
      <c r="H36" s="31"/>
      <c r="M36" s="35" t="s">
        <v>49</v>
      </c>
      <c r="O36" s="20"/>
      <c r="P36" s="20">
        <f>P34-P35</f>
        <v>447479.19350000005</v>
      </c>
      <c r="Q36" s="20">
        <f>Q34-Q35</f>
        <v>-1563515.237121</v>
      </c>
      <c r="R36" s="19" t="s">
        <v>263</v>
      </c>
      <c r="S36" s="20"/>
      <c r="T36" s="20">
        <f>T34-T35</f>
        <v>-962560.4282746315</v>
      </c>
      <c r="U36" s="20">
        <f>U34-U35</f>
        <v>-5538525.2468930688</v>
      </c>
      <c r="V36" s="20">
        <f>V34-V35</f>
        <v>-1015803.2399526946</v>
      </c>
      <c r="W36" s="20">
        <f>W34-W35</f>
        <v>-2111308.2595136641</v>
      </c>
      <c r="X36" s="80" t="s">
        <v>264</v>
      </c>
    </row>
    <row r="37" spans="1:24" ht="14.25">
      <c r="A37" s="3"/>
      <c r="B37" s="3"/>
      <c r="D37" s="3"/>
      <c r="E37" s="3"/>
      <c r="F37" s="31"/>
      <c r="G37" s="31"/>
      <c r="H37" s="31"/>
      <c r="M37" s="3"/>
      <c r="O37" s="3"/>
      <c r="P37" s="3"/>
      <c r="Q37" s="3"/>
      <c r="R37" s="3"/>
      <c r="S37" s="3"/>
      <c r="T37" s="3"/>
      <c r="U37" s="3"/>
      <c r="V37" s="3"/>
      <c r="W37" s="3"/>
    </row>
    <row r="38" spans="1:24" ht="15">
      <c r="A38" s="3"/>
      <c r="B38" s="3"/>
      <c r="D38" s="3"/>
      <c r="E38" s="3"/>
      <c r="F38" s="31"/>
      <c r="G38" s="31"/>
      <c r="H38" s="31"/>
      <c r="M38" s="36" t="s">
        <v>50</v>
      </c>
      <c r="O38" s="32"/>
      <c r="P38" s="32">
        <f>P32+P34-P35</f>
        <v>3557400.1935000001</v>
      </c>
      <c r="Q38" s="32">
        <f>Q32+Q34-Q35</f>
        <v>1993884.9563789992</v>
      </c>
      <c r="R38" s="32"/>
      <c r="S38" s="32"/>
      <c r="T38" s="32">
        <f>T32+T34-T35</f>
        <v>1031324.5281043686</v>
      </c>
      <c r="U38" s="32">
        <f>U32+U34-U35</f>
        <v>-4507200.7187887002</v>
      </c>
      <c r="V38" s="32">
        <f>V32+V34-V35</f>
        <v>-5523003.9587413948</v>
      </c>
      <c r="W38" s="32">
        <f>W32+W34-W35</f>
        <v>-7634312.2182550589</v>
      </c>
    </row>
    <row r="39" spans="1:24" ht="14.25">
      <c r="A39" s="3"/>
      <c r="B39" s="3"/>
      <c r="D39" s="3"/>
      <c r="E39" s="3"/>
      <c r="F39" s="31"/>
      <c r="G39" s="31"/>
      <c r="H39" s="31"/>
      <c r="M39" s="24" t="s">
        <v>51</v>
      </c>
      <c r="O39" s="20"/>
      <c r="P39" s="20">
        <f>(P35/12)*3</f>
        <v>1354880.201625</v>
      </c>
      <c r="Q39" s="20">
        <f>(Q35/12)*3</f>
        <v>1761332.4630302498</v>
      </c>
      <c r="R39" s="20"/>
      <c r="S39" s="20"/>
      <c r="T39" s="20">
        <f>(T35/12)*3</f>
        <v>3368555.7973561576</v>
      </c>
      <c r="U39" s="20">
        <f>(U35/12)*3</f>
        <v>2678221.1589136422</v>
      </c>
      <c r="V39" s="20">
        <f>(V35/12)*3</f>
        <v>1556427.8056504526</v>
      </c>
      <c r="W39" s="20">
        <f>(W35/12)*3</f>
        <v>1839280.0804973179</v>
      </c>
    </row>
    <row r="40" spans="1:24" ht="15">
      <c r="A40" s="3"/>
      <c r="B40" s="3"/>
      <c r="C40" s="3"/>
      <c r="D40" s="3"/>
      <c r="E40" s="3"/>
      <c r="F40" s="31"/>
      <c r="G40" s="31"/>
      <c r="H40" s="31"/>
      <c r="I40" s="32"/>
      <c r="J40" s="32"/>
    </row>
    <row r="41" spans="1:24" ht="15">
      <c r="B41" s="3"/>
      <c r="C41" s="3"/>
      <c r="D41" s="3"/>
      <c r="E41" s="3"/>
      <c r="F41" s="31"/>
      <c r="G41" s="31"/>
      <c r="H41" s="31"/>
      <c r="I41" s="32"/>
      <c r="J41" s="32"/>
    </row>
    <row r="42" spans="1:24" ht="15">
      <c r="A42" s="3"/>
      <c r="B42" s="3"/>
      <c r="C42" s="3"/>
      <c r="D42" s="3"/>
      <c r="E42" s="3"/>
      <c r="F42" s="31"/>
      <c r="G42" s="31"/>
      <c r="H42" s="31"/>
      <c r="I42" s="32"/>
      <c r="J42" s="32"/>
    </row>
    <row r="43" spans="1:24" ht="15">
      <c r="A43" s="1" t="s">
        <v>0</v>
      </c>
      <c r="B43" s="2"/>
      <c r="C43" s="3"/>
      <c r="D43" s="3"/>
      <c r="E43" s="8" t="s">
        <v>232</v>
      </c>
      <c r="F43" s="4">
        <v>2006</v>
      </c>
      <c r="G43" s="5">
        <v>2007</v>
      </c>
      <c r="H43" s="5">
        <v>2008</v>
      </c>
      <c r="I43" s="7" t="s">
        <v>1</v>
      </c>
      <c r="J43" s="7" t="s">
        <v>2</v>
      </c>
      <c r="K43" s="8" t="s">
        <v>3</v>
      </c>
      <c r="L43" s="8" t="s">
        <v>4</v>
      </c>
      <c r="M43" s="9" t="s">
        <v>5</v>
      </c>
      <c r="N43" s="9" t="s">
        <v>6</v>
      </c>
      <c r="O43" s="6" t="s">
        <v>7</v>
      </c>
      <c r="P43" s="9" t="s">
        <v>7</v>
      </c>
      <c r="Q43" s="6" t="s">
        <v>8</v>
      </c>
      <c r="R43" s="164" t="s">
        <v>265</v>
      </c>
      <c r="S43" s="164"/>
      <c r="T43" s="6" t="s">
        <v>228</v>
      </c>
      <c r="U43" s="6" t="s">
        <v>244</v>
      </c>
      <c r="V43" s="6" t="s">
        <v>266</v>
      </c>
      <c r="W43" s="6" t="s">
        <v>267</v>
      </c>
      <c r="X43" s="10" t="s">
        <v>9</v>
      </c>
    </row>
    <row r="44" spans="1:24" ht="15">
      <c r="A44" s="11" t="s">
        <v>10</v>
      </c>
      <c r="B44" s="12" t="s">
        <v>11</v>
      </c>
      <c r="C44" s="3"/>
      <c r="D44" s="3"/>
      <c r="E44" s="13" t="s">
        <v>12</v>
      </c>
      <c r="F44" s="13" t="s">
        <v>12</v>
      </c>
      <c r="G44" s="14" t="s">
        <v>12</v>
      </c>
      <c r="H44" s="14" t="s">
        <v>12</v>
      </c>
      <c r="I44" s="15" t="s">
        <v>12</v>
      </c>
      <c r="J44" s="15" t="s">
        <v>12</v>
      </c>
      <c r="K44" s="15" t="s">
        <v>12</v>
      </c>
      <c r="L44" s="15" t="s">
        <v>12</v>
      </c>
      <c r="M44" s="15" t="s">
        <v>12</v>
      </c>
      <c r="N44" s="15" t="s">
        <v>12</v>
      </c>
      <c r="O44" s="15" t="s">
        <v>13</v>
      </c>
      <c r="P44" s="15" t="s">
        <v>243</v>
      </c>
      <c r="Q44" s="15" t="s">
        <v>13</v>
      </c>
      <c r="R44" s="15" t="s">
        <v>261</v>
      </c>
      <c r="S44" s="15" t="s">
        <v>262</v>
      </c>
      <c r="T44" s="13" t="s">
        <v>14</v>
      </c>
      <c r="U44" s="13" t="s">
        <v>14</v>
      </c>
      <c r="V44" s="13" t="s">
        <v>14</v>
      </c>
      <c r="W44" s="13" t="s">
        <v>14</v>
      </c>
      <c r="X44" s="10" t="s">
        <v>15</v>
      </c>
    </row>
    <row r="45" spans="1:24" ht="15">
      <c r="A45" s="3"/>
      <c r="B45" s="3"/>
      <c r="C45" s="3"/>
      <c r="D45" s="3"/>
      <c r="E45" s="3"/>
      <c r="F45" s="16"/>
      <c r="I45" s="15"/>
      <c r="J45" s="15"/>
    </row>
    <row r="46" spans="1:24" ht="13.5">
      <c r="A46" s="3" t="s">
        <v>52</v>
      </c>
      <c r="B46" s="3" t="s">
        <v>53</v>
      </c>
      <c r="C46" s="3"/>
      <c r="D46" s="3"/>
      <c r="E46" s="20">
        <v>81955</v>
      </c>
      <c r="F46" s="20">
        <v>87488.94</v>
      </c>
      <c r="G46" s="20">
        <v>90802.46</v>
      </c>
      <c r="H46" s="20">
        <v>93353.61</v>
      </c>
      <c r="I46" s="20">
        <v>95768.87</v>
      </c>
      <c r="J46" s="20">
        <v>101224.13</v>
      </c>
      <c r="K46" s="25">
        <v>99884.04</v>
      </c>
      <c r="L46" s="20">
        <v>99485</v>
      </c>
      <c r="M46" s="21">
        <v>97075.11</v>
      </c>
      <c r="N46" s="25">
        <v>108097.13</v>
      </c>
      <c r="O46" s="20">
        <v>113925.5</v>
      </c>
      <c r="P46" s="21">
        <v>113926</v>
      </c>
      <c r="Q46" s="20">
        <f>P46*103.4%</f>
        <v>117799.484</v>
      </c>
      <c r="R46" s="20">
        <f>Q46-O46</f>
        <v>3873.9839999999967</v>
      </c>
      <c r="S46" s="20"/>
      <c r="T46" s="20">
        <f>Q46*1.03</f>
        <v>121333.46851999999</v>
      </c>
      <c r="U46" s="20">
        <f>T46*1.03</f>
        <v>124973.4725756</v>
      </c>
      <c r="V46" s="20">
        <f>U46*1.03</f>
        <v>128722.67675286801</v>
      </c>
      <c r="W46" s="20">
        <f>V46*1.03</f>
        <v>132584.35705545405</v>
      </c>
      <c r="X46" s="35" t="s">
        <v>256</v>
      </c>
    </row>
    <row r="47" spans="1:24" ht="13.5">
      <c r="A47" s="3" t="s">
        <v>54</v>
      </c>
      <c r="B47" s="3" t="s">
        <v>55</v>
      </c>
      <c r="C47" s="3"/>
      <c r="D47" s="3"/>
      <c r="E47" s="20"/>
      <c r="F47" s="20"/>
      <c r="G47" s="20"/>
      <c r="H47" s="20"/>
      <c r="I47" s="20"/>
      <c r="J47" s="20">
        <v>7743.53</v>
      </c>
      <c r="K47" s="25">
        <v>7716.25</v>
      </c>
      <c r="L47" s="20">
        <f>L46*0.0765</f>
        <v>7610.6025</v>
      </c>
      <c r="M47" s="20">
        <f>M46*0.0765</f>
        <v>7426.2459149999995</v>
      </c>
      <c r="N47" s="25">
        <v>8188.61</v>
      </c>
      <c r="O47" s="20">
        <v>8699.8700000000008</v>
      </c>
      <c r="P47" s="20">
        <f>P46*0.0765</f>
        <v>8715.3389999999999</v>
      </c>
      <c r="Q47" s="20">
        <f>Q46*0.0765</f>
        <v>9011.6605259999997</v>
      </c>
      <c r="R47" s="20">
        <f t="shared" ref="R47:R80" si="4">Q47-O47</f>
        <v>311.79052599999886</v>
      </c>
      <c r="S47" s="20"/>
      <c r="T47" s="20">
        <f>T46*0.0765</f>
        <v>9282.0103417800001</v>
      </c>
      <c r="U47" s="20">
        <f>U46*0.0765</f>
        <v>9560.4706520334003</v>
      </c>
      <c r="V47" s="20">
        <f>V46*0.0765</f>
        <v>9847.2847715944026</v>
      </c>
      <c r="W47" s="20">
        <f>W46*0.0765</f>
        <v>10142.703314742235</v>
      </c>
      <c r="X47" s="20"/>
    </row>
    <row r="48" spans="1:24" ht="13.5">
      <c r="A48" s="3" t="s">
        <v>56</v>
      </c>
      <c r="B48" s="3" t="s">
        <v>57</v>
      </c>
      <c r="C48" s="3"/>
      <c r="D48" s="3"/>
      <c r="E48" s="20"/>
      <c r="F48" s="20"/>
      <c r="G48" s="20"/>
      <c r="H48" s="20"/>
      <c r="I48" s="20"/>
      <c r="J48" s="20">
        <v>145.84</v>
      </c>
      <c r="K48" s="25">
        <v>345.67</v>
      </c>
      <c r="L48" s="20">
        <v>805</v>
      </c>
      <c r="M48" s="20">
        <v>921.91</v>
      </c>
      <c r="N48" s="25">
        <v>816.84</v>
      </c>
      <c r="O48" s="20">
        <v>684</v>
      </c>
      <c r="P48" s="20">
        <v>750</v>
      </c>
      <c r="Q48" s="20">
        <v>773</v>
      </c>
      <c r="R48" s="20">
        <f t="shared" si="4"/>
        <v>89</v>
      </c>
      <c r="S48" s="20"/>
      <c r="T48" s="20">
        <f>Q48*(5%)+Q48</f>
        <v>811.65</v>
      </c>
      <c r="U48" s="20">
        <f>T48*(3%)+T48</f>
        <v>835.99950000000001</v>
      </c>
      <c r="V48" s="20">
        <f>U48*(3%)+U48</f>
        <v>861.07948499999998</v>
      </c>
      <c r="W48" s="20">
        <f>V48*(3%)+V48</f>
        <v>886.91186955000001</v>
      </c>
      <c r="X48" s="23" t="s">
        <v>272</v>
      </c>
    </row>
    <row r="49" spans="1:24" ht="13.5">
      <c r="A49" s="3" t="s">
        <v>58</v>
      </c>
      <c r="B49" s="3" t="s">
        <v>59</v>
      </c>
      <c r="C49" s="3"/>
      <c r="D49" s="3"/>
      <c r="E49" s="20">
        <v>22253</v>
      </c>
      <c r="F49" s="20">
        <v>25289.38</v>
      </c>
      <c r="G49" s="20">
        <v>22651.01</v>
      </c>
      <c r="H49" s="20">
        <v>31913.35</v>
      </c>
      <c r="I49" s="20">
        <v>20234.580000000002</v>
      </c>
      <c r="J49" s="20">
        <v>28631.27</v>
      </c>
      <c r="K49" s="25">
        <v>17095.939999999999</v>
      </c>
      <c r="L49" s="25">
        <v>15386</v>
      </c>
      <c r="M49" s="20">
        <v>25417.040000000001</v>
      </c>
      <c r="N49" s="25">
        <v>25260.75</v>
      </c>
      <c r="O49" s="20">
        <v>38500</v>
      </c>
      <c r="P49" s="20">
        <v>38500</v>
      </c>
      <c r="Q49" s="20">
        <f>P49*105%</f>
        <v>40425</v>
      </c>
      <c r="R49" s="20">
        <f t="shared" si="4"/>
        <v>1925</v>
      </c>
      <c r="S49" s="20"/>
      <c r="T49" s="20">
        <f>Q49*(5%)+Q49</f>
        <v>42446.25</v>
      </c>
      <c r="U49" s="20">
        <f t="shared" ref="U49:W50" si="5">T49*(5%)+T49</f>
        <v>44568.5625</v>
      </c>
      <c r="V49" s="20">
        <f t="shared" si="5"/>
        <v>46796.990624999999</v>
      </c>
      <c r="W49" s="20">
        <f t="shared" si="5"/>
        <v>49136.84015625</v>
      </c>
      <c r="X49" s="23" t="s">
        <v>60</v>
      </c>
    </row>
    <row r="50" spans="1:24" ht="13.5">
      <c r="A50" s="3" t="s">
        <v>61</v>
      </c>
      <c r="B50" s="3" t="s">
        <v>62</v>
      </c>
      <c r="C50" s="3"/>
      <c r="D50" s="3"/>
      <c r="E50" s="20">
        <v>913</v>
      </c>
      <c r="F50" s="20">
        <v>844.53</v>
      </c>
      <c r="G50" s="20">
        <v>923.91</v>
      </c>
      <c r="H50" s="20">
        <v>2098.63</v>
      </c>
      <c r="I50" s="20">
        <v>2614.04</v>
      </c>
      <c r="J50" s="20">
        <v>2846.68</v>
      </c>
      <c r="K50" s="25">
        <v>1230.07</v>
      </c>
      <c r="L50" s="25">
        <v>7537</v>
      </c>
      <c r="M50" s="20">
        <v>3581.71</v>
      </c>
      <c r="N50" s="25">
        <v>4403.84</v>
      </c>
      <c r="O50" s="20">
        <v>5512.5</v>
      </c>
      <c r="P50" s="20">
        <v>9000</v>
      </c>
      <c r="Q50" s="20">
        <v>6000</v>
      </c>
      <c r="R50" s="20">
        <f t="shared" si="4"/>
        <v>487.5</v>
      </c>
      <c r="S50" s="20"/>
      <c r="T50" s="20">
        <f>Q50*(5%)+Q50</f>
        <v>6300</v>
      </c>
      <c r="U50" s="20">
        <f t="shared" si="5"/>
        <v>6615</v>
      </c>
      <c r="V50" s="20">
        <f t="shared" si="5"/>
        <v>6945.75</v>
      </c>
      <c r="W50" s="20">
        <f t="shared" si="5"/>
        <v>7293.0375000000004</v>
      </c>
      <c r="X50" s="23" t="s">
        <v>63</v>
      </c>
    </row>
    <row r="51" spans="1:24" ht="13.5">
      <c r="A51" s="3" t="s">
        <v>64</v>
      </c>
      <c r="B51" s="3" t="s">
        <v>65</v>
      </c>
      <c r="C51" s="3"/>
      <c r="D51" s="3"/>
      <c r="E51" s="20">
        <v>605</v>
      </c>
      <c r="F51" s="20">
        <v>48.44</v>
      </c>
      <c r="G51" s="20">
        <v>443.41</v>
      </c>
      <c r="H51" s="20">
        <v>124.37</v>
      </c>
      <c r="I51" s="20">
        <v>0</v>
      </c>
      <c r="J51" s="20">
        <v>446.06</v>
      </c>
      <c r="K51" s="25">
        <v>52.33</v>
      </c>
      <c r="L51" s="25">
        <v>376</v>
      </c>
      <c r="M51" s="20">
        <v>0</v>
      </c>
      <c r="N51" s="25">
        <v>300</v>
      </c>
      <c r="O51" s="20">
        <v>500</v>
      </c>
      <c r="P51" s="20">
        <v>500</v>
      </c>
      <c r="Q51" s="20">
        <v>500</v>
      </c>
      <c r="R51" s="20">
        <f t="shared" si="4"/>
        <v>0</v>
      </c>
      <c r="S51" s="20"/>
      <c r="T51" s="20">
        <v>500</v>
      </c>
      <c r="U51" s="20">
        <v>500</v>
      </c>
      <c r="V51" s="20">
        <v>500</v>
      </c>
      <c r="W51" s="20">
        <v>500</v>
      </c>
      <c r="X51" s="23"/>
    </row>
    <row r="52" spans="1:24" ht="40.5">
      <c r="A52" s="3" t="s">
        <v>66</v>
      </c>
      <c r="B52" s="3" t="s">
        <v>67</v>
      </c>
      <c r="C52" s="3"/>
      <c r="D52" s="3"/>
      <c r="E52" s="20">
        <v>0</v>
      </c>
      <c r="F52" s="20">
        <v>0</v>
      </c>
      <c r="G52" s="20">
        <v>0</v>
      </c>
      <c r="H52" s="20">
        <v>8580.65</v>
      </c>
      <c r="I52" s="20">
        <f>19000-19000</f>
        <v>0</v>
      </c>
      <c r="J52" s="20">
        <v>0</v>
      </c>
      <c r="K52" s="25">
        <v>0</v>
      </c>
      <c r="L52" s="25">
        <v>0</v>
      </c>
      <c r="M52" s="20">
        <v>0</v>
      </c>
      <c r="N52" s="25">
        <v>0</v>
      </c>
      <c r="O52" s="20">
        <v>4000</v>
      </c>
      <c r="P52" s="20">
        <v>4000</v>
      </c>
      <c r="Q52" s="20">
        <v>30000</v>
      </c>
      <c r="R52" s="20">
        <f t="shared" si="4"/>
        <v>26000</v>
      </c>
      <c r="S52" s="20"/>
      <c r="T52" s="20">
        <v>4000</v>
      </c>
      <c r="U52" s="20">
        <v>4000</v>
      </c>
      <c r="V52" s="20">
        <v>4000</v>
      </c>
      <c r="W52" s="20">
        <v>4000</v>
      </c>
      <c r="X52" s="41" t="s">
        <v>366</v>
      </c>
    </row>
    <row r="53" spans="1:24" ht="13.5">
      <c r="A53" s="3" t="s">
        <v>68</v>
      </c>
      <c r="B53" s="3" t="s">
        <v>69</v>
      </c>
      <c r="C53" s="3"/>
      <c r="D53" s="3"/>
      <c r="E53" s="20">
        <v>1481</v>
      </c>
      <c r="F53" s="20">
        <v>118707.4</v>
      </c>
      <c r="G53" s="20">
        <v>11915.75</v>
      </c>
      <c r="H53" s="20">
        <v>3190.83</v>
      </c>
      <c r="I53" s="20">
        <v>3605.12</v>
      </c>
      <c r="J53" s="20">
        <v>10631.23</v>
      </c>
      <c r="K53" s="25">
        <v>255.5</v>
      </c>
      <c r="L53" s="25">
        <v>4294</v>
      </c>
      <c r="M53" s="20">
        <v>2969.5</v>
      </c>
      <c r="N53" s="25">
        <v>3464.17</v>
      </c>
      <c r="O53" s="20">
        <v>4000</v>
      </c>
      <c r="P53" s="20">
        <v>3000</v>
      </c>
      <c r="Q53" s="20">
        <v>200000</v>
      </c>
      <c r="R53" s="20">
        <f>Q53-O53</f>
        <v>196000</v>
      </c>
      <c r="S53" s="20"/>
      <c r="T53" s="20">
        <v>139624</v>
      </c>
      <c r="U53" s="20">
        <v>4946964</v>
      </c>
      <c r="V53" s="20">
        <v>4000</v>
      </c>
      <c r="W53" s="20">
        <v>1341603</v>
      </c>
      <c r="X53" s="41" t="s">
        <v>275</v>
      </c>
    </row>
    <row r="54" spans="1:24" ht="27">
      <c r="A54" s="3" t="s">
        <v>70</v>
      </c>
      <c r="B54" s="3" t="s">
        <v>71</v>
      </c>
      <c r="C54" s="3"/>
      <c r="D54" s="3"/>
      <c r="E54" s="20">
        <v>2119</v>
      </c>
      <c r="F54" s="20">
        <v>349.9</v>
      </c>
      <c r="G54" s="20">
        <v>1127.4000000000001</v>
      </c>
      <c r="H54" s="20">
        <v>17862.099999999999</v>
      </c>
      <c r="I54" s="20">
        <v>7377.18</v>
      </c>
      <c r="J54" s="20">
        <v>16796.759999999998</v>
      </c>
      <c r="K54" s="25">
        <v>14955.45</v>
      </c>
      <c r="L54" s="25">
        <v>21422</v>
      </c>
      <c r="M54" s="20">
        <v>7977.79</v>
      </c>
      <c r="N54" s="25">
        <v>12175.5</v>
      </c>
      <c r="O54" s="73">
        <v>20000</v>
      </c>
      <c r="P54" s="20">
        <v>15000</v>
      </c>
      <c r="Q54" s="20">
        <v>20000</v>
      </c>
      <c r="R54" s="20">
        <f t="shared" si="4"/>
        <v>0</v>
      </c>
      <c r="S54" s="20"/>
      <c r="T54" s="20">
        <v>20000</v>
      </c>
      <c r="U54" s="20">
        <v>10000</v>
      </c>
      <c r="V54" s="20">
        <v>5000</v>
      </c>
      <c r="W54" s="20">
        <v>5000</v>
      </c>
      <c r="X54" s="23" t="s">
        <v>270</v>
      </c>
    </row>
    <row r="55" spans="1:24" ht="13.5">
      <c r="A55" s="3" t="s">
        <v>72</v>
      </c>
      <c r="B55" s="3" t="s">
        <v>73</v>
      </c>
      <c r="C55" s="3"/>
      <c r="D55" s="3"/>
      <c r="E55" s="20">
        <v>0</v>
      </c>
      <c r="F55" s="20">
        <v>0</v>
      </c>
      <c r="G55" s="20">
        <v>0</v>
      </c>
      <c r="H55" s="20">
        <v>18.03</v>
      </c>
      <c r="I55" s="20">
        <v>0</v>
      </c>
      <c r="J55" s="20">
        <v>0</v>
      </c>
      <c r="K55" s="25">
        <v>0</v>
      </c>
      <c r="L55" s="22">
        <v>0</v>
      </c>
      <c r="M55" s="20">
        <v>80</v>
      </c>
      <c r="N55" s="25">
        <v>0</v>
      </c>
      <c r="O55" s="20">
        <v>300</v>
      </c>
      <c r="P55" s="20">
        <v>300</v>
      </c>
      <c r="Q55" s="20">
        <v>300</v>
      </c>
      <c r="R55" s="20">
        <f t="shared" si="4"/>
        <v>0</v>
      </c>
      <c r="S55" s="20"/>
      <c r="T55" s="20">
        <v>300</v>
      </c>
      <c r="U55" s="20">
        <v>0</v>
      </c>
      <c r="V55" s="20">
        <v>0</v>
      </c>
      <c r="W55" s="20">
        <v>0</v>
      </c>
      <c r="X55" s="23"/>
    </row>
    <row r="56" spans="1:24" ht="13.5">
      <c r="A56" s="3" t="s">
        <v>74</v>
      </c>
      <c r="B56" s="3" t="s">
        <v>75</v>
      </c>
      <c r="C56" s="3"/>
      <c r="D56" s="3"/>
      <c r="E56" s="28">
        <v>7068</v>
      </c>
      <c r="F56" s="28">
        <v>0</v>
      </c>
      <c r="G56" s="28">
        <v>0</v>
      </c>
      <c r="H56" s="28">
        <v>23516.3</v>
      </c>
      <c r="I56" s="28">
        <f>8000-8000</f>
        <v>0</v>
      </c>
      <c r="J56" s="28">
        <v>3239.75</v>
      </c>
      <c r="K56" s="29">
        <v>0</v>
      </c>
      <c r="L56" s="29">
        <v>11158</v>
      </c>
      <c r="M56" s="28">
        <v>3910</v>
      </c>
      <c r="N56" s="28">
        <v>0</v>
      </c>
      <c r="O56" s="28">
        <v>0</v>
      </c>
      <c r="P56" s="28">
        <v>0</v>
      </c>
      <c r="Q56" s="28">
        <v>8300</v>
      </c>
      <c r="R56" s="28">
        <f t="shared" si="4"/>
        <v>8300</v>
      </c>
      <c r="S56" s="28"/>
      <c r="T56" s="28">
        <v>0</v>
      </c>
      <c r="U56" s="28">
        <v>0</v>
      </c>
      <c r="V56" s="28">
        <v>60000</v>
      </c>
      <c r="W56" s="28">
        <v>25000</v>
      </c>
      <c r="X56" s="41" t="s">
        <v>275</v>
      </c>
    </row>
    <row r="57" spans="1:24" ht="13.5">
      <c r="A57" s="3"/>
      <c r="B57" s="3"/>
      <c r="C57" s="3"/>
      <c r="D57" s="3"/>
      <c r="E57" s="3"/>
      <c r="F57" s="16"/>
      <c r="G57" s="30"/>
      <c r="O57" s="76"/>
    </row>
    <row r="58" spans="1:24" ht="15">
      <c r="A58" s="3"/>
      <c r="B58" s="42" t="s">
        <v>76</v>
      </c>
      <c r="C58" s="43"/>
      <c r="D58" s="3"/>
      <c r="E58" s="45">
        <f>SUM(E46:E57)</f>
        <v>116394</v>
      </c>
      <c r="F58" s="45">
        <f>SUM(F46:F57)</f>
        <v>232728.59</v>
      </c>
      <c r="G58" s="45">
        <f>SUM(G46:G57)</f>
        <v>127863.94</v>
      </c>
      <c r="H58" s="45">
        <f>SUM(H46:H57)</f>
        <v>180657.86999999997</v>
      </c>
      <c r="I58" s="45">
        <f t="shared" ref="I58:V58" si="6">SUM(I46:I56)</f>
        <v>129599.78999999998</v>
      </c>
      <c r="J58" s="45">
        <f t="shared" si="6"/>
        <v>171705.25</v>
      </c>
      <c r="K58" s="45">
        <f t="shared" si="6"/>
        <v>141535.25</v>
      </c>
      <c r="L58" s="45">
        <f t="shared" si="6"/>
        <v>168073.60249999998</v>
      </c>
      <c r="M58" s="45">
        <f t="shared" si="6"/>
        <v>149359.305915</v>
      </c>
      <c r="N58" s="45">
        <f t="shared" si="6"/>
        <v>162706.84000000003</v>
      </c>
      <c r="O58" s="32">
        <f>SUM(O46:O56)</f>
        <v>196121.87</v>
      </c>
      <c r="P58" s="45">
        <f t="shared" si="6"/>
        <v>193691.33900000001</v>
      </c>
      <c r="Q58" s="45">
        <f t="shared" si="6"/>
        <v>433109.14452600002</v>
      </c>
      <c r="R58" s="32">
        <f t="shared" si="4"/>
        <v>236987.27452600002</v>
      </c>
      <c r="S58" s="45"/>
      <c r="T58" s="45">
        <f t="shared" si="6"/>
        <v>344597.37886177999</v>
      </c>
      <c r="U58" s="45">
        <f t="shared" si="6"/>
        <v>5148017.5052276338</v>
      </c>
      <c r="V58" s="45">
        <f t="shared" si="6"/>
        <v>266673.78163446242</v>
      </c>
      <c r="W58" s="45">
        <f>SUM(W46:W56)</f>
        <v>1576146.8498959963</v>
      </c>
    </row>
    <row r="59" spans="1:24" ht="13.5">
      <c r="A59" s="3"/>
      <c r="B59" s="3"/>
      <c r="C59" s="3"/>
      <c r="D59" s="3"/>
      <c r="E59" s="3"/>
      <c r="F59" s="16"/>
    </row>
    <row r="60" spans="1:24" ht="13.5">
      <c r="A60" s="3" t="s">
        <v>77</v>
      </c>
      <c r="B60" s="3" t="s">
        <v>78</v>
      </c>
      <c r="C60" s="3"/>
      <c r="D60" s="3"/>
      <c r="E60" s="20">
        <v>556888.78</v>
      </c>
      <c r="F60" s="20">
        <v>608892.74</v>
      </c>
      <c r="G60" s="20">
        <v>629498.51</v>
      </c>
      <c r="H60" s="20">
        <v>650193.26</v>
      </c>
      <c r="I60" s="20">
        <v>674367.61</v>
      </c>
      <c r="J60" s="20">
        <v>690753.5</v>
      </c>
      <c r="K60" s="20">
        <v>733083.37</v>
      </c>
      <c r="L60" s="20">
        <v>733883</v>
      </c>
      <c r="M60" s="21">
        <v>741920.89</v>
      </c>
      <c r="N60" s="25">
        <v>741518.63</v>
      </c>
      <c r="O60" s="20">
        <v>768094.99999999988</v>
      </c>
      <c r="P60" s="21">
        <v>768095</v>
      </c>
      <c r="Q60" s="20">
        <f>P60*103.4%</f>
        <v>794210.23</v>
      </c>
      <c r="R60" s="20">
        <f t="shared" si="4"/>
        <v>26115.230000000098</v>
      </c>
      <c r="S60" s="20"/>
      <c r="T60" s="20">
        <f>Q60*1.03</f>
        <v>818036.53689999995</v>
      </c>
      <c r="U60" s="20">
        <f t="shared" ref="U60:W61" si="7">T60*1.03</f>
        <v>842577.63300699997</v>
      </c>
      <c r="V60" s="20">
        <f t="shared" si="7"/>
        <v>867854.96199720993</v>
      </c>
      <c r="W60" s="20">
        <f t="shared" si="7"/>
        <v>893890.6108571263</v>
      </c>
      <c r="X60" s="35" t="s">
        <v>256</v>
      </c>
    </row>
    <row r="61" spans="1:24" ht="13.5">
      <c r="A61" s="3" t="s">
        <v>79</v>
      </c>
      <c r="B61" s="3" t="s">
        <v>80</v>
      </c>
      <c r="C61" s="3"/>
      <c r="D61" s="3"/>
      <c r="E61" s="20">
        <v>1560</v>
      </c>
      <c r="F61" s="20">
        <v>1490.4</v>
      </c>
      <c r="G61" s="20">
        <v>3595.2</v>
      </c>
      <c r="H61" s="20">
        <v>2828.8</v>
      </c>
      <c r="I61" s="20">
        <v>1537.8</v>
      </c>
      <c r="J61" s="20">
        <v>3950.8</v>
      </c>
      <c r="K61" s="20">
        <v>5953.5</v>
      </c>
      <c r="L61" s="20">
        <v>5208</v>
      </c>
      <c r="M61" s="25">
        <v>6259.2</v>
      </c>
      <c r="N61" s="25">
        <v>6129.95</v>
      </c>
      <c r="O61" s="20">
        <v>6289.0999999999995</v>
      </c>
      <c r="P61" s="25">
        <v>7000</v>
      </c>
      <c r="Q61" s="20">
        <f>P61*103.4%</f>
        <v>7238</v>
      </c>
      <c r="R61" s="20">
        <f t="shared" si="4"/>
        <v>948.90000000000055</v>
      </c>
      <c r="S61" s="20"/>
      <c r="T61" s="20">
        <f>Q61*1.03</f>
        <v>7455.14</v>
      </c>
      <c r="U61" s="20">
        <f t="shared" si="7"/>
        <v>7678.7942000000003</v>
      </c>
      <c r="V61" s="20">
        <f t="shared" si="7"/>
        <v>7909.1580260000001</v>
      </c>
      <c r="W61" s="20">
        <f t="shared" si="7"/>
        <v>8146.4327667799998</v>
      </c>
      <c r="X61" s="35" t="s">
        <v>256</v>
      </c>
    </row>
    <row r="62" spans="1:24" ht="13.5">
      <c r="A62" s="3" t="s">
        <v>81</v>
      </c>
      <c r="B62" s="3" t="s">
        <v>55</v>
      </c>
      <c r="C62" s="3"/>
      <c r="D62" s="3"/>
      <c r="E62" s="20"/>
      <c r="F62" s="20"/>
      <c r="G62" s="20"/>
      <c r="H62" s="20"/>
      <c r="I62" s="20"/>
      <c r="J62" s="20">
        <v>53315.519999999997</v>
      </c>
      <c r="K62" s="20">
        <v>56595.6</v>
      </c>
      <c r="L62" s="20">
        <v>56685</v>
      </c>
      <c r="M62" s="20">
        <v>57452.59</v>
      </c>
      <c r="N62" s="25">
        <v>56270.55</v>
      </c>
      <c r="O62" s="20">
        <v>59240.383649999989</v>
      </c>
      <c r="P62" s="20">
        <f>(P60+P61)*0.0765</f>
        <v>59294.767500000002</v>
      </c>
      <c r="Q62" s="20">
        <f>(Q60+Q61)*0.0765</f>
        <v>61310.789594999995</v>
      </c>
      <c r="R62" s="20">
        <f t="shared" si="4"/>
        <v>2070.4059450000059</v>
      </c>
      <c r="S62" s="20"/>
      <c r="T62" s="20">
        <f>(T60+T61)*0.0765</f>
        <v>63150.113282849998</v>
      </c>
      <c r="U62" s="20">
        <f>(U60+U61)*0.0765</f>
        <v>65044.616681335494</v>
      </c>
      <c r="V62" s="20">
        <f>(V60+V61)*0.0765</f>
        <v>66995.955181775556</v>
      </c>
      <c r="W62" s="20">
        <f>(W60+W61)*0.0765</f>
        <v>69005.833837228827</v>
      </c>
      <c r="X62" s="23"/>
    </row>
    <row r="63" spans="1:24" ht="13.5">
      <c r="A63" s="3" t="s">
        <v>82</v>
      </c>
      <c r="B63" s="3" t="s">
        <v>57</v>
      </c>
      <c r="C63" s="3"/>
      <c r="D63" s="3"/>
      <c r="E63" s="20"/>
      <c r="F63" s="20"/>
      <c r="G63" s="20"/>
      <c r="H63" s="20"/>
      <c r="I63" s="20"/>
      <c r="J63" s="20">
        <v>977.77</v>
      </c>
      <c r="K63" s="20">
        <v>2196.34</v>
      </c>
      <c r="L63" s="20">
        <v>5286</v>
      </c>
      <c r="M63" s="20">
        <v>6139.57</v>
      </c>
      <c r="N63" s="25">
        <v>4424.47</v>
      </c>
      <c r="O63" s="20">
        <v>4491</v>
      </c>
      <c r="P63" s="20">
        <v>4491</v>
      </c>
      <c r="Q63" s="20">
        <v>4626</v>
      </c>
      <c r="R63" s="20">
        <f t="shared" si="4"/>
        <v>135</v>
      </c>
      <c r="S63" s="20"/>
      <c r="T63" s="20">
        <f>Q63*(5%)+Q63</f>
        <v>4857.3</v>
      </c>
      <c r="U63" s="20">
        <f>T63*(3%)+T63</f>
        <v>5003.0190000000002</v>
      </c>
      <c r="V63" s="20">
        <f>U63*(3%)+U63</f>
        <v>5153.1095700000005</v>
      </c>
      <c r="W63" s="20">
        <f>V63*(3%)+V63</f>
        <v>5307.702857100001</v>
      </c>
      <c r="X63" s="23" t="s">
        <v>272</v>
      </c>
    </row>
    <row r="64" spans="1:24" ht="13.5">
      <c r="A64" s="3" t="s">
        <v>83</v>
      </c>
      <c r="B64" s="3" t="s">
        <v>84</v>
      </c>
      <c r="C64" s="3"/>
      <c r="D64" s="3"/>
      <c r="E64" s="20">
        <v>9688.1</v>
      </c>
      <c r="F64" s="20">
        <v>7621.62</v>
      </c>
      <c r="G64" s="20">
        <v>10806.23</v>
      </c>
      <c r="H64" s="20">
        <v>12525.1</v>
      </c>
      <c r="I64" s="20">
        <v>7177.41</v>
      </c>
      <c r="J64" s="20">
        <v>10437.379999999999</v>
      </c>
      <c r="K64" s="20">
        <v>7965.87</v>
      </c>
      <c r="L64" s="25">
        <v>10537</v>
      </c>
      <c r="M64" s="20">
        <v>8459.9699999999993</v>
      </c>
      <c r="N64" s="25">
        <v>8669.17</v>
      </c>
      <c r="O64" s="20">
        <v>12500</v>
      </c>
      <c r="P64" s="20">
        <v>12500</v>
      </c>
      <c r="Q64" s="20">
        <v>13000</v>
      </c>
      <c r="R64" s="20">
        <f t="shared" si="4"/>
        <v>500</v>
      </c>
      <c r="S64" s="20"/>
      <c r="T64" s="20">
        <v>13000</v>
      </c>
      <c r="U64" s="20">
        <v>13500</v>
      </c>
      <c r="V64" s="20">
        <v>13500</v>
      </c>
      <c r="W64" s="20">
        <v>14000</v>
      </c>
      <c r="X64" s="23"/>
    </row>
    <row r="65" spans="1:33" ht="13.5">
      <c r="A65" s="3" t="s">
        <v>85</v>
      </c>
      <c r="B65" s="3" t="s">
        <v>86</v>
      </c>
      <c r="C65" s="3"/>
      <c r="D65" s="3"/>
      <c r="E65" s="20">
        <v>39152.92</v>
      </c>
      <c r="F65" s="20">
        <v>44544.33</v>
      </c>
      <c r="G65" s="20">
        <v>44056.89</v>
      </c>
      <c r="H65" s="20">
        <v>38068.5</v>
      </c>
      <c r="I65" s="20">
        <v>66710.7</v>
      </c>
      <c r="J65" s="20">
        <v>63634.3</v>
      </c>
      <c r="K65" s="25">
        <v>74060</v>
      </c>
      <c r="L65" s="25">
        <v>68618</v>
      </c>
      <c r="M65" s="25">
        <v>58183.5</v>
      </c>
      <c r="N65" s="25">
        <v>61348.6</v>
      </c>
      <c r="O65" s="25">
        <v>70000</v>
      </c>
      <c r="P65" s="25">
        <v>70000</v>
      </c>
      <c r="Q65" s="25">
        <v>80000</v>
      </c>
      <c r="R65" s="20">
        <f t="shared" si="4"/>
        <v>10000</v>
      </c>
      <c r="S65" s="25"/>
      <c r="T65" s="25">
        <v>85000</v>
      </c>
      <c r="U65" s="25">
        <v>87500</v>
      </c>
      <c r="V65" s="25">
        <v>87500</v>
      </c>
      <c r="W65" s="25">
        <v>87500</v>
      </c>
      <c r="X65" s="47" t="s">
        <v>271</v>
      </c>
      <c r="Y65" s="48"/>
      <c r="Z65" s="48"/>
      <c r="AA65" s="48"/>
      <c r="AB65" s="48"/>
      <c r="AC65" s="48"/>
      <c r="AD65" s="48"/>
      <c r="AE65" s="48"/>
      <c r="AF65" s="48"/>
      <c r="AG65" s="48"/>
    </row>
    <row r="66" spans="1:33" ht="13.5" customHeight="1">
      <c r="A66" s="3" t="s">
        <v>87</v>
      </c>
      <c r="B66" s="3" t="s">
        <v>88</v>
      </c>
      <c r="C66" s="3"/>
      <c r="D66" s="3"/>
      <c r="E66" s="20">
        <v>11738.14</v>
      </c>
      <c r="F66" s="20">
        <v>15209.63</v>
      </c>
      <c r="G66" s="20">
        <v>16430.63</v>
      </c>
      <c r="H66" s="20">
        <v>20914.7</v>
      </c>
      <c r="I66" s="20">
        <v>23370</v>
      </c>
      <c r="J66" s="20">
        <v>15143.6</v>
      </c>
      <c r="K66" s="25">
        <v>11818.29</v>
      </c>
      <c r="L66" s="25">
        <v>12950</v>
      </c>
      <c r="M66" s="25">
        <v>12065</v>
      </c>
      <c r="N66" s="25">
        <v>6466</v>
      </c>
      <c r="O66" s="20">
        <v>11000</v>
      </c>
      <c r="P66" s="25">
        <v>10000</v>
      </c>
      <c r="Q66" s="20">
        <v>10000</v>
      </c>
      <c r="R66" s="20">
        <f t="shared" si="4"/>
        <v>-1000</v>
      </c>
      <c r="S66" s="20"/>
      <c r="T66" s="20">
        <f>Q66*(5%)+Q66</f>
        <v>10500</v>
      </c>
      <c r="U66" s="20">
        <f t="shared" ref="U66:W69" si="8">T66*(5%)+T66</f>
        <v>11025</v>
      </c>
      <c r="V66" s="20">
        <f t="shared" si="8"/>
        <v>11576.25</v>
      </c>
      <c r="W66" s="20">
        <f t="shared" si="8"/>
        <v>12155.0625</v>
      </c>
      <c r="X66" s="23" t="s">
        <v>60</v>
      </c>
    </row>
    <row r="67" spans="1:33" ht="13.5" customHeight="1">
      <c r="A67" s="3" t="s">
        <v>89</v>
      </c>
      <c r="B67" s="3" t="s">
        <v>90</v>
      </c>
      <c r="C67" s="3"/>
      <c r="D67" s="3"/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5">
        <v>11969.74</v>
      </c>
      <c r="L67" s="25">
        <v>16879</v>
      </c>
      <c r="M67" s="25">
        <v>8488.61</v>
      </c>
      <c r="N67" s="25">
        <v>4244.2</v>
      </c>
      <c r="O67" s="20">
        <v>15000</v>
      </c>
      <c r="P67" s="25">
        <v>13000</v>
      </c>
      <c r="Q67" s="20">
        <v>13650</v>
      </c>
      <c r="R67" s="20">
        <f t="shared" si="4"/>
        <v>-1350</v>
      </c>
      <c r="S67" s="20"/>
      <c r="T67" s="20">
        <f>Q67*(5%)+Q67</f>
        <v>14332.5</v>
      </c>
      <c r="U67" s="20">
        <f t="shared" si="8"/>
        <v>15049.125</v>
      </c>
      <c r="V67" s="20">
        <f t="shared" si="8"/>
        <v>15801.581249999999</v>
      </c>
      <c r="W67" s="20">
        <f t="shared" si="8"/>
        <v>16591.6603125</v>
      </c>
      <c r="X67" s="23" t="s">
        <v>60</v>
      </c>
    </row>
    <row r="68" spans="1:33" ht="13.5">
      <c r="A68" s="3" t="s">
        <v>91</v>
      </c>
      <c r="B68" s="3" t="s">
        <v>92</v>
      </c>
      <c r="C68" s="3"/>
      <c r="D68" s="3"/>
      <c r="E68" s="20">
        <v>6865.66</v>
      </c>
      <c r="F68" s="20">
        <v>7612.61</v>
      </c>
      <c r="G68" s="20">
        <v>7568.8</v>
      </c>
      <c r="H68" s="20">
        <v>9831.6299999999992</v>
      </c>
      <c r="I68" s="20">
        <v>11892.34</v>
      </c>
      <c r="J68" s="20">
        <v>10721.72</v>
      </c>
      <c r="K68" s="20">
        <v>11121.66</v>
      </c>
      <c r="L68" s="25">
        <v>9989</v>
      </c>
      <c r="M68" s="25">
        <v>7838.06</v>
      </c>
      <c r="N68" s="25">
        <v>6815.94</v>
      </c>
      <c r="O68" s="20">
        <v>13650</v>
      </c>
      <c r="P68" s="25">
        <v>13650</v>
      </c>
      <c r="Q68" s="20">
        <v>14332</v>
      </c>
      <c r="R68" s="20">
        <f t="shared" si="4"/>
        <v>682</v>
      </c>
      <c r="S68" s="20"/>
      <c r="T68" s="20">
        <f>Q68*(5%)+Q68</f>
        <v>15048.6</v>
      </c>
      <c r="U68" s="20">
        <f t="shared" si="8"/>
        <v>15801.03</v>
      </c>
      <c r="V68" s="20">
        <f t="shared" si="8"/>
        <v>16591.0815</v>
      </c>
      <c r="W68" s="20">
        <f t="shared" si="8"/>
        <v>17420.635575</v>
      </c>
      <c r="X68" s="23" t="s">
        <v>60</v>
      </c>
    </row>
    <row r="69" spans="1:33" ht="13.5">
      <c r="A69" s="3" t="s">
        <v>93</v>
      </c>
      <c r="B69" s="3" t="s">
        <v>94</v>
      </c>
      <c r="C69" s="3"/>
      <c r="D69" s="3"/>
      <c r="E69" s="20">
        <v>31705.79</v>
      </c>
      <c r="F69" s="20">
        <v>28620.54</v>
      </c>
      <c r="G69" s="20">
        <v>37578.46</v>
      </c>
      <c r="H69" s="20">
        <v>31376.720000000001</v>
      </c>
      <c r="I69" s="20">
        <v>30578.57</v>
      </c>
      <c r="J69" s="20">
        <v>72032.61</v>
      </c>
      <c r="K69" s="25">
        <v>94636.72</v>
      </c>
      <c r="L69" s="25">
        <v>69496</v>
      </c>
      <c r="M69" s="25">
        <v>79067.77</v>
      </c>
      <c r="N69" s="25">
        <v>67781.960000000006</v>
      </c>
      <c r="O69" s="25">
        <v>75000</v>
      </c>
      <c r="P69" s="25">
        <v>73000</v>
      </c>
      <c r="Q69" s="20">
        <v>73000</v>
      </c>
      <c r="R69" s="20">
        <f t="shared" si="4"/>
        <v>-2000</v>
      </c>
      <c r="S69" s="20"/>
      <c r="T69" s="20">
        <v>73000</v>
      </c>
      <c r="U69" s="20">
        <f t="shared" si="8"/>
        <v>76650</v>
      </c>
      <c r="V69" s="20">
        <f t="shared" si="8"/>
        <v>80482.5</v>
      </c>
      <c r="W69" s="20">
        <f t="shared" si="8"/>
        <v>84506.625</v>
      </c>
      <c r="X69" s="23" t="s">
        <v>367</v>
      </c>
      <c r="Y69" s="48"/>
      <c r="Z69" s="48"/>
      <c r="AA69" s="48"/>
      <c r="AB69" s="48"/>
      <c r="AC69" s="48"/>
      <c r="AD69" s="48"/>
      <c r="AE69" s="48"/>
      <c r="AF69" s="48"/>
      <c r="AG69" s="48"/>
    </row>
    <row r="70" spans="1:33" ht="13.5">
      <c r="A70" s="3" t="s">
        <v>95</v>
      </c>
      <c r="B70" s="3" t="s">
        <v>96</v>
      </c>
      <c r="C70" s="3"/>
      <c r="D70" s="3"/>
      <c r="E70" s="20">
        <v>5947.97</v>
      </c>
      <c r="F70" s="20">
        <v>6610.61</v>
      </c>
      <c r="G70" s="20">
        <v>6318.78</v>
      </c>
      <c r="H70" s="20">
        <v>5961.8</v>
      </c>
      <c r="I70" s="20">
        <v>1864.93</v>
      </c>
      <c r="J70" s="20">
        <v>2451.77</v>
      </c>
      <c r="K70" s="20">
        <v>2412.9</v>
      </c>
      <c r="L70" s="25">
        <v>1698</v>
      </c>
      <c r="M70" s="25">
        <v>3312.52</v>
      </c>
      <c r="N70" s="25">
        <v>2216.94</v>
      </c>
      <c r="O70" s="25">
        <v>3000</v>
      </c>
      <c r="P70" s="25">
        <v>3000</v>
      </c>
      <c r="Q70" s="25">
        <v>3000</v>
      </c>
      <c r="R70" s="20">
        <f t="shared" si="4"/>
        <v>0</v>
      </c>
      <c r="S70" s="25"/>
      <c r="T70" s="25">
        <v>3000</v>
      </c>
      <c r="U70" s="25">
        <v>3000</v>
      </c>
      <c r="V70" s="25">
        <v>3000</v>
      </c>
      <c r="W70" s="25">
        <v>3000</v>
      </c>
      <c r="X70" s="23" t="s">
        <v>97</v>
      </c>
    </row>
    <row r="71" spans="1:33" ht="13.5">
      <c r="A71" s="3" t="s">
        <v>98</v>
      </c>
      <c r="B71" s="3" t="s">
        <v>99</v>
      </c>
      <c r="C71" s="3"/>
      <c r="D71" s="3"/>
      <c r="E71" s="20">
        <v>8985.07</v>
      </c>
      <c r="F71" s="20">
        <v>12872.86</v>
      </c>
      <c r="G71" s="20">
        <v>11464.9</v>
      </c>
      <c r="H71" s="20">
        <v>16190.07</v>
      </c>
      <c r="I71" s="20">
        <v>10542.34</v>
      </c>
      <c r="J71" s="20">
        <v>15672.54</v>
      </c>
      <c r="K71" s="20">
        <v>18578.46</v>
      </c>
      <c r="L71" s="25">
        <v>16101</v>
      </c>
      <c r="M71" s="25">
        <v>15362.06</v>
      </c>
      <c r="N71" s="25">
        <v>10456.700000000001</v>
      </c>
      <c r="O71" s="20">
        <v>15000</v>
      </c>
      <c r="P71" s="25">
        <v>12000</v>
      </c>
      <c r="Q71" s="20">
        <v>15450</v>
      </c>
      <c r="R71" s="20">
        <f t="shared" si="4"/>
        <v>450</v>
      </c>
      <c r="S71" s="20"/>
      <c r="T71" s="20">
        <f>Q71*(5%)+Q71</f>
        <v>16222.5</v>
      </c>
      <c r="U71" s="20">
        <f>T71*(3%)+T71</f>
        <v>16709.174999999999</v>
      </c>
      <c r="V71" s="20">
        <f>U71*(3%)+U71</f>
        <v>17210.450249999998</v>
      </c>
      <c r="W71" s="20">
        <f>V71*(3%)+V71</f>
        <v>17726.763757499997</v>
      </c>
      <c r="X71" s="23" t="s">
        <v>272</v>
      </c>
    </row>
    <row r="72" spans="1:33" ht="13.5">
      <c r="A72" s="3" t="s">
        <v>101</v>
      </c>
      <c r="B72" s="3" t="s">
        <v>102</v>
      </c>
      <c r="C72" s="3"/>
      <c r="D72" s="3"/>
      <c r="E72" s="20">
        <v>3147.29</v>
      </c>
      <c r="F72" s="20">
        <v>547.12</v>
      </c>
      <c r="G72" s="20">
        <v>372.2</v>
      </c>
      <c r="H72" s="20">
        <v>1034.54</v>
      </c>
      <c r="I72" s="20">
        <v>22.68</v>
      </c>
      <c r="J72" s="20">
        <v>2704.92</v>
      </c>
      <c r="K72" s="20">
        <v>1054.76</v>
      </c>
      <c r="L72" s="25">
        <v>223</v>
      </c>
      <c r="M72" s="25">
        <v>2516.2600000000002</v>
      </c>
      <c r="N72" s="25">
        <v>4906.4799999999996</v>
      </c>
      <c r="O72" s="25">
        <v>1500</v>
      </c>
      <c r="P72" s="25">
        <v>2000</v>
      </c>
      <c r="Q72" s="25">
        <v>1500</v>
      </c>
      <c r="R72" s="20">
        <f t="shared" si="4"/>
        <v>0</v>
      </c>
      <c r="S72" s="25"/>
      <c r="T72" s="25">
        <v>1500</v>
      </c>
      <c r="U72" s="25">
        <v>1500</v>
      </c>
      <c r="V72" s="25">
        <v>1500</v>
      </c>
      <c r="W72" s="25">
        <v>1500</v>
      </c>
      <c r="X72" s="23" t="s">
        <v>97</v>
      </c>
    </row>
    <row r="73" spans="1:33" ht="13.5">
      <c r="A73" s="3" t="s">
        <v>103</v>
      </c>
      <c r="B73" s="3" t="s">
        <v>104</v>
      </c>
      <c r="C73" s="3"/>
      <c r="D73" s="3"/>
      <c r="E73" s="20">
        <v>7743.23</v>
      </c>
      <c r="F73" s="20">
        <v>6128.59</v>
      </c>
      <c r="G73" s="20">
        <v>11045.37</v>
      </c>
      <c r="H73" s="20">
        <v>3255.16</v>
      </c>
      <c r="I73" s="20">
        <v>10197.16</v>
      </c>
      <c r="J73" s="20">
        <v>4967.7</v>
      </c>
      <c r="K73" s="20">
        <v>7232.81</v>
      </c>
      <c r="L73" s="25">
        <v>3229</v>
      </c>
      <c r="M73" s="25">
        <v>8844.58</v>
      </c>
      <c r="N73" s="25">
        <v>4968.41</v>
      </c>
      <c r="O73" s="20">
        <v>11025</v>
      </c>
      <c r="P73" s="25">
        <v>10000</v>
      </c>
      <c r="Q73" s="20">
        <v>10500</v>
      </c>
      <c r="R73" s="20">
        <f t="shared" si="4"/>
        <v>-525</v>
      </c>
      <c r="S73" s="20"/>
      <c r="T73" s="20">
        <f>Q73*(5%)+Q73</f>
        <v>11025</v>
      </c>
      <c r="U73" s="20">
        <f t="shared" ref="U73:W76" si="9">T73*(5%)+T73</f>
        <v>11576.25</v>
      </c>
      <c r="V73" s="20">
        <f t="shared" si="9"/>
        <v>12155.0625</v>
      </c>
      <c r="W73" s="20">
        <f t="shared" si="9"/>
        <v>12762.815624999999</v>
      </c>
      <c r="X73" s="23" t="s">
        <v>60</v>
      </c>
    </row>
    <row r="74" spans="1:33" ht="13.5">
      <c r="A74" s="3" t="s">
        <v>105</v>
      </c>
      <c r="B74" s="3" t="s">
        <v>106</v>
      </c>
      <c r="C74" s="3"/>
      <c r="D74" s="3"/>
      <c r="E74" s="20">
        <v>2707.19</v>
      </c>
      <c r="F74" s="20">
        <v>4817.99</v>
      </c>
      <c r="G74" s="20">
        <v>2602.88</v>
      </c>
      <c r="H74" s="20">
        <v>7917.48</v>
      </c>
      <c r="I74" s="20">
        <v>745.04</v>
      </c>
      <c r="J74" s="20">
        <v>8844.89</v>
      </c>
      <c r="K74" s="20">
        <v>3132.84</v>
      </c>
      <c r="L74" s="25">
        <v>2975</v>
      </c>
      <c r="M74" s="25">
        <v>14575.53</v>
      </c>
      <c r="N74" s="25">
        <v>10550.37</v>
      </c>
      <c r="O74" s="20">
        <v>12600</v>
      </c>
      <c r="P74" s="25">
        <v>10000</v>
      </c>
      <c r="Q74" s="20">
        <v>10500</v>
      </c>
      <c r="R74" s="20">
        <f t="shared" si="4"/>
        <v>-2100</v>
      </c>
      <c r="S74" s="20"/>
      <c r="T74" s="20">
        <f>Q74*(5%)+Q74</f>
        <v>11025</v>
      </c>
      <c r="U74" s="20">
        <f t="shared" si="9"/>
        <v>11576.25</v>
      </c>
      <c r="V74" s="20">
        <f t="shared" si="9"/>
        <v>12155.0625</v>
      </c>
      <c r="W74" s="20">
        <f t="shared" si="9"/>
        <v>12762.815624999999</v>
      </c>
      <c r="X74" s="23" t="s">
        <v>60</v>
      </c>
      <c r="Y74" s="48"/>
    </row>
    <row r="75" spans="1:33" ht="13.5">
      <c r="A75" s="3" t="s">
        <v>107</v>
      </c>
      <c r="B75" s="3" t="s">
        <v>108</v>
      </c>
      <c r="C75" s="3"/>
      <c r="D75" s="3"/>
      <c r="E75" s="20">
        <v>57413.07</v>
      </c>
      <c r="F75" s="20">
        <v>50151.32</v>
      </c>
      <c r="G75" s="20">
        <v>45711.34</v>
      </c>
      <c r="H75" s="20">
        <v>56484.2</v>
      </c>
      <c r="I75" s="20">
        <v>65991.87</v>
      </c>
      <c r="J75" s="20">
        <v>39883.18</v>
      </c>
      <c r="K75" s="20">
        <v>67014.05</v>
      </c>
      <c r="L75" s="25">
        <v>57638</v>
      </c>
      <c r="M75" s="25">
        <v>71860.75</v>
      </c>
      <c r="N75" s="25">
        <v>79033.850000000006</v>
      </c>
      <c r="O75" s="25">
        <v>85000</v>
      </c>
      <c r="P75" s="25">
        <v>85000</v>
      </c>
      <c r="Q75" s="25">
        <v>89250</v>
      </c>
      <c r="R75" s="20">
        <f t="shared" si="4"/>
        <v>4250</v>
      </c>
      <c r="S75" s="25"/>
      <c r="T75" s="20">
        <f>Q75*(5%)+Q75</f>
        <v>93712.5</v>
      </c>
      <c r="U75" s="20">
        <f t="shared" si="9"/>
        <v>98398.125</v>
      </c>
      <c r="V75" s="20">
        <f t="shared" si="9"/>
        <v>103318.03125</v>
      </c>
      <c r="W75" s="20">
        <f t="shared" si="9"/>
        <v>108483.9328125</v>
      </c>
      <c r="X75" s="23" t="s">
        <v>60</v>
      </c>
    </row>
    <row r="76" spans="1:33" ht="13.5">
      <c r="A76" s="3" t="s">
        <v>109</v>
      </c>
      <c r="B76" s="3" t="s">
        <v>110</v>
      </c>
      <c r="C76" s="3"/>
      <c r="D76" s="3"/>
      <c r="E76" s="20">
        <v>1669.75</v>
      </c>
      <c r="F76" s="20">
        <v>1249.0899999999999</v>
      </c>
      <c r="G76" s="20">
        <v>2700.36</v>
      </c>
      <c r="H76" s="20">
        <v>2583.79</v>
      </c>
      <c r="I76" s="20">
        <v>1258.6500000000001</v>
      </c>
      <c r="J76" s="20">
        <v>4381.3500000000004</v>
      </c>
      <c r="K76" s="20">
        <v>521.66999999999996</v>
      </c>
      <c r="L76" s="25">
        <v>5994</v>
      </c>
      <c r="M76" s="25">
        <v>2945.19</v>
      </c>
      <c r="N76" s="25">
        <v>2804.32</v>
      </c>
      <c r="O76" s="25">
        <v>3800</v>
      </c>
      <c r="P76" s="25">
        <v>14000</v>
      </c>
      <c r="Q76" s="25">
        <v>3990</v>
      </c>
      <c r="R76" s="20">
        <f t="shared" si="4"/>
        <v>190</v>
      </c>
      <c r="S76" s="25"/>
      <c r="T76" s="20">
        <f>Q76*(5%)+Q76</f>
        <v>4189.5</v>
      </c>
      <c r="U76" s="20">
        <f t="shared" si="9"/>
        <v>4398.9750000000004</v>
      </c>
      <c r="V76" s="20">
        <f t="shared" si="9"/>
        <v>4618.9237499999999</v>
      </c>
      <c r="W76" s="20">
        <f t="shared" si="9"/>
        <v>4849.8699374999997</v>
      </c>
      <c r="X76" s="23" t="s">
        <v>60</v>
      </c>
    </row>
    <row r="77" spans="1:33" ht="13.5">
      <c r="A77" s="3" t="s">
        <v>111</v>
      </c>
      <c r="B77" s="3" t="s">
        <v>112</v>
      </c>
      <c r="C77" s="3"/>
      <c r="D77" s="3"/>
      <c r="E77" s="20">
        <v>39.950000000000003</v>
      </c>
      <c r="F77" s="20">
        <v>753</v>
      </c>
      <c r="G77" s="20">
        <v>252.25</v>
      </c>
      <c r="H77" s="20">
        <v>2304</v>
      </c>
      <c r="I77" s="20">
        <v>1407</v>
      </c>
      <c r="J77" s="20">
        <v>347</v>
      </c>
      <c r="K77" s="20">
        <v>20.5</v>
      </c>
      <c r="L77" s="25">
        <v>219</v>
      </c>
      <c r="M77" s="25">
        <v>7.71</v>
      </c>
      <c r="N77" s="25">
        <v>217.46</v>
      </c>
      <c r="O77" s="25">
        <v>500</v>
      </c>
      <c r="P77" s="25">
        <v>0</v>
      </c>
      <c r="Q77" s="25">
        <v>500</v>
      </c>
      <c r="R77" s="20">
        <f t="shared" si="4"/>
        <v>0</v>
      </c>
      <c r="S77" s="25"/>
      <c r="T77" s="25">
        <v>500</v>
      </c>
      <c r="U77" s="25">
        <v>500</v>
      </c>
      <c r="V77" s="25">
        <v>500</v>
      </c>
      <c r="W77" s="25">
        <v>500</v>
      </c>
      <c r="X77" s="23" t="s">
        <v>97</v>
      </c>
    </row>
    <row r="78" spans="1:33" ht="13.5">
      <c r="A78" s="3" t="s">
        <v>113</v>
      </c>
      <c r="B78" s="3" t="s">
        <v>114</v>
      </c>
      <c r="C78" s="3"/>
      <c r="D78" s="3"/>
      <c r="E78" s="20">
        <v>1550.59</v>
      </c>
      <c r="F78" s="20">
        <v>144.18</v>
      </c>
      <c r="G78" s="20">
        <v>602.96</v>
      </c>
      <c r="H78" s="20">
        <v>3308.73</v>
      </c>
      <c r="I78" s="20">
        <v>2328.84</v>
      </c>
      <c r="J78" s="20">
        <v>4152.5200000000004</v>
      </c>
      <c r="K78" s="20">
        <v>2827.23</v>
      </c>
      <c r="L78" s="25">
        <v>2275</v>
      </c>
      <c r="M78" s="25">
        <v>3273.06</v>
      </c>
      <c r="N78" s="25">
        <v>337.67</v>
      </c>
      <c r="O78" s="25">
        <v>3000</v>
      </c>
      <c r="P78" s="25">
        <v>2000</v>
      </c>
      <c r="Q78" s="25">
        <v>3000</v>
      </c>
      <c r="R78" s="20">
        <f t="shared" si="4"/>
        <v>0</v>
      </c>
      <c r="S78" s="25"/>
      <c r="T78" s="25">
        <v>3000</v>
      </c>
      <c r="U78" s="25">
        <v>3000</v>
      </c>
      <c r="V78" s="25">
        <v>3000</v>
      </c>
      <c r="W78" s="25">
        <v>3000</v>
      </c>
      <c r="X78" s="23" t="s">
        <v>245</v>
      </c>
    </row>
    <row r="79" spans="1:33" ht="13.5">
      <c r="A79" s="3" t="s">
        <v>115</v>
      </c>
      <c r="B79" s="3" t="s">
        <v>116</v>
      </c>
      <c r="C79" s="3"/>
      <c r="D79" s="3"/>
      <c r="E79" s="20">
        <v>1803.97</v>
      </c>
      <c r="F79" s="20">
        <v>1104.26</v>
      </c>
      <c r="G79" s="20">
        <v>812.76</v>
      </c>
      <c r="H79" s="20">
        <v>1555.5</v>
      </c>
      <c r="I79" s="20">
        <v>1104.8399999999999</v>
      </c>
      <c r="J79" s="20">
        <v>600</v>
      </c>
      <c r="K79" s="20">
        <v>569.73</v>
      </c>
      <c r="L79" s="25">
        <v>1390</v>
      </c>
      <c r="M79" s="25">
        <v>1258.02</v>
      </c>
      <c r="N79" s="25">
        <v>949.43</v>
      </c>
      <c r="O79" s="25">
        <v>1000</v>
      </c>
      <c r="P79" s="25">
        <v>1000</v>
      </c>
      <c r="Q79" s="25">
        <v>1000</v>
      </c>
      <c r="R79" s="20">
        <f t="shared" si="4"/>
        <v>0</v>
      </c>
      <c r="S79" s="25"/>
      <c r="T79" s="25">
        <v>1000</v>
      </c>
      <c r="U79" s="25">
        <v>1000</v>
      </c>
      <c r="V79" s="25">
        <v>1000</v>
      </c>
      <c r="W79" s="25">
        <v>1000</v>
      </c>
      <c r="X79" s="23" t="s">
        <v>97</v>
      </c>
    </row>
    <row r="80" spans="1:33" ht="13.5">
      <c r="A80" s="3" t="s">
        <v>117</v>
      </c>
      <c r="B80" s="3" t="s">
        <v>118</v>
      </c>
      <c r="C80" s="3"/>
      <c r="D80" s="3"/>
      <c r="E80" s="20">
        <v>2657.89</v>
      </c>
      <c r="F80" s="20">
        <v>5875.4</v>
      </c>
      <c r="G80" s="20">
        <v>20315.77</v>
      </c>
      <c r="H80" s="20">
        <v>33837.11</v>
      </c>
      <c r="I80" s="20">
        <v>18842.21</v>
      </c>
      <c r="J80" s="20">
        <v>20974.09</v>
      </c>
      <c r="K80" s="20">
        <v>40976.54</v>
      </c>
      <c r="L80" s="20">
        <v>24255</v>
      </c>
      <c r="M80" s="25">
        <v>27855.7</v>
      </c>
      <c r="N80" s="25">
        <v>24514.17</v>
      </c>
      <c r="O80" s="20">
        <v>35000</v>
      </c>
      <c r="P80" s="25">
        <v>35000</v>
      </c>
      <c r="Q80" s="20">
        <v>36750</v>
      </c>
      <c r="R80" s="20">
        <f t="shared" si="4"/>
        <v>1750</v>
      </c>
      <c r="S80" s="20"/>
      <c r="T80" s="20">
        <f>Q80*(5%)+Q80</f>
        <v>38587.5</v>
      </c>
      <c r="U80" s="20">
        <f>T80*(5%)+T80</f>
        <v>40516.875</v>
      </c>
      <c r="V80" s="20">
        <f>U80*(5%)+U80</f>
        <v>42542.71875</v>
      </c>
      <c r="W80" s="20">
        <f>V80*(5%)+V80</f>
        <v>44669.854687500003</v>
      </c>
      <c r="X80" s="23" t="s">
        <v>60</v>
      </c>
      <c r="Y80" s="48"/>
    </row>
    <row r="81" spans="1:33" ht="13.5">
      <c r="A81" s="3"/>
      <c r="B81" s="3"/>
      <c r="C81" s="3"/>
      <c r="D81" s="3"/>
      <c r="E81" s="3"/>
      <c r="F81" s="39"/>
      <c r="G81" s="37"/>
      <c r="H81" s="37"/>
      <c r="I81" s="38"/>
      <c r="J81" s="38"/>
    </row>
    <row r="87" spans="1:33" ht="15">
      <c r="A87" s="1" t="s">
        <v>0</v>
      </c>
      <c r="B87" s="2"/>
      <c r="C87" s="3"/>
      <c r="D87" s="3"/>
      <c r="E87" s="8" t="s">
        <v>232</v>
      </c>
      <c r="F87" s="8" t="s">
        <v>119</v>
      </c>
      <c r="G87" s="9" t="s">
        <v>120</v>
      </c>
      <c r="H87" s="9" t="s">
        <v>121</v>
      </c>
      <c r="I87" s="7" t="s">
        <v>1</v>
      </c>
      <c r="J87" s="7" t="s">
        <v>2</v>
      </c>
      <c r="K87" s="8" t="s">
        <v>3</v>
      </c>
      <c r="L87" s="8" t="s">
        <v>4</v>
      </c>
      <c r="M87" s="9" t="s">
        <v>5</v>
      </c>
      <c r="N87" s="9" t="s">
        <v>6</v>
      </c>
      <c r="O87" s="6" t="s">
        <v>7</v>
      </c>
      <c r="P87" s="9" t="s">
        <v>7</v>
      </c>
      <c r="Q87" s="6" t="s">
        <v>8</v>
      </c>
      <c r="R87" s="164" t="s">
        <v>265</v>
      </c>
      <c r="S87" s="164"/>
      <c r="T87" s="6" t="s">
        <v>228</v>
      </c>
      <c r="U87" s="6" t="s">
        <v>244</v>
      </c>
      <c r="V87" s="6" t="s">
        <v>266</v>
      </c>
      <c r="W87" s="6" t="s">
        <v>267</v>
      </c>
      <c r="X87" s="10" t="s">
        <v>9</v>
      </c>
    </row>
    <row r="88" spans="1:33" ht="15">
      <c r="A88" s="11" t="s">
        <v>10</v>
      </c>
      <c r="B88" s="12" t="s">
        <v>11</v>
      </c>
      <c r="C88" s="3"/>
      <c r="D88" s="3"/>
      <c r="E88" s="13" t="s">
        <v>12</v>
      </c>
      <c r="F88" s="13" t="s">
        <v>12</v>
      </c>
      <c r="G88" s="14" t="s">
        <v>12</v>
      </c>
      <c r="H88" s="14" t="s">
        <v>12</v>
      </c>
      <c r="I88" s="15" t="s">
        <v>12</v>
      </c>
      <c r="J88" s="15" t="s">
        <v>12</v>
      </c>
      <c r="K88" s="15" t="s">
        <v>12</v>
      </c>
      <c r="L88" s="15" t="s">
        <v>12</v>
      </c>
      <c r="M88" s="15" t="s">
        <v>12</v>
      </c>
      <c r="N88" s="15" t="s">
        <v>12</v>
      </c>
      <c r="O88" s="15" t="s">
        <v>13</v>
      </c>
      <c r="P88" s="15" t="s">
        <v>243</v>
      </c>
      <c r="Q88" s="15" t="s">
        <v>13</v>
      </c>
      <c r="R88" s="15" t="s">
        <v>261</v>
      </c>
      <c r="S88" s="15" t="s">
        <v>262</v>
      </c>
      <c r="T88" s="13" t="s">
        <v>14</v>
      </c>
      <c r="U88" s="13" t="s">
        <v>14</v>
      </c>
      <c r="V88" s="13" t="s">
        <v>14</v>
      </c>
      <c r="W88" s="13" t="s">
        <v>14</v>
      </c>
      <c r="X88" s="10" t="s">
        <v>15</v>
      </c>
    </row>
    <row r="89" spans="1:33" ht="14.25" customHeight="1">
      <c r="A89" s="3"/>
      <c r="B89" s="3"/>
      <c r="C89" s="3"/>
      <c r="D89" s="3"/>
      <c r="E89" s="3"/>
      <c r="F89" s="16"/>
    </row>
    <row r="90" spans="1:33" ht="31.5" customHeight="1">
      <c r="A90" s="3" t="s">
        <v>122</v>
      </c>
      <c r="B90" s="3" t="s">
        <v>123</v>
      </c>
      <c r="C90" s="3"/>
      <c r="D90" s="3"/>
      <c r="E90" s="20">
        <v>730373.64</v>
      </c>
      <c r="F90" s="20">
        <v>597956.86</v>
      </c>
      <c r="G90" s="20">
        <v>504092.27</v>
      </c>
      <c r="H90" s="20">
        <v>573155.79</v>
      </c>
      <c r="I90" s="20">
        <v>507982.61</v>
      </c>
      <c r="J90" s="20">
        <v>262217.43</v>
      </c>
      <c r="K90" s="25">
        <v>44083.7</v>
      </c>
      <c r="L90" s="25">
        <v>75866</v>
      </c>
      <c r="M90" s="22">
        <v>39101.01</v>
      </c>
      <c r="N90" s="25">
        <v>51324.78</v>
      </c>
      <c r="O90" s="22">
        <v>50000</v>
      </c>
      <c r="P90" s="22">
        <v>90000</v>
      </c>
      <c r="Q90" s="22">
        <v>75000</v>
      </c>
      <c r="R90" s="20">
        <f t="shared" ref="R90:R128" si="10">Q90-O90</f>
        <v>25000</v>
      </c>
      <c r="S90" s="22"/>
      <c r="T90" s="22">
        <v>75000</v>
      </c>
      <c r="U90" s="22">
        <v>75000</v>
      </c>
      <c r="V90" s="22">
        <v>75000</v>
      </c>
      <c r="W90" s="22">
        <v>75000</v>
      </c>
      <c r="X90" s="41" t="s">
        <v>368</v>
      </c>
      <c r="Y90" s="48"/>
      <c r="Z90" s="48"/>
      <c r="AA90" s="48"/>
      <c r="AB90" s="48"/>
      <c r="AC90" s="48"/>
      <c r="AD90" s="48"/>
      <c r="AE90" s="48"/>
      <c r="AF90" s="48"/>
      <c r="AG90" s="48"/>
    </row>
    <row r="91" spans="1:33" ht="13.5">
      <c r="A91" s="3" t="s">
        <v>124</v>
      </c>
      <c r="B91" s="3" t="s">
        <v>125</v>
      </c>
      <c r="C91" s="3"/>
      <c r="D91" s="3"/>
      <c r="E91" s="20">
        <v>10968.75</v>
      </c>
      <c r="F91" s="20">
        <v>12738.66</v>
      </c>
      <c r="G91" s="20">
        <v>12591.57</v>
      </c>
      <c r="H91" s="20">
        <v>12782.26</v>
      </c>
      <c r="I91" s="20">
        <v>12797.48</v>
      </c>
      <c r="J91" s="20">
        <v>12773.78</v>
      </c>
      <c r="K91" s="20">
        <v>13989.94</v>
      </c>
      <c r="L91" s="25">
        <v>12478</v>
      </c>
      <c r="M91" s="25">
        <v>14388.51</v>
      </c>
      <c r="N91" s="25">
        <v>16452.52</v>
      </c>
      <c r="O91" s="25">
        <v>14500</v>
      </c>
      <c r="P91" s="25">
        <v>14500</v>
      </c>
      <c r="Q91" s="25">
        <v>15225</v>
      </c>
      <c r="R91" s="20">
        <f t="shared" si="10"/>
        <v>725</v>
      </c>
      <c r="S91" s="25"/>
      <c r="T91" s="20">
        <f>Q91*(5%)+Q91</f>
        <v>15986.25</v>
      </c>
      <c r="U91" s="20">
        <f t="shared" ref="U91:W92" si="11">T91*(5%)+T91</f>
        <v>16785.5625</v>
      </c>
      <c r="V91" s="20">
        <f t="shared" si="11"/>
        <v>17624.840625000001</v>
      </c>
      <c r="W91" s="20">
        <f t="shared" si="11"/>
        <v>18506.082656250001</v>
      </c>
      <c r="X91" s="23" t="s">
        <v>60</v>
      </c>
    </row>
    <row r="92" spans="1:33" ht="13.5">
      <c r="A92" s="3" t="s">
        <v>126</v>
      </c>
      <c r="B92" s="3" t="s">
        <v>127</v>
      </c>
      <c r="C92" s="3"/>
      <c r="D92" s="3"/>
      <c r="E92" s="20">
        <v>779.82</v>
      </c>
      <c r="F92" s="20">
        <v>593.25</v>
      </c>
      <c r="G92" s="20">
        <v>588.04999999999995</v>
      </c>
      <c r="H92" s="20">
        <v>793.4</v>
      </c>
      <c r="I92" s="20">
        <v>435.32</v>
      </c>
      <c r="J92" s="20">
        <v>641.83000000000004</v>
      </c>
      <c r="K92" s="20">
        <v>602.78</v>
      </c>
      <c r="L92" s="22">
        <v>598</v>
      </c>
      <c r="M92" s="25">
        <v>1248.75</v>
      </c>
      <c r="N92" s="25">
        <v>1243.48</v>
      </c>
      <c r="O92" s="25">
        <v>1000</v>
      </c>
      <c r="P92" s="25">
        <v>1100</v>
      </c>
      <c r="Q92" s="25">
        <v>1155</v>
      </c>
      <c r="R92" s="20">
        <f t="shared" si="10"/>
        <v>155</v>
      </c>
      <c r="S92" s="25"/>
      <c r="T92" s="20">
        <f>Q92*(5%)+Q92</f>
        <v>1212.75</v>
      </c>
      <c r="U92" s="20">
        <f t="shared" si="11"/>
        <v>1273.3875</v>
      </c>
      <c r="V92" s="20">
        <f t="shared" si="11"/>
        <v>1337.056875</v>
      </c>
      <c r="W92" s="20">
        <f t="shared" si="11"/>
        <v>1403.9097187499999</v>
      </c>
      <c r="X92" s="23" t="s">
        <v>60</v>
      </c>
    </row>
    <row r="93" spans="1:33" ht="39" customHeight="1">
      <c r="A93" s="3" t="s">
        <v>128</v>
      </c>
      <c r="B93" s="3" t="s">
        <v>129</v>
      </c>
      <c r="C93" s="3"/>
      <c r="D93" s="3"/>
      <c r="E93" s="20">
        <v>249676.33</v>
      </c>
      <c r="F93" s="20">
        <v>225674.43</v>
      </c>
      <c r="G93" s="20">
        <v>228146.82</v>
      </c>
      <c r="H93" s="20">
        <v>250706.43</v>
      </c>
      <c r="I93" s="20">
        <v>285657.02</v>
      </c>
      <c r="J93" s="20">
        <v>385082.33</v>
      </c>
      <c r="K93" s="20">
        <v>311203.24</v>
      </c>
      <c r="L93" s="25">
        <v>311084</v>
      </c>
      <c r="M93" s="25">
        <v>276264.65000000002</v>
      </c>
      <c r="N93" s="25">
        <v>264778.03000000003</v>
      </c>
      <c r="O93" s="25">
        <v>260000</v>
      </c>
      <c r="P93" s="25">
        <v>260000</v>
      </c>
      <c r="Q93" s="25">
        <v>250000</v>
      </c>
      <c r="R93" s="20">
        <f t="shared" si="10"/>
        <v>-10000</v>
      </c>
      <c r="S93" s="25"/>
      <c r="T93" s="78">
        <v>250000</v>
      </c>
      <c r="U93" s="78">
        <v>275000</v>
      </c>
      <c r="V93" s="78">
        <v>275000</v>
      </c>
      <c r="W93" s="78">
        <v>275000</v>
      </c>
      <c r="X93" s="70" t="s">
        <v>369</v>
      </c>
    </row>
    <row r="94" spans="1:33" ht="13.5" customHeight="1">
      <c r="A94" s="3" t="s">
        <v>130</v>
      </c>
      <c r="B94" s="3" t="s">
        <v>131</v>
      </c>
      <c r="C94" s="3"/>
      <c r="D94" s="3"/>
      <c r="E94" s="20">
        <v>6160.98</v>
      </c>
      <c r="F94" s="20">
        <v>7339.35</v>
      </c>
      <c r="G94" s="20">
        <v>7198.48</v>
      </c>
      <c r="H94" s="20">
        <v>6239.12</v>
      </c>
      <c r="I94" s="20">
        <v>6343.12</v>
      </c>
      <c r="J94" s="20">
        <v>8705.7199999999993</v>
      </c>
      <c r="K94" s="20">
        <v>7122.4</v>
      </c>
      <c r="L94" s="25">
        <v>6741</v>
      </c>
      <c r="M94" s="25">
        <v>6035.81</v>
      </c>
      <c r="N94" s="25">
        <v>6043.2</v>
      </c>
      <c r="O94" s="25">
        <v>7500</v>
      </c>
      <c r="P94" s="25">
        <v>7500</v>
      </c>
      <c r="Q94" s="25">
        <v>7500</v>
      </c>
      <c r="R94" s="20">
        <f t="shared" si="10"/>
        <v>0</v>
      </c>
      <c r="S94" s="25"/>
      <c r="T94" s="25">
        <v>7500</v>
      </c>
      <c r="U94" s="25">
        <v>8000</v>
      </c>
      <c r="V94" s="25">
        <v>8000</v>
      </c>
      <c r="W94" s="25">
        <v>8000</v>
      </c>
      <c r="X94" s="41"/>
    </row>
    <row r="95" spans="1:33" ht="13.5">
      <c r="A95" s="3" t="s">
        <v>132</v>
      </c>
      <c r="B95" s="3" t="s">
        <v>133</v>
      </c>
      <c r="C95" s="3"/>
      <c r="D95" s="3"/>
      <c r="E95" s="20">
        <v>7735.85</v>
      </c>
      <c r="F95" s="20">
        <v>1231.6099999999999</v>
      </c>
      <c r="G95" s="20">
        <v>1175.8399999999999</v>
      </c>
      <c r="H95" s="20">
        <v>1578.51</v>
      </c>
      <c r="I95" s="20">
        <v>10962.5</v>
      </c>
      <c r="J95" s="20">
        <v>4844.68</v>
      </c>
      <c r="K95" s="20">
        <v>0</v>
      </c>
      <c r="L95" s="25">
        <v>408</v>
      </c>
      <c r="M95" s="25">
        <v>7614.27</v>
      </c>
      <c r="N95" s="25">
        <v>828.5</v>
      </c>
      <c r="O95" s="20">
        <v>9000</v>
      </c>
      <c r="P95" s="25">
        <v>9000</v>
      </c>
      <c r="Q95" s="25">
        <v>9450</v>
      </c>
      <c r="R95" s="20">
        <f t="shared" si="10"/>
        <v>450</v>
      </c>
      <c r="S95" s="25"/>
      <c r="T95" s="20">
        <f>Q95*(5%)+Q95</f>
        <v>9922.5</v>
      </c>
      <c r="U95" s="20">
        <f>T95*(5%)+T95</f>
        <v>10418.625</v>
      </c>
      <c r="V95" s="20">
        <f>U95*(5%)+U95</f>
        <v>10939.55625</v>
      </c>
      <c r="W95" s="20">
        <f>V95*(5%)+V95</f>
        <v>11486.534062499999</v>
      </c>
      <c r="X95" s="23" t="s">
        <v>60</v>
      </c>
    </row>
    <row r="96" spans="1:33" ht="13.5">
      <c r="A96" s="3" t="s">
        <v>135</v>
      </c>
      <c r="B96" s="3" t="s">
        <v>136</v>
      </c>
      <c r="C96" s="3"/>
      <c r="D96" s="3"/>
      <c r="E96" s="20">
        <v>10222.040000000001</v>
      </c>
      <c r="F96" s="20">
        <v>6832</v>
      </c>
      <c r="G96" s="20">
        <v>13124.14</v>
      </c>
      <c r="H96" s="20">
        <v>9732.7000000000007</v>
      </c>
      <c r="I96" s="20">
        <v>9644.98</v>
      </c>
      <c r="J96" s="20">
        <v>6244.08</v>
      </c>
      <c r="K96" s="20">
        <v>9011.1299999999992</v>
      </c>
      <c r="L96" s="25">
        <v>9796</v>
      </c>
      <c r="M96" s="25">
        <v>12919.93</v>
      </c>
      <c r="N96" s="25">
        <v>10808.4</v>
      </c>
      <c r="O96" s="25">
        <v>10500</v>
      </c>
      <c r="P96" s="25">
        <v>8500</v>
      </c>
      <c r="Q96" s="25">
        <v>10500</v>
      </c>
      <c r="R96" s="20">
        <f t="shared" si="10"/>
        <v>0</v>
      </c>
      <c r="S96" s="25"/>
      <c r="T96" s="25">
        <v>11000</v>
      </c>
      <c r="U96" s="25">
        <v>11500</v>
      </c>
      <c r="V96" s="25">
        <v>12000</v>
      </c>
      <c r="W96" s="25">
        <v>12000</v>
      </c>
      <c r="X96" s="23" t="s">
        <v>100</v>
      </c>
    </row>
    <row r="97" spans="1:27" ht="13.5">
      <c r="A97" s="3" t="s">
        <v>137</v>
      </c>
      <c r="B97" s="3" t="s">
        <v>138</v>
      </c>
      <c r="C97" s="3"/>
      <c r="D97" s="3"/>
      <c r="E97" s="20">
        <v>9627.8700000000008</v>
      </c>
      <c r="F97" s="20">
        <v>5029.74</v>
      </c>
      <c r="G97" s="20">
        <v>6218.56</v>
      </c>
      <c r="H97" s="20">
        <v>4831.25</v>
      </c>
      <c r="I97" s="20">
        <v>8837.7000000000007</v>
      </c>
      <c r="J97" s="20">
        <v>8820.75</v>
      </c>
      <c r="K97" s="20">
        <v>9655.2800000000007</v>
      </c>
      <c r="L97" s="25">
        <v>10640</v>
      </c>
      <c r="M97" s="25">
        <v>10894.17</v>
      </c>
      <c r="N97" s="25">
        <v>9281.34</v>
      </c>
      <c r="O97" s="25">
        <v>8500</v>
      </c>
      <c r="P97" s="25">
        <v>8500</v>
      </c>
      <c r="Q97" s="25">
        <v>9000</v>
      </c>
      <c r="R97" s="20">
        <f t="shared" si="10"/>
        <v>500</v>
      </c>
      <c r="S97" s="25"/>
      <c r="T97" s="25">
        <v>9000</v>
      </c>
      <c r="U97" s="25">
        <v>9500</v>
      </c>
      <c r="V97" s="25">
        <v>9500</v>
      </c>
      <c r="W97" s="25">
        <v>9500</v>
      </c>
      <c r="X97" s="23" t="s">
        <v>100</v>
      </c>
    </row>
    <row r="98" spans="1:27" ht="13.5">
      <c r="A98" s="3" t="s">
        <v>139</v>
      </c>
      <c r="B98" s="3" t="s">
        <v>140</v>
      </c>
      <c r="C98" s="3"/>
      <c r="D98" s="3"/>
      <c r="E98" s="20">
        <v>8144.85</v>
      </c>
      <c r="F98" s="20">
        <v>16814.580000000002</v>
      </c>
      <c r="G98" s="20">
        <v>9391.09</v>
      </c>
      <c r="H98" s="20">
        <v>7426.56</v>
      </c>
      <c r="I98" s="20">
        <v>11183.47</v>
      </c>
      <c r="J98" s="20">
        <v>10191.26</v>
      </c>
      <c r="K98" s="20">
        <v>10225.959999999999</v>
      </c>
      <c r="L98" s="25">
        <v>10135</v>
      </c>
      <c r="M98" s="25">
        <v>9158.11</v>
      </c>
      <c r="N98" s="25">
        <v>15807.55</v>
      </c>
      <c r="O98" s="25">
        <v>14000</v>
      </c>
      <c r="P98" s="25">
        <v>15000</v>
      </c>
      <c r="Q98" s="25">
        <v>14500</v>
      </c>
      <c r="R98" s="20">
        <f t="shared" si="10"/>
        <v>500</v>
      </c>
      <c r="S98" s="25"/>
      <c r="T98" s="25">
        <v>14500</v>
      </c>
      <c r="U98" s="25">
        <v>15000</v>
      </c>
      <c r="V98" s="25">
        <v>15500</v>
      </c>
      <c r="W98" s="25">
        <v>15500</v>
      </c>
      <c r="X98" s="23" t="s">
        <v>238</v>
      </c>
    </row>
    <row r="99" spans="1:27" ht="13.5" customHeight="1">
      <c r="A99" s="3"/>
      <c r="B99" s="3"/>
      <c r="C99" s="3"/>
      <c r="D99" s="3"/>
      <c r="E99" s="62"/>
      <c r="F99" s="39"/>
      <c r="G99" s="37"/>
      <c r="H99" s="37"/>
      <c r="I99" s="38"/>
      <c r="J99" s="40"/>
      <c r="K99" s="40"/>
      <c r="L99" s="49"/>
      <c r="M99" s="49"/>
      <c r="N99" s="49"/>
      <c r="O99" s="49"/>
      <c r="P99" s="49"/>
      <c r="Q99" s="49"/>
      <c r="R99" s="20">
        <f t="shared" si="10"/>
        <v>0</v>
      </c>
      <c r="S99" s="49"/>
      <c r="T99" s="50"/>
      <c r="U99" s="50"/>
      <c r="V99" s="50"/>
      <c r="W99" s="50"/>
    </row>
    <row r="100" spans="1:27" ht="25.5" customHeight="1">
      <c r="A100" s="3" t="s">
        <v>141</v>
      </c>
      <c r="B100" s="3" t="s">
        <v>142</v>
      </c>
      <c r="C100" s="3"/>
      <c r="D100" s="3"/>
      <c r="E100" s="28">
        <v>24889.45</v>
      </c>
      <c r="F100" s="28">
        <v>19590.53</v>
      </c>
      <c r="G100" s="28">
        <v>14600.95</v>
      </c>
      <c r="H100" s="28">
        <v>32698.240000000002</v>
      </c>
      <c r="I100" s="28">
        <v>11249</v>
      </c>
      <c r="J100" s="28">
        <v>0</v>
      </c>
      <c r="K100" s="28">
        <v>47367.32</v>
      </c>
      <c r="L100" s="29">
        <v>33965</v>
      </c>
      <c r="M100" s="51">
        <v>13292.86</v>
      </c>
      <c r="N100" s="74">
        <v>0</v>
      </c>
      <c r="O100" s="74">
        <v>8700</v>
      </c>
      <c r="P100" s="28">
        <v>8700</v>
      </c>
      <c r="Q100" s="74">
        <v>1330307</v>
      </c>
      <c r="R100" s="28">
        <f t="shared" si="10"/>
        <v>1321607</v>
      </c>
      <c r="S100" s="74"/>
      <c r="T100" s="74">
        <v>325791</v>
      </c>
      <c r="U100" s="74">
        <v>157751</v>
      </c>
      <c r="V100" s="75">
        <v>316819</v>
      </c>
      <c r="W100" s="75">
        <v>142191</v>
      </c>
      <c r="X100" s="41" t="s">
        <v>276</v>
      </c>
      <c r="Y100" s="69"/>
      <c r="Z100" s="69"/>
      <c r="AA100" s="68"/>
    </row>
    <row r="101" spans="1:27">
      <c r="E101" s="63"/>
      <c r="F101" s="16"/>
    </row>
    <row r="102" spans="1:27" ht="15">
      <c r="B102" s="42" t="s">
        <v>143</v>
      </c>
      <c r="C102" s="3"/>
      <c r="E102" s="45">
        <f>SUM(E60:E100)</f>
        <v>1809844.9400000004</v>
      </c>
      <c r="F102" s="45">
        <f>SUM(F60:F101)</f>
        <v>1698047.3</v>
      </c>
      <c r="G102" s="45">
        <f>SUM(G60:G101)</f>
        <v>1648862.0600000003</v>
      </c>
      <c r="H102" s="45">
        <f>SUM(H60:H101)</f>
        <v>1800115.3499999999</v>
      </c>
      <c r="I102" s="45">
        <f t="shared" ref="I102:W102" si="12">SUM(I60:I100)</f>
        <v>1795033.1900000002</v>
      </c>
      <c r="J102" s="45">
        <f t="shared" si="12"/>
        <v>1725469.0200000003</v>
      </c>
      <c r="K102" s="45">
        <f t="shared" si="12"/>
        <v>1607004.3299999996</v>
      </c>
      <c r="L102" s="45">
        <f t="shared" si="12"/>
        <v>1577239</v>
      </c>
      <c r="M102" s="45">
        <f t="shared" si="12"/>
        <v>1528604.61</v>
      </c>
      <c r="N102" s="45">
        <f t="shared" si="12"/>
        <v>1481193.0699999996</v>
      </c>
      <c r="O102" s="45">
        <f t="shared" si="12"/>
        <v>1590390.4836499998</v>
      </c>
      <c r="P102" s="45">
        <f t="shared" si="12"/>
        <v>1627830.7675000001</v>
      </c>
      <c r="Q102" s="45">
        <f t="shared" si="12"/>
        <v>2969444.019595</v>
      </c>
      <c r="R102" s="32">
        <f t="shared" si="10"/>
        <v>1379053.5359450001</v>
      </c>
      <c r="S102" s="45"/>
      <c r="T102" s="45">
        <f t="shared" si="12"/>
        <v>2008054.69018285</v>
      </c>
      <c r="U102" s="45">
        <f t="shared" si="12"/>
        <v>1912233.4428883356</v>
      </c>
      <c r="V102" s="45">
        <f t="shared" si="12"/>
        <v>2116085.3002749858</v>
      </c>
      <c r="W102" s="45">
        <f t="shared" si="12"/>
        <v>1987368.1425882359</v>
      </c>
    </row>
    <row r="103" spans="1:27" ht="13.5">
      <c r="A103" s="3"/>
      <c r="B103" s="3"/>
      <c r="C103" s="3"/>
      <c r="D103" s="3"/>
      <c r="E103" s="3"/>
      <c r="F103" s="16"/>
    </row>
    <row r="104" spans="1:27" ht="13.5">
      <c r="A104" s="3" t="s">
        <v>144</v>
      </c>
      <c r="B104" s="3" t="s">
        <v>145</v>
      </c>
      <c r="C104" s="3"/>
      <c r="D104" s="3"/>
      <c r="E104" s="20">
        <v>65710.55</v>
      </c>
      <c r="F104" s="20">
        <v>68387.429999999993</v>
      </c>
      <c r="G104" s="20">
        <v>71130.69</v>
      </c>
      <c r="H104" s="20">
        <v>72812.31</v>
      </c>
      <c r="I104" s="20">
        <v>113419.23</v>
      </c>
      <c r="J104" s="20">
        <v>123029.63</v>
      </c>
      <c r="K104" s="21">
        <v>124743.8</v>
      </c>
      <c r="L104" s="20">
        <v>111401</v>
      </c>
      <c r="M104" s="20">
        <v>126569.12</v>
      </c>
      <c r="N104" s="25">
        <v>138728.49</v>
      </c>
      <c r="O104" s="20">
        <v>138720</v>
      </c>
      <c r="P104" s="20">
        <v>138720</v>
      </c>
      <c r="Q104" s="20">
        <f>P104*102%</f>
        <v>141494.39999999999</v>
      </c>
      <c r="R104" s="20">
        <f t="shared" si="10"/>
        <v>2774.3999999999942</v>
      </c>
      <c r="S104" s="20"/>
      <c r="T104" s="20">
        <f>Q104*102%</f>
        <v>144324.288</v>
      </c>
      <c r="U104" s="20">
        <f t="shared" ref="U104:W105" si="13">T104*102%</f>
        <v>147210.77376000001</v>
      </c>
      <c r="V104" s="20">
        <f t="shared" si="13"/>
        <v>150154.98923520002</v>
      </c>
      <c r="W104" s="20">
        <f t="shared" si="13"/>
        <v>153158.08901990403</v>
      </c>
      <c r="X104" s="23" t="s">
        <v>257</v>
      </c>
    </row>
    <row r="105" spans="1:27" ht="13.5">
      <c r="A105" s="3" t="s">
        <v>146</v>
      </c>
      <c r="B105" s="3" t="s">
        <v>147</v>
      </c>
      <c r="C105" s="3"/>
      <c r="D105" s="3"/>
      <c r="E105" s="20">
        <v>41613.199999999997</v>
      </c>
      <c r="F105" s="20">
        <v>43614.87</v>
      </c>
      <c r="G105" s="20">
        <v>45794.9</v>
      </c>
      <c r="H105" s="20">
        <v>47738.2</v>
      </c>
      <c r="I105" s="20">
        <v>51120.52</v>
      </c>
      <c r="J105" s="20">
        <v>51839.1</v>
      </c>
      <c r="K105" s="20">
        <v>52176.5</v>
      </c>
      <c r="L105" s="20">
        <v>52820</v>
      </c>
      <c r="M105" s="20">
        <v>53883.78</v>
      </c>
      <c r="N105" s="25">
        <v>54955.25</v>
      </c>
      <c r="O105" s="20">
        <v>55080</v>
      </c>
      <c r="P105" s="20">
        <v>55080</v>
      </c>
      <c r="Q105" s="20">
        <f>P105*102%</f>
        <v>56181.599999999999</v>
      </c>
      <c r="R105" s="20">
        <f t="shared" si="10"/>
        <v>1101.5999999999985</v>
      </c>
      <c r="S105" s="20"/>
      <c r="T105" s="20">
        <f>Q105*102%</f>
        <v>57305.231999999996</v>
      </c>
      <c r="U105" s="20">
        <f t="shared" si="13"/>
        <v>58451.336639999994</v>
      </c>
      <c r="V105" s="20">
        <f t="shared" si="13"/>
        <v>59620.363372799999</v>
      </c>
      <c r="W105" s="20">
        <f t="shared" si="13"/>
        <v>60812.770640256</v>
      </c>
      <c r="X105" s="23" t="s">
        <v>257</v>
      </c>
    </row>
    <row r="106" spans="1:27" ht="13.5">
      <c r="A106" s="3" t="s">
        <v>148</v>
      </c>
      <c r="B106" s="3" t="s">
        <v>55</v>
      </c>
      <c r="C106" s="3"/>
      <c r="D106" s="3"/>
      <c r="E106" s="20"/>
      <c r="F106" s="20"/>
      <c r="G106" s="20"/>
      <c r="H106" s="20"/>
      <c r="I106" s="20"/>
      <c r="J106" s="20">
        <v>13404.76</v>
      </c>
      <c r="K106" s="20">
        <v>13565.49</v>
      </c>
      <c r="L106" s="20">
        <v>12592</v>
      </c>
      <c r="M106" s="20">
        <v>13836.51</v>
      </c>
      <c r="N106" s="25">
        <v>14604.43</v>
      </c>
      <c r="O106" s="20">
        <v>14218.86069</v>
      </c>
      <c r="P106" s="20">
        <f>(P104+P105)*0.0765</f>
        <v>14825.699999999999</v>
      </c>
      <c r="Q106" s="20">
        <f>(Q104+Q105)*0.0765</f>
        <v>15122.214</v>
      </c>
      <c r="R106" s="20">
        <f t="shared" si="10"/>
        <v>903.35331000000042</v>
      </c>
      <c r="S106" s="20"/>
      <c r="T106" s="20">
        <f>(T104+T105)*0.0765</f>
        <v>15424.65828</v>
      </c>
      <c r="U106" s="20">
        <f>(U104+U105)*0.0765</f>
        <v>15733.1514456</v>
      </c>
      <c r="V106" s="20">
        <f>(V104+V105)*0.0765</f>
        <v>16047.814474512001</v>
      </c>
      <c r="W106" s="20">
        <f>(W104+W105)*0.0765</f>
        <v>16368.770764002242</v>
      </c>
      <c r="X106" s="23"/>
    </row>
    <row r="107" spans="1:27" ht="13.5">
      <c r="A107" s="3" t="s">
        <v>149</v>
      </c>
      <c r="B107" s="3" t="s">
        <v>57</v>
      </c>
      <c r="C107" s="3"/>
      <c r="D107" s="3"/>
      <c r="E107" s="20"/>
      <c r="F107" s="20"/>
      <c r="G107" s="20"/>
      <c r="H107" s="20"/>
      <c r="I107" s="20"/>
      <c r="J107" s="20">
        <v>357.01</v>
      </c>
      <c r="K107" s="20">
        <v>848.59</v>
      </c>
      <c r="L107" s="21">
        <v>1519</v>
      </c>
      <c r="M107" s="21">
        <v>2104.87</v>
      </c>
      <c r="N107" s="25">
        <v>1582.47</v>
      </c>
      <c r="O107" s="21">
        <v>1516</v>
      </c>
      <c r="P107" s="21">
        <v>1516</v>
      </c>
      <c r="Q107" s="21">
        <v>1561</v>
      </c>
      <c r="R107" s="20">
        <f t="shared" si="10"/>
        <v>45</v>
      </c>
      <c r="S107" s="21"/>
      <c r="T107" s="20">
        <f>Q107*(5%)+Q107</f>
        <v>1639.05</v>
      </c>
      <c r="U107" s="20">
        <f>T107*(3%)+T107</f>
        <v>1688.2214999999999</v>
      </c>
      <c r="V107" s="20">
        <f>U107*(3%)+U107</f>
        <v>1738.8681449999999</v>
      </c>
      <c r="W107" s="20">
        <f>V107*(3%)+V107</f>
        <v>1791.0341893499999</v>
      </c>
      <c r="X107" s="23" t="s">
        <v>272</v>
      </c>
    </row>
    <row r="108" spans="1:27" ht="13.5">
      <c r="A108" s="3" t="s">
        <v>150</v>
      </c>
      <c r="B108" s="3" t="s">
        <v>151</v>
      </c>
      <c r="C108" s="3"/>
      <c r="D108" s="3"/>
      <c r="E108" s="20">
        <v>988.58</v>
      </c>
      <c r="F108" s="20">
        <v>1418.31</v>
      </c>
      <c r="G108" s="20">
        <v>766.84</v>
      </c>
      <c r="H108" s="20">
        <v>725</v>
      </c>
      <c r="I108" s="20">
        <v>561.87</v>
      </c>
      <c r="J108" s="20">
        <v>241.23</v>
      </c>
      <c r="K108" s="20">
        <v>123.03</v>
      </c>
      <c r="L108" s="25">
        <v>419</v>
      </c>
      <c r="M108" s="25">
        <v>101.94</v>
      </c>
      <c r="N108" s="25">
        <v>73.87</v>
      </c>
      <c r="O108" s="25">
        <v>1000</v>
      </c>
      <c r="P108" s="25">
        <v>1000</v>
      </c>
      <c r="Q108" s="25">
        <v>1000</v>
      </c>
      <c r="R108" s="20">
        <f t="shared" si="10"/>
        <v>0</v>
      </c>
      <c r="S108" s="25"/>
      <c r="T108" s="25">
        <v>1000</v>
      </c>
      <c r="U108" s="25">
        <v>1000</v>
      </c>
      <c r="V108" s="25">
        <v>1000</v>
      </c>
      <c r="W108" s="25">
        <v>1000</v>
      </c>
      <c r="X108" s="23" t="s">
        <v>152</v>
      </c>
    </row>
    <row r="109" spans="1:27" ht="13.5">
      <c r="A109" s="3" t="s">
        <v>153</v>
      </c>
      <c r="B109" s="3" t="s">
        <v>154</v>
      </c>
      <c r="C109" s="3"/>
      <c r="D109" s="3"/>
      <c r="E109" s="20">
        <v>2134.9899999999998</v>
      </c>
      <c r="F109" s="20">
        <v>2283.2600000000002</v>
      </c>
      <c r="G109" s="20">
        <v>2302.29</v>
      </c>
      <c r="H109" s="20">
        <v>1833.27</v>
      </c>
      <c r="I109" s="20">
        <v>2047.71</v>
      </c>
      <c r="J109" s="20">
        <v>3101.34</v>
      </c>
      <c r="K109" s="20">
        <v>2883.93</v>
      </c>
      <c r="L109" s="25">
        <v>2256</v>
      </c>
      <c r="M109" s="25">
        <v>2352.33</v>
      </c>
      <c r="N109" s="25">
        <v>2960.86</v>
      </c>
      <c r="O109" s="25">
        <v>2500</v>
      </c>
      <c r="P109" s="25">
        <v>3200</v>
      </c>
      <c r="Q109" s="25">
        <v>3000</v>
      </c>
      <c r="R109" s="20">
        <f t="shared" si="10"/>
        <v>500</v>
      </c>
      <c r="S109" s="25"/>
      <c r="T109" s="25">
        <v>3000</v>
      </c>
      <c r="U109" s="25">
        <v>3000</v>
      </c>
      <c r="V109" s="25">
        <v>3200</v>
      </c>
      <c r="W109" s="25">
        <v>3200</v>
      </c>
      <c r="X109" s="23" t="s">
        <v>100</v>
      </c>
    </row>
    <row r="110" spans="1:27" ht="13.5">
      <c r="A110" s="3" t="s">
        <v>155</v>
      </c>
      <c r="B110" s="3" t="s">
        <v>156</v>
      </c>
      <c r="C110" s="3"/>
      <c r="D110" s="3"/>
      <c r="E110" s="20">
        <v>10883.08</v>
      </c>
      <c r="F110" s="20">
        <v>6438.17</v>
      </c>
      <c r="G110" s="20">
        <v>9118.15</v>
      </c>
      <c r="H110" s="20">
        <v>6719.1</v>
      </c>
      <c r="I110" s="20">
        <v>14721.08</v>
      </c>
      <c r="J110" s="20">
        <v>12284.46</v>
      </c>
      <c r="K110" s="20">
        <v>16622.34</v>
      </c>
      <c r="L110" s="22">
        <v>12763</v>
      </c>
      <c r="M110" s="22">
        <v>14494.47</v>
      </c>
      <c r="N110" s="25">
        <v>19143.73</v>
      </c>
      <c r="O110" s="22">
        <v>18500</v>
      </c>
      <c r="P110" s="22">
        <v>23000</v>
      </c>
      <c r="Q110" s="22">
        <v>20000</v>
      </c>
      <c r="R110" s="20">
        <f t="shared" si="10"/>
        <v>1500</v>
      </c>
      <c r="S110" s="22"/>
      <c r="T110" s="22">
        <v>20000</v>
      </c>
      <c r="U110" s="22">
        <v>20000</v>
      </c>
      <c r="V110" s="22">
        <v>21000</v>
      </c>
      <c r="W110" s="22">
        <v>21000</v>
      </c>
      <c r="X110" s="23" t="s">
        <v>100</v>
      </c>
    </row>
    <row r="111" spans="1:27" ht="13.5">
      <c r="A111" s="66" t="s">
        <v>233</v>
      </c>
      <c r="B111" s="66" t="s">
        <v>234</v>
      </c>
      <c r="C111" s="66"/>
      <c r="D111" s="3"/>
      <c r="E111" s="20">
        <v>278.23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5">
        <v>0</v>
      </c>
      <c r="O111" s="20">
        <v>0</v>
      </c>
      <c r="P111" s="20">
        <v>0</v>
      </c>
      <c r="Q111" s="20">
        <v>0</v>
      </c>
      <c r="R111" s="20">
        <f t="shared" si="10"/>
        <v>0</v>
      </c>
      <c r="S111" s="20"/>
      <c r="T111" s="20">
        <v>0</v>
      </c>
      <c r="U111" s="20">
        <v>0</v>
      </c>
      <c r="V111" s="20">
        <v>0</v>
      </c>
      <c r="W111" s="20">
        <v>0</v>
      </c>
      <c r="X111" s="23"/>
    </row>
    <row r="112" spans="1:27" ht="13.5">
      <c r="A112" s="3" t="s">
        <v>157</v>
      </c>
      <c r="B112" s="3" t="s">
        <v>158</v>
      </c>
      <c r="C112" s="3"/>
      <c r="D112" s="3"/>
      <c r="E112" s="20">
        <v>2795.61</v>
      </c>
      <c r="F112" s="20">
        <v>2254.8000000000002</v>
      </c>
      <c r="G112" s="20">
        <v>4719.38</v>
      </c>
      <c r="H112" s="20">
        <v>6527.09</v>
      </c>
      <c r="I112" s="20">
        <v>5757.46</v>
      </c>
      <c r="J112" s="20">
        <v>5991.84</v>
      </c>
      <c r="K112" s="20">
        <v>5271.17</v>
      </c>
      <c r="L112" s="25">
        <v>6895</v>
      </c>
      <c r="M112" s="25">
        <v>5642.5</v>
      </c>
      <c r="N112" s="25">
        <v>12208.65</v>
      </c>
      <c r="O112" s="25">
        <v>10500</v>
      </c>
      <c r="P112" s="25">
        <v>9000</v>
      </c>
      <c r="Q112" s="25">
        <v>10000</v>
      </c>
      <c r="R112" s="20">
        <f t="shared" si="10"/>
        <v>-500</v>
      </c>
      <c r="S112" s="25"/>
      <c r="T112" s="25">
        <v>10000</v>
      </c>
      <c r="U112" s="25">
        <v>10000</v>
      </c>
      <c r="V112" s="25">
        <v>10500</v>
      </c>
      <c r="W112" s="25">
        <v>10500</v>
      </c>
      <c r="X112" s="41"/>
    </row>
    <row r="113" spans="1:24" ht="13.5">
      <c r="A113" s="3" t="s">
        <v>159</v>
      </c>
      <c r="B113" s="3" t="s">
        <v>160</v>
      </c>
      <c r="C113" s="3"/>
      <c r="D113" s="3"/>
      <c r="E113" s="20">
        <v>14250</v>
      </c>
      <c r="F113" s="20">
        <v>12500</v>
      </c>
      <c r="G113" s="20">
        <v>13000</v>
      </c>
      <c r="H113" s="20">
        <v>7950</v>
      </c>
      <c r="I113" s="20">
        <v>10517.5</v>
      </c>
      <c r="J113" s="20">
        <v>9595</v>
      </c>
      <c r="K113" s="20">
        <v>9750</v>
      </c>
      <c r="L113" s="20">
        <v>10000</v>
      </c>
      <c r="M113" s="25">
        <v>10300</v>
      </c>
      <c r="N113" s="25">
        <v>10600</v>
      </c>
      <c r="O113" s="25">
        <v>10900</v>
      </c>
      <c r="P113" s="25">
        <v>10900</v>
      </c>
      <c r="Q113" s="25">
        <v>11445</v>
      </c>
      <c r="R113" s="20">
        <f t="shared" si="10"/>
        <v>545</v>
      </c>
      <c r="S113" s="25"/>
      <c r="T113" s="20">
        <f>Q113*(5%)+Q113</f>
        <v>12017.25</v>
      </c>
      <c r="U113" s="20">
        <f>T113*(5%)+T113</f>
        <v>12618.112499999999</v>
      </c>
      <c r="V113" s="20">
        <f>U113*(5%)+U113</f>
        <v>13249.018124999999</v>
      </c>
      <c r="W113" s="20">
        <f>V113*(5%)+V113</f>
        <v>13911.469031249999</v>
      </c>
      <c r="X113" s="23" t="s">
        <v>60</v>
      </c>
    </row>
    <row r="114" spans="1:24" ht="13.5">
      <c r="A114" s="3" t="s">
        <v>161</v>
      </c>
      <c r="B114" s="3" t="s">
        <v>162</v>
      </c>
      <c r="C114" s="3"/>
      <c r="D114" s="3"/>
      <c r="E114" s="20">
        <v>0</v>
      </c>
      <c r="F114" s="20">
        <v>23172.02</v>
      </c>
      <c r="G114" s="20">
        <v>26442.89</v>
      </c>
      <c r="H114" s="20">
        <v>84449.2</v>
      </c>
      <c r="I114" s="20">
        <v>47102.94</v>
      </c>
      <c r="J114" s="20">
        <v>19249.84</v>
      </c>
      <c r="K114" s="20">
        <v>12342.5</v>
      </c>
      <c r="L114" s="25">
        <v>23428</v>
      </c>
      <c r="M114" s="25">
        <v>15320.92</v>
      </c>
      <c r="N114" s="25">
        <v>20015.560000000001</v>
      </c>
      <c r="O114" s="25">
        <v>20000</v>
      </c>
      <c r="P114" s="22">
        <v>0</v>
      </c>
      <c r="Q114" s="25">
        <v>90000</v>
      </c>
      <c r="R114" s="20">
        <f t="shared" si="10"/>
        <v>70000</v>
      </c>
      <c r="S114" s="25"/>
      <c r="T114" s="25">
        <v>532976</v>
      </c>
      <c r="U114" s="25">
        <v>22000</v>
      </c>
      <c r="V114" s="25">
        <v>141238</v>
      </c>
      <c r="W114" s="25">
        <v>22000</v>
      </c>
      <c r="X114" s="41" t="s">
        <v>278</v>
      </c>
    </row>
    <row r="115" spans="1:24" ht="13.5">
      <c r="A115" s="3" t="s">
        <v>163</v>
      </c>
      <c r="B115" s="3" t="s">
        <v>164</v>
      </c>
      <c r="C115" s="3"/>
      <c r="D115" s="3"/>
      <c r="E115" s="20">
        <v>3610.58</v>
      </c>
      <c r="F115" s="20">
        <v>6460</v>
      </c>
      <c r="G115" s="20">
        <v>9855.35</v>
      </c>
      <c r="H115" s="20">
        <v>19445.98</v>
      </c>
      <c r="I115" s="20">
        <v>34116.36</v>
      </c>
      <c r="J115" s="20">
        <v>28751.43</v>
      </c>
      <c r="K115" s="20">
        <v>22420.28</v>
      </c>
      <c r="L115" s="25">
        <v>5227</v>
      </c>
      <c r="M115" s="25">
        <v>18499.25</v>
      </c>
      <c r="N115" s="25">
        <v>13354.94</v>
      </c>
      <c r="O115" s="71">
        <v>25000</v>
      </c>
      <c r="P115" s="25">
        <v>25000</v>
      </c>
      <c r="Q115" s="71">
        <v>26250</v>
      </c>
      <c r="R115" s="20">
        <f t="shared" si="10"/>
        <v>1250</v>
      </c>
      <c r="S115" s="71"/>
      <c r="T115" s="20">
        <f>Q115*(5%)+Q115</f>
        <v>27562.5</v>
      </c>
      <c r="U115" s="20">
        <f t="shared" ref="U115:W116" si="14">T115*(5%)+T115</f>
        <v>28940.625</v>
      </c>
      <c r="V115" s="20">
        <f t="shared" si="14"/>
        <v>30387.65625</v>
      </c>
      <c r="W115" s="20">
        <f t="shared" si="14"/>
        <v>31907.0390625</v>
      </c>
      <c r="X115" s="23" t="s">
        <v>60</v>
      </c>
    </row>
    <row r="116" spans="1:24" ht="13.5">
      <c r="A116" s="3" t="s">
        <v>165</v>
      </c>
      <c r="B116" s="3" t="s">
        <v>166</v>
      </c>
      <c r="C116" s="3"/>
      <c r="D116" s="3"/>
      <c r="E116" s="20">
        <v>5576.5</v>
      </c>
      <c r="F116" s="20">
        <v>10678.2</v>
      </c>
      <c r="G116" s="20">
        <v>11002.26</v>
      </c>
      <c r="H116" s="20">
        <v>11405.48</v>
      </c>
      <c r="I116" s="20">
        <v>13215.15</v>
      </c>
      <c r="J116" s="20">
        <v>13286.81</v>
      </c>
      <c r="K116" s="20">
        <v>13626.64</v>
      </c>
      <c r="L116" s="25">
        <v>14112</v>
      </c>
      <c r="M116" s="25">
        <v>14656.56</v>
      </c>
      <c r="N116" s="25">
        <v>13250.57</v>
      </c>
      <c r="O116" s="25">
        <v>13834.300800000001</v>
      </c>
      <c r="P116" s="25">
        <v>18000</v>
      </c>
      <c r="Q116" s="25">
        <v>16000</v>
      </c>
      <c r="R116" s="20">
        <f t="shared" si="10"/>
        <v>2165.6991999999991</v>
      </c>
      <c r="S116" s="25"/>
      <c r="T116" s="20">
        <f>Q116*(5%)+Q116</f>
        <v>16800</v>
      </c>
      <c r="U116" s="20">
        <f t="shared" si="14"/>
        <v>17640</v>
      </c>
      <c r="V116" s="20">
        <f t="shared" si="14"/>
        <v>18522</v>
      </c>
      <c r="W116" s="20">
        <f t="shared" si="14"/>
        <v>19448.099999999999</v>
      </c>
      <c r="X116" s="23" t="s">
        <v>167</v>
      </c>
    </row>
    <row r="117" spans="1:24" ht="13.5">
      <c r="A117" s="3" t="s">
        <v>168</v>
      </c>
      <c r="B117" s="3" t="s">
        <v>169</v>
      </c>
      <c r="C117" s="3"/>
      <c r="D117" s="3"/>
      <c r="E117" s="20">
        <v>1068</v>
      </c>
      <c r="F117" s="20">
        <v>-129</v>
      </c>
      <c r="G117" s="20">
        <v>1009</v>
      </c>
      <c r="H117" s="20">
        <v>605</v>
      </c>
      <c r="I117" s="20">
        <v>1035</v>
      </c>
      <c r="J117" s="20">
        <v>780</v>
      </c>
      <c r="K117" s="20">
        <v>780</v>
      </c>
      <c r="L117" s="22">
        <v>780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0">
        <f t="shared" si="10"/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3"/>
    </row>
    <row r="118" spans="1:24" ht="13.5">
      <c r="A118" s="3" t="s">
        <v>170</v>
      </c>
      <c r="B118" s="3" t="s">
        <v>171</v>
      </c>
      <c r="C118" s="3"/>
      <c r="D118" s="3"/>
      <c r="E118" s="20">
        <v>2613.29</v>
      </c>
      <c r="F118" s="20">
        <v>2810.28</v>
      </c>
      <c r="G118" s="20">
        <v>2736.8</v>
      </c>
      <c r="H118" s="20">
        <v>3396.69</v>
      </c>
      <c r="I118" s="20">
        <v>2998.07</v>
      </c>
      <c r="J118" s="20">
        <v>3507.89</v>
      </c>
      <c r="K118" s="20">
        <v>1606.06</v>
      </c>
      <c r="L118" s="25">
        <v>1930</v>
      </c>
      <c r="M118" s="25">
        <v>1534.73</v>
      </c>
      <c r="N118" s="25">
        <v>3634.26</v>
      </c>
      <c r="O118" s="25">
        <v>3000</v>
      </c>
      <c r="P118" s="25">
        <v>3000</v>
      </c>
      <c r="Q118" s="25">
        <v>3000</v>
      </c>
      <c r="R118" s="20">
        <f t="shared" si="10"/>
        <v>0</v>
      </c>
      <c r="S118" s="25"/>
      <c r="T118" s="25">
        <v>3000</v>
      </c>
      <c r="U118" s="25">
        <v>3000</v>
      </c>
      <c r="V118" s="25">
        <v>3000</v>
      </c>
      <c r="W118" s="25">
        <v>3000</v>
      </c>
      <c r="X118" s="23"/>
    </row>
    <row r="119" spans="1:24" ht="27">
      <c r="A119" s="3" t="s">
        <v>172</v>
      </c>
      <c r="B119" s="3" t="s">
        <v>173</v>
      </c>
      <c r="C119" s="3"/>
      <c r="D119" s="3"/>
      <c r="E119" s="20">
        <v>0</v>
      </c>
      <c r="F119" s="20">
        <v>140</v>
      </c>
      <c r="G119" s="20">
        <v>0</v>
      </c>
      <c r="H119" s="20">
        <v>40.18</v>
      </c>
      <c r="I119" s="20">
        <v>5365</v>
      </c>
      <c r="J119" s="20">
        <v>0</v>
      </c>
      <c r="K119" s="20">
        <v>450</v>
      </c>
      <c r="L119" s="22">
        <v>9468</v>
      </c>
      <c r="M119" s="25">
        <v>20739.580000000002</v>
      </c>
      <c r="N119" s="25">
        <v>8160.36</v>
      </c>
      <c r="O119" s="25">
        <v>7000</v>
      </c>
      <c r="P119" s="25">
        <v>55000</v>
      </c>
      <c r="Q119" s="25">
        <v>7350</v>
      </c>
      <c r="R119" s="20">
        <f t="shared" si="10"/>
        <v>350</v>
      </c>
      <c r="S119" s="25"/>
      <c r="T119" s="20">
        <f>Q119*(5%)+Q119</f>
        <v>7717.5</v>
      </c>
      <c r="U119" s="20">
        <f t="shared" ref="U119:W120" si="15">T119*(5%)+T119</f>
        <v>8103.375</v>
      </c>
      <c r="V119" s="20">
        <f t="shared" si="15"/>
        <v>8508.5437500000007</v>
      </c>
      <c r="W119" s="20">
        <f t="shared" si="15"/>
        <v>8933.9709375000002</v>
      </c>
      <c r="X119" s="23" t="s">
        <v>247</v>
      </c>
    </row>
    <row r="120" spans="1:24" ht="13.5">
      <c r="A120" s="3" t="s">
        <v>174</v>
      </c>
      <c r="B120" s="3" t="s">
        <v>175</v>
      </c>
      <c r="C120" s="3"/>
      <c r="D120" s="3"/>
      <c r="E120" s="20">
        <v>3857.7</v>
      </c>
      <c r="F120" s="20">
        <v>3951.8</v>
      </c>
      <c r="G120" s="20">
        <v>3885.6</v>
      </c>
      <c r="H120" s="20">
        <v>3937.36</v>
      </c>
      <c r="I120" s="20">
        <v>4492.18</v>
      </c>
      <c r="J120" s="20">
        <v>4700.2</v>
      </c>
      <c r="K120" s="20">
        <v>4734.95</v>
      </c>
      <c r="L120" s="25">
        <v>3516</v>
      </c>
      <c r="M120" s="25">
        <v>5382.22</v>
      </c>
      <c r="N120" s="25">
        <v>4696.37</v>
      </c>
      <c r="O120" s="25">
        <v>4788.8999999999996</v>
      </c>
      <c r="P120" s="25">
        <v>4789</v>
      </c>
      <c r="Q120" s="25">
        <v>5028</v>
      </c>
      <c r="R120" s="20">
        <f t="shared" si="10"/>
        <v>239.10000000000036</v>
      </c>
      <c r="S120" s="25"/>
      <c r="T120" s="20">
        <f>Q120*(5%)+Q120</f>
        <v>5279.4</v>
      </c>
      <c r="U120" s="20">
        <f t="shared" si="15"/>
        <v>5543.37</v>
      </c>
      <c r="V120" s="20">
        <f t="shared" si="15"/>
        <v>5820.5384999999997</v>
      </c>
      <c r="W120" s="20">
        <f t="shared" si="15"/>
        <v>6111.5654249999998</v>
      </c>
      <c r="X120" s="23" t="s">
        <v>60</v>
      </c>
    </row>
    <row r="121" spans="1:24" ht="13.5">
      <c r="A121" s="3" t="s">
        <v>176</v>
      </c>
      <c r="B121" s="3" t="s">
        <v>177</v>
      </c>
      <c r="C121" s="3"/>
      <c r="D121" s="3"/>
      <c r="E121" s="20">
        <v>1349.19</v>
      </c>
      <c r="F121" s="20">
        <v>934.72</v>
      </c>
      <c r="G121" s="20">
        <v>1371.88</v>
      </c>
      <c r="H121" s="20">
        <v>1591.15</v>
      </c>
      <c r="I121" s="20">
        <v>509.26</v>
      </c>
      <c r="J121" s="20">
        <v>716.47</v>
      </c>
      <c r="K121" s="20">
        <v>2529.79</v>
      </c>
      <c r="L121" s="25">
        <v>1269</v>
      </c>
      <c r="M121" s="25">
        <v>1749.18</v>
      </c>
      <c r="N121" s="25">
        <v>848.36</v>
      </c>
      <c r="O121" s="25">
        <v>1000</v>
      </c>
      <c r="P121" s="25">
        <v>2000</v>
      </c>
      <c r="Q121" s="25">
        <v>2000</v>
      </c>
      <c r="R121" s="20">
        <f t="shared" si="10"/>
        <v>1000</v>
      </c>
      <c r="S121" s="25"/>
      <c r="T121" s="25">
        <v>2000</v>
      </c>
      <c r="U121" s="25">
        <v>2000</v>
      </c>
      <c r="V121" s="25">
        <v>2000</v>
      </c>
      <c r="W121" s="25">
        <v>2000</v>
      </c>
      <c r="X121" s="23"/>
    </row>
    <row r="122" spans="1:24" ht="13.5">
      <c r="A122" s="3" t="s">
        <v>178</v>
      </c>
      <c r="B122" s="3" t="s">
        <v>179</v>
      </c>
      <c r="C122" s="3"/>
      <c r="D122" s="3"/>
      <c r="E122" s="20">
        <v>2178.4499999999998</v>
      </c>
      <c r="F122" s="20">
        <v>1962.45</v>
      </c>
      <c r="G122" s="20">
        <v>2032.55</v>
      </c>
      <c r="H122" s="20">
        <v>2100</v>
      </c>
      <c r="I122" s="20">
        <v>459.73</v>
      </c>
      <c r="J122" s="20">
        <v>445</v>
      </c>
      <c r="K122" s="20">
        <v>1000</v>
      </c>
      <c r="L122" s="25">
        <v>438</v>
      </c>
      <c r="M122" s="25">
        <v>708.51</v>
      </c>
      <c r="N122" s="25">
        <v>0</v>
      </c>
      <c r="O122" s="25">
        <v>1000</v>
      </c>
      <c r="P122" s="25">
        <v>1000</v>
      </c>
      <c r="Q122" s="25">
        <v>1000</v>
      </c>
      <c r="R122" s="20">
        <f t="shared" si="10"/>
        <v>0</v>
      </c>
      <c r="S122" s="25"/>
      <c r="T122" s="25">
        <v>1000</v>
      </c>
      <c r="U122" s="25">
        <v>1000</v>
      </c>
      <c r="V122" s="25">
        <v>1000</v>
      </c>
      <c r="W122" s="25">
        <v>1000</v>
      </c>
      <c r="X122" s="23"/>
    </row>
    <row r="123" spans="1:24" ht="13.5">
      <c r="A123" s="3" t="s">
        <v>180</v>
      </c>
      <c r="B123" s="3" t="s">
        <v>181</v>
      </c>
      <c r="C123" s="3"/>
      <c r="D123" s="3"/>
      <c r="E123" s="20">
        <v>1999.55</v>
      </c>
      <c r="F123" s="20">
        <v>2737.64</v>
      </c>
      <c r="G123" s="20">
        <v>1608.78</v>
      </c>
      <c r="H123" s="20">
        <v>1283.24</v>
      </c>
      <c r="I123" s="20">
        <v>1741.68</v>
      </c>
      <c r="J123" s="20">
        <v>3863.02</v>
      </c>
      <c r="K123" s="20">
        <v>3158.11</v>
      </c>
      <c r="L123" s="25">
        <v>2651</v>
      </c>
      <c r="M123" s="25">
        <v>2558.94</v>
      </c>
      <c r="N123" s="25">
        <v>2997.76</v>
      </c>
      <c r="O123" s="25">
        <v>2600</v>
      </c>
      <c r="P123" s="25">
        <v>2900</v>
      </c>
      <c r="Q123" s="25">
        <v>3045</v>
      </c>
      <c r="R123" s="20">
        <f t="shared" si="10"/>
        <v>445</v>
      </c>
      <c r="S123" s="25"/>
      <c r="T123" s="20">
        <f>Q123*(5%)+Q123</f>
        <v>3197.25</v>
      </c>
      <c r="U123" s="20">
        <f>T123*(5%)+T123</f>
        <v>3357.1125000000002</v>
      </c>
      <c r="V123" s="20">
        <f>U123*(5%)+U123</f>
        <v>3524.9681250000003</v>
      </c>
      <c r="W123" s="20">
        <f>V123*(5%)+V123</f>
        <v>3701.2165312500001</v>
      </c>
      <c r="X123" s="23" t="s">
        <v>60</v>
      </c>
    </row>
    <row r="124" spans="1:24" ht="27">
      <c r="A124" s="3" t="s">
        <v>182</v>
      </c>
      <c r="B124" s="3" t="s">
        <v>183</v>
      </c>
      <c r="C124" s="3"/>
      <c r="D124" s="3"/>
      <c r="E124" s="20">
        <v>0</v>
      </c>
      <c r="F124" s="20">
        <v>0</v>
      </c>
      <c r="G124" s="20">
        <v>0</v>
      </c>
      <c r="H124" s="20">
        <v>2183.44</v>
      </c>
      <c r="I124" s="20">
        <v>1621.45</v>
      </c>
      <c r="J124" s="20">
        <v>1669.18</v>
      </c>
      <c r="K124" s="20">
        <v>2298.12</v>
      </c>
      <c r="L124" s="22">
        <v>2652</v>
      </c>
      <c r="M124" s="25">
        <v>2832.12</v>
      </c>
      <c r="N124" s="25">
        <v>6669.34</v>
      </c>
      <c r="O124" s="25">
        <v>2913.12</v>
      </c>
      <c r="P124" s="25">
        <v>10000</v>
      </c>
      <c r="Q124" s="25">
        <v>5000</v>
      </c>
      <c r="R124" s="20">
        <f t="shared" si="10"/>
        <v>2086.88</v>
      </c>
      <c r="S124" s="25"/>
      <c r="T124" s="25">
        <f>Q124*1.02</f>
        <v>5100</v>
      </c>
      <c r="U124" s="25">
        <f>T124*1.02</f>
        <v>5202</v>
      </c>
      <c r="V124" s="25">
        <f>U124*1.02</f>
        <v>5306.04</v>
      </c>
      <c r="W124" s="25">
        <f>V124*1.02</f>
        <v>5412.1607999999997</v>
      </c>
      <c r="X124" s="23" t="s">
        <v>274</v>
      </c>
    </row>
    <row r="125" spans="1:24" ht="13.5">
      <c r="A125" s="3" t="s">
        <v>184</v>
      </c>
      <c r="B125" s="3" t="s">
        <v>185</v>
      </c>
      <c r="C125" s="3"/>
      <c r="D125" s="3"/>
      <c r="E125" s="20">
        <v>1296</v>
      </c>
      <c r="F125" s="20">
        <v>2312.75</v>
      </c>
      <c r="G125" s="20">
        <v>882.41</v>
      </c>
      <c r="H125" s="20">
        <v>1224</v>
      </c>
      <c r="I125" s="20">
        <v>1140</v>
      </c>
      <c r="J125" s="20">
        <v>2035.98</v>
      </c>
      <c r="K125" s="20">
        <v>3280.26</v>
      </c>
      <c r="L125" s="25">
        <v>4254</v>
      </c>
      <c r="M125" s="25">
        <v>2957.89</v>
      </c>
      <c r="N125" s="25">
        <v>4013.03</v>
      </c>
      <c r="O125" s="25">
        <v>3800</v>
      </c>
      <c r="P125" s="25">
        <v>3800</v>
      </c>
      <c r="Q125" s="25">
        <v>3990</v>
      </c>
      <c r="R125" s="20">
        <f t="shared" si="10"/>
        <v>190</v>
      </c>
      <c r="S125" s="25"/>
      <c r="T125" s="20">
        <f>Q125*(5%)+Q125</f>
        <v>4189.5</v>
      </c>
      <c r="U125" s="20">
        <f>T125*(5%)+T125</f>
        <v>4398.9750000000004</v>
      </c>
      <c r="V125" s="20">
        <f>U125*(5%)+U125</f>
        <v>4618.9237499999999</v>
      </c>
      <c r="W125" s="20">
        <f>V125*(5%)+V125</f>
        <v>4849.8699374999997</v>
      </c>
      <c r="X125" s="23" t="s">
        <v>60</v>
      </c>
    </row>
    <row r="126" spans="1:24" ht="13.5">
      <c r="A126" s="3" t="s">
        <v>186</v>
      </c>
      <c r="B126" s="3" t="s">
        <v>187</v>
      </c>
      <c r="C126" s="3"/>
      <c r="D126" s="3"/>
      <c r="E126" s="28">
        <v>0</v>
      </c>
      <c r="F126" s="28">
        <v>1789.38</v>
      </c>
      <c r="G126" s="28">
        <v>1699.98</v>
      </c>
      <c r="H126" s="28">
        <v>18804.740000000002</v>
      </c>
      <c r="I126" s="28">
        <v>364.1</v>
      </c>
      <c r="J126" s="28">
        <v>488.59</v>
      </c>
      <c r="K126" s="28">
        <v>611.35</v>
      </c>
      <c r="L126" s="51">
        <v>408</v>
      </c>
      <c r="M126" s="29">
        <v>4417.21</v>
      </c>
      <c r="N126" s="74">
        <v>0</v>
      </c>
      <c r="O126" s="29">
        <v>1000</v>
      </c>
      <c r="P126" s="28">
        <v>1000</v>
      </c>
      <c r="Q126" s="29">
        <v>1000</v>
      </c>
      <c r="R126" s="28">
        <f t="shared" si="10"/>
        <v>0</v>
      </c>
      <c r="S126" s="29"/>
      <c r="T126" s="29">
        <v>1000</v>
      </c>
      <c r="U126" s="29">
        <v>1000</v>
      </c>
      <c r="V126" s="28">
        <v>1000</v>
      </c>
      <c r="W126" s="28">
        <v>1000</v>
      </c>
      <c r="X126" s="41"/>
    </row>
    <row r="127" spans="1:24" ht="13.5">
      <c r="A127" s="3"/>
      <c r="B127" s="3"/>
      <c r="C127" s="3"/>
      <c r="D127" s="3"/>
      <c r="E127" s="63"/>
      <c r="F127" s="30"/>
      <c r="X127" s="23"/>
    </row>
    <row r="128" spans="1:24" ht="15">
      <c r="A128" s="3"/>
      <c r="B128" s="42" t="s">
        <v>188</v>
      </c>
      <c r="C128" s="3"/>
      <c r="D128" s="3"/>
      <c r="E128" s="65">
        <f>SUM(E104:E127)</f>
        <v>162203.5</v>
      </c>
      <c r="F128" s="44">
        <f t="shared" ref="F128:W128" si="16">SUM(F104:F127)</f>
        <v>193717.08</v>
      </c>
      <c r="G128" s="44">
        <f t="shared" si="16"/>
        <v>209359.74999999997</v>
      </c>
      <c r="H128" s="44">
        <f t="shared" si="16"/>
        <v>294771.43</v>
      </c>
      <c r="I128" s="45">
        <f t="shared" si="16"/>
        <v>312306.28999999998</v>
      </c>
      <c r="J128" s="45">
        <f t="shared" si="16"/>
        <v>299338.78000000003</v>
      </c>
      <c r="K128" s="45">
        <f t="shared" si="16"/>
        <v>294822.90999999992</v>
      </c>
      <c r="L128" s="45">
        <f t="shared" si="16"/>
        <v>280798</v>
      </c>
      <c r="M128" s="45">
        <f t="shared" si="16"/>
        <v>320642.63</v>
      </c>
      <c r="N128" s="45">
        <f t="shared" si="16"/>
        <v>332498.30000000005</v>
      </c>
      <c r="O128" s="45">
        <f t="shared" si="16"/>
        <v>338871.18149000005</v>
      </c>
      <c r="P128" s="45">
        <f t="shared" si="16"/>
        <v>383730.7</v>
      </c>
      <c r="Q128" s="45">
        <f t="shared" si="16"/>
        <v>423467.21400000004</v>
      </c>
      <c r="R128" s="32">
        <f t="shared" si="10"/>
        <v>84596.03250999999</v>
      </c>
      <c r="S128" s="45"/>
      <c r="T128" s="45">
        <f t="shared" si="16"/>
        <v>874532.62827999995</v>
      </c>
      <c r="U128" s="45">
        <f t="shared" si="16"/>
        <v>371887.05334559997</v>
      </c>
      <c r="V128" s="45">
        <f t="shared" si="16"/>
        <v>501437.72372751206</v>
      </c>
      <c r="W128" s="45">
        <f t="shared" si="16"/>
        <v>391106.05633851216</v>
      </c>
      <c r="X128" s="23"/>
    </row>
    <row r="129" spans="1:24" ht="15">
      <c r="A129" s="3"/>
      <c r="B129" s="42"/>
      <c r="C129" s="3"/>
      <c r="D129" s="3"/>
      <c r="F129" s="44"/>
      <c r="G129" s="44"/>
      <c r="H129" s="44"/>
      <c r="I129" s="46"/>
      <c r="J129" s="46"/>
      <c r="X129" s="23"/>
    </row>
    <row r="130" spans="1:24" ht="15">
      <c r="A130" s="1" t="s">
        <v>0</v>
      </c>
      <c r="B130" s="2"/>
      <c r="C130" s="3"/>
      <c r="D130" s="3"/>
      <c r="E130" s="8" t="s">
        <v>232</v>
      </c>
      <c r="F130" s="4">
        <v>2006</v>
      </c>
      <c r="G130" s="5">
        <v>2007</v>
      </c>
      <c r="H130" s="5">
        <v>2008</v>
      </c>
      <c r="I130" s="7" t="s">
        <v>1</v>
      </c>
      <c r="J130" s="7" t="s">
        <v>2</v>
      </c>
      <c r="K130" s="8" t="s">
        <v>3</v>
      </c>
      <c r="L130" s="8" t="s">
        <v>4</v>
      </c>
      <c r="M130" s="9" t="s">
        <v>5</v>
      </c>
      <c r="N130" s="9" t="s">
        <v>6</v>
      </c>
      <c r="O130" s="6" t="s">
        <v>7</v>
      </c>
      <c r="P130" s="9" t="s">
        <v>7</v>
      </c>
      <c r="Q130" s="6" t="s">
        <v>8</v>
      </c>
      <c r="R130" s="164" t="s">
        <v>265</v>
      </c>
      <c r="S130" s="164"/>
      <c r="T130" s="6" t="s">
        <v>228</v>
      </c>
      <c r="U130" s="6" t="s">
        <v>244</v>
      </c>
      <c r="V130" s="6" t="s">
        <v>266</v>
      </c>
      <c r="W130" s="6" t="s">
        <v>267</v>
      </c>
      <c r="X130" s="10" t="s">
        <v>9</v>
      </c>
    </row>
    <row r="131" spans="1:24" ht="15">
      <c r="A131" s="11" t="s">
        <v>10</v>
      </c>
      <c r="B131" s="12" t="s">
        <v>11</v>
      </c>
      <c r="C131" s="3"/>
      <c r="D131" s="3"/>
      <c r="E131" s="13" t="s">
        <v>12</v>
      </c>
      <c r="F131" s="13" t="s">
        <v>12</v>
      </c>
      <c r="G131" s="14" t="s">
        <v>12</v>
      </c>
      <c r="H131" s="14" t="s">
        <v>12</v>
      </c>
      <c r="I131" s="15" t="s">
        <v>12</v>
      </c>
      <c r="J131" s="15" t="s">
        <v>12</v>
      </c>
      <c r="K131" s="15" t="s">
        <v>12</v>
      </c>
      <c r="L131" s="15" t="s">
        <v>12</v>
      </c>
      <c r="M131" s="15" t="s">
        <v>12</v>
      </c>
      <c r="N131" s="15" t="s">
        <v>12</v>
      </c>
      <c r="O131" s="15" t="s">
        <v>13</v>
      </c>
      <c r="P131" s="15" t="s">
        <v>243</v>
      </c>
      <c r="Q131" s="15" t="s">
        <v>13</v>
      </c>
      <c r="R131" s="15" t="s">
        <v>261</v>
      </c>
      <c r="S131" s="15" t="s">
        <v>262</v>
      </c>
      <c r="T131" s="13" t="s">
        <v>14</v>
      </c>
      <c r="U131" s="13" t="s">
        <v>14</v>
      </c>
      <c r="V131" s="13" t="s">
        <v>14</v>
      </c>
      <c r="W131" s="13" t="s">
        <v>14</v>
      </c>
      <c r="X131" s="10" t="s">
        <v>15</v>
      </c>
    </row>
    <row r="132" spans="1:24" ht="13.5">
      <c r="A132" s="3"/>
      <c r="B132" s="3"/>
      <c r="C132" s="3"/>
      <c r="D132" s="3"/>
      <c r="E132" s="3"/>
      <c r="F132" s="16"/>
      <c r="X132" s="23"/>
    </row>
    <row r="133" spans="1:24" ht="13.5">
      <c r="A133" s="3" t="s">
        <v>189</v>
      </c>
      <c r="B133" s="3" t="s">
        <v>55</v>
      </c>
      <c r="C133" s="3"/>
      <c r="D133" s="3"/>
      <c r="E133" s="20">
        <v>57233.25</v>
      </c>
      <c r="F133" s="20">
        <v>61992.69</v>
      </c>
      <c r="G133" s="20">
        <v>64314.46</v>
      </c>
      <c r="H133" s="20">
        <v>66405.070000000007</v>
      </c>
      <c r="I133" s="20">
        <v>71695.34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f t="shared" ref="R133:R162" si="17">Q133-O133</f>
        <v>0</v>
      </c>
      <c r="S133" s="20"/>
      <c r="T133" s="20">
        <v>0</v>
      </c>
      <c r="U133" s="20">
        <v>0</v>
      </c>
      <c r="V133" s="20">
        <v>0</v>
      </c>
      <c r="W133" s="20">
        <v>0</v>
      </c>
      <c r="X133" s="23"/>
    </row>
    <row r="134" spans="1:24" ht="13.5">
      <c r="A134" s="3" t="s">
        <v>190</v>
      </c>
      <c r="B134" s="3" t="s">
        <v>191</v>
      </c>
      <c r="C134" s="3"/>
      <c r="D134" s="3"/>
      <c r="E134" s="20">
        <v>2965.38</v>
      </c>
      <c r="F134" s="20">
        <v>3176.76</v>
      </c>
      <c r="G134" s="20">
        <v>2375.23</v>
      </c>
      <c r="H134" s="20">
        <v>2645.94</v>
      </c>
      <c r="I134" s="20">
        <v>1402.65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f t="shared" si="17"/>
        <v>0</v>
      </c>
      <c r="S134" s="20"/>
      <c r="T134" s="20">
        <v>0</v>
      </c>
      <c r="U134" s="20">
        <v>0</v>
      </c>
      <c r="V134" s="20">
        <v>0</v>
      </c>
      <c r="W134" s="20">
        <v>0</v>
      </c>
      <c r="X134" s="23"/>
    </row>
    <row r="135" spans="1:24" ht="13.5">
      <c r="A135" s="3" t="s">
        <v>192</v>
      </c>
      <c r="B135" s="3" t="s">
        <v>193</v>
      </c>
      <c r="C135" s="3"/>
      <c r="D135" s="3"/>
      <c r="E135" s="20">
        <v>56065.71</v>
      </c>
      <c r="F135" s="20">
        <v>55557.5</v>
      </c>
      <c r="G135" s="20">
        <v>59278.86</v>
      </c>
      <c r="H135" s="20">
        <v>57287.5</v>
      </c>
      <c r="I135" s="20">
        <v>63240</v>
      </c>
      <c r="J135" s="20">
        <v>61038</v>
      </c>
      <c r="K135" s="20">
        <v>65632</v>
      </c>
      <c r="L135" s="20">
        <v>65759</v>
      </c>
      <c r="M135" s="20">
        <v>66177</v>
      </c>
      <c r="N135" s="20">
        <v>64915</v>
      </c>
      <c r="O135" s="20">
        <v>66048</v>
      </c>
      <c r="P135" s="20">
        <v>66048</v>
      </c>
      <c r="Q135" s="20">
        <f>P135*102.3%</f>
        <v>67567.103999999992</v>
      </c>
      <c r="R135" s="20">
        <f t="shared" si="17"/>
        <v>1519.1039999999921</v>
      </c>
      <c r="S135" s="20"/>
      <c r="T135" s="20">
        <f>Q135*102.5%</f>
        <v>69256.281599999988</v>
      </c>
      <c r="U135" s="20">
        <f>T135*102.5%</f>
        <v>70987.688639999978</v>
      </c>
      <c r="V135" s="20">
        <f>U135*102.5%</f>
        <v>72762.380855999974</v>
      </c>
      <c r="W135" s="20">
        <f>V135*102.5%</f>
        <v>74581.440377399966</v>
      </c>
      <c r="X135" s="53" t="s">
        <v>260</v>
      </c>
    </row>
    <row r="136" spans="1:24" ht="13.5">
      <c r="A136" s="3" t="s">
        <v>194</v>
      </c>
      <c r="B136" s="3" t="s">
        <v>195</v>
      </c>
      <c r="C136" s="3"/>
      <c r="D136" s="3"/>
      <c r="E136" s="20"/>
      <c r="F136" s="20"/>
      <c r="G136" s="20"/>
      <c r="H136" s="20">
        <v>15000</v>
      </c>
      <c r="I136" s="20">
        <v>45000</v>
      </c>
      <c r="J136" s="20">
        <v>54324</v>
      </c>
      <c r="K136" s="21">
        <v>47514</v>
      </c>
      <c r="L136" s="21">
        <v>50303</v>
      </c>
      <c r="M136" s="20">
        <v>58234</v>
      </c>
      <c r="N136" s="20">
        <v>62655</v>
      </c>
      <c r="O136" s="20">
        <v>66414.3</v>
      </c>
      <c r="P136" s="20">
        <v>66414</v>
      </c>
      <c r="Q136" s="20">
        <v>70399</v>
      </c>
      <c r="R136" s="20">
        <f t="shared" si="17"/>
        <v>3984.6999999999971</v>
      </c>
      <c r="S136" s="20"/>
      <c r="T136" s="20">
        <f>Q136*1.06</f>
        <v>74622.94</v>
      </c>
      <c r="U136" s="20">
        <f>T136*1.06</f>
        <v>79100.316400000011</v>
      </c>
      <c r="V136" s="20">
        <f>U136*1.06</f>
        <v>83846.33538400002</v>
      </c>
      <c r="W136" s="20">
        <f>V136*1.06</f>
        <v>88877.115507040027</v>
      </c>
      <c r="X136" s="23" t="s">
        <v>196</v>
      </c>
    </row>
    <row r="137" spans="1:24" ht="13.5">
      <c r="A137" s="3" t="s">
        <v>197</v>
      </c>
      <c r="B137" s="3" t="s">
        <v>198</v>
      </c>
      <c r="C137" s="3"/>
      <c r="D137" s="3"/>
      <c r="E137" s="20">
        <v>79078.179999999993</v>
      </c>
      <c r="F137" s="20">
        <v>43046.8</v>
      </c>
      <c r="G137" s="20">
        <v>78898.039999999994</v>
      </c>
      <c r="H137" s="20">
        <v>76930.2</v>
      </c>
      <c r="I137" s="20">
        <v>81236.399999999994</v>
      </c>
      <c r="J137" s="20">
        <v>23754</v>
      </c>
      <c r="K137" s="20">
        <v>29695</v>
      </c>
      <c r="L137" s="20">
        <v>35203</v>
      </c>
      <c r="M137" s="20">
        <v>42688</v>
      </c>
      <c r="N137" s="20">
        <v>41913</v>
      </c>
      <c r="O137" s="20">
        <v>46702.366000000002</v>
      </c>
      <c r="P137" s="20">
        <v>46702</v>
      </c>
      <c r="Q137" s="20">
        <f>P137*103%</f>
        <v>48103.06</v>
      </c>
      <c r="R137" s="20">
        <f t="shared" si="17"/>
        <v>1400.6939999999959</v>
      </c>
      <c r="S137" s="20"/>
      <c r="T137" s="20">
        <f>Q137*103%</f>
        <v>49546.1518</v>
      </c>
      <c r="U137" s="20">
        <f t="shared" ref="U137:W139" si="18">T137*103%</f>
        <v>51032.536354000003</v>
      </c>
      <c r="V137" s="20">
        <f t="shared" si="18"/>
        <v>52563.512444620006</v>
      </c>
      <c r="W137" s="20">
        <f t="shared" si="18"/>
        <v>54140.417817958609</v>
      </c>
      <c r="X137" s="23" t="s">
        <v>259</v>
      </c>
    </row>
    <row r="138" spans="1:24" ht="13.5">
      <c r="A138" s="3" t="s">
        <v>200</v>
      </c>
      <c r="B138" s="3" t="s">
        <v>201</v>
      </c>
      <c r="C138" s="3"/>
      <c r="D138" s="3"/>
      <c r="E138" s="20">
        <v>11382.54</v>
      </c>
      <c r="F138" s="20">
        <v>11419.58</v>
      </c>
      <c r="G138" s="20">
        <v>10200.65</v>
      </c>
      <c r="H138" s="20">
        <v>13615.54</v>
      </c>
      <c r="I138" s="20">
        <v>6965.81</v>
      </c>
      <c r="J138" s="20">
        <v>6063.96</v>
      </c>
      <c r="K138" s="20">
        <v>5848.57</v>
      </c>
      <c r="L138" s="20">
        <v>5685</v>
      </c>
      <c r="M138" s="20">
        <v>6971</v>
      </c>
      <c r="N138" s="20">
        <v>6951.11</v>
      </c>
      <c r="O138" s="20">
        <v>7479</v>
      </c>
      <c r="P138" s="20">
        <v>7469</v>
      </c>
      <c r="Q138" s="21">
        <v>7703.37</v>
      </c>
      <c r="R138" s="20">
        <f t="shared" si="17"/>
        <v>224.36999999999989</v>
      </c>
      <c r="S138" s="20"/>
      <c r="T138" s="20">
        <f>Q138*103%</f>
        <v>7934.4710999999998</v>
      </c>
      <c r="U138" s="20">
        <f t="shared" si="18"/>
        <v>8172.5052329999999</v>
      </c>
      <c r="V138" s="20">
        <f t="shared" si="18"/>
        <v>8417.6803899900005</v>
      </c>
      <c r="W138" s="20">
        <f t="shared" si="18"/>
        <v>8670.2108016897</v>
      </c>
      <c r="X138" s="23" t="s">
        <v>199</v>
      </c>
    </row>
    <row r="139" spans="1:24" ht="13.5">
      <c r="A139" s="3" t="s">
        <v>202</v>
      </c>
      <c r="B139" s="3" t="s">
        <v>203</v>
      </c>
      <c r="C139" s="3"/>
      <c r="D139" s="3"/>
      <c r="E139" s="20">
        <v>113331.9</v>
      </c>
      <c r="F139" s="20">
        <v>110499.18</v>
      </c>
      <c r="G139" s="20">
        <v>115070.55</v>
      </c>
      <c r="H139" s="20">
        <v>90134.2</v>
      </c>
      <c r="I139" s="20">
        <v>80739</v>
      </c>
      <c r="J139" s="20">
        <v>84551.56</v>
      </c>
      <c r="K139" s="20">
        <v>83608.5</v>
      </c>
      <c r="L139" s="20">
        <v>87998</v>
      </c>
      <c r="M139" s="20">
        <v>96335.84</v>
      </c>
      <c r="N139" s="20">
        <v>103791.13</v>
      </c>
      <c r="O139" s="20">
        <v>96340</v>
      </c>
      <c r="P139" s="20">
        <v>115511</v>
      </c>
      <c r="Q139" s="21">
        <v>99230.2</v>
      </c>
      <c r="R139" s="20">
        <f t="shared" si="17"/>
        <v>2890.1999999999971</v>
      </c>
      <c r="S139" s="20"/>
      <c r="T139" s="20">
        <f>Q139*103%</f>
        <v>102207.106</v>
      </c>
      <c r="U139" s="20">
        <f t="shared" si="18"/>
        <v>105273.31918000001</v>
      </c>
      <c r="V139" s="20">
        <f t="shared" si="18"/>
        <v>108431.51875540001</v>
      </c>
      <c r="W139" s="20">
        <f t="shared" si="18"/>
        <v>111684.46431806202</v>
      </c>
      <c r="X139" s="23" t="s">
        <v>199</v>
      </c>
    </row>
    <row r="140" spans="1:24" ht="13.5">
      <c r="A140" s="3" t="s">
        <v>204</v>
      </c>
      <c r="B140" s="3" t="s">
        <v>205</v>
      </c>
      <c r="C140" s="3"/>
      <c r="D140" s="3"/>
      <c r="E140" s="20">
        <v>1854.5</v>
      </c>
      <c r="F140" s="20">
        <v>1976</v>
      </c>
      <c r="G140" s="20">
        <v>1878.5</v>
      </c>
      <c r="H140" s="20">
        <v>1689</v>
      </c>
      <c r="I140" s="20">
        <v>1753</v>
      </c>
      <c r="J140" s="20">
        <v>1951</v>
      </c>
      <c r="K140" s="20">
        <v>2068</v>
      </c>
      <c r="L140" s="20">
        <v>2112</v>
      </c>
      <c r="M140" s="20">
        <v>2214.5</v>
      </c>
      <c r="N140" s="20">
        <v>2214.5</v>
      </c>
      <c r="O140" s="20">
        <v>2281.4500000000003</v>
      </c>
      <c r="P140" s="20">
        <v>2281</v>
      </c>
      <c r="Q140" s="20">
        <f>P140*103%</f>
        <v>2349.4299999999998</v>
      </c>
      <c r="R140" s="20">
        <f t="shared" si="17"/>
        <v>67.979999999999563</v>
      </c>
      <c r="S140" s="20"/>
      <c r="T140" s="20">
        <f>Q140*103%</f>
        <v>2419.9128999999998</v>
      </c>
      <c r="U140" s="20">
        <f>T140*103%</f>
        <v>2492.5102870000001</v>
      </c>
      <c r="V140" s="20">
        <f>U140*103%</f>
        <v>2567.2855956100002</v>
      </c>
      <c r="W140" s="20">
        <f>V140*103%</f>
        <v>2644.3041634783003</v>
      </c>
      <c r="X140" s="23" t="s">
        <v>199</v>
      </c>
    </row>
    <row r="141" spans="1:24" ht="13.5">
      <c r="A141" s="3" t="s">
        <v>206</v>
      </c>
      <c r="B141" s="3" t="s">
        <v>207</v>
      </c>
      <c r="C141" s="3"/>
      <c r="D141" s="3"/>
      <c r="E141" s="20">
        <v>49381.440000000002</v>
      </c>
      <c r="F141" s="20">
        <v>46796.800000000003</v>
      </c>
      <c r="G141" s="20">
        <v>52117.84</v>
      </c>
      <c r="H141" s="20">
        <v>59159</v>
      </c>
      <c r="I141" s="20">
        <v>71025.89</v>
      </c>
      <c r="J141" s="20">
        <v>72946.259999999995</v>
      </c>
      <c r="K141" s="21">
        <f>76900.94-2400-1362.2</f>
        <v>73138.740000000005</v>
      </c>
      <c r="L141" s="20">
        <v>76651</v>
      </c>
      <c r="M141" s="20">
        <v>82933.62</v>
      </c>
      <c r="N141" s="20">
        <v>83131.88</v>
      </c>
      <c r="O141" s="20">
        <v>87300</v>
      </c>
      <c r="P141" s="20">
        <v>87300</v>
      </c>
      <c r="Q141" s="20">
        <v>92538</v>
      </c>
      <c r="R141" s="20">
        <f t="shared" si="17"/>
        <v>5238</v>
      </c>
      <c r="S141" s="20"/>
      <c r="T141" s="20">
        <f>Q141*1.06</f>
        <v>98090.28</v>
      </c>
      <c r="U141" s="20">
        <f>T141*1.06</f>
        <v>103975.69680000001</v>
      </c>
      <c r="V141" s="20">
        <f>U141*1.06</f>
        <v>110214.23860800001</v>
      </c>
      <c r="W141" s="20">
        <f>V141*1.06</f>
        <v>116827.09292448002</v>
      </c>
      <c r="X141" s="23" t="s">
        <v>258</v>
      </c>
    </row>
    <row r="142" spans="1:24" ht="13.5">
      <c r="A142" s="3"/>
      <c r="B142" s="3"/>
      <c r="C142" s="3" t="s">
        <v>246</v>
      </c>
      <c r="D142" s="3"/>
      <c r="E142" s="20"/>
      <c r="F142" s="20"/>
      <c r="G142" s="20"/>
      <c r="H142" s="20"/>
      <c r="I142" s="20"/>
      <c r="J142" s="20"/>
      <c r="K142" s="21"/>
      <c r="L142" s="20"/>
      <c r="M142" s="20">
        <f>-2400-1342.93</f>
        <v>-3742.9300000000003</v>
      </c>
      <c r="N142" s="20">
        <f>-2400-1374</f>
        <v>-3774</v>
      </c>
      <c r="O142" s="20">
        <v>-3800</v>
      </c>
      <c r="P142" s="20">
        <v>-3800</v>
      </c>
      <c r="Q142" s="20">
        <v>-3800</v>
      </c>
      <c r="R142" s="20">
        <v>-3800</v>
      </c>
      <c r="S142" s="20"/>
      <c r="T142" s="20">
        <v>-3800</v>
      </c>
      <c r="U142" s="20">
        <v>-3800</v>
      </c>
      <c r="V142" s="20">
        <v>-3800</v>
      </c>
      <c r="W142" s="20">
        <v>-3800</v>
      </c>
      <c r="X142" s="23"/>
    </row>
    <row r="143" spans="1:24" ht="13.5">
      <c r="A143" s="3" t="s">
        <v>208</v>
      </c>
      <c r="B143" s="3" t="s">
        <v>209</v>
      </c>
      <c r="C143" s="3"/>
      <c r="D143" s="3"/>
      <c r="E143" s="20">
        <v>139436.5</v>
      </c>
      <c r="F143" s="20">
        <v>141042</v>
      </c>
      <c r="G143" s="20">
        <v>159424</v>
      </c>
      <c r="H143" s="20">
        <v>171832</v>
      </c>
      <c r="I143" s="20">
        <v>199848</v>
      </c>
      <c r="J143" s="20">
        <v>188274.84</v>
      </c>
      <c r="K143" s="21">
        <f>210656.55-1188.08-6412.17-440.69</f>
        <v>202615.61</v>
      </c>
      <c r="L143" s="20">
        <v>213636</v>
      </c>
      <c r="M143" s="20">
        <v>229247.55</v>
      </c>
      <c r="N143" s="20">
        <v>241945.35</v>
      </c>
      <c r="O143" s="20">
        <v>251475</v>
      </c>
      <c r="P143" s="20">
        <v>251475</v>
      </c>
      <c r="Q143" s="20">
        <f>P143*105%</f>
        <v>264048.75</v>
      </c>
      <c r="R143" s="20">
        <f t="shared" si="17"/>
        <v>12573.75</v>
      </c>
      <c r="S143" s="20"/>
      <c r="T143" s="20">
        <f>Q143*105%</f>
        <v>277251.1875</v>
      </c>
      <c r="U143" s="20">
        <f>T143*105%</f>
        <v>291113.74687500001</v>
      </c>
      <c r="V143" s="20">
        <f>U143*105%</f>
        <v>305669.43421875004</v>
      </c>
      <c r="W143" s="20">
        <f>V143*105%</f>
        <v>320952.90592968755</v>
      </c>
      <c r="X143" s="23" t="s">
        <v>134</v>
      </c>
    </row>
    <row r="144" spans="1:24" ht="13.5">
      <c r="A144" s="3"/>
      <c r="B144" s="3"/>
      <c r="C144" s="3" t="s">
        <v>246</v>
      </c>
      <c r="D144" s="3"/>
      <c r="E144" s="20"/>
      <c r="F144" s="20"/>
      <c r="G144" s="20"/>
      <c r="H144" s="20"/>
      <c r="I144" s="20"/>
      <c r="J144" s="20"/>
      <c r="K144" s="21"/>
      <c r="L144" s="20"/>
      <c r="M144" s="20">
        <f>-1624.58-9306.56-644.07</f>
        <v>-11575.21</v>
      </c>
      <c r="N144" s="20">
        <f>-1803.04-8962.35-674.98</f>
        <v>-11440.369999999999</v>
      </c>
      <c r="O144" s="20">
        <v>-13500</v>
      </c>
      <c r="P144" s="20">
        <v>-13500</v>
      </c>
      <c r="Q144" s="20">
        <v>-15000</v>
      </c>
      <c r="R144" s="20">
        <f t="shared" si="17"/>
        <v>-1500</v>
      </c>
      <c r="S144" s="20"/>
      <c r="T144" s="20">
        <v>-15000</v>
      </c>
      <c r="U144" s="20">
        <v>-15000</v>
      </c>
      <c r="V144" s="20">
        <v>-15000</v>
      </c>
      <c r="W144" s="20">
        <v>-15000</v>
      </c>
      <c r="X144" s="23"/>
    </row>
    <row r="145" spans="1:24" ht="13.5">
      <c r="A145" s="3" t="s">
        <v>210</v>
      </c>
      <c r="B145" s="3" t="s">
        <v>211</v>
      </c>
      <c r="C145" s="3"/>
      <c r="D145" s="3"/>
      <c r="E145" s="20">
        <v>1372.12</v>
      </c>
      <c r="F145" s="20">
        <v>1386.14</v>
      </c>
      <c r="G145" s="20">
        <v>1077.6199999999999</v>
      </c>
      <c r="H145" s="20">
        <v>1922.14</v>
      </c>
      <c r="I145" s="20">
        <v>1117.6400000000001</v>
      </c>
      <c r="J145" s="20">
        <v>932.08</v>
      </c>
      <c r="K145" s="20">
        <v>942.24</v>
      </c>
      <c r="L145" s="20">
        <v>938</v>
      </c>
      <c r="M145" s="20">
        <v>882.72</v>
      </c>
      <c r="N145" s="20">
        <v>872.37</v>
      </c>
      <c r="O145" s="20">
        <v>883</v>
      </c>
      <c r="P145" s="20">
        <v>883</v>
      </c>
      <c r="Q145" s="20">
        <v>900.66</v>
      </c>
      <c r="R145" s="20">
        <f t="shared" si="17"/>
        <v>17.659999999999968</v>
      </c>
      <c r="S145" s="20"/>
      <c r="T145" s="20">
        <f>Q145*102%</f>
        <v>918.67319999999995</v>
      </c>
      <c r="U145" s="20">
        <f>T145*102%</f>
        <v>937.04666399999996</v>
      </c>
      <c r="V145" s="20">
        <f>U145*102%</f>
        <v>955.78759728</v>
      </c>
      <c r="W145" s="20">
        <f>V145*102%</f>
        <v>974.90334922559998</v>
      </c>
      <c r="X145" s="23" t="s">
        <v>255</v>
      </c>
    </row>
    <row r="146" spans="1:24" ht="13.5">
      <c r="A146" s="3" t="s">
        <v>212</v>
      </c>
      <c r="B146" s="3" t="s">
        <v>213</v>
      </c>
      <c r="C146" s="3"/>
      <c r="D146" s="3"/>
      <c r="E146" s="28">
        <v>526.65</v>
      </c>
      <c r="F146" s="28">
        <v>667.44</v>
      </c>
      <c r="G146" s="28">
        <v>434.43</v>
      </c>
      <c r="H146" s="28">
        <v>482.4</v>
      </c>
      <c r="I146" s="28">
        <v>525.17999999999995</v>
      </c>
      <c r="J146" s="28">
        <v>462.16</v>
      </c>
      <c r="K146" s="28">
        <v>469.32</v>
      </c>
      <c r="L146" s="28">
        <v>471</v>
      </c>
      <c r="M146" s="28">
        <v>468.48</v>
      </c>
      <c r="N146" s="74">
        <v>462.04</v>
      </c>
      <c r="O146" s="28">
        <v>470</v>
      </c>
      <c r="P146" s="28">
        <v>470</v>
      </c>
      <c r="Q146" s="28">
        <v>479.40000000000003</v>
      </c>
      <c r="R146" s="28">
        <f t="shared" si="17"/>
        <v>9.4000000000000341</v>
      </c>
      <c r="S146" s="28"/>
      <c r="T146" s="28">
        <f>Q146*102%</f>
        <v>488.98800000000006</v>
      </c>
      <c r="U146" s="28">
        <f>T146*1.02</f>
        <v>498.76776000000007</v>
      </c>
      <c r="V146" s="28">
        <f>U146*1.02</f>
        <v>508.74311520000009</v>
      </c>
      <c r="W146" s="28">
        <f>V146*1.02</f>
        <v>518.91797750400008</v>
      </c>
      <c r="X146" s="23" t="s">
        <v>255</v>
      </c>
    </row>
    <row r="147" spans="1:24" ht="15">
      <c r="A147" s="3"/>
      <c r="B147" s="42" t="s">
        <v>214</v>
      </c>
      <c r="C147" s="3"/>
      <c r="D147" s="3"/>
      <c r="E147" s="45">
        <f t="shared" ref="E147:J147" si="19">SUM(E133:E146)</f>
        <v>512628.17</v>
      </c>
      <c r="F147" s="45">
        <f t="shared" si="19"/>
        <v>477560.89</v>
      </c>
      <c r="G147" s="45">
        <f t="shared" si="19"/>
        <v>545070.18000000005</v>
      </c>
      <c r="H147" s="45">
        <f t="shared" si="19"/>
        <v>557102.99</v>
      </c>
      <c r="I147" s="45">
        <f t="shared" si="19"/>
        <v>624548.91000000015</v>
      </c>
      <c r="J147" s="45">
        <f t="shared" si="19"/>
        <v>494297.86</v>
      </c>
      <c r="K147" s="45">
        <f t="shared" ref="K147:P147" si="20">SUM(K133:K146)</f>
        <v>511531.98</v>
      </c>
      <c r="L147" s="45">
        <f t="shared" si="20"/>
        <v>538756</v>
      </c>
      <c r="M147" s="45">
        <f t="shared" si="20"/>
        <v>570834.56999999995</v>
      </c>
      <c r="N147" s="45">
        <f t="shared" si="20"/>
        <v>593637.01</v>
      </c>
      <c r="O147" s="45">
        <f t="shared" si="20"/>
        <v>608093.11599999992</v>
      </c>
      <c r="P147" s="45">
        <f t="shared" si="20"/>
        <v>627253</v>
      </c>
      <c r="Q147" s="45">
        <f t="shared" ref="Q147:W147" si="21">SUM(Q133:Q146)</f>
        <v>634518.97400000005</v>
      </c>
      <c r="R147" s="32">
        <f t="shared" si="17"/>
        <v>26425.858000000124</v>
      </c>
      <c r="S147" s="45"/>
      <c r="T147" s="45">
        <f t="shared" si="21"/>
        <v>663935.99209999992</v>
      </c>
      <c r="U147" s="45">
        <f t="shared" si="21"/>
        <v>694784.13419299992</v>
      </c>
      <c r="V147" s="45">
        <f t="shared" si="21"/>
        <v>727136.91696484992</v>
      </c>
      <c r="W147" s="45">
        <f t="shared" si="21"/>
        <v>761071.77316652588</v>
      </c>
    </row>
    <row r="148" spans="1:24" ht="13.5">
      <c r="A148" s="3"/>
      <c r="B148" s="42"/>
      <c r="C148" s="3"/>
      <c r="D148" s="3"/>
      <c r="E148" s="3"/>
      <c r="F148" s="39"/>
      <c r="G148" s="19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</row>
    <row r="149" spans="1:24" ht="15">
      <c r="A149" s="3"/>
      <c r="B149" s="42" t="s">
        <v>215</v>
      </c>
      <c r="C149" s="3"/>
      <c r="D149" s="3"/>
      <c r="E149" s="64">
        <f t="shared" ref="E149:J149" si="22">E58+E102+E128+E147</f>
        <v>2601070.6100000003</v>
      </c>
      <c r="F149" s="52">
        <f t="shared" si="22"/>
        <v>2602053.8600000003</v>
      </c>
      <c r="G149" s="52">
        <f t="shared" si="22"/>
        <v>2531155.9300000002</v>
      </c>
      <c r="H149" s="52">
        <f t="shared" si="22"/>
        <v>2832647.6399999997</v>
      </c>
      <c r="I149" s="45">
        <f t="shared" si="22"/>
        <v>2861488.18</v>
      </c>
      <c r="J149" s="45">
        <f t="shared" si="22"/>
        <v>2690810.91</v>
      </c>
      <c r="K149" s="45">
        <f t="shared" ref="K149:P149" si="23">K58+K102+K128+K147</f>
        <v>2554894.4699999997</v>
      </c>
      <c r="L149" s="45">
        <f t="shared" si="23"/>
        <v>2564866.6025</v>
      </c>
      <c r="M149" s="45">
        <f t="shared" si="23"/>
        <v>2569441.115915</v>
      </c>
      <c r="N149" s="45">
        <f t="shared" si="23"/>
        <v>2570035.2199999997</v>
      </c>
      <c r="O149" s="45">
        <f t="shared" si="23"/>
        <v>2733476.6511399997</v>
      </c>
      <c r="P149" s="45">
        <f t="shared" si="23"/>
        <v>2832505.8064999999</v>
      </c>
      <c r="Q149" s="45">
        <f t="shared" ref="Q149:W149" si="24">Q58+Q102+Q128+Q147</f>
        <v>4460539.3521210002</v>
      </c>
      <c r="R149" s="32">
        <f t="shared" si="17"/>
        <v>1727062.7009810004</v>
      </c>
      <c r="S149" s="45"/>
      <c r="T149" s="45">
        <f t="shared" si="24"/>
        <v>3891120.6894246298</v>
      </c>
      <c r="U149" s="45">
        <f t="shared" si="24"/>
        <v>8126922.1356545687</v>
      </c>
      <c r="V149" s="45">
        <f t="shared" si="24"/>
        <v>3611333.7226018105</v>
      </c>
      <c r="W149" s="45">
        <f t="shared" si="24"/>
        <v>4715692.8219892709</v>
      </c>
    </row>
    <row r="150" spans="1:24" ht="15">
      <c r="A150" s="3"/>
      <c r="B150" s="42"/>
      <c r="C150" s="3"/>
      <c r="D150" s="3"/>
      <c r="E150" s="3"/>
      <c r="F150" s="52"/>
      <c r="G150" s="52"/>
      <c r="H150" s="52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1:24" ht="13.5">
      <c r="A151" s="3" t="s">
        <v>230</v>
      </c>
      <c r="B151" s="3" t="s">
        <v>231</v>
      </c>
      <c r="C151" s="3"/>
      <c r="D151" s="3"/>
      <c r="E151" s="20">
        <v>45557.31</v>
      </c>
      <c r="F151" s="20">
        <v>49255.63</v>
      </c>
      <c r="G151" s="20">
        <v>87330.43</v>
      </c>
      <c r="H151" s="20">
        <v>109626.54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f t="shared" si="17"/>
        <v>0</v>
      </c>
      <c r="S151" s="20"/>
      <c r="T151" s="20">
        <v>0</v>
      </c>
      <c r="U151" s="20">
        <v>0</v>
      </c>
      <c r="V151" s="20">
        <v>0</v>
      </c>
      <c r="W151" s="20">
        <v>0</v>
      </c>
    </row>
    <row r="152" spans="1:24" ht="13.5">
      <c r="A152" s="3" t="s">
        <v>216</v>
      </c>
      <c r="B152" s="3" t="s">
        <v>229</v>
      </c>
      <c r="C152" s="3"/>
      <c r="D152" s="3"/>
      <c r="E152" s="20">
        <v>0</v>
      </c>
      <c r="F152" s="20">
        <v>0</v>
      </c>
      <c r="G152" s="20">
        <v>0</v>
      </c>
      <c r="H152" s="20">
        <v>0</v>
      </c>
      <c r="I152" s="20">
        <v>294923.71999999997</v>
      </c>
      <c r="J152" s="20">
        <v>497030</v>
      </c>
      <c r="K152" s="20">
        <v>501830</v>
      </c>
      <c r="L152" s="20">
        <v>334283.77</v>
      </c>
      <c r="M152" s="21">
        <v>398349.54</v>
      </c>
      <c r="N152" s="20">
        <v>397057.4</v>
      </c>
      <c r="O152" s="21">
        <v>394357</v>
      </c>
      <c r="P152" s="21">
        <v>394357</v>
      </c>
      <c r="Q152" s="21">
        <f>217075+174582.5</f>
        <v>391657.5</v>
      </c>
      <c r="R152" s="20">
        <f t="shared" si="17"/>
        <v>-2699.5</v>
      </c>
      <c r="S152" s="21"/>
      <c r="T152" s="21">
        <f>215575+178382.5</f>
        <v>393957.5</v>
      </c>
      <c r="U152" s="21">
        <f>219075+182082.5</f>
        <v>401157.5</v>
      </c>
      <c r="V152" s="21">
        <f>242475+176207.5</f>
        <v>418682.5</v>
      </c>
      <c r="W152" s="21">
        <f>270375+175297.5</f>
        <v>445672.5</v>
      </c>
      <c r="X152" s="23" t="s">
        <v>217</v>
      </c>
    </row>
    <row r="153" spans="1:24" ht="13.5">
      <c r="A153" s="3" t="s">
        <v>218</v>
      </c>
      <c r="B153" s="3" t="s">
        <v>219</v>
      </c>
      <c r="C153" s="3"/>
      <c r="D153" s="3"/>
      <c r="E153" s="20">
        <v>2192490</v>
      </c>
      <c r="F153" s="20">
        <v>2189965</v>
      </c>
      <c r="G153" s="20">
        <v>2200715</v>
      </c>
      <c r="H153" s="20">
        <v>2178929.44</v>
      </c>
      <c r="I153" s="20">
        <v>2192207.5</v>
      </c>
      <c r="J153" s="20">
        <v>2192457.5</v>
      </c>
      <c r="K153" s="20">
        <v>2189707.5</v>
      </c>
      <c r="L153" s="20">
        <v>2193300</v>
      </c>
      <c r="M153" s="20">
        <v>2192665</v>
      </c>
      <c r="N153" s="20">
        <v>2192732.5</v>
      </c>
      <c r="O153" s="20">
        <v>2192408</v>
      </c>
      <c r="P153" s="20">
        <v>2192408</v>
      </c>
      <c r="Q153" s="20">
        <v>2192883</v>
      </c>
      <c r="R153" s="20">
        <f t="shared" si="17"/>
        <v>475</v>
      </c>
      <c r="S153" s="20"/>
      <c r="T153" s="20">
        <v>2188895</v>
      </c>
      <c r="U153" s="20">
        <v>2184555</v>
      </c>
      <c r="V153" s="20">
        <v>2195445</v>
      </c>
      <c r="W153" s="20">
        <v>2195505</v>
      </c>
      <c r="X153" s="23" t="s">
        <v>268</v>
      </c>
    </row>
    <row r="154" spans="1:24" ht="13.5">
      <c r="A154" s="3" t="s">
        <v>220</v>
      </c>
      <c r="B154" s="3" t="s">
        <v>221</v>
      </c>
      <c r="C154" s="3"/>
      <c r="D154" s="3"/>
      <c r="E154" s="28">
        <v>0</v>
      </c>
      <c r="F154" s="28">
        <v>0</v>
      </c>
      <c r="G154" s="28">
        <v>0</v>
      </c>
      <c r="H154" s="28">
        <v>0</v>
      </c>
      <c r="I154" s="28">
        <v>0</v>
      </c>
      <c r="J154" s="56">
        <v>250</v>
      </c>
      <c r="K154" s="56">
        <v>250</v>
      </c>
      <c r="L154" s="28">
        <v>250</v>
      </c>
      <c r="M154" s="56">
        <v>1556.9</v>
      </c>
      <c r="N154" s="74">
        <v>1442.66</v>
      </c>
      <c r="O154" s="56">
        <v>250</v>
      </c>
      <c r="P154" s="28">
        <v>250</v>
      </c>
      <c r="Q154" s="56">
        <v>250</v>
      </c>
      <c r="R154" s="28">
        <f t="shared" si="17"/>
        <v>0</v>
      </c>
      <c r="S154" s="56"/>
      <c r="T154" s="56">
        <v>250</v>
      </c>
      <c r="U154" s="56">
        <v>250</v>
      </c>
      <c r="V154" s="56">
        <v>250</v>
      </c>
      <c r="W154" s="56">
        <v>250</v>
      </c>
    </row>
    <row r="155" spans="1:24" ht="13.5">
      <c r="A155" s="3"/>
      <c r="B155" s="3"/>
      <c r="C155" s="3"/>
      <c r="D155" s="3"/>
      <c r="E155" s="3"/>
      <c r="F155" s="55"/>
      <c r="G155" s="19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</row>
    <row r="156" spans="1:24" ht="15">
      <c r="A156" s="3"/>
      <c r="B156" s="42" t="s">
        <v>222</v>
      </c>
      <c r="C156" s="3"/>
      <c r="D156" s="3"/>
      <c r="E156" s="32">
        <f>SUM(E151:E154)</f>
        <v>2238047.31</v>
      </c>
      <c r="F156" s="32">
        <f>SUM(F151:F154)</f>
        <v>2239220.63</v>
      </c>
      <c r="G156" s="32">
        <f>SUM(G151:G154)</f>
        <v>2288045.4300000002</v>
      </c>
      <c r="H156" s="32">
        <f>SUM(H151:H154)</f>
        <v>2288555.98</v>
      </c>
      <c r="I156" s="32">
        <f t="shared" ref="I156:W156" si="25">SUM(I151:I154)</f>
        <v>2487131.2199999997</v>
      </c>
      <c r="J156" s="32">
        <f t="shared" si="25"/>
        <v>2689737.5</v>
      </c>
      <c r="K156" s="32">
        <f t="shared" si="25"/>
        <v>2691787.5</v>
      </c>
      <c r="L156" s="32">
        <f t="shared" si="25"/>
        <v>2527833.77</v>
      </c>
      <c r="M156" s="32">
        <f t="shared" si="25"/>
        <v>2592571.44</v>
      </c>
      <c r="N156" s="32">
        <f t="shared" si="25"/>
        <v>2591232.56</v>
      </c>
      <c r="O156" s="32">
        <f t="shared" si="25"/>
        <v>2587015</v>
      </c>
      <c r="P156" s="32">
        <f t="shared" si="25"/>
        <v>2587015</v>
      </c>
      <c r="Q156" s="32">
        <f t="shared" si="25"/>
        <v>2584790.5</v>
      </c>
      <c r="R156" s="32">
        <f t="shared" si="17"/>
        <v>-2224.5</v>
      </c>
      <c r="S156" s="32"/>
      <c r="T156" s="32">
        <f t="shared" si="25"/>
        <v>2583102.5</v>
      </c>
      <c r="U156" s="32">
        <f t="shared" si="25"/>
        <v>2585962.5</v>
      </c>
      <c r="V156" s="32">
        <f t="shared" si="25"/>
        <v>2614377.5</v>
      </c>
      <c r="W156" s="32">
        <f t="shared" si="25"/>
        <v>2641427.5</v>
      </c>
    </row>
    <row r="157" spans="1:24" ht="15">
      <c r="A157" s="3"/>
      <c r="B157" s="42"/>
      <c r="C157" s="3"/>
      <c r="D157" s="3"/>
      <c r="E157" s="3"/>
      <c r="F157" s="58"/>
      <c r="G157" s="31"/>
      <c r="H157" s="31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</row>
    <row r="158" spans="1:24" ht="27">
      <c r="A158" s="3" t="s">
        <v>223</v>
      </c>
      <c r="B158" s="3" t="s">
        <v>224</v>
      </c>
      <c r="C158" s="3"/>
      <c r="D158" s="3"/>
      <c r="E158" s="20">
        <v>60000</v>
      </c>
      <c r="F158" s="20">
        <v>40000</v>
      </c>
      <c r="G158" s="20">
        <v>85000</v>
      </c>
      <c r="H158" s="20">
        <v>80000</v>
      </c>
      <c r="I158" s="20">
        <v>40000</v>
      </c>
      <c r="J158" s="20">
        <v>40000</v>
      </c>
      <c r="K158" s="20">
        <v>60000</v>
      </c>
      <c r="L158" s="20">
        <v>40000</v>
      </c>
      <c r="M158" s="20">
        <v>21725.58</v>
      </c>
      <c r="N158" s="20">
        <v>0</v>
      </c>
      <c r="O158" s="20">
        <v>0</v>
      </c>
      <c r="P158" s="21">
        <v>0</v>
      </c>
      <c r="Q158" s="20">
        <v>0</v>
      </c>
      <c r="R158" s="20">
        <f t="shared" si="17"/>
        <v>0</v>
      </c>
      <c r="S158" s="20"/>
      <c r="T158" s="20">
        <v>0</v>
      </c>
      <c r="U158" s="20">
        <v>0</v>
      </c>
      <c r="V158" s="20">
        <v>0</v>
      </c>
      <c r="W158" s="20">
        <v>0</v>
      </c>
      <c r="X158" s="23" t="s">
        <v>277</v>
      </c>
    </row>
    <row r="159" spans="1:24" ht="13.5">
      <c r="A159" s="3" t="s">
        <v>225</v>
      </c>
      <c r="B159" s="3" t="s">
        <v>226</v>
      </c>
      <c r="C159" s="3"/>
      <c r="D159" s="3"/>
      <c r="E159" s="20">
        <v>4474.5600000000004</v>
      </c>
      <c r="F159" s="20">
        <v>8888.75</v>
      </c>
      <c r="G159" s="20">
        <v>119.95</v>
      </c>
      <c r="H159" s="20">
        <v>80.55</v>
      </c>
      <c r="I159" s="20">
        <v>2121.09</v>
      </c>
      <c r="J159" s="20">
        <v>227.85</v>
      </c>
      <c r="K159" s="20">
        <v>8420</v>
      </c>
      <c r="L159" s="20">
        <v>2105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f t="shared" si="17"/>
        <v>0</v>
      </c>
      <c r="S159" s="20"/>
      <c r="T159" s="20">
        <v>0</v>
      </c>
      <c r="U159" s="20">
        <v>0</v>
      </c>
      <c r="V159" s="20">
        <v>0</v>
      </c>
      <c r="W159" s="20">
        <v>0</v>
      </c>
      <c r="X159" s="23"/>
    </row>
    <row r="160" spans="1:24" ht="13.5">
      <c r="A160" s="3" t="s">
        <v>250</v>
      </c>
      <c r="B160" s="3" t="s">
        <v>251</v>
      </c>
      <c r="C160" s="3"/>
      <c r="D160" s="3"/>
      <c r="E160" s="20"/>
      <c r="F160" s="20"/>
      <c r="G160" s="20"/>
      <c r="H160" s="20"/>
      <c r="I160" s="20"/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f t="shared" si="17"/>
        <v>0</v>
      </c>
      <c r="S160" s="20"/>
      <c r="T160" s="20">
        <v>7000000</v>
      </c>
      <c r="U160" s="20">
        <v>0</v>
      </c>
      <c r="V160" s="20">
        <v>0</v>
      </c>
      <c r="W160" s="20">
        <v>0</v>
      </c>
      <c r="X160" s="72" t="s">
        <v>253</v>
      </c>
    </row>
    <row r="161" spans="1:23" ht="13.5">
      <c r="A161" s="67" t="s">
        <v>235</v>
      </c>
      <c r="B161" s="67" t="s">
        <v>236</v>
      </c>
      <c r="C161" s="67"/>
      <c r="D161" s="3"/>
      <c r="E161" s="28">
        <v>128932</v>
      </c>
      <c r="F161" s="28">
        <v>0</v>
      </c>
      <c r="G161" s="28">
        <v>13000</v>
      </c>
      <c r="H161" s="28">
        <v>0</v>
      </c>
      <c r="I161" s="28">
        <v>0</v>
      </c>
      <c r="J161" s="28">
        <v>0</v>
      </c>
      <c r="K161" s="28">
        <v>0</v>
      </c>
      <c r="L161" s="28">
        <v>0</v>
      </c>
      <c r="M161" s="28">
        <v>0</v>
      </c>
      <c r="N161" s="28">
        <v>242622</v>
      </c>
      <c r="O161" s="56">
        <v>200000</v>
      </c>
      <c r="P161" s="28">
        <v>0</v>
      </c>
      <c r="Q161" s="56">
        <v>0</v>
      </c>
      <c r="R161" s="28">
        <f t="shared" si="17"/>
        <v>-200000</v>
      </c>
      <c r="S161" s="28"/>
      <c r="T161" s="28">
        <v>0</v>
      </c>
      <c r="U161" s="28">
        <v>0</v>
      </c>
      <c r="V161" s="28">
        <v>0</v>
      </c>
      <c r="W161" s="28">
        <v>0</v>
      </c>
    </row>
    <row r="162" spans="1:23" ht="15">
      <c r="A162" s="3"/>
      <c r="B162" s="42" t="s">
        <v>227</v>
      </c>
      <c r="C162" s="3"/>
      <c r="D162" s="3"/>
      <c r="E162" s="45">
        <f>E58+E102+E128+E147+E156+E158+E159+E161</f>
        <v>5032524.4799999995</v>
      </c>
      <c r="F162" s="45">
        <f t="shared" ref="F162:L162" si="26">F58+F102+F128+F147+F156+F158+F159</f>
        <v>4890163.24</v>
      </c>
      <c r="G162" s="45">
        <f>G58+G102+G128+G147+G156+G158+G159+G161</f>
        <v>4917321.3100000005</v>
      </c>
      <c r="H162" s="45">
        <f t="shared" si="26"/>
        <v>5201284.169999999</v>
      </c>
      <c r="I162" s="45">
        <f t="shared" si="26"/>
        <v>5390740.4900000002</v>
      </c>
      <c r="J162" s="45">
        <f t="shared" si="26"/>
        <v>5420776.2599999998</v>
      </c>
      <c r="K162" s="45">
        <f t="shared" si="26"/>
        <v>5315101.97</v>
      </c>
      <c r="L162" s="45">
        <f t="shared" si="26"/>
        <v>5134805.3725000005</v>
      </c>
      <c r="M162" s="45">
        <f>M58+M102+M128+M147+M156+M158+M159</f>
        <v>5183738.135915</v>
      </c>
      <c r="N162" s="45">
        <f>N58+N102+N128+N147+N156+N158+N159+N161</f>
        <v>5403889.7799999993</v>
      </c>
      <c r="O162" s="45">
        <f>O58+O102+O128+O147+O156+O158+O159+O161</f>
        <v>5520491.6511399997</v>
      </c>
      <c r="P162" s="45">
        <f>P58+P102+P128+P147+P156+P158+P159</f>
        <v>5419520.8064999999</v>
      </c>
      <c r="Q162" s="45">
        <f>Q58+Q102+Q128+Q147+Q156+Q158+Q159+Q161</f>
        <v>7045329.8521210002</v>
      </c>
      <c r="R162" s="32">
        <f t="shared" si="17"/>
        <v>1524838.2009810004</v>
      </c>
      <c r="S162" s="33">
        <f>(Q162-O162)/O162</f>
        <v>0.2762142028900843</v>
      </c>
      <c r="T162" s="45">
        <f>T58+T102+T128+T147+T156+T158+T159+T160</f>
        <v>13474223.18942463</v>
      </c>
      <c r="U162" s="45">
        <f>U58+U102+U128+U147+U156+U158+U159</f>
        <v>10712884.635654569</v>
      </c>
      <c r="V162" s="45">
        <f>V58+V102+V128+V147+V156+V158+V159</f>
        <v>6225711.2226018105</v>
      </c>
      <c r="W162" s="45">
        <f>W58+W102+W128+W147+W156+W158+W159</f>
        <v>7357120.3219892709</v>
      </c>
    </row>
    <row r="163" spans="1:23" ht="13.5">
      <c r="O163" s="33"/>
      <c r="P163" s="33"/>
      <c r="S163" s="33"/>
      <c r="T163" s="33">
        <f>(T162-Q162)/Q162</f>
        <v>0.91250423645788681</v>
      </c>
      <c r="U163" s="33">
        <f>(U162-T162)/T162</f>
        <v>-0.20493489791213521</v>
      </c>
      <c r="V163" s="33">
        <f>(V162-U162)/U162</f>
        <v>-0.4188576247818977</v>
      </c>
      <c r="W163" s="33">
        <f>(W162-V162)/V162</f>
        <v>0.18173170244067777</v>
      </c>
    </row>
    <row r="164" spans="1:23" ht="15.75">
      <c r="A164" s="3"/>
      <c r="B164" s="3"/>
      <c r="D164" s="59"/>
      <c r="E164" s="59"/>
      <c r="F164" s="59"/>
      <c r="I164" s="60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>
      <c r="A165" s="3"/>
      <c r="B165" s="3"/>
      <c r="C165" s="3"/>
      <c r="D165" s="59"/>
      <c r="E165" s="59"/>
      <c r="F165" s="59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>
      <c r="C166" s="17"/>
      <c r="D166" s="59"/>
      <c r="E166" s="59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6.5">
      <c r="C167" s="3"/>
      <c r="D167" s="59"/>
      <c r="E167" s="59"/>
      <c r="F167" s="61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3.5">
      <c r="C168" s="3"/>
      <c r="K168" s="20"/>
      <c r="L168" s="20"/>
      <c r="O168" s="3"/>
      <c r="Q168" s="3"/>
      <c r="R168" s="3"/>
      <c r="S168" s="3"/>
      <c r="T168" s="3"/>
      <c r="U168" s="3"/>
      <c r="V168" s="3"/>
      <c r="W168" s="3"/>
    </row>
    <row r="169" spans="1:23" ht="15.75">
      <c r="C169" s="3"/>
      <c r="D169" s="59"/>
      <c r="E169" s="59"/>
      <c r="F169" s="59"/>
      <c r="K169" s="3"/>
      <c r="L169" s="3"/>
    </row>
    <row r="170" spans="1:23" ht="15.75">
      <c r="C170" s="17"/>
      <c r="D170" s="59"/>
      <c r="E170" s="59"/>
      <c r="J170" s="3"/>
      <c r="K170" s="3"/>
      <c r="L170" s="3"/>
    </row>
    <row r="171" spans="1:23" ht="15.75">
      <c r="C171" s="3"/>
      <c r="D171" s="59"/>
      <c r="E171" s="59"/>
      <c r="F171" s="59"/>
      <c r="J171" s="20"/>
      <c r="K171" s="3"/>
      <c r="L171" s="3"/>
    </row>
    <row r="172" spans="1:23" ht="15.75">
      <c r="C172" s="3"/>
      <c r="D172" s="59"/>
      <c r="E172" s="59"/>
      <c r="F172" s="59"/>
      <c r="J172" s="34"/>
      <c r="K172" s="20"/>
      <c r="L172" s="20"/>
    </row>
    <row r="173" spans="1:23" ht="16.5">
      <c r="C173" s="3"/>
      <c r="D173" s="59"/>
      <c r="E173" s="59"/>
      <c r="F173" s="59"/>
      <c r="J173" s="32"/>
      <c r="M173" s="3"/>
      <c r="N173" s="3"/>
      <c r="P173" s="3"/>
    </row>
    <row r="174" spans="1:23" ht="15.75">
      <c r="D174" s="59"/>
      <c r="E174" s="59"/>
      <c r="F174" s="59"/>
      <c r="I174" s="60"/>
    </row>
    <row r="175" spans="1:23" ht="15.75">
      <c r="D175" s="59"/>
      <c r="E175" s="59"/>
      <c r="F175" s="59"/>
      <c r="I175" s="60"/>
    </row>
    <row r="176" spans="1:23" ht="13.5">
      <c r="C176" s="3"/>
      <c r="D176" s="3"/>
      <c r="E176" s="3"/>
    </row>
    <row r="177" spans="1:23" ht="13.5">
      <c r="C177" s="3"/>
      <c r="D177" s="3"/>
      <c r="E177" s="3"/>
    </row>
    <row r="178" spans="1:23" ht="13.5">
      <c r="C178" s="3"/>
      <c r="D178" s="3"/>
      <c r="E178" s="3"/>
    </row>
    <row r="179" spans="1:23" ht="13.5">
      <c r="C179" s="3"/>
      <c r="D179" s="3"/>
      <c r="E179" s="3"/>
    </row>
    <row r="180" spans="1:23" ht="13.5">
      <c r="C180" s="3"/>
      <c r="D180" s="3"/>
      <c r="E180" s="3"/>
    </row>
    <row r="181" spans="1:23" ht="13.5">
      <c r="C181" s="3"/>
      <c r="D181" s="3"/>
      <c r="E181" s="3"/>
    </row>
    <row r="182" spans="1:23" ht="13.5">
      <c r="C182" s="3"/>
      <c r="D182" s="3"/>
      <c r="E182" s="3"/>
    </row>
    <row r="183" spans="1:23" ht="13.5">
      <c r="A183" s="3"/>
      <c r="B183" s="3"/>
      <c r="C183" s="3"/>
      <c r="D183" s="3"/>
      <c r="E183" s="3"/>
    </row>
    <row r="184" spans="1:23" ht="13.5">
      <c r="A184" s="3"/>
      <c r="B184" s="3"/>
      <c r="C184" s="3"/>
      <c r="D184" s="3"/>
      <c r="E184" s="3"/>
    </row>
    <row r="185" spans="1:23" ht="15.75">
      <c r="A185" s="3"/>
      <c r="B185" s="3"/>
      <c r="D185" s="59"/>
      <c r="E185" s="59"/>
      <c r="F185" s="59"/>
      <c r="J185" s="3"/>
      <c r="K185" s="3"/>
      <c r="L185" s="3"/>
      <c r="M185" s="3"/>
      <c r="N185" s="3"/>
      <c r="O185" s="3"/>
      <c r="P185" s="3"/>
    </row>
    <row r="186" spans="1:23" ht="15.75">
      <c r="A186" s="3"/>
      <c r="B186" s="3"/>
      <c r="D186" s="59"/>
      <c r="E186" s="59"/>
      <c r="I186" s="60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3.5">
      <c r="A187" s="3"/>
      <c r="B187" s="3"/>
      <c r="C187" s="3"/>
      <c r="D187" s="3"/>
      <c r="E187" s="3"/>
    </row>
    <row r="188" spans="1:23" ht="13.5">
      <c r="A188" s="3"/>
      <c r="B188" s="3"/>
      <c r="C188" s="3"/>
      <c r="D188" s="3"/>
      <c r="E188" s="3"/>
    </row>
    <row r="189" spans="1:23" ht="13.5">
      <c r="A189" s="3"/>
      <c r="B189" s="3"/>
      <c r="C189" s="3"/>
      <c r="D189" s="3"/>
      <c r="E189" s="3"/>
    </row>
    <row r="190" spans="1:23" ht="13.5">
      <c r="A190" s="3"/>
      <c r="B190" s="3"/>
      <c r="C190" s="3"/>
      <c r="D190" s="3"/>
      <c r="E190" s="3"/>
    </row>
    <row r="191" spans="1:23" ht="13.5">
      <c r="A191" s="3"/>
      <c r="B191" s="3"/>
      <c r="C191" s="3"/>
      <c r="D191" s="3"/>
      <c r="E191" s="3"/>
    </row>
    <row r="192" spans="1:23" ht="13.5">
      <c r="A192" s="3"/>
    </row>
    <row r="193" spans="1:5" ht="13.5">
      <c r="A193" s="3"/>
    </row>
    <row r="194" spans="1:5" ht="13.5">
      <c r="A194" s="3"/>
      <c r="B194" s="3"/>
      <c r="C194" s="3"/>
      <c r="D194" s="3"/>
      <c r="E194" s="3"/>
    </row>
    <row r="195" spans="1:5" ht="13.5">
      <c r="A195" s="3"/>
      <c r="B195" s="3"/>
      <c r="C195" s="3"/>
      <c r="D195" s="3"/>
      <c r="E195" s="3"/>
    </row>
    <row r="196" spans="1:5" ht="13.5">
      <c r="A196" s="3"/>
      <c r="B196" s="3"/>
      <c r="C196" s="3"/>
      <c r="D196" s="3"/>
      <c r="E196" s="3"/>
    </row>
    <row r="265" spans="21:21">
      <c r="U265" s="17" t="s">
        <v>273</v>
      </c>
    </row>
  </sheetData>
  <mergeCells count="4">
    <mergeCell ref="R1:S1"/>
    <mergeCell ref="R43:S43"/>
    <mergeCell ref="R87:S87"/>
    <mergeCell ref="R130:S130"/>
  </mergeCells>
  <printOptions gridLines="1"/>
  <pageMargins left="0.25" right="0" top="0.5" bottom="0.25" header="0.25" footer="0"/>
  <pageSetup paperSize="5" scale="63" fitToHeight="0" orientation="landscape" r:id="rId1"/>
  <headerFooter alignWithMargins="0">
    <oddHeader xml:space="preserve">&amp;C&amp;"Book Antiqua,Bold"&amp;12 2017 SEWER BUDGET </oddHeader>
  </headerFooter>
  <rowBreaks count="4" manualBreakCount="4">
    <brk id="42" max="16383" man="1"/>
    <brk id="86" max="22" man="1"/>
    <brk id="129" max="22" man="1"/>
    <brk id="17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workbookViewId="0">
      <selection activeCell="P34" sqref="P34"/>
    </sheetView>
  </sheetViews>
  <sheetFormatPr defaultRowHeight="12.75"/>
  <cols>
    <col min="1" max="1" width="21.28515625" customWidth="1"/>
    <col min="2" max="2" width="3.28515625" customWidth="1"/>
    <col min="3" max="3" width="12.7109375" bestFit="1" customWidth="1"/>
    <col min="4" max="4" width="3.28515625" customWidth="1"/>
    <col min="5" max="5" width="6.7109375" customWidth="1"/>
    <col min="6" max="6" width="3.28515625" customWidth="1"/>
    <col min="7" max="7" width="10.28515625" customWidth="1"/>
    <col min="8" max="8" width="3.28515625" customWidth="1"/>
    <col min="9" max="9" width="10.28515625" customWidth="1"/>
    <col min="10" max="10" width="3.7109375" customWidth="1"/>
    <col min="11" max="11" width="9.5703125" bestFit="1" customWidth="1"/>
  </cols>
  <sheetData>
    <row r="1" spans="1:11">
      <c r="A1" s="165" t="s">
        <v>325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s="99" customFormat="1" ht="26.25" thickBot="1">
      <c r="A2" s="93" t="s">
        <v>326</v>
      </c>
      <c r="B2" s="93"/>
      <c r="C2" s="93" t="s">
        <v>327</v>
      </c>
      <c r="D2" s="93"/>
      <c r="E2" s="93" t="s">
        <v>313</v>
      </c>
      <c r="F2" s="93"/>
      <c r="G2" s="93" t="s">
        <v>314</v>
      </c>
      <c r="H2" s="93"/>
      <c r="I2" s="166" t="s">
        <v>315</v>
      </c>
      <c r="J2" s="166"/>
      <c r="K2" s="166"/>
    </row>
    <row r="3" spans="1:11" s="100" customFormat="1" ht="13.5" thickTop="1">
      <c r="A3" s="100" t="s">
        <v>328</v>
      </c>
      <c r="C3" s="100" t="s">
        <v>329</v>
      </c>
      <c r="E3" s="100">
        <v>8</v>
      </c>
      <c r="G3" s="100">
        <v>400</v>
      </c>
      <c r="I3" s="101">
        <f>+G3*25</f>
        <v>10000</v>
      </c>
      <c r="J3" s="100" t="s">
        <v>282</v>
      </c>
      <c r="K3" s="101">
        <f>+G3*28</f>
        <v>11200</v>
      </c>
    </row>
    <row r="4" spans="1:11" s="100" customFormat="1">
      <c r="A4" s="100" t="s">
        <v>330</v>
      </c>
      <c r="C4" s="100" t="s">
        <v>331</v>
      </c>
      <c r="E4" s="100">
        <v>8</v>
      </c>
      <c r="G4" s="100">
        <v>297</v>
      </c>
      <c r="I4" s="101">
        <f t="shared" ref="I4:I28" si="0">+G4*25</f>
        <v>7425</v>
      </c>
      <c r="J4" s="100" t="s">
        <v>282</v>
      </c>
      <c r="K4" s="101">
        <f t="shared" ref="K4:K28" si="1">+G4*28</f>
        <v>8316</v>
      </c>
    </row>
    <row r="5" spans="1:11" s="100" customFormat="1">
      <c r="A5" s="100" t="s">
        <v>332</v>
      </c>
      <c r="C5" s="100" t="s">
        <v>333</v>
      </c>
      <c r="E5" s="100">
        <v>8</v>
      </c>
      <c r="G5" s="100">
        <v>387</v>
      </c>
      <c r="I5" s="101">
        <f t="shared" si="0"/>
        <v>9675</v>
      </c>
      <c r="J5" s="100" t="s">
        <v>282</v>
      </c>
      <c r="K5" s="101">
        <f t="shared" si="1"/>
        <v>10836</v>
      </c>
    </row>
    <row r="6" spans="1:11" s="100" customFormat="1">
      <c r="A6" s="100" t="s">
        <v>321</v>
      </c>
      <c r="C6" s="100" t="s">
        <v>334</v>
      </c>
      <c r="E6" s="100">
        <v>8</v>
      </c>
      <c r="G6" s="100">
        <v>52</v>
      </c>
      <c r="I6" s="101">
        <f t="shared" si="0"/>
        <v>1300</v>
      </c>
      <c r="J6" s="100" t="s">
        <v>282</v>
      </c>
      <c r="K6" s="101">
        <f t="shared" si="1"/>
        <v>1456</v>
      </c>
    </row>
    <row r="7" spans="1:11" s="100" customFormat="1">
      <c r="A7" s="100" t="s">
        <v>317</v>
      </c>
      <c r="C7" s="100" t="s">
        <v>335</v>
      </c>
      <c r="E7" s="100">
        <v>8</v>
      </c>
      <c r="G7" s="100">
        <v>396</v>
      </c>
      <c r="I7" s="101">
        <f t="shared" si="0"/>
        <v>9900</v>
      </c>
      <c r="J7" s="100" t="s">
        <v>282</v>
      </c>
      <c r="K7" s="101">
        <f t="shared" si="1"/>
        <v>11088</v>
      </c>
    </row>
    <row r="8" spans="1:11" s="100" customFormat="1">
      <c r="A8" s="100" t="s">
        <v>323</v>
      </c>
      <c r="C8" s="100" t="s">
        <v>336</v>
      </c>
      <c r="E8" s="100">
        <v>8</v>
      </c>
      <c r="G8" s="100">
        <v>150</v>
      </c>
      <c r="I8" s="101">
        <f t="shared" si="0"/>
        <v>3750</v>
      </c>
      <c r="J8" s="100" t="s">
        <v>282</v>
      </c>
      <c r="K8" s="101">
        <f t="shared" si="1"/>
        <v>4200</v>
      </c>
    </row>
    <row r="9" spans="1:11" s="100" customFormat="1">
      <c r="A9" s="100" t="s">
        <v>337</v>
      </c>
      <c r="C9" s="100" t="s">
        <v>338</v>
      </c>
      <c r="E9" s="100">
        <v>8</v>
      </c>
      <c r="G9" s="100">
        <v>300</v>
      </c>
      <c r="I9" s="101">
        <f t="shared" si="0"/>
        <v>7500</v>
      </c>
      <c r="J9" s="100" t="s">
        <v>282</v>
      </c>
      <c r="K9" s="101">
        <f t="shared" si="1"/>
        <v>8400</v>
      </c>
    </row>
    <row r="10" spans="1:11" s="100" customFormat="1">
      <c r="A10" s="100" t="s">
        <v>339</v>
      </c>
      <c r="C10" s="100" t="s">
        <v>340</v>
      </c>
      <c r="E10" s="100">
        <v>8</v>
      </c>
      <c r="G10" s="100">
        <v>370</v>
      </c>
      <c r="I10" s="101">
        <f t="shared" si="0"/>
        <v>9250</v>
      </c>
      <c r="J10" s="100" t="s">
        <v>282</v>
      </c>
      <c r="K10" s="101">
        <f t="shared" si="1"/>
        <v>10360</v>
      </c>
    </row>
    <row r="11" spans="1:11" s="100" customFormat="1">
      <c r="A11" s="100" t="s">
        <v>341</v>
      </c>
      <c r="C11" s="100" t="s">
        <v>342</v>
      </c>
      <c r="E11" s="100">
        <v>8</v>
      </c>
      <c r="G11" s="100">
        <v>217</v>
      </c>
      <c r="I11" s="101">
        <f t="shared" si="0"/>
        <v>5425</v>
      </c>
      <c r="K11" s="101">
        <f t="shared" si="1"/>
        <v>6076</v>
      </c>
    </row>
    <row r="12" spans="1:11" s="100" customFormat="1">
      <c r="A12" s="100" t="s">
        <v>343</v>
      </c>
      <c r="C12" s="100" t="s">
        <v>344</v>
      </c>
      <c r="E12" s="100">
        <v>8</v>
      </c>
      <c r="G12" s="100">
        <v>242</v>
      </c>
      <c r="I12" s="101">
        <f t="shared" si="0"/>
        <v>6050</v>
      </c>
      <c r="K12" s="101">
        <f t="shared" si="1"/>
        <v>6776</v>
      </c>
    </row>
    <row r="13" spans="1:11" s="100" customFormat="1">
      <c r="A13" s="100" t="s">
        <v>343</v>
      </c>
      <c r="C13" s="100" t="s">
        <v>345</v>
      </c>
      <c r="E13" s="100">
        <v>8</v>
      </c>
      <c r="G13" s="100">
        <v>52</v>
      </c>
      <c r="I13" s="101">
        <f t="shared" si="0"/>
        <v>1300</v>
      </c>
      <c r="K13" s="101">
        <f t="shared" si="1"/>
        <v>1456</v>
      </c>
    </row>
    <row r="14" spans="1:11" s="100" customFormat="1">
      <c r="A14" s="100" t="s">
        <v>346</v>
      </c>
      <c r="C14" s="100" t="s">
        <v>347</v>
      </c>
      <c r="E14" s="100">
        <v>8</v>
      </c>
      <c r="G14" s="100">
        <v>280</v>
      </c>
      <c r="I14" s="101">
        <f t="shared" si="0"/>
        <v>7000</v>
      </c>
      <c r="K14" s="101">
        <f t="shared" si="1"/>
        <v>7840</v>
      </c>
    </row>
    <row r="15" spans="1:11" s="100" customFormat="1">
      <c r="A15" s="100" t="s">
        <v>348</v>
      </c>
      <c r="C15" s="100" t="s">
        <v>349</v>
      </c>
      <c r="E15" s="100">
        <v>8</v>
      </c>
      <c r="G15" s="100">
        <v>383</v>
      </c>
      <c r="I15" s="101">
        <f t="shared" si="0"/>
        <v>9575</v>
      </c>
      <c r="K15" s="101">
        <f t="shared" si="1"/>
        <v>10724</v>
      </c>
    </row>
    <row r="16" spans="1:11" s="100" customFormat="1">
      <c r="A16" s="100" t="s">
        <v>323</v>
      </c>
      <c r="C16" s="100" t="s">
        <v>350</v>
      </c>
      <c r="E16" s="100">
        <v>8</v>
      </c>
      <c r="G16" s="100">
        <v>263</v>
      </c>
      <c r="I16" s="101">
        <f t="shared" si="0"/>
        <v>6575</v>
      </c>
      <c r="K16" s="101">
        <f t="shared" si="1"/>
        <v>7364</v>
      </c>
    </row>
    <row r="17" spans="1:11" s="100" customFormat="1">
      <c r="A17" s="100" t="s">
        <v>317</v>
      </c>
      <c r="C17" s="100" t="s">
        <v>351</v>
      </c>
      <c r="E17" s="100">
        <v>8</v>
      </c>
      <c r="G17" s="100">
        <v>330</v>
      </c>
      <c r="I17" s="101">
        <f t="shared" si="0"/>
        <v>8250</v>
      </c>
      <c r="K17" s="101">
        <f t="shared" si="1"/>
        <v>9240</v>
      </c>
    </row>
    <row r="18" spans="1:11" s="100" customFormat="1">
      <c r="A18" s="100" t="s">
        <v>352</v>
      </c>
      <c r="C18" s="100" t="s">
        <v>353</v>
      </c>
      <c r="E18" s="100">
        <v>8</v>
      </c>
      <c r="G18" s="100">
        <v>172</v>
      </c>
      <c r="I18" s="101">
        <f t="shared" si="0"/>
        <v>4300</v>
      </c>
      <c r="K18" s="101">
        <f t="shared" si="1"/>
        <v>4816</v>
      </c>
    </row>
    <row r="19" spans="1:11" s="100" customFormat="1">
      <c r="A19" s="100" t="s">
        <v>354</v>
      </c>
      <c r="C19" s="100" t="s">
        <v>355</v>
      </c>
      <c r="E19" s="100">
        <v>8</v>
      </c>
      <c r="G19" s="100">
        <v>386</v>
      </c>
      <c r="I19" s="101">
        <f t="shared" si="0"/>
        <v>9650</v>
      </c>
      <c r="K19" s="101">
        <f t="shared" si="1"/>
        <v>10808</v>
      </c>
    </row>
    <row r="20" spans="1:11" s="100" customFormat="1">
      <c r="A20" s="100" t="s">
        <v>322</v>
      </c>
      <c r="C20" s="100" t="s">
        <v>356</v>
      </c>
      <c r="E20" s="100">
        <v>8</v>
      </c>
      <c r="G20" s="100">
        <v>163</v>
      </c>
      <c r="I20" s="101">
        <f t="shared" si="0"/>
        <v>4075</v>
      </c>
      <c r="K20" s="101">
        <f t="shared" si="1"/>
        <v>4564</v>
      </c>
    </row>
    <row r="21" spans="1:11" s="100" customFormat="1">
      <c r="A21" s="100" t="s">
        <v>322</v>
      </c>
      <c r="C21" s="100" t="s">
        <v>357</v>
      </c>
      <c r="E21" s="100">
        <v>8</v>
      </c>
      <c r="G21" s="100">
        <v>348</v>
      </c>
      <c r="I21" s="101">
        <f t="shared" si="0"/>
        <v>8700</v>
      </c>
      <c r="K21" s="101">
        <f t="shared" si="1"/>
        <v>9744</v>
      </c>
    </row>
    <row r="22" spans="1:11" s="100" customFormat="1">
      <c r="A22" s="100" t="s">
        <v>322</v>
      </c>
      <c r="C22" s="100" t="s">
        <v>358</v>
      </c>
      <c r="E22" s="100">
        <v>8</v>
      </c>
      <c r="G22" s="100">
        <v>116</v>
      </c>
      <c r="I22" s="101">
        <f t="shared" si="0"/>
        <v>2900</v>
      </c>
      <c r="K22" s="101">
        <f t="shared" si="1"/>
        <v>3248</v>
      </c>
    </row>
    <row r="23" spans="1:11" s="100" customFormat="1">
      <c r="A23" s="100" t="s">
        <v>319</v>
      </c>
      <c r="C23" s="100" t="s">
        <v>359</v>
      </c>
      <c r="E23" s="100">
        <v>8</v>
      </c>
      <c r="G23" s="100">
        <v>205</v>
      </c>
      <c r="I23" s="101">
        <f t="shared" si="0"/>
        <v>5125</v>
      </c>
      <c r="K23" s="101">
        <f t="shared" si="1"/>
        <v>5740</v>
      </c>
    </row>
    <row r="24" spans="1:11" s="100" customFormat="1">
      <c r="A24" s="100" t="s">
        <v>319</v>
      </c>
      <c r="C24" s="100" t="s">
        <v>360</v>
      </c>
      <c r="E24" s="100">
        <v>8</v>
      </c>
      <c r="G24" s="100">
        <v>200</v>
      </c>
      <c r="I24" s="101">
        <f t="shared" si="0"/>
        <v>5000</v>
      </c>
      <c r="K24" s="101">
        <f t="shared" si="1"/>
        <v>5600</v>
      </c>
    </row>
    <row r="25" spans="1:11" s="100" customFormat="1">
      <c r="A25" s="100" t="s">
        <v>320</v>
      </c>
      <c r="C25" s="100" t="s">
        <v>361</v>
      </c>
      <c r="E25" s="100">
        <v>8</v>
      </c>
      <c r="G25" s="100">
        <v>221</v>
      </c>
      <c r="I25" s="101">
        <f t="shared" si="0"/>
        <v>5525</v>
      </c>
      <c r="K25" s="101">
        <f t="shared" si="1"/>
        <v>6188</v>
      </c>
    </row>
    <row r="26" spans="1:11" s="100" customFormat="1">
      <c r="A26" s="100" t="s">
        <v>362</v>
      </c>
      <c r="C26" s="100" t="s">
        <v>363</v>
      </c>
      <c r="E26" s="100">
        <v>8</v>
      </c>
      <c r="G26" s="100">
        <v>398</v>
      </c>
      <c r="I26" s="101">
        <f t="shared" si="0"/>
        <v>9950</v>
      </c>
      <c r="K26" s="101">
        <f t="shared" si="1"/>
        <v>11144</v>
      </c>
    </row>
    <row r="27" spans="1:11" s="100" customFormat="1">
      <c r="A27" s="100" t="s">
        <v>316</v>
      </c>
      <c r="C27" s="100" t="s">
        <v>364</v>
      </c>
      <c r="E27" s="100">
        <v>8</v>
      </c>
      <c r="G27" s="100">
        <v>344</v>
      </c>
      <c r="I27" s="101">
        <f t="shared" si="0"/>
        <v>8600</v>
      </c>
      <c r="K27" s="101">
        <f t="shared" si="1"/>
        <v>9632</v>
      </c>
    </row>
    <row r="28" spans="1:11" s="100" customFormat="1">
      <c r="A28" s="100" t="s">
        <v>318</v>
      </c>
      <c r="C28" s="100" t="s">
        <v>365</v>
      </c>
      <c r="E28" s="100">
        <v>8</v>
      </c>
      <c r="G28" s="100">
        <v>345</v>
      </c>
      <c r="I28" s="101">
        <f t="shared" si="0"/>
        <v>8625</v>
      </c>
      <c r="K28" s="101">
        <f t="shared" si="1"/>
        <v>9660</v>
      </c>
    </row>
    <row r="29" spans="1:11" s="100" customFormat="1"/>
    <row r="30" spans="1:11" s="100" customFormat="1">
      <c r="A30" s="94" t="s">
        <v>324</v>
      </c>
      <c r="B30" s="95"/>
      <c r="C30" s="95"/>
      <c r="D30" s="95"/>
      <c r="E30" s="95"/>
      <c r="F30" s="95"/>
      <c r="G30" s="95">
        <f>SUM(G3:G29)</f>
        <v>7017</v>
      </c>
      <c r="H30" s="95"/>
      <c r="I30" s="96">
        <f>SUM(I3:I29)</f>
        <v>175425</v>
      </c>
      <c r="J30" s="95"/>
      <c r="K30" s="97">
        <f>SUM(K3:K29)</f>
        <v>196476</v>
      </c>
    </row>
    <row r="31" spans="1:11" s="100" customForma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1" s="100" customForma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</row>
    <row r="33" spans="1:1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11" s="99" customForma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</row>
    <row r="35" spans="1:1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</row>
    <row r="36" spans="1:11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</row>
    <row r="37" spans="1:1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</row>
    <row r="43" spans="1:11" s="100" customForma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7" spans="1:11" s="100" customFormat="1">
      <c r="A47"/>
      <c r="B47"/>
      <c r="C47"/>
      <c r="D47"/>
      <c r="E47"/>
      <c r="F47"/>
      <c r="G47"/>
      <c r="H47"/>
      <c r="I47"/>
      <c r="J47"/>
      <c r="K47"/>
    </row>
  </sheetData>
  <mergeCells count="2">
    <mergeCell ref="A1:K1"/>
    <mergeCell ref="I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"/>
  <sheetViews>
    <sheetView topLeftCell="A4" workbookViewId="0">
      <selection activeCell="W26" sqref="W26"/>
    </sheetView>
  </sheetViews>
  <sheetFormatPr defaultRowHeight="15"/>
  <cols>
    <col min="1" max="1" width="9.140625" style="82"/>
    <col min="2" max="2" width="4.7109375" style="82" customWidth="1"/>
    <col min="3" max="3" width="1.7109375" style="82" customWidth="1"/>
    <col min="4" max="4" width="4.7109375" style="82" customWidth="1"/>
    <col min="5" max="5" width="1.28515625" style="82" customWidth="1"/>
    <col min="6" max="6" width="5.7109375" style="82" customWidth="1"/>
    <col min="7" max="12" width="9.140625" style="82"/>
    <col min="13" max="13" width="5.42578125" style="82" customWidth="1"/>
    <col min="14" max="16384" width="9.140625" style="82"/>
  </cols>
  <sheetData>
    <row r="1" spans="1:13" ht="15.75">
      <c r="A1" s="167" t="s">
        <v>279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15.75">
      <c r="A2" s="83"/>
    </row>
    <row r="3" spans="1:13" ht="15.75">
      <c r="A3" s="83" t="s">
        <v>280</v>
      </c>
      <c r="B3" s="84" t="s">
        <v>281</v>
      </c>
      <c r="C3" s="85" t="s">
        <v>282</v>
      </c>
      <c r="D3" s="86" t="s">
        <v>283</v>
      </c>
      <c r="E3" s="87" t="s">
        <v>282</v>
      </c>
      <c r="F3" s="86" t="s">
        <v>284</v>
      </c>
    </row>
    <row r="4" spans="1:13" ht="15.75">
      <c r="A4" s="83"/>
    </row>
    <row r="5" spans="1:13" ht="15.75">
      <c r="A5" s="83" t="s">
        <v>285</v>
      </c>
      <c r="B5" s="168" t="s">
        <v>286</v>
      </c>
      <c r="C5" s="169"/>
      <c r="D5" s="169"/>
      <c r="E5" s="169"/>
      <c r="F5" s="169"/>
      <c r="G5" s="169"/>
      <c r="H5" s="169"/>
    </row>
    <row r="6" spans="1:13" ht="15.75">
      <c r="A6" s="83"/>
    </row>
    <row r="7" spans="1:13" ht="15.75">
      <c r="A7" s="83" t="s">
        <v>287</v>
      </c>
    </row>
    <row r="8" spans="1:13" ht="15.75">
      <c r="A8" s="83"/>
    </row>
    <row r="9" spans="1:13">
      <c r="B9" s="170" t="s">
        <v>288</v>
      </c>
      <c r="C9" s="170"/>
      <c r="D9" s="170"/>
      <c r="E9" s="170"/>
      <c r="F9" s="170"/>
      <c r="H9" s="170" t="s">
        <v>289</v>
      </c>
      <c r="I9" s="170"/>
      <c r="J9" s="170"/>
      <c r="K9" s="170"/>
      <c r="L9" s="170"/>
    </row>
    <row r="10" spans="1:13">
      <c r="A10" s="88"/>
    </row>
    <row r="11" spans="1:13">
      <c r="A11" s="89" t="s">
        <v>290</v>
      </c>
      <c r="B11" s="171">
        <v>695289</v>
      </c>
      <c r="C11" s="171"/>
      <c r="D11" s="171"/>
      <c r="E11" s="171"/>
      <c r="F11" s="171"/>
      <c r="H11" s="168" t="s">
        <v>291</v>
      </c>
      <c r="I11" s="169"/>
      <c r="J11" s="169"/>
      <c r="K11" s="169"/>
      <c r="L11" s="169"/>
    </row>
    <row r="12" spans="1:13">
      <c r="A12" s="88"/>
    </row>
    <row r="13" spans="1:13">
      <c r="A13" s="89" t="s">
        <v>290</v>
      </c>
      <c r="B13" s="171">
        <v>115024</v>
      </c>
      <c r="C13" s="171"/>
      <c r="D13" s="171"/>
      <c r="E13" s="171"/>
      <c r="F13" s="171"/>
      <c r="H13" s="168" t="s">
        <v>292</v>
      </c>
      <c r="I13" s="169"/>
      <c r="J13" s="169"/>
      <c r="K13" s="169"/>
      <c r="L13" s="169"/>
    </row>
    <row r="14" spans="1:13">
      <c r="A14" s="88"/>
    </row>
    <row r="15" spans="1:13">
      <c r="A15" s="89" t="s">
        <v>290</v>
      </c>
      <c r="B15" s="171">
        <v>127090</v>
      </c>
      <c r="C15" s="171"/>
      <c r="D15" s="171"/>
      <c r="E15" s="171"/>
      <c r="F15" s="171"/>
      <c r="H15" s="168" t="s">
        <v>293</v>
      </c>
      <c r="I15" s="169"/>
      <c r="J15" s="169"/>
      <c r="K15" s="169"/>
      <c r="L15" s="169"/>
    </row>
    <row r="16" spans="1:13">
      <c r="A16" s="88"/>
    </row>
    <row r="17" spans="1:12">
      <c r="A17" s="89" t="s">
        <v>290</v>
      </c>
      <c r="B17" s="171">
        <v>9191</v>
      </c>
      <c r="C17" s="171"/>
      <c r="D17" s="171"/>
      <c r="E17" s="171"/>
      <c r="F17" s="171"/>
      <c r="H17" s="168" t="s">
        <v>294</v>
      </c>
      <c r="I17" s="169"/>
      <c r="J17" s="169"/>
      <c r="K17" s="169"/>
      <c r="L17" s="169"/>
    </row>
    <row r="18" spans="1:12">
      <c r="A18" s="88"/>
    </row>
    <row r="19" spans="1:12">
      <c r="A19" s="89" t="s">
        <v>290</v>
      </c>
      <c r="B19" s="171">
        <v>31628</v>
      </c>
      <c r="C19" s="171"/>
      <c r="D19" s="171"/>
      <c r="E19" s="171"/>
      <c r="F19" s="171"/>
      <c r="H19" s="168" t="s">
        <v>295</v>
      </c>
      <c r="I19" s="169"/>
      <c r="J19" s="169"/>
      <c r="K19" s="169"/>
      <c r="L19" s="169"/>
    </row>
    <row r="20" spans="1:12">
      <c r="A20" s="88"/>
    </row>
    <row r="21" spans="1:12">
      <c r="A21" s="89" t="s">
        <v>290</v>
      </c>
      <c r="B21" s="171">
        <v>23296</v>
      </c>
      <c r="C21" s="171"/>
      <c r="D21" s="171"/>
      <c r="E21" s="171"/>
      <c r="F21" s="171"/>
      <c r="H21" s="168" t="s">
        <v>296</v>
      </c>
      <c r="I21" s="169"/>
      <c r="J21" s="169"/>
      <c r="K21" s="169"/>
      <c r="L21" s="169"/>
    </row>
    <row r="22" spans="1:12">
      <c r="A22" s="88"/>
    </row>
    <row r="23" spans="1:12">
      <c r="A23" s="89" t="s">
        <v>290</v>
      </c>
      <c r="B23" s="171">
        <v>3500</v>
      </c>
      <c r="C23" s="171"/>
      <c r="D23" s="171"/>
      <c r="E23" s="171"/>
      <c r="F23" s="171"/>
      <c r="H23" s="168" t="s">
        <v>297</v>
      </c>
      <c r="I23" s="169"/>
      <c r="J23" s="169"/>
      <c r="K23" s="169"/>
      <c r="L23" s="169"/>
    </row>
    <row r="24" spans="1:12">
      <c r="A24" s="88"/>
    </row>
    <row r="25" spans="1:12">
      <c r="A25" s="89" t="s">
        <v>290</v>
      </c>
      <c r="B25" s="171">
        <v>50720</v>
      </c>
      <c r="C25" s="171"/>
      <c r="D25" s="171"/>
      <c r="E25" s="171"/>
      <c r="F25" s="171"/>
      <c r="H25" s="168" t="s">
        <v>298</v>
      </c>
      <c r="I25" s="169"/>
      <c r="J25" s="169"/>
      <c r="K25" s="169"/>
      <c r="L25" s="169"/>
    </row>
    <row r="26" spans="1:12">
      <c r="A26" s="88"/>
    </row>
    <row r="27" spans="1:12">
      <c r="A27" s="89" t="s">
        <v>290</v>
      </c>
      <c r="B27" s="171">
        <v>30000</v>
      </c>
      <c r="C27" s="171"/>
      <c r="D27" s="171"/>
      <c r="E27" s="171"/>
      <c r="F27" s="171"/>
      <c r="H27" s="168" t="s">
        <v>299</v>
      </c>
      <c r="I27" s="169"/>
      <c r="J27" s="169"/>
      <c r="K27" s="169"/>
      <c r="L27" s="169"/>
    </row>
    <row r="28" spans="1:12">
      <c r="A28" s="88"/>
    </row>
    <row r="29" spans="1:12">
      <c r="A29" s="89" t="s">
        <v>290</v>
      </c>
      <c r="B29" s="171">
        <v>128510</v>
      </c>
      <c r="C29" s="171"/>
      <c r="D29" s="171"/>
      <c r="E29" s="171"/>
      <c r="F29" s="171"/>
      <c r="H29" s="168" t="s">
        <v>300</v>
      </c>
      <c r="I29" s="169"/>
      <c r="J29" s="169"/>
      <c r="K29" s="169"/>
      <c r="L29" s="169"/>
    </row>
    <row r="30" spans="1:12">
      <c r="A30" s="88"/>
    </row>
    <row r="31" spans="1:12">
      <c r="A31" s="89" t="s">
        <v>290</v>
      </c>
      <c r="B31" s="171">
        <v>35000</v>
      </c>
      <c r="C31" s="171"/>
      <c r="D31" s="171"/>
      <c r="E31" s="171"/>
      <c r="F31" s="171"/>
      <c r="H31" s="168" t="s">
        <v>301</v>
      </c>
      <c r="I31" s="169"/>
      <c r="J31" s="169"/>
      <c r="K31" s="169"/>
      <c r="L31" s="169"/>
    </row>
    <row r="32" spans="1:12">
      <c r="A32" s="89"/>
      <c r="B32" s="90"/>
      <c r="C32" s="90"/>
      <c r="D32" s="90"/>
      <c r="E32" s="90"/>
      <c r="F32" s="90"/>
      <c r="H32" s="91"/>
      <c r="I32" s="92"/>
      <c r="J32" s="92"/>
      <c r="K32" s="92"/>
      <c r="L32" s="92"/>
    </row>
    <row r="33" spans="1:12">
      <c r="A33" s="89" t="s">
        <v>290</v>
      </c>
      <c r="B33" s="171">
        <v>10640</v>
      </c>
      <c r="C33" s="171"/>
      <c r="D33" s="171"/>
      <c r="E33" s="171"/>
      <c r="F33" s="171"/>
      <c r="H33" s="168" t="s">
        <v>302</v>
      </c>
      <c r="I33" s="169"/>
      <c r="J33" s="169"/>
      <c r="K33" s="169"/>
      <c r="L33" s="169"/>
    </row>
    <row r="34" spans="1:12">
      <c r="A34" s="88"/>
    </row>
    <row r="35" spans="1:12">
      <c r="A35" s="89" t="s">
        <v>290</v>
      </c>
      <c r="B35" s="171">
        <v>5800</v>
      </c>
      <c r="C35" s="171"/>
      <c r="D35" s="171"/>
      <c r="E35" s="171"/>
      <c r="F35" s="171"/>
      <c r="H35" s="168" t="s">
        <v>303</v>
      </c>
      <c r="I35" s="169"/>
      <c r="J35" s="169"/>
      <c r="K35" s="169"/>
      <c r="L35" s="169"/>
    </row>
    <row r="36" spans="1:12">
      <c r="A36" s="89"/>
      <c r="B36" s="90"/>
      <c r="C36" s="90"/>
      <c r="D36" s="90"/>
      <c r="E36" s="90"/>
      <c r="F36" s="90"/>
      <c r="H36" s="91"/>
      <c r="I36" s="92"/>
      <c r="J36" s="92"/>
      <c r="K36" s="92"/>
      <c r="L36" s="92"/>
    </row>
    <row r="37" spans="1:12">
      <c r="A37" s="89" t="s">
        <v>290</v>
      </c>
      <c r="B37" s="171">
        <v>14619</v>
      </c>
      <c r="C37" s="171"/>
      <c r="D37" s="171"/>
      <c r="E37" s="171"/>
      <c r="F37" s="171"/>
      <c r="H37" s="168" t="s">
        <v>304</v>
      </c>
      <c r="I37" s="169"/>
      <c r="J37" s="169"/>
      <c r="K37" s="169"/>
      <c r="L37" s="169"/>
    </row>
    <row r="38" spans="1:12">
      <c r="A38" s="88"/>
    </row>
    <row r="39" spans="1:12">
      <c r="A39" s="89" t="s">
        <v>290</v>
      </c>
      <c r="B39" s="171">
        <v>50000</v>
      </c>
      <c r="C39" s="171"/>
      <c r="D39" s="171"/>
      <c r="E39" s="171"/>
      <c r="F39" s="171"/>
      <c r="H39" s="168" t="s">
        <v>305</v>
      </c>
      <c r="I39" s="169"/>
      <c r="J39" s="169"/>
      <c r="K39" s="169"/>
      <c r="L39" s="169"/>
    </row>
    <row r="40" spans="1:12">
      <c r="A40" s="88"/>
    </row>
    <row r="41" spans="1:12">
      <c r="A41" s="89" t="s">
        <v>306</v>
      </c>
      <c r="B41" s="171">
        <f>SUM(B11:F39)</f>
        <v>1330307</v>
      </c>
      <c r="C41" s="171"/>
      <c r="D41" s="171"/>
      <c r="E41" s="171"/>
      <c r="F41" s="171"/>
      <c r="H41" s="169"/>
      <c r="I41" s="169"/>
      <c r="J41" s="169"/>
      <c r="K41" s="169"/>
      <c r="L41" s="169"/>
    </row>
  </sheetData>
  <mergeCells count="36">
    <mergeCell ref="B37:F37"/>
    <mergeCell ref="H37:L37"/>
    <mergeCell ref="B39:F39"/>
    <mergeCell ref="H39:L39"/>
    <mergeCell ref="B41:F41"/>
    <mergeCell ref="H41:L41"/>
    <mergeCell ref="B31:F31"/>
    <mergeCell ref="H31:L31"/>
    <mergeCell ref="B33:F33"/>
    <mergeCell ref="H33:L33"/>
    <mergeCell ref="B35:F35"/>
    <mergeCell ref="H35:L35"/>
    <mergeCell ref="B25:F25"/>
    <mergeCell ref="H25:L25"/>
    <mergeCell ref="B27:F27"/>
    <mergeCell ref="H27:L27"/>
    <mergeCell ref="B29:F29"/>
    <mergeCell ref="H29:L29"/>
    <mergeCell ref="B19:F19"/>
    <mergeCell ref="H19:L19"/>
    <mergeCell ref="B21:F21"/>
    <mergeCell ref="H21:L21"/>
    <mergeCell ref="B23:F23"/>
    <mergeCell ref="H23:L23"/>
    <mergeCell ref="B13:F13"/>
    <mergeCell ref="H13:L13"/>
    <mergeCell ref="B15:F15"/>
    <mergeCell ref="H15:L15"/>
    <mergeCell ref="B17:F17"/>
    <mergeCell ref="H17:L17"/>
    <mergeCell ref="A1:M1"/>
    <mergeCell ref="B5:H5"/>
    <mergeCell ref="B9:F9"/>
    <mergeCell ref="H9:L9"/>
    <mergeCell ref="B11:F11"/>
    <mergeCell ref="H11:L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workbookViewId="0">
      <selection activeCell="Z27" sqref="Z27"/>
    </sheetView>
  </sheetViews>
  <sheetFormatPr defaultRowHeight="15"/>
  <cols>
    <col min="1" max="1" width="9.140625" style="82"/>
    <col min="2" max="2" width="4.7109375" style="82" customWidth="1"/>
    <col min="3" max="3" width="1.7109375" style="82" customWidth="1"/>
    <col min="4" max="4" width="4.7109375" style="82" customWidth="1"/>
    <col min="5" max="5" width="1.28515625" style="82" customWidth="1"/>
    <col min="6" max="6" width="5.7109375" style="82" customWidth="1"/>
    <col min="7" max="12" width="9.140625" style="82"/>
    <col min="13" max="13" width="5.42578125" style="82" customWidth="1"/>
    <col min="14" max="16384" width="9.140625" style="82"/>
  </cols>
  <sheetData>
    <row r="1" spans="1:13" ht="15.75">
      <c r="A1" s="167" t="s">
        <v>279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15.75">
      <c r="A2" s="83"/>
    </row>
    <row r="3" spans="1:13" ht="15.75">
      <c r="A3" s="83" t="s">
        <v>280</v>
      </c>
      <c r="B3" s="84" t="s">
        <v>281</v>
      </c>
      <c r="C3" s="85" t="s">
        <v>282</v>
      </c>
      <c r="D3" s="86" t="s">
        <v>307</v>
      </c>
      <c r="E3" s="87" t="s">
        <v>282</v>
      </c>
      <c r="F3" s="86" t="s">
        <v>308</v>
      </c>
    </row>
    <row r="4" spans="1:13" ht="15.75">
      <c r="A4" s="83"/>
    </row>
    <row r="5" spans="1:13" ht="15.75">
      <c r="A5" s="83" t="s">
        <v>285</v>
      </c>
      <c r="B5" s="168" t="s">
        <v>309</v>
      </c>
      <c r="C5" s="169"/>
      <c r="D5" s="169"/>
      <c r="E5" s="169"/>
      <c r="F5" s="169"/>
      <c r="G5" s="169"/>
      <c r="H5" s="169"/>
    </row>
    <row r="6" spans="1:13" ht="15.75">
      <c r="A6" s="83"/>
    </row>
    <row r="7" spans="1:13" ht="15.75">
      <c r="A7" s="83" t="s">
        <v>287</v>
      </c>
    </row>
    <row r="8" spans="1:13" ht="15.75">
      <c r="A8" s="83"/>
    </row>
    <row r="9" spans="1:13">
      <c r="B9" s="170" t="s">
        <v>288</v>
      </c>
      <c r="C9" s="170"/>
      <c r="D9" s="170"/>
      <c r="E9" s="170"/>
      <c r="F9" s="170"/>
      <c r="H9" s="170" t="s">
        <v>289</v>
      </c>
      <c r="I9" s="170"/>
      <c r="J9" s="170"/>
      <c r="K9" s="170"/>
      <c r="L9" s="170"/>
    </row>
    <row r="10" spans="1:13">
      <c r="A10" s="88"/>
    </row>
    <row r="11" spans="1:13">
      <c r="A11" s="89" t="s">
        <v>290</v>
      </c>
      <c r="B11" s="171">
        <v>196476</v>
      </c>
      <c r="C11" s="171"/>
      <c r="D11" s="171"/>
      <c r="E11" s="171"/>
      <c r="F11" s="171"/>
      <c r="H11" s="168" t="s">
        <v>370</v>
      </c>
      <c r="I11" s="169"/>
      <c r="J11" s="169"/>
      <c r="K11" s="169"/>
      <c r="L11" s="169"/>
    </row>
    <row r="12" spans="1:13">
      <c r="A12" s="88"/>
    </row>
    <row r="13" spans="1:13">
      <c r="A13" s="89" t="s">
        <v>290</v>
      </c>
      <c r="B13" s="171"/>
      <c r="C13" s="171"/>
      <c r="D13" s="171"/>
      <c r="E13" s="171"/>
      <c r="F13" s="171"/>
      <c r="H13" s="169"/>
      <c r="I13" s="169"/>
      <c r="J13" s="169"/>
      <c r="K13" s="169"/>
      <c r="L13" s="169"/>
    </row>
    <row r="14" spans="1:13">
      <c r="A14" s="88"/>
    </row>
    <row r="15" spans="1:13">
      <c r="A15" s="89" t="s">
        <v>290</v>
      </c>
      <c r="B15" s="171"/>
      <c r="C15" s="171"/>
      <c r="D15" s="171"/>
      <c r="E15" s="171"/>
      <c r="F15" s="171"/>
      <c r="H15" s="169"/>
      <c r="I15" s="169"/>
      <c r="J15" s="169"/>
      <c r="K15" s="169"/>
      <c r="L15" s="169"/>
    </row>
    <row r="16" spans="1:13">
      <c r="A16" s="88"/>
    </row>
    <row r="17" spans="1:12">
      <c r="A17" s="89" t="s">
        <v>290</v>
      </c>
      <c r="B17" s="171"/>
      <c r="C17" s="171"/>
      <c r="D17" s="171"/>
      <c r="E17" s="171"/>
      <c r="F17" s="171"/>
      <c r="H17" s="169"/>
      <c r="I17" s="169"/>
      <c r="J17" s="169"/>
      <c r="K17" s="169"/>
      <c r="L17" s="169"/>
    </row>
    <row r="18" spans="1:12">
      <c r="A18" s="88"/>
    </row>
    <row r="19" spans="1:12">
      <c r="A19" s="89" t="s">
        <v>290</v>
      </c>
      <c r="B19" s="171"/>
      <c r="C19" s="171"/>
      <c r="D19" s="171"/>
      <c r="E19" s="171"/>
      <c r="F19" s="171"/>
      <c r="H19" s="169"/>
      <c r="I19" s="169"/>
      <c r="J19" s="169"/>
      <c r="K19" s="169"/>
      <c r="L19" s="169"/>
    </row>
    <row r="20" spans="1:12">
      <c r="A20" s="88"/>
    </row>
    <row r="21" spans="1:12">
      <c r="A21" s="89" t="s">
        <v>290</v>
      </c>
      <c r="B21" s="171"/>
      <c r="C21" s="171"/>
      <c r="D21" s="171"/>
      <c r="E21" s="171"/>
      <c r="F21" s="171"/>
      <c r="H21" s="169"/>
      <c r="I21" s="169"/>
      <c r="J21" s="169"/>
      <c r="K21" s="169"/>
      <c r="L21" s="169"/>
    </row>
    <row r="22" spans="1:12">
      <c r="A22" s="88"/>
    </row>
    <row r="23" spans="1:12">
      <c r="A23" s="89" t="s">
        <v>290</v>
      </c>
      <c r="B23" s="171"/>
      <c r="C23" s="171"/>
      <c r="D23" s="171"/>
      <c r="E23" s="171"/>
      <c r="F23" s="171"/>
      <c r="H23" s="169"/>
      <c r="I23" s="169"/>
      <c r="J23" s="169"/>
      <c r="K23" s="169"/>
      <c r="L23" s="169"/>
    </row>
    <row r="24" spans="1:12">
      <c r="A24" s="88"/>
    </row>
    <row r="25" spans="1:12">
      <c r="A25" s="88"/>
    </row>
    <row r="26" spans="1:12" ht="15.75">
      <c r="A26" s="83" t="s">
        <v>280</v>
      </c>
      <c r="B26" s="84" t="s">
        <v>281</v>
      </c>
      <c r="C26" s="85" t="s">
        <v>282</v>
      </c>
      <c r="D26" s="86" t="s">
        <v>307</v>
      </c>
      <c r="E26" s="87" t="s">
        <v>282</v>
      </c>
      <c r="F26" s="86" t="s">
        <v>310</v>
      </c>
    </row>
    <row r="27" spans="1:12" ht="15.75">
      <c r="A27" s="83"/>
    </row>
    <row r="28" spans="1:12" ht="15.75">
      <c r="A28" s="83" t="s">
        <v>285</v>
      </c>
      <c r="B28" s="168" t="s">
        <v>311</v>
      </c>
      <c r="C28" s="169"/>
      <c r="D28" s="169"/>
      <c r="E28" s="169"/>
      <c r="F28" s="169"/>
      <c r="G28" s="169"/>
      <c r="H28" s="169"/>
    </row>
    <row r="29" spans="1:12" ht="15.75">
      <c r="A29" s="83"/>
    </row>
    <row r="30" spans="1:12" ht="15.75">
      <c r="A30" s="83" t="s">
        <v>287</v>
      </c>
    </row>
    <row r="31" spans="1:12" ht="15.75">
      <c r="A31" s="83"/>
    </row>
    <row r="32" spans="1:12">
      <c r="B32" s="170" t="s">
        <v>288</v>
      </c>
      <c r="C32" s="170"/>
      <c r="D32" s="170"/>
      <c r="E32" s="170"/>
      <c r="F32" s="170"/>
      <c r="H32" s="170" t="s">
        <v>289</v>
      </c>
      <c r="I32" s="170"/>
      <c r="J32" s="170"/>
      <c r="K32" s="170"/>
      <c r="L32" s="170"/>
    </row>
    <row r="33" spans="1:12">
      <c r="A33" s="88"/>
    </row>
    <row r="34" spans="1:12">
      <c r="A34" s="89" t="s">
        <v>290</v>
      </c>
      <c r="B34" s="171">
        <v>8300</v>
      </c>
      <c r="C34" s="171"/>
      <c r="D34" s="171"/>
      <c r="E34" s="171"/>
      <c r="F34" s="171"/>
      <c r="H34" s="168" t="s">
        <v>312</v>
      </c>
      <c r="I34" s="169"/>
      <c r="J34" s="169"/>
      <c r="K34" s="169"/>
      <c r="L34" s="169"/>
    </row>
    <row r="35" spans="1:12">
      <c r="A35" s="88"/>
    </row>
    <row r="36" spans="1:12">
      <c r="A36" s="89" t="s">
        <v>290</v>
      </c>
      <c r="B36" s="171"/>
      <c r="C36" s="171"/>
      <c r="D36" s="171"/>
      <c r="E36" s="171"/>
      <c r="F36" s="171"/>
      <c r="H36" s="168"/>
      <c r="I36" s="169"/>
      <c r="J36" s="169"/>
      <c r="K36" s="169"/>
      <c r="L36" s="169"/>
    </row>
    <row r="37" spans="1:12">
      <c r="A37" s="88"/>
    </row>
    <row r="38" spans="1:12">
      <c r="A38" s="89" t="s">
        <v>290</v>
      </c>
      <c r="B38" s="171"/>
      <c r="C38" s="171"/>
      <c r="D38" s="171"/>
      <c r="E38" s="171"/>
      <c r="F38" s="171"/>
      <c r="H38" s="169"/>
      <c r="I38" s="169"/>
      <c r="J38" s="169"/>
      <c r="K38" s="169"/>
      <c r="L38" s="169"/>
    </row>
    <row r="39" spans="1:12">
      <c r="A39" s="88"/>
    </row>
    <row r="40" spans="1:12">
      <c r="A40" s="89" t="s">
        <v>290</v>
      </c>
      <c r="B40" s="171"/>
      <c r="C40" s="171"/>
      <c r="D40" s="171"/>
      <c r="E40" s="171"/>
      <c r="F40" s="171"/>
      <c r="H40" s="169"/>
      <c r="I40" s="169"/>
      <c r="J40" s="169"/>
      <c r="K40" s="169"/>
      <c r="L40" s="169"/>
    </row>
    <row r="41" spans="1:12">
      <c r="A41" s="88"/>
    </row>
    <row r="42" spans="1:12">
      <c r="A42" s="89" t="s">
        <v>290</v>
      </c>
      <c r="B42" s="171"/>
      <c r="C42" s="171"/>
      <c r="D42" s="171"/>
      <c r="E42" s="171"/>
      <c r="F42" s="171"/>
      <c r="H42" s="169"/>
      <c r="I42" s="169"/>
      <c r="J42" s="169"/>
      <c r="K42" s="169"/>
      <c r="L42" s="169"/>
    </row>
    <row r="43" spans="1:12">
      <c r="A43" s="88"/>
    </row>
    <row r="44" spans="1:12">
      <c r="A44" s="89" t="s">
        <v>290</v>
      </c>
      <c r="B44" s="171"/>
      <c r="C44" s="171"/>
      <c r="D44" s="171"/>
      <c r="E44" s="171"/>
      <c r="F44" s="171"/>
      <c r="H44" s="169"/>
      <c r="I44" s="169"/>
      <c r="J44" s="169"/>
      <c r="K44" s="169"/>
      <c r="L44" s="169"/>
    </row>
    <row r="45" spans="1:12">
      <c r="A45" s="88"/>
    </row>
    <row r="46" spans="1:12">
      <c r="A46" s="89" t="s">
        <v>290</v>
      </c>
      <c r="B46" s="171"/>
      <c r="C46" s="171"/>
      <c r="D46" s="171"/>
      <c r="E46" s="171"/>
      <c r="F46" s="171"/>
      <c r="H46" s="169"/>
      <c r="I46" s="169"/>
      <c r="J46" s="169"/>
      <c r="K46" s="169"/>
      <c r="L46" s="169"/>
    </row>
  </sheetData>
  <mergeCells count="35">
    <mergeCell ref="B44:F44"/>
    <mergeCell ref="H44:L44"/>
    <mergeCell ref="B46:F46"/>
    <mergeCell ref="H46:L46"/>
    <mergeCell ref="B38:F38"/>
    <mergeCell ref="H38:L38"/>
    <mergeCell ref="B40:F40"/>
    <mergeCell ref="H40:L40"/>
    <mergeCell ref="B42:F42"/>
    <mergeCell ref="H42:L42"/>
    <mergeCell ref="B36:F36"/>
    <mergeCell ref="H36:L36"/>
    <mergeCell ref="B19:F19"/>
    <mergeCell ref="H19:L19"/>
    <mergeCell ref="B21:F21"/>
    <mergeCell ref="H21:L21"/>
    <mergeCell ref="B23:F23"/>
    <mergeCell ref="H23:L23"/>
    <mergeCell ref="B28:H28"/>
    <mergeCell ref="B32:F32"/>
    <mergeCell ref="H32:L32"/>
    <mergeCell ref="B34:F34"/>
    <mergeCell ref="H34:L34"/>
    <mergeCell ref="B13:F13"/>
    <mergeCell ref="H13:L13"/>
    <mergeCell ref="B15:F15"/>
    <mergeCell ref="H15:L15"/>
    <mergeCell ref="B17:F17"/>
    <mergeCell ref="H17:L17"/>
    <mergeCell ref="A1:M1"/>
    <mergeCell ref="B5:H5"/>
    <mergeCell ref="B9:F9"/>
    <mergeCell ref="H9:L9"/>
    <mergeCell ref="B11:F11"/>
    <mergeCell ref="H11:L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32"/>
  <sheetViews>
    <sheetView workbookViewId="0">
      <selection activeCell="N31" sqref="N31"/>
    </sheetView>
  </sheetViews>
  <sheetFormatPr defaultRowHeight="12.75"/>
  <cols>
    <col min="5" max="11" width="11.7109375" customWidth="1"/>
    <col min="261" max="267" width="11.7109375" customWidth="1"/>
    <col min="517" max="523" width="11.7109375" customWidth="1"/>
    <col min="773" max="779" width="11.7109375" customWidth="1"/>
    <col min="1029" max="1035" width="11.7109375" customWidth="1"/>
    <col min="1285" max="1291" width="11.7109375" customWidth="1"/>
    <col min="1541" max="1547" width="11.7109375" customWidth="1"/>
    <col min="1797" max="1803" width="11.7109375" customWidth="1"/>
    <col min="2053" max="2059" width="11.7109375" customWidth="1"/>
    <col min="2309" max="2315" width="11.7109375" customWidth="1"/>
    <col min="2565" max="2571" width="11.7109375" customWidth="1"/>
    <col min="2821" max="2827" width="11.7109375" customWidth="1"/>
    <col min="3077" max="3083" width="11.7109375" customWidth="1"/>
    <col min="3333" max="3339" width="11.7109375" customWidth="1"/>
    <col min="3589" max="3595" width="11.7109375" customWidth="1"/>
    <col min="3845" max="3851" width="11.7109375" customWidth="1"/>
    <col min="4101" max="4107" width="11.7109375" customWidth="1"/>
    <col min="4357" max="4363" width="11.7109375" customWidth="1"/>
    <col min="4613" max="4619" width="11.7109375" customWidth="1"/>
    <col min="4869" max="4875" width="11.7109375" customWidth="1"/>
    <col min="5125" max="5131" width="11.7109375" customWidth="1"/>
    <col min="5381" max="5387" width="11.7109375" customWidth="1"/>
    <col min="5637" max="5643" width="11.7109375" customWidth="1"/>
    <col min="5893" max="5899" width="11.7109375" customWidth="1"/>
    <col min="6149" max="6155" width="11.7109375" customWidth="1"/>
    <col min="6405" max="6411" width="11.7109375" customWidth="1"/>
    <col min="6661" max="6667" width="11.7109375" customWidth="1"/>
    <col min="6917" max="6923" width="11.7109375" customWidth="1"/>
    <col min="7173" max="7179" width="11.7109375" customWidth="1"/>
    <col min="7429" max="7435" width="11.7109375" customWidth="1"/>
    <col min="7685" max="7691" width="11.7109375" customWidth="1"/>
    <col min="7941" max="7947" width="11.7109375" customWidth="1"/>
    <col min="8197" max="8203" width="11.7109375" customWidth="1"/>
    <col min="8453" max="8459" width="11.7109375" customWidth="1"/>
    <col min="8709" max="8715" width="11.7109375" customWidth="1"/>
    <col min="8965" max="8971" width="11.7109375" customWidth="1"/>
    <col min="9221" max="9227" width="11.7109375" customWidth="1"/>
    <col min="9477" max="9483" width="11.7109375" customWidth="1"/>
    <col min="9733" max="9739" width="11.7109375" customWidth="1"/>
    <col min="9989" max="9995" width="11.7109375" customWidth="1"/>
    <col min="10245" max="10251" width="11.7109375" customWidth="1"/>
    <col min="10501" max="10507" width="11.7109375" customWidth="1"/>
    <col min="10757" max="10763" width="11.7109375" customWidth="1"/>
    <col min="11013" max="11019" width="11.7109375" customWidth="1"/>
    <col min="11269" max="11275" width="11.7109375" customWidth="1"/>
    <col min="11525" max="11531" width="11.7109375" customWidth="1"/>
    <col min="11781" max="11787" width="11.7109375" customWidth="1"/>
    <col min="12037" max="12043" width="11.7109375" customWidth="1"/>
    <col min="12293" max="12299" width="11.7109375" customWidth="1"/>
    <col min="12549" max="12555" width="11.7109375" customWidth="1"/>
    <col min="12805" max="12811" width="11.7109375" customWidth="1"/>
    <col min="13061" max="13067" width="11.7109375" customWidth="1"/>
    <col min="13317" max="13323" width="11.7109375" customWidth="1"/>
    <col min="13573" max="13579" width="11.7109375" customWidth="1"/>
    <col min="13829" max="13835" width="11.7109375" customWidth="1"/>
    <col min="14085" max="14091" width="11.7109375" customWidth="1"/>
    <col min="14341" max="14347" width="11.7109375" customWidth="1"/>
    <col min="14597" max="14603" width="11.7109375" customWidth="1"/>
    <col min="14853" max="14859" width="11.7109375" customWidth="1"/>
    <col min="15109" max="15115" width="11.7109375" customWidth="1"/>
    <col min="15365" max="15371" width="11.7109375" customWidth="1"/>
    <col min="15621" max="15627" width="11.7109375" customWidth="1"/>
    <col min="15877" max="15883" width="11.7109375" customWidth="1"/>
    <col min="16133" max="16139" width="11.7109375" customWidth="1"/>
  </cols>
  <sheetData>
    <row r="1" spans="1:12">
      <c r="A1" s="137"/>
      <c r="B1" s="137"/>
      <c r="C1" s="137"/>
      <c r="D1" s="137"/>
      <c r="E1" s="137"/>
      <c r="F1" s="137"/>
      <c r="G1" s="137" t="s">
        <v>406</v>
      </c>
      <c r="H1" s="137"/>
      <c r="I1" s="137"/>
      <c r="J1" s="137"/>
      <c r="K1" s="137"/>
      <c r="L1" s="137"/>
    </row>
    <row r="2" spans="1:12">
      <c r="A2" s="137"/>
      <c r="B2" s="137"/>
      <c r="C2" s="137"/>
      <c r="D2" s="137"/>
      <c r="E2" s="137"/>
      <c r="F2" s="137"/>
      <c r="G2" s="138" t="s">
        <v>407</v>
      </c>
      <c r="H2" s="137"/>
      <c r="I2" s="137"/>
      <c r="J2" s="137"/>
      <c r="K2" s="137"/>
      <c r="L2" s="137"/>
    </row>
    <row r="3" spans="1:12">
      <c r="A3" s="137"/>
      <c r="B3" s="137"/>
      <c r="C3" s="137"/>
      <c r="D3" s="137"/>
      <c r="E3" s="137"/>
      <c r="F3" s="137"/>
      <c r="G3" s="138" t="s">
        <v>408</v>
      </c>
      <c r="H3" s="137"/>
      <c r="I3" s="137"/>
      <c r="J3" s="137"/>
      <c r="K3" s="137"/>
      <c r="L3" s="137"/>
    </row>
    <row r="4" spans="1:12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5" spans="1:12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2">
      <c r="A6" s="140"/>
      <c r="B6" s="139"/>
      <c r="C6" s="139"/>
      <c r="D6" s="139"/>
      <c r="E6" s="141">
        <v>2016</v>
      </c>
      <c r="F6" s="142"/>
      <c r="G6" s="143">
        <v>2017</v>
      </c>
      <c r="H6" s="143">
        <v>2018</v>
      </c>
      <c r="I6" s="143">
        <v>2019</v>
      </c>
      <c r="J6" s="143">
        <v>2020</v>
      </c>
      <c r="K6" s="143">
        <v>2021</v>
      </c>
      <c r="L6" s="139"/>
    </row>
    <row r="7" spans="1:12">
      <c r="A7" s="144" t="s">
        <v>409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</row>
    <row r="8" spans="1:12">
      <c r="A8" s="145"/>
      <c r="B8" s="146" t="s">
        <v>410</v>
      </c>
      <c r="C8" s="145"/>
      <c r="D8" s="145"/>
      <c r="E8" s="147">
        <v>116050</v>
      </c>
      <c r="F8" s="147"/>
      <c r="G8" s="147">
        <v>21255</v>
      </c>
      <c r="H8" s="147">
        <v>0</v>
      </c>
      <c r="I8" s="147">
        <v>0</v>
      </c>
      <c r="J8" s="147">
        <v>0</v>
      </c>
      <c r="K8" s="147">
        <v>0</v>
      </c>
      <c r="L8" s="145"/>
    </row>
    <row r="9" spans="1:12">
      <c r="A9" s="145"/>
      <c r="B9" s="146" t="s">
        <v>411</v>
      </c>
      <c r="C9" s="145"/>
      <c r="D9" s="145"/>
      <c r="E9" s="148"/>
      <c r="F9" s="148"/>
      <c r="G9" s="148">
        <v>115024</v>
      </c>
      <c r="H9" s="148"/>
      <c r="I9" s="148"/>
      <c r="J9" s="148"/>
      <c r="K9" s="148"/>
      <c r="L9" s="145"/>
    </row>
    <row r="10" spans="1:12">
      <c r="A10" s="145"/>
      <c r="B10" s="146" t="s">
        <v>412</v>
      </c>
      <c r="C10" s="145"/>
      <c r="D10" s="145"/>
      <c r="E10" s="148">
        <v>9190.5</v>
      </c>
      <c r="F10" s="148"/>
      <c r="G10" s="148">
        <v>9190.5</v>
      </c>
      <c r="H10" s="148">
        <v>9190.5</v>
      </c>
      <c r="I10" s="148">
        <v>9190.5</v>
      </c>
      <c r="J10" s="148">
        <v>9190.5</v>
      </c>
      <c r="K10" s="148">
        <v>9190.5</v>
      </c>
      <c r="L10" s="145"/>
    </row>
    <row r="11" spans="1:12">
      <c r="A11" s="145"/>
      <c r="B11" s="146" t="s">
        <v>413</v>
      </c>
      <c r="C11" s="145"/>
      <c r="D11" s="145"/>
      <c r="E11" s="148">
        <v>4417</v>
      </c>
      <c r="F11" s="148"/>
      <c r="G11" s="148"/>
      <c r="H11" s="148">
        <v>4600</v>
      </c>
      <c r="I11" s="148"/>
      <c r="J11" s="148">
        <v>4600</v>
      </c>
      <c r="K11" s="148"/>
      <c r="L11" s="145"/>
    </row>
    <row r="12" spans="1:12">
      <c r="A12" s="145"/>
      <c r="B12" s="146" t="s">
        <v>414</v>
      </c>
      <c r="C12" s="145"/>
      <c r="D12" s="145"/>
      <c r="E12" s="148"/>
      <c r="F12" s="148"/>
      <c r="G12" s="148">
        <v>127090</v>
      </c>
      <c r="H12" s="148"/>
      <c r="I12" s="148"/>
      <c r="J12" s="148"/>
      <c r="K12" s="148"/>
      <c r="L12" s="145"/>
    </row>
    <row r="13" spans="1:12">
      <c r="A13" s="145"/>
      <c r="B13" s="146" t="s">
        <v>415</v>
      </c>
      <c r="C13" s="145"/>
      <c r="D13" s="145"/>
      <c r="E13" s="148"/>
      <c r="F13" s="148"/>
      <c r="G13" s="148">
        <v>31628</v>
      </c>
      <c r="H13" s="148"/>
      <c r="I13" s="148"/>
      <c r="J13" s="148"/>
      <c r="K13" s="148"/>
      <c r="L13" s="145"/>
    </row>
    <row r="14" spans="1:12">
      <c r="A14" s="145"/>
      <c r="B14" s="146" t="s">
        <v>416</v>
      </c>
      <c r="C14" s="145"/>
      <c r="D14" s="145"/>
      <c r="E14" s="148"/>
      <c r="F14" s="148"/>
      <c r="G14" s="148">
        <v>23296</v>
      </c>
      <c r="H14" s="148"/>
      <c r="I14" s="148"/>
      <c r="J14" s="148"/>
      <c r="K14" s="148"/>
      <c r="L14" s="145"/>
    </row>
    <row r="15" spans="1:12">
      <c r="A15" s="145"/>
      <c r="B15" s="146" t="s">
        <v>417</v>
      </c>
      <c r="C15" s="145"/>
      <c r="D15" s="145"/>
      <c r="E15" s="148">
        <v>24000</v>
      </c>
      <c r="F15" s="148"/>
      <c r="G15" s="148"/>
      <c r="H15" s="148"/>
      <c r="I15" s="148"/>
      <c r="J15" s="148"/>
      <c r="K15" s="148"/>
      <c r="L15" s="145"/>
    </row>
    <row r="16" spans="1:12">
      <c r="A16" s="145"/>
      <c r="B16" s="146" t="s">
        <v>418</v>
      </c>
      <c r="C16" s="145"/>
      <c r="D16" s="145"/>
      <c r="E16" s="148">
        <v>5000</v>
      </c>
      <c r="F16" s="148"/>
      <c r="G16" s="148"/>
      <c r="H16" s="148"/>
      <c r="I16" s="148"/>
      <c r="J16" s="148"/>
      <c r="K16" s="148"/>
      <c r="L16" s="145"/>
    </row>
    <row r="17" spans="2:11">
      <c r="B17" s="146" t="s">
        <v>419</v>
      </c>
      <c r="C17" s="145"/>
      <c r="D17" s="145"/>
      <c r="E17" s="148">
        <v>99500</v>
      </c>
      <c r="F17" s="148"/>
      <c r="G17" s="148"/>
      <c r="H17" s="148"/>
      <c r="I17" s="148"/>
      <c r="J17" s="148"/>
      <c r="K17" s="148"/>
    </row>
    <row r="18" spans="2:11">
      <c r="B18" s="146" t="s">
        <v>420</v>
      </c>
      <c r="C18" s="145"/>
      <c r="D18" s="145"/>
      <c r="E18" s="148">
        <v>21000</v>
      </c>
      <c r="F18" s="148"/>
      <c r="G18" s="148"/>
      <c r="H18" s="148"/>
      <c r="I18" s="148"/>
      <c r="J18" s="148"/>
      <c r="K18" s="148"/>
    </row>
    <row r="19" spans="2:11">
      <c r="B19" s="146" t="s">
        <v>291</v>
      </c>
      <c r="C19" s="145"/>
      <c r="D19" s="145"/>
      <c r="E19" s="148"/>
      <c r="F19" s="148"/>
      <c r="G19" s="148">
        <v>695289</v>
      </c>
      <c r="H19" s="148"/>
      <c r="I19" s="148"/>
      <c r="J19" s="148"/>
      <c r="K19" s="148"/>
    </row>
    <row r="20" spans="2:11">
      <c r="B20" s="146" t="s">
        <v>421</v>
      </c>
      <c r="C20" s="145"/>
      <c r="D20" s="145"/>
      <c r="E20" s="148">
        <v>10000</v>
      </c>
      <c r="F20" s="148"/>
      <c r="G20" s="148"/>
      <c r="H20" s="148"/>
      <c r="I20" s="148"/>
      <c r="J20" s="148"/>
      <c r="K20" s="148"/>
    </row>
    <row r="21" spans="2:11">
      <c r="B21" s="146" t="s">
        <v>422</v>
      </c>
      <c r="C21" s="145"/>
      <c r="D21" s="145"/>
      <c r="E21" s="148"/>
      <c r="F21" s="148"/>
      <c r="G21" s="148">
        <v>196476</v>
      </c>
      <c r="H21" s="148">
        <v>39624</v>
      </c>
      <c r="I21" s="148"/>
      <c r="J21" s="148"/>
      <c r="K21" s="148"/>
    </row>
    <row r="22" spans="2:11">
      <c r="B22" s="146" t="s">
        <v>423</v>
      </c>
      <c r="C22" s="145"/>
      <c r="D22" s="145"/>
      <c r="E22" s="147"/>
      <c r="F22" s="147"/>
      <c r="G22" s="148">
        <v>18100</v>
      </c>
      <c r="H22" s="148"/>
      <c r="I22" s="148"/>
      <c r="J22" s="148"/>
      <c r="K22" s="148"/>
    </row>
    <row r="23" spans="2:11">
      <c r="B23" s="146" t="s">
        <v>424</v>
      </c>
      <c r="C23" s="145"/>
      <c r="D23" s="145"/>
      <c r="E23" s="148"/>
      <c r="F23" s="148"/>
      <c r="G23" s="148">
        <v>35000</v>
      </c>
      <c r="H23" s="148"/>
      <c r="I23" s="148"/>
      <c r="J23" s="148"/>
      <c r="K23" s="148"/>
    </row>
    <row r="24" spans="2:11">
      <c r="B24" s="146" t="s">
        <v>425</v>
      </c>
      <c r="C24" s="145"/>
      <c r="D24" s="145"/>
      <c r="E24" s="148"/>
      <c r="F24" s="148"/>
      <c r="G24" s="148">
        <v>3500</v>
      </c>
      <c r="H24" s="148"/>
      <c r="I24" s="148"/>
      <c r="J24" s="148"/>
      <c r="K24" s="148"/>
    </row>
    <row r="25" spans="2:11">
      <c r="B25" s="146" t="s">
        <v>298</v>
      </c>
      <c r="C25" s="145"/>
      <c r="D25" s="145"/>
      <c r="E25" s="148"/>
      <c r="F25" s="148"/>
      <c r="G25" s="148">
        <v>50720</v>
      </c>
      <c r="H25" s="148"/>
      <c r="I25" s="148"/>
      <c r="J25" s="148"/>
      <c r="K25" s="148"/>
    </row>
    <row r="26" spans="2:11">
      <c r="B26" s="146" t="s">
        <v>299</v>
      </c>
      <c r="C26" s="145"/>
      <c r="D26" s="145"/>
      <c r="E26" s="148"/>
      <c r="F26" s="148"/>
      <c r="G26" s="148">
        <v>30000</v>
      </c>
      <c r="H26" s="148"/>
      <c r="I26" s="148"/>
      <c r="J26" s="148"/>
      <c r="K26" s="148"/>
    </row>
    <row r="27" spans="2:11">
      <c r="B27" s="146" t="s">
        <v>426</v>
      </c>
      <c r="C27" s="145"/>
      <c r="D27" s="145"/>
      <c r="E27" s="148"/>
      <c r="F27" s="148"/>
      <c r="G27" s="148">
        <v>128510</v>
      </c>
      <c r="H27" s="148"/>
      <c r="I27" s="148"/>
      <c r="J27" s="148"/>
      <c r="K27" s="148"/>
    </row>
    <row r="28" spans="2:11">
      <c r="B28" s="146" t="s">
        <v>427</v>
      </c>
      <c r="C28" s="145"/>
      <c r="D28" s="145"/>
      <c r="E28" s="148"/>
      <c r="F28" s="148"/>
      <c r="G28" s="148">
        <v>5800</v>
      </c>
      <c r="H28" s="148"/>
      <c r="I28" s="148"/>
      <c r="J28" s="148"/>
      <c r="K28" s="148"/>
    </row>
    <row r="29" spans="2:11">
      <c r="B29" s="146" t="s">
        <v>428</v>
      </c>
      <c r="C29" s="145"/>
      <c r="D29" s="145"/>
      <c r="E29" s="148"/>
      <c r="F29" s="148"/>
      <c r="G29" s="148">
        <v>14619</v>
      </c>
      <c r="H29" s="148"/>
      <c r="I29" s="148"/>
      <c r="J29" s="148"/>
      <c r="K29" s="148"/>
    </row>
    <row r="30" spans="2:11">
      <c r="B30" s="146" t="s">
        <v>429</v>
      </c>
      <c r="C30" s="145"/>
      <c r="D30" s="145"/>
      <c r="E30" s="148"/>
      <c r="F30" s="148"/>
      <c r="G30" s="148">
        <v>10640</v>
      </c>
      <c r="H30" s="148"/>
      <c r="I30" s="148"/>
      <c r="J30" s="148"/>
      <c r="K30" s="148"/>
    </row>
    <row r="31" spans="2:11">
      <c r="B31" s="146" t="s">
        <v>312</v>
      </c>
      <c r="C31" s="145"/>
      <c r="D31" s="145"/>
      <c r="E31" s="148"/>
      <c r="F31" s="148"/>
      <c r="G31" s="148">
        <v>8300</v>
      </c>
      <c r="H31" s="148"/>
      <c r="I31" s="148"/>
      <c r="J31" s="148"/>
      <c r="K31" s="148"/>
    </row>
    <row r="32" spans="2:11">
      <c r="B32" s="146" t="s">
        <v>430</v>
      </c>
      <c r="C32" s="145"/>
      <c r="D32" s="145"/>
      <c r="E32" s="148"/>
      <c r="F32" s="148"/>
      <c r="G32" s="148">
        <v>2000</v>
      </c>
      <c r="H32" s="148"/>
      <c r="I32" s="148"/>
      <c r="J32" s="148"/>
      <c r="K32" s="148"/>
    </row>
    <row r="33" spans="2:11">
      <c r="B33" s="146" t="s">
        <v>431</v>
      </c>
      <c r="C33" s="145"/>
      <c r="D33" s="145"/>
      <c r="E33" s="148"/>
      <c r="F33" s="148"/>
      <c r="G33" s="148"/>
      <c r="H33" s="148">
        <v>25000</v>
      </c>
      <c r="I33" s="148"/>
      <c r="J33" s="148"/>
      <c r="K33" s="148"/>
    </row>
    <row r="34" spans="2:11">
      <c r="B34" s="146" t="s">
        <v>432</v>
      </c>
      <c r="C34" s="145"/>
      <c r="D34" s="145"/>
      <c r="E34" s="148"/>
      <c r="F34" s="148"/>
      <c r="G34" s="148"/>
      <c r="H34" s="148">
        <v>491315</v>
      </c>
      <c r="I34" s="148"/>
      <c r="J34" s="148"/>
      <c r="K34" s="148"/>
    </row>
    <row r="35" spans="2:11">
      <c r="B35" s="146" t="s">
        <v>433</v>
      </c>
      <c r="C35" s="145"/>
      <c r="D35" s="145"/>
      <c r="E35" s="148"/>
      <c r="F35" s="148"/>
      <c r="G35" s="148"/>
      <c r="H35" s="148">
        <v>19661</v>
      </c>
      <c r="I35" s="148"/>
      <c r="J35" s="148"/>
      <c r="K35" s="148"/>
    </row>
    <row r="36" spans="2:11">
      <c r="B36" s="146" t="s">
        <v>434</v>
      </c>
      <c r="C36" s="145"/>
      <c r="D36" s="145"/>
      <c r="E36" s="148"/>
      <c r="F36" s="148"/>
      <c r="G36" s="148"/>
      <c r="H36" s="148"/>
      <c r="I36" s="148">
        <v>168684</v>
      </c>
      <c r="J36" s="148"/>
      <c r="K36" s="148"/>
    </row>
    <row r="37" spans="2:11">
      <c r="B37" s="146" t="s">
        <v>435</v>
      </c>
      <c r="C37" s="145"/>
      <c r="D37" s="145"/>
      <c r="E37" s="148"/>
      <c r="F37" s="148"/>
      <c r="G37" s="148"/>
      <c r="H37" s="148"/>
      <c r="I37" s="148">
        <v>6750</v>
      </c>
      <c r="J37" s="148"/>
      <c r="K37" s="148"/>
    </row>
    <row r="38" spans="2:11">
      <c r="B38" s="146" t="s">
        <v>436</v>
      </c>
      <c r="C38" s="145"/>
      <c r="D38" s="145"/>
      <c r="E38" s="148"/>
      <c r="F38" s="148"/>
      <c r="G38" s="148"/>
      <c r="H38" s="148">
        <v>7000</v>
      </c>
      <c r="I38" s="148"/>
      <c r="J38" s="148"/>
      <c r="K38" s="148"/>
    </row>
    <row r="39" spans="2:11">
      <c r="B39" s="146" t="s">
        <v>437</v>
      </c>
      <c r="C39" s="145"/>
      <c r="D39" s="145"/>
      <c r="E39" s="148"/>
      <c r="F39" s="148"/>
      <c r="G39" s="148"/>
      <c r="H39" s="148">
        <v>50000</v>
      </c>
      <c r="I39" s="148"/>
      <c r="J39" s="148"/>
      <c r="K39" s="148"/>
    </row>
    <row r="40" spans="2:11">
      <c r="B40" s="146" t="s">
        <v>438</v>
      </c>
      <c r="C40" s="145"/>
      <c r="D40" s="145"/>
      <c r="E40" s="148"/>
      <c r="F40" s="148"/>
      <c r="G40" s="148"/>
      <c r="H40" s="148">
        <v>180000</v>
      </c>
      <c r="I40" s="148"/>
      <c r="J40" s="148"/>
      <c r="K40" s="148"/>
    </row>
    <row r="41" spans="2:11">
      <c r="B41" s="146" t="s">
        <v>439</v>
      </c>
      <c r="C41" s="145"/>
      <c r="D41" s="145"/>
      <c r="E41" s="148"/>
      <c r="F41" s="148"/>
      <c r="G41" s="148"/>
      <c r="H41" s="148"/>
      <c r="I41" s="148">
        <v>4498265</v>
      </c>
      <c r="J41" s="148"/>
      <c r="K41" s="148"/>
    </row>
    <row r="42" spans="2:11">
      <c r="B42" s="146" t="s">
        <v>440</v>
      </c>
      <c r="C42" s="145"/>
      <c r="D42" s="145"/>
      <c r="E42" s="148"/>
      <c r="F42" s="148"/>
      <c r="G42" s="148"/>
      <c r="H42" s="148"/>
      <c r="I42" s="148">
        <v>180015</v>
      </c>
      <c r="J42" s="148"/>
      <c r="K42" s="148"/>
    </row>
    <row r="43" spans="2:11">
      <c r="B43" s="146" t="s">
        <v>441</v>
      </c>
      <c r="C43" s="145"/>
      <c r="D43" s="145"/>
      <c r="E43" s="148"/>
      <c r="F43" s="148"/>
      <c r="G43" s="148"/>
      <c r="H43" s="148"/>
      <c r="I43" s="148">
        <v>5000</v>
      </c>
      <c r="J43" s="148"/>
      <c r="K43" s="148"/>
    </row>
    <row r="44" spans="2:11">
      <c r="B44" s="146" t="s">
        <v>442</v>
      </c>
      <c r="C44" s="145"/>
      <c r="D44" s="145"/>
      <c r="E44" s="148"/>
      <c r="F44" s="148"/>
      <c r="G44" s="148"/>
      <c r="H44" s="148"/>
      <c r="I44" s="148">
        <v>5000</v>
      </c>
      <c r="J44" s="148">
        <v>5000</v>
      </c>
      <c r="K44" s="148"/>
    </row>
    <row r="45" spans="2:11">
      <c r="B45" s="146" t="s">
        <v>443</v>
      </c>
      <c r="C45" s="145"/>
      <c r="D45" s="145"/>
      <c r="E45" s="148"/>
      <c r="F45" s="148"/>
      <c r="G45" s="148"/>
      <c r="H45" s="148"/>
      <c r="I45" s="148">
        <v>38560</v>
      </c>
      <c r="J45" s="148"/>
      <c r="K45" s="148"/>
    </row>
    <row r="46" spans="2:11">
      <c r="B46" s="146" t="s">
        <v>444</v>
      </c>
      <c r="C46" s="145"/>
      <c r="D46" s="145"/>
      <c r="E46" s="148"/>
      <c r="F46" s="148"/>
      <c r="G46" s="148"/>
      <c r="H46" s="148"/>
      <c r="I46" s="148">
        <v>50000</v>
      </c>
      <c r="J46" s="148"/>
      <c r="K46" s="148"/>
    </row>
    <row r="47" spans="2:11">
      <c r="B47" s="146" t="s">
        <v>445</v>
      </c>
      <c r="C47" s="145"/>
      <c r="D47" s="145"/>
      <c r="E47" s="148"/>
      <c r="F47" s="148"/>
      <c r="G47" s="148"/>
      <c r="H47" s="148">
        <v>100000</v>
      </c>
      <c r="I47" s="148">
        <v>100000</v>
      </c>
      <c r="J47" s="148"/>
      <c r="K47" s="148"/>
    </row>
    <row r="48" spans="2:11">
      <c r="B48" s="146" t="s">
        <v>446</v>
      </c>
      <c r="C48" s="145"/>
      <c r="D48" s="145"/>
      <c r="E48" s="148"/>
      <c r="F48" s="148"/>
      <c r="G48" s="148"/>
      <c r="H48" s="148"/>
      <c r="I48" s="148"/>
      <c r="J48" s="148">
        <v>60000</v>
      </c>
      <c r="K48" s="148"/>
    </row>
    <row r="49" spans="1:11">
      <c r="B49" s="146" t="s">
        <v>447</v>
      </c>
      <c r="C49" s="145"/>
      <c r="D49" s="145"/>
      <c r="E49" s="148"/>
      <c r="F49" s="148"/>
      <c r="G49" s="148"/>
      <c r="H49" s="148"/>
      <c r="I49" s="148"/>
      <c r="J49" s="148">
        <v>141238</v>
      </c>
      <c r="K49" s="148"/>
    </row>
    <row r="50" spans="1:11">
      <c r="B50" s="146" t="s">
        <v>425</v>
      </c>
      <c r="C50" s="145"/>
      <c r="D50" s="145"/>
      <c r="E50" s="148"/>
      <c r="F50" s="148"/>
      <c r="G50" s="148"/>
      <c r="H50" s="148"/>
      <c r="I50" s="148"/>
      <c r="J50" s="148">
        <v>4000</v>
      </c>
      <c r="K50" s="148"/>
    </row>
    <row r="51" spans="1:11">
      <c r="B51" s="146" t="s">
        <v>448</v>
      </c>
      <c r="C51" s="145"/>
      <c r="D51" s="145"/>
      <c r="E51" s="148"/>
      <c r="F51" s="148"/>
      <c r="G51" s="148"/>
      <c r="H51" s="148"/>
      <c r="I51" s="148"/>
      <c r="J51" s="148">
        <v>60861</v>
      </c>
      <c r="K51" s="148"/>
    </row>
    <row r="52" spans="1:11">
      <c r="A52" s="145"/>
      <c r="B52" s="146" t="s">
        <v>449</v>
      </c>
      <c r="C52" s="145"/>
      <c r="D52" s="145"/>
      <c r="E52" s="148"/>
      <c r="F52" s="148"/>
      <c r="G52" s="148"/>
      <c r="H52" s="148"/>
      <c r="I52" s="148"/>
      <c r="J52" s="148">
        <v>43473</v>
      </c>
      <c r="K52" s="148"/>
    </row>
    <row r="53" spans="1:11">
      <c r="A53" s="145"/>
      <c r="B53" s="146" t="s">
        <v>450</v>
      </c>
      <c r="C53" s="145"/>
      <c r="D53" s="145"/>
      <c r="E53" s="148"/>
      <c r="F53" s="148"/>
      <c r="G53" s="148"/>
      <c r="H53" s="148"/>
      <c r="I53" s="148"/>
      <c r="J53" s="148">
        <v>8694</v>
      </c>
      <c r="K53" s="148"/>
    </row>
    <row r="54" spans="1:11">
      <c r="A54" s="145"/>
      <c r="B54" s="146" t="s">
        <v>451</v>
      </c>
      <c r="C54" s="145"/>
      <c r="D54" s="145"/>
      <c r="E54" s="148"/>
      <c r="F54" s="148"/>
      <c r="G54" s="148"/>
      <c r="H54" s="148"/>
      <c r="I54" s="148"/>
      <c r="J54" s="148">
        <v>131000</v>
      </c>
      <c r="K54" s="148"/>
    </row>
    <row r="55" spans="1:11">
      <c r="A55" s="145"/>
      <c r="B55" s="146" t="s">
        <v>452</v>
      </c>
      <c r="C55" s="145"/>
      <c r="D55" s="145"/>
      <c r="E55" s="148"/>
      <c r="F55" s="148"/>
      <c r="G55" s="148"/>
      <c r="H55" s="148"/>
      <c r="I55" s="148"/>
      <c r="J55" s="148"/>
      <c r="K55" s="148">
        <v>25000</v>
      </c>
    </row>
    <row r="56" spans="1:11">
      <c r="A56" s="145"/>
      <c r="B56" s="146" t="s">
        <v>453</v>
      </c>
      <c r="C56" s="145"/>
      <c r="D56" s="145"/>
      <c r="E56" s="148"/>
      <c r="F56" s="148"/>
      <c r="G56" s="148"/>
      <c r="H56" s="148"/>
      <c r="I56" s="148"/>
      <c r="J56" s="148"/>
      <c r="K56" s="148">
        <v>48492</v>
      </c>
    </row>
    <row r="57" spans="1:11">
      <c r="A57" s="145"/>
      <c r="B57" s="146" t="s">
        <v>454</v>
      </c>
      <c r="C57" s="145"/>
      <c r="D57" s="145"/>
      <c r="E57" s="148"/>
      <c r="F57" s="148"/>
      <c r="G57" s="148"/>
      <c r="H57" s="148"/>
      <c r="I57" s="148"/>
      <c r="J57" s="148"/>
      <c r="K57" s="148">
        <v>8000</v>
      </c>
    </row>
    <row r="58" spans="1:11">
      <c r="A58" s="145"/>
      <c r="B58" s="146" t="s">
        <v>455</v>
      </c>
      <c r="C58" s="145"/>
      <c r="D58" s="145"/>
      <c r="E58" s="148"/>
      <c r="F58" s="148"/>
      <c r="G58" s="148"/>
      <c r="H58" s="148"/>
      <c r="I58" s="148"/>
      <c r="J58" s="148"/>
      <c r="K58" s="148">
        <v>10000</v>
      </c>
    </row>
    <row r="59" spans="1:11">
      <c r="A59" s="145"/>
      <c r="B59" s="146" t="s">
        <v>456</v>
      </c>
      <c r="C59" s="145"/>
      <c r="D59" s="145"/>
      <c r="E59" s="148"/>
      <c r="F59" s="148"/>
      <c r="G59" s="148"/>
      <c r="H59" s="148"/>
      <c r="I59" s="148"/>
      <c r="J59" s="148"/>
      <c r="K59" s="148">
        <v>12000</v>
      </c>
    </row>
    <row r="60" spans="1:11">
      <c r="A60" s="145"/>
      <c r="B60" s="146" t="s">
        <v>457</v>
      </c>
      <c r="C60" s="145"/>
      <c r="D60" s="145"/>
      <c r="E60" s="148"/>
      <c r="F60" s="148"/>
      <c r="G60" s="148"/>
      <c r="H60" s="148"/>
      <c r="I60" s="148"/>
      <c r="J60" s="148"/>
      <c r="K60" s="148">
        <v>8000</v>
      </c>
    </row>
    <row r="61" spans="1:11">
      <c r="A61" s="145"/>
      <c r="B61" s="146" t="s">
        <v>458</v>
      </c>
      <c r="C61" s="145"/>
      <c r="D61" s="145"/>
      <c r="E61" s="148"/>
      <c r="F61" s="148"/>
      <c r="G61" s="148"/>
      <c r="H61" s="148"/>
      <c r="I61" s="148"/>
      <c r="J61" s="148"/>
      <c r="K61" s="148">
        <v>45000</v>
      </c>
    </row>
    <row r="62" spans="1:11">
      <c r="A62" s="145"/>
      <c r="B62" s="146" t="s">
        <v>459</v>
      </c>
      <c r="C62" s="145"/>
      <c r="D62" s="145"/>
      <c r="E62" s="148"/>
      <c r="F62" s="148"/>
      <c r="G62" s="148"/>
      <c r="H62" s="148"/>
      <c r="I62" s="148"/>
      <c r="J62" s="148"/>
      <c r="K62" s="148">
        <v>1293111</v>
      </c>
    </row>
    <row r="63" spans="1:11">
      <c r="A63" s="145"/>
      <c r="B63" s="146" t="s">
        <v>460</v>
      </c>
      <c r="C63" s="145"/>
      <c r="D63" s="145"/>
      <c r="E63" s="148"/>
      <c r="F63" s="148"/>
      <c r="G63" s="148">
        <v>50000</v>
      </c>
      <c r="H63" s="148">
        <v>50000</v>
      </c>
      <c r="I63" s="148">
        <v>50000</v>
      </c>
      <c r="J63" s="148">
        <v>50000</v>
      </c>
      <c r="K63" s="148">
        <v>50000</v>
      </c>
    </row>
    <row r="64" spans="1:11">
      <c r="A64" s="149" t="s">
        <v>461</v>
      </c>
      <c r="B64" s="145"/>
      <c r="C64" s="145"/>
      <c r="D64" s="145"/>
      <c r="E64" s="150">
        <f>SUM(E8:E63)</f>
        <v>289157.5</v>
      </c>
      <c r="F64" s="145"/>
      <c r="G64" s="150">
        <f>SUM(G8:G63)</f>
        <v>1576437.5</v>
      </c>
      <c r="H64" s="150">
        <f>SUM(H8:H63)</f>
        <v>976390.5</v>
      </c>
      <c r="I64" s="150">
        <f>SUM(I8:I63)</f>
        <v>5111464.5</v>
      </c>
      <c r="J64" s="150">
        <f>SUM(J8:J63)</f>
        <v>518056.5</v>
      </c>
      <c r="K64" s="150">
        <f>SUM(K8:K63)</f>
        <v>1508793.5</v>
      </c>
    </row>
    <row r="65" spans="1:11">
      <c r="A65" s="151"/>
      <c r="B65" s="145"/>
      <c r="C65" s="145"/>
      <c r="D65" s="145"/>
      <c r="E65" s="152"/>
      <c r="F65" s="152"/>
      <c r="G65" s="152"/>
      <c r="H65" s="152"/>
      <c r="I65" s="152"/>
      <c r="J65" s="152"/>
      <c r="K65" s="152"/>
    </row>
    <row r="66" spans="1:11">
      <c r="A66" s="149" t="s">
        <v>462</v>
      </c>
      <c r="B66" s="145"/>
      <c r="C66" s="145"/>
      <c r="D66" s="145"/>
      <c r="E66" s="147">
        <v>1529970.87</v>
      </c>
      <c r="F66" s="152"/>
      <c r="G66" s="152">
        <v>1242813</v>
      </c>
      <c r="H66" s="152">
        <f>+SUM(G66-G64+G67)</f>
        <v>-332624.5</v>
      </c>
      <c r="I66" s="152">
        <f>+SUM(H66-H64)</f>
        <v>-1309015</v>
      </c>
      <c r="J66" s="152">
        <f>+SUM(I66-I64)</f>
        <v>-6420479.5</v>
      </c>
      <c r="K66" s="152">
        <f>+SUM(J66-J64)</f>
        <v>-6938536</v>
      </c>
    </row>
    <row r="67" spans="1:11">
      <c r="A67" s="149" t="s">
        <v>372</v>
      </c>
      <c r="B67" s="145"/>
      <c r="C67" s="145"/>
      <c r="D67" s="145"/>
      <c r="E67" s="148">
        <v>2000</v>
      </c>
      <c r="F67" s="152"/>
      <c r="G67" s="148">
        <v>1000</v>
      </c>
      <c r="H67" s="148">
        <v>0</v>
      </c>
      <c r="I67" s="148">
        <v>0</v>
      </c>
      <c r="J67" s="148">
        <v>0</v>
      </c>
      <c r="K67" s="148">
        <v>0</v>
      </c>
    </row>
    <row r="68" spans="1:11">
      <c r="A68" s="153" t="s">
        <v>463</v>
      </c>
      <c r="B68" s="145"/>
      <c r="C68" s="145"/>
      <c r="D68" s="145"/>
      <c r="E68" s="148">
        <v>0</v>
      </c>
      <c r="F68" s="152"/>
      <c r="G68" s="152">
        <f>SUM(G66-G64+G67)</f>
        <v>-332624.5</v>
      </c>
      <c r="H68" s="152">
        <f>SUM(H66-H64)</f>
        <v>-1309015</v>
      </c>
      <c r="I68" s="152">
        <f>SUM(I66-I64)</f>
        <v>-6420479.5</v>
      </c>
      <c r="J68" s="152">
        <f>SUM(J66-J64)</f>
        <v>-6938536</v>
      </c>
      <c r="K68" s="152">
        <f>SUM(K66-K64)</f>
        <v>-8447329.5</v>
      </c>
    </row>
    <row r="69" spans="1:11">
      <c r="A69" s="153"/>
      <c r="B69" s="145"/>
      <c r="C69" s="145"/>
      <c r="D69" s="145"/>
      <c r="E69" s="148"/>
      <c r="F69" s="152"/>
      <c r="G69" s="152"/>
      <c r="H69" s="152"/>
      <c r="I69" s="152"/>
      <c r="J69" s="152"/>
      <c r="K69" s="152"/>
    </row>
    <row r="70" spans="1:11" ht="13.5" thickBot="1">
      <c r="A70" s="149" t="s">
        <v>464</v>
      </c>
      <c r="B70" s="145"/>
      <c r="C70" s="145"/>
      <c r="D70" s="145"/>
      <c r="E70" s="154">
        <f>SUM(E66-E64+E67)</f>
        <v>1242813.3700000001</v>
      </c>
      <c r="F70" s="152"/>
      <c r="G70" s="154">
        <f>SUM(G66-G64+G67)</f>
        <v>-332624.5</v>
      </c>
      <c r="H70" s="154">
        <f>SUM(H66-H64)</f>
        <v>-1309015</v>
      </c>
      <c r="I70" s="154">
        <f>SUM(I66-I64)</f>
        <v>-6420479.5</v>
      </c>
      <c r="J70" s="154">
        <f>SUM(J66-J64)</f>
        <v>-6938536</v>
      </c>
      <c r="K70" s="154">
        <f>SUM(K66-K64)</f>
        <v>-8447329.5</v>
      </c>
    </row>
    <row r="71" spans="1:11" ht="13.5" thickTop="1">
      <c r="A71" s="151"/>
      <c r="B71" s="145"/>
      <c r="C71" s="145"/>
      <c r="D71" s="145"/>
      <c r="E71" s="152"/>
      <c r="F71" s="152"/>
      <c r="G71" s="152"/>
      <c r="H71" s="152"/>
      <c r="I71" s="152"/>
      <c r="J71" s="152"/>
      <c r="K71" s="152"/>
    </row>
    <row r="72" spans="1:11">
      <c r="A72" s="155"/>
      <c r="B72" s="155"/>
      <c r="C72" s="145"/>
      <c r="D72" s="145"/>
      <c r="E72" s="145"/>
      <c r="F72" s="145"/>
      <c r="G72" s="145"/>
      <c r="H72" s="145"/>
      <c r="I72" s="145"/>
      <c r="J72" s="145"/>
      <c r="K72" s="145"/>
    </row>
    <row r="73" spans="1:11">
      <c r="A73" s="155"/>
      <c r="B73" s="155"/>
      <c r="C73" s="145"/>
      <c r="D73" s="145"/>
      <c r="E73" s="145"/>
      <c r="F73" s="145"/>
      <c r="G73" s="145"/>
      <c r="H73" s="145"/>
      <c r="I73" s="145"/>
      <c r="J73" s="145"/>
      <c r="K73" s="145"/>
    </row>
    <row r="74" spans="1:11">
      <c r="A74" s="155"/>
      <c r="B74" s="155"/>
      <c r="C74" s="145"/>
      <c r="D74" s="145"/>
      <c r="E74" s="145"/>
      <c r="F74" s="145"/>
      <c r="G74" s="145"/>
      <c r="H74" s="145"/>
      <c r="I74" s="145"/>
      <c r="J74" s="145"/>
      <c r="K74" s="145"/>
    </row>
    <row r="75" spans="1:11">
      <c r="A75" s="155"/>
      <c r="B75" s="155"/>
      <c r="C75" s="145"/>
      <c r="D75" s="145"/>
      <c r="E75" s="145"/>
      <c r="F75" s="145"/>
      <c r="G75" s="145"/>
      <c r="H75" s="145"/>
      <c r="I75" s="145"/>
      <c r="J75" s="145"/>
      <c r="K75" s="145"/>
    </row>
    <row r="76" spans="1:11">
      <c r="A76" s="155"/>
      <c r="B76" s="155"/>
      <c r="C76" s="145"/>
      <c r="D76" s="145"/>
      <c r="E76" s="145"/>
      <c r="F76" s="145"/>
      <c r="G76" s="145"/>
      <c r="H76" s="145"/>
      <c r="I76" s="145"/>
      <c r="J76" s="145"/>
      <c r="K76" s="145"/>
    </row>
    <row r="77" spans="1:11">
      <c r="A77" s="155"/>
      <c r="B77" s="155"/>
      <c r="C77" s="145"/>
      <c r="D77" s="145"/>
      <c r="E77" s="145"/>
      <c r="F77" s="145"/>
      <c r="G77" s="145"/>
      <c r="H77" s="145"/>
      <c r="I77" s="145"/>
      <c r="J77" s="145"/>
      <c r="K77" s="145"/>
    </row>
    <row r="78" spans="1:11">
      <c r="A78" s="155"/>
      <c r="B78" s="155"/>
      <c r="C78" s="145"/>
      <c r="D78" s="145"/>
      <c r="E78" s="145"/>
      <c r="F78" s="145"/>
      <c r="G78" s="145"/>
      <c r="H78" s="145"/>
      <c r="I78" s="145"/>
      <c r="J78" s="145"/>
      <c r="K78" s="145"/>
    </row>
    <row r="79" spans="1:11">
      <c r="A79" s="155"/>
      <c r="B79" s="155"/>
      <c r="C79" s="155"/>
      <c r="D79" s="155"/>
      <c r="E79" s="156"/>
      <c r="F79" s="155"/>
      <c r="G79" s="156"/>
      <c r="H79" s="156"/>
      <c r="I79" s="156"/>
      <c r="J79" s="156"/>
      <c r="K79" s="156"/>
    </row>
    <row r="80" spans="1:11">
      <c r="A80" s="155"/>
      <c r="B80" s="155"/>
      <c r="C80" s="155"/>
      <c r="D80" s="155"/>
      <c r="E80" s="156"/>
      <c r="F80" s="155"/>
      <c r="G80" s="156"/>
      <c r="H80" s="156"/>
      <c r="I80" s="156"/>
      <c r="J80" s="156"/>
      <c r="K80" s="156"/>
    </row>
    <row r="81" spans="1:11">
      <c r="A81" s="155"/>
      <c r="B81" s="155"/>
      <c r="C81" s="155"/>
      <c r="D81" s="155"/>
      <c r="E81" s="156"/>
      <c r="F81" s="155"/>
      <c r="G81" s="156"/>
      <c r="H81" s="156"/>
      <c r="I81" s="156"/>
      <c r="J81" s="156"/>
      <c r="K81" s="156"/>
    </row>
    <row r="82" spans="1:11">
      <c r="A82" s="155"/>
      <c r="B82" s="155"/>
      <c r="C82" s="155"/>
      <c r="D82" s="155"/>
      <c r="E82" s="156"/>
      <c r="F82" s="155"/>
      <c r="G82" s="156"/>
      <c r="H82" s="156"/>
      <c r="I82" s="156"/>
      <c r="J82" s="156"/>
      <c r="K82" s="156"/>
    </row>
    <row r="83" spans="1:11">
      <c r="A83" s="155"/>
      <c r="B83" s="155"/>
      <c r="C83" s="155"/>
      <c r="D83" s="155"/>
      <c r="E83" s="155"/>
      <c r="F83" s="155"/>
      <c r="G83" s="155"/>
      <c r="H83" s="155"/>
      <c r="I83" s="155"/>
      <c r="J83" s="155"/>
      <c r="K83" s="155"/>
    </row>
    <row r="84" spans="1:11">
      <c r="A84" s="157"/>
      <c r="B84" s="155"/>
      <c r="C84" s="155"/>
      <c r="D84" s="155"/>
      <c r="E84" s="155"/>
      <c r="F84" s="155"/>
      <c r="G84" s="155"/>
      <c r="H84" s="155"/>
      <c r="I84" s="155"/>
      <c r="J84" s="155"/>
      <c r="K84" s="155"/>
    </row>
    <row r="85" spans="1:11">
      <c r="A85" s="158"/>
      <c r="B85" s="155"/>
      <c r="C85" s="155"/>
      <c r="D85" s="155"/>
      <c r="E85" s="155"/>
      <c r="F85" s="155"/>
      <c r="G85" s="155"/>
      <c r="H85" s="155"/>
      <c r="I85" s="155"/>
      <c r="J85" s="155"/>
      <c r="K85" s="155"/>
    </row>
    <row r="86" spans="1:11">
      <c r="A86" s="155"/>
      <c r="B86" s="155"/>
      <c r="C86" s="155"/>
      <c r="D86" s="155"/>
      <c r="E86" s="156"/>
      <c r="F86" s="155"/>
      <c r="G86" s="156"/>
      <c r="H86" s="156"/>
      <c r="I86" s="156"/>
      <c r="J86" s="156"/>
      <c r="K86" s="156"/>
    </row>
    <row r="87" spans="1:11">
      <c r="A87" s="155"/>
      <c r="B87" s="155"/>
      <c r="C87" s="155"/>
      <c r="D87" s="155"/>
      <c r="E87" s="156"/>
      <c r="F87" s="155"/>
      <c r="G87" s="156"/>
      <c r="H87" s="156"/>
      <c r="I87" s="156"/>
      <c r="J87" s="156"/>
      <c r="K87" s="156"/>
    </row>
    <row r="88" spans="1:11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</row>
    <row r="89" spans="1:11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</row>
    <row r="90" spans="1:11">
      <c r="A90" s="155"/>
      <c r="B90" s="155"/>
      <c r="C90" s="155"/>
      <c r="D90" s="155"/>
      <c r="E90" s="156"/>
      <c r="F90" s="155"/>
      <c r="G90" s="156"/>
      <c r="H90" s="156"/>
      <c r="I90" s="156"/>
      <c r="J90" s="156"/>
      <c r="K90" s="156"/>
    </row>
    <row r="91" spans="1:11">
      <c r="A91" s="155"/>
      <c r="B91" s="155"/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1">
      <c r="A92" s="155"/>
      <c r="B92" s="155"/>
      <c r="C92" s="155"/>
      <c r="D92" s="155"/>
      <c r="E92" s="156"/>
      <c r="F92" s="155"/>
      <c r="G92" s="156"/>
      <c r="H92" s="156"/>
      <c r="I92" s="156"/>
      <c r="J92" s="156"/>
      <c r="K92" s="156"/>
    </row>
    <row r="93" spans="1:11">
      <c r="A93" s="155"/>
      <c r="B93" s="155"/>
      <c r="C93" s="155"/>
      <c r="D93" s="155"/>
      <c r="E93" s="156"/>
      <c r="F93" s="155"/>
      <c r="G93" s="156"/>
      <c r="H93" s="156"/>
      <c r="I93" s="156"/>
      <c r="J93" s="156"/>
      <c r="K93" s="156"/>
    </row>
    <row r="94" spans="1:11">
      <c r="A94" s="157"/>
      <c r="B94" s="155"/>
      <c r="C94" s="155"/>
      <c r="D94" s="155"/>
      <c r="E94" s="155"/>
      <c r="F94" s="155"/>
      <c r="G94" s="155"/>
      <c r="H94" s="155"/>
      <c r="I94" s="155"/>
      <c r="J94" s="155"/>
      <c r="K94" s="155"/>
    </row>
    <row r="95" spans="1:11">
      <c r="A95" s="158"/>
      <c r="B95" s="155"/>
      <c r="C95" s="155"/>
      <c r="D95" s="155"/>
      <c r="E95" s="155"/>
      <c r="F95" s="155"/>
      <c r="G95" s="155"/>
      <c r="H95" s="155"/>
      <c r="I95" s="155"/>
      <c r="J95" s="155"/>
      <c r="K95" s="155"/>
    </row>
    <row r="96" spans="1:11">
      <c r="A96" s="155"/>
      <c r="B96" s="155"/>
      <c r="C96" s="155"/>
      <c r="D96" s="155"/>
      <c r="E96" s="156"/>
      <c r="F96" s="155"/>
      <c r="G96" s="156"/>
      <c r="H96" s="156"/>
      <c r="I96" s="156"/>
      <c r="J96" s="156"/>
      <c r="K96" s="156"/>
    </row>
    <row r="97" spans="1:11">
      <c r="A97" s="155"/>
      <c r="B97" s="155"/>
      <c r="C97" s="155"/>
      <c r="D97" s="155"/>
      <c r="E97" s="156"/>
      <c r="F97" s="155"/>
      <c r="G97" s="156"/>
      <c r="H97" s="156"/>
      <c r="I97" s="156"/>
      <c r="J97" s="156"/>
      <c r="K97" s="156"/>
    </row>
    <row r="98" spans="1:11">
      <c r="A98" s="155"/>
      <c r="B98" s="155"/>
      <c r="C98" s="155"/>
      <c r="D98" s="155"/>
      <c r="E98" s="155"/>
      <c r="F98" s="155"/>
      <c r="G98" s="155"/>
      <c r="H98" s="155"/>
      <c r="I98" s="155"/>
      <c r="J98" s="155"/>
      <c r="K98" s="155"/>
    </row>
    <row r="99" spans="1:11">
      <c r="A99" s="155"/>
      <c r="B99" s="155"/>
      <c r="C99" s="155"/>
      <c r="D99" s="155"/>
      <c r="E99" s="155"/>
      <c r="F99" s="155"/>
      <c r="G99" s="155"/>
      <c r="H99" s="155"/>
      <c r="I99" s="155"/>
      <c r="J99" s="155"/>
      <c r="K99" s="155"/>
    </row>
    <row r="100" spans="1:11">
      <c r="A100" s="155"/>
      <c r="B100" s="155"/>
      <c r="C100" s="155"/>
      <c r="D100" s="155"/>
      <c r="E100" s="156"/>
      <c r="F100" s="155"/>
      <c r="G100" s="156"/>
      <c r="H100" s="156"/>
      <c r="I100" s="156"/>
      <c r="J100" s="156"/>
      <c r="K100" s="156"/>
    </row>
    <row r="101" spans="1:11">
      <c r="A101" s="155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</row>
    <row r="102" spans="1:11">
      <c r="A102" s="155"/>
      <c r="B102" s="155"/>
      <c r="C102" s="155"/>
      <c r="D102" s="155"/>
      <c r="E102" s="156"/>
      <c r="F102" s="155"/>
      <c r="G102" s="156"/>
      <c r="H102" s="156"/>
      <c r="I102" s="156"/>
      <c r="J102" s="156"/>
      <c r="K102" s="156"/>
    </row>
    <row r="103" spans="1:11">
      <c r="A103" s="155"/>
      <c r="B103" s="155"/>
      <c r="C103" s="155"/>
      <c r="D103" s="155"/>
      <c r="E103" s="155"/>
      <c r="F103" s="155"/>
      <c r="G103" s="155"/>
      <c r="H103" s="159"/>
      <c r="I103" s="155"/>
      <c r="J103" s="155"/>
      <c r="K103" s="155"/>
    </row>
    <row r="104" spans="1:11">
      <c r="A104" s="155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</row>
    <row r="105" spans="1:11">
      <c r="A105" s="155"/>
      <c r="B105" s="155"/>
      <c r="C105" s="155"/>
      <c r="D105" s="155"/>
      <c r="E105" s="155"/>
      <c r="F105" s="155"/>
      <c r="G105" s="155"/>
      <c r="H105" s="159"/>
      <c r="I105" s="155"/>
      <c r="J105" s="155"/>
      <c r="K105" s="155"/>
    </row>
    <row r="106" spans="1:11">
      <c r="A106" s="155"/>
      <c r="B106" s="155"/>
      <c r="C106" s="155"/>
      <c r="D106" s="155"/>
      <c r="E106" s="155"/>
      <c r="F106" s="155"/>
      <c r="G106" s="155"/>
      <c r="H106" s="155"/>
      <c r="I106" s="155"/>
      <c r="J106" s="155"/>
      <c r="K106" s="160"/>
    </row>
    <row r="107" spans="1:11">
      <c r="A107" s="155"/>
      <c r="B107" s="155"/>
      <c r="C107" s="155"/>
      <c r="D107" s="155"/>
      <c r="E107" s="155"/>
      <c r="F107" s="155"/>
      <c r="G107" s="155"/>
      <c r="H107" s="155"/>
      <c r="I107" s="155"/>
      <c r="J107" s="155"/>
      <c r="K107" s="156"/>
    </row>
    <row r="108" spans="1:11">
      <c r="A108" s="155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</row>
    <row r="109" spans="1:11">
      <c r="A109" s="155"/>
      <c r="B109" s="155"/>
      <c r="C109" s="155"/>
      <c r="D109" s="155"/>
      <c r="E109" s="155"/>
      <c r="F109" s="155"/>
      <c r="G109" s="155"/>
      <c r="H109" s="155"/>
      <c r="I109" s="155"/>
      <c r="J109" s="155"/>
      <c r="K109" s="156"/>
    </row>
    <row r="110" spans="1:11">
      <c r="A110" s="155"/>
      <c r="B110" s="155"/>
      <c r="C110" s="155"/>
      <c r="D110" s="155"/>
      <c r="E110" s="155"/>
      <c r="F110" s="155"/>
      <c r="G110" s="155"/>
      <c r="H110" s="155"/>
      <c r="I110" s="155"/>
      <c r="J110" s="155"/>
      <c r="K110" s="156"/>
    </row>
    <row r="111" spans="1:11">
      <c r="A111" s="155"/>
      <c r="B111" s="155"/>
      <c r="C111" s="155"/>
      <c r="D111" s="155"/>
      <c r="E111" s="155"/>
      <c r="F111" s="155"/>
      <c r="G111" s="155"/>
      <c r="H111" s="155"/>
      <c r="I111" s="155"/>
      <c r="J111" s="155"/>
      <c r="K111" s="156"/>
    </row>
    <row r="112" spans="1:11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6"/>
    </row>
    <row r="113" spans="1:11">
      <c r="A113" s="155"/>
      <c r="B113" s="155"/>
      <c r="C113" s="155"/>
      <c r="D113" s="155"/>
      <c r="E113" s="155"/>
      <c r="F113" s="155"/>
      <c r="G113" s="155"/>
      <c r="H113" s="155"/>
      <c r="I113" s="155"/>
      <c r="J113" s="155"/>
      <c r="K113" s="156"/>
    </row>
    <row r="114" spans="1:11">
      <c r="A114" s="155"/>
      <c r="B114" s="155"/>
      <c r="C114" s="155"/>
      <c r="D114" s="155"/>
      <c r="E114" s="155"/>
      <c r="F114" s="155"/>
      <c r="G114" s="155"/>
      <c r="H114" s="155"/>
      <c r="I114" s="155"/>
      <c r="J114" s="155"/>
      <c r="K114" s="156"/>
    </row>
    <row r="115" spans="1:11">
      <c r="A115" s="155"/>
      <c r="B115" s="155"/>
      <c r="C115" s="155"/>
      <c r="D115" s="155"/>
      <c r="E115" s="155"/>
      <c r="F115" s="155"/>
      <c r="G115" s="155"/>
      <c r="H115" s="155"/>
      <c r="I115" s="155"/>
      <c r="J115" s="155"/>
      <c r="K115" s="156"/>
    </row>
    <row r="116" spans="1:11">
      <c r="A116" s="15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6"/>
    </row>
    <row r="117" spans="1:11">
      <c r="A117" s="161"/>
      <c r="B117" s="161"/>
      <c r="C117" s="161"/>
      <c r="D117" s="161"/>
      <c r="E117" s="161"/>
      <c r="F117" s="161"/>
      <c r="G117" s="161"/>
      <c r="H117" s="161"/>
      <c r="I117" s="155"/>
      <c r="J117" s="155"/>
      <c r="K117" s="156"/>
    </row>
    <row r="118" spans="1:11">
      <c r="A118" s="161"/>
      <c r="B118" s="161"/>
      <c r="C118" s="161"/>
      <c r="D118" s="161"/>
      <c r="E118" s="161"/>
      <c r="F118" s="161"/>
      <c r="G118" s="161"/>
      <c r="H118" s="161"/>
      <c r="I118" s="155"/>
      <c r="J118" s="155"/>
      <c r="K118" s="156"/>
    </row>
    <row r="119" spans="1:11">
      <c r="A119" s="161"/>
      <c r="B119" s="161"/>
      <c r="C119" s="161"/>
      <c r="D119" s="161"/>
      <c r="E119" s="162"/>
      <c r="F119" s="161"/>
      <c r="G119" s="161"/>
      <c r="H119" s="161"/>
      <c r="I119" s="155"/>
      <c r="J119" s="155"/>
      <c r="K119" s="156"/>
    </row>
    <row r="120" spans="1:11">
      <c r="A120" s="158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</row>
    <row r="121" spans="1:11">
      <c r="A121" s="155"/>
      <c r="B121" s="155"/>
      <c r="C121" s="155"/>
      <c r="D121" s="155"/>
      <c r="E121" s="155"/>
      <c r="F121" s="155"/>
      <c r="G121" s="163"/>
      <c r="H121" s="163"/>
      <c r="I121" s="163"/>
      <c r="J121" s="163"/>
      <c r="K121" s="163"/>
    </row>
    <row r="122" spans="1:11">
      <c r="A122" s="155"/>
      <c r="B122" s="155"/>
      <c r="C122" s="155"/>
      <c r="D122" s="155"/>
      <c r="E122" s="155"/>
      <c r="F122" s="155"/>
      <c r="G122" s="163"/>
      <c r="H122" s="163"/>
      <c r="I122" s="163"/>
      <c r="J122" s="163"/>
      <c r="K122" s="163"/>
    </row>
    <row r="123" spans="1:11">
      <c r="A123" s="155"/>
      <c r="B123" s="155"/>
      <c r="C123" s="155"/>
      <c r="D123" s="155"/>
      <c r="E123" s="155"/>
      <c r="F123" s="155"/>
      <c r="G123" s="163"/>
      <c r="H123" s="163"/>
      <c r="I123" s="163"/>
      <c r="J123" s="163"/>
      <c r="K123" s="163"/>
    </row>
    <row r="124" spans="1:11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</row>
    <row r="125" spans="1:11">
      <c r="A125" s="155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</row>
    <row r="126" spans="1:11">
      <c r="A126" s="155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</row>
    <row r="127" spans="1:11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</row>
    <row r="128" spans="1:11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</row>
    <row r="129" spans="1:11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</row>
    <row r="130" spans="1:11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</row>
    <row r="131" spans="1:11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</row>
    <row r="132" spans="1:11">
      <c r="A132" s="155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</row>
  </sheetData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Fund 17 2017</vt:lpstr>
      <vt:lpstr>Sewer 2017</vt:lpstr>
      <vt:lpstr>2017 Sewer Line costs</vt:lpstr>
      <vt:lpstr>Budget Requests 2017</vt:lpstr>
      <vt:lpstr> Budget Request 2017 - page 2</vt:lpstr>
      <vt:lpstr>Capital Expenditures 2016-2021</vt:lpstr>
      <vt:lpstr>'Fund 17 2017'!Print_Area</vt:lpstr>
      <vt:lpstr>'Sewer 2017'!Print_Area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Leinbach</dc:creator>
  <cp:lastModifiedBy>Walker, Harold, III</cp:lastModifiedBy>
  <cp:lastPrinted>2017-04-06T12:57:55Z</cp:lastPrinted>
  <dcterms:created xsi:type="dcterms:W3CDTF">2013-08-15T17:04:36Z</dcterms:created>
  <dcterms:modified xsi:type="dcterms:W3CDTF">2018-12-15T19:53:05Z</dcterms:modified>
</cp:coreProperties>
</file>