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dedinger\Desktop\ACT 129\PHASE IV\TRC\"/>
    </mc:Choice>
  </mc:AlternateContent>
  <xr:revisionPtr revIDLastSave="0" documentId="8_{25E56176-0FC7-4D5B-8FC5-1B4059E9A47D}" xr6:coauthVersionLast="43" xr6:coauthVersionMax="43" xr10:uidLastSave="{00000000-0000-0000-0000-000000000000}"/>
  <bookViews>
    <workbookView xWindow="28680" yWindow="-120" windowWidth="29040" windowHeight="15840" tabRatio="713" xr2:uid="{00000000-000D-0000-FFFF-FFFF00000000}"/>
  </bookViews>
  <sheets>
    <sheet name="General Instructions" sheetId="10" r:id="rId1"/>
    <sheet name="General Inputs" sheetId="2" r:id="rId2"/>
    <sheet name="Outputs" sheetId="3" r:id="rId3"/>
    <sheet name="Elec Futures" sheetId="5" r:id="rId4"/>
    <sheet name="NG Futures" sheetId="4" r:id="rId5"/>
    <sheet name="Avoided AC" sheetId="9" r:id="rId6"/>
    <sheet name="Generation Capacity" sheetId="12" r:id="rId7"/>
    <sheet name="T&amp;D Capacity" sheetId="13" r:id="rId8"/>
    <sheet name="Adjustments" sheetId="8" r:id="rId9"/>
    <sheet name="BLS Input" sheetId="7" r:id="rId10"/>
    <sheet name="AEPS" sheetId="14" r:id="rId11"/>
  </sheets>
  <definedNames>
    <definedName name="BLS_Esc_Rate">'BLS Input'!$N$22</definedName>
    <definedName name="EDC_NAME">'General Inputs'!$C$2</definedName>
    <definedName name="Elec_Off_Peak">'Avoided AC'!$P:$P</definedName>
    <definedName name="Elec_On_Peak">'Avoided AC'!$O:$O</definedName>
    <definedName name="ELEC_Zone_Adjust">'Elec Futures'!$N$6</definedName>
    <definedName name="Gas_EIA">'NG Futures'!$J$6:$AD$6</definedName>
    <definedName name="HR_High_Plant">'General Inputs'!$C$10</definedName>
    <definedName name="HR_Low_Plant">'General Inputs'!$C$9</definedName>
    <definedName name="Inflation">'General Inputs'!$C$5</definedName>
    <definedName name="NG_Load_Shape">Adjustments!$I$3:$I$14</definedName>
    <definedName name="NG_Zone_Adjust">Adjustments!$G$3:$H$14</definedName>
    <definedName name="Seasons">'General Inputs'!$C$21:$C$32</definedName>
    <definedName name="Spark_Spread_Off">Adjustments!$K$3:$K$14</definedName>
    <definedName name="Spark_Spread_On">Adjustments!$J$3:$J$14</definedName>
    <definedName name="Start_Year">'General Inputs'!$D$3</definedName>
    <definedName name="Start_Year_PY">'General Inputs'!$C$3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 i="8" l="1"/>
  <c r="M14" i="9" l="1"/>
  <c r="L14" i="9"/>
  <c r="M13" i="9"/>
  <c r="L13" i="9"/>
  <c r="M12" i="9"/>
  <c r="L12" i="9"/>
  <c r="M11" i="9"/>
  <c r="L11" i="9"/>
  <c r="M10" i="9"/>
  <c r="L10" i="9"/>
  <c r="M9" i="9"/>
  <c r="L9" i="9"/>
  <c r="M8" i="9"/>
  <c r="L8" i="9"/>
  <c r="M7" i="9"/>
  <c r="L7" i="9"/>
  <c r="M6" i="9"/>
  <c r="L6" i="9"/>
  <c r="M5" i="9"/>
  <c r="L5" i="9"/>
  <c r="M4" i="9"/>
  <c r="L4" i="9"/>
  <c r="M3" i="9"/>
  <c r="L3" i="9"/>
  <c r="E22" i="3" l="1"/>
  <c r="E21" i="3"/>
  <c r="E20" i="3"/>
  <c r="E19" i="3"/>
  <c r="E18" i="3"/>
  <c r="E17" i="3"/>
  <c r="E16" i="3"/>
  <c r="E15" i="3"/>
  <c r="E14" i="3"/>
  <c r="E13" i="3"/>
  <c r="E12" i="3"/>
  <c r="E11" i="3"/>
  <c r="E10" i="3"/>
  <c r="E9" i="3"/>
  <c r="E8" i="3"/>
  <c r="E7" i="3"/>
  <c r="E6" i="3"/>
  <c r="E5" i="3"/>
  <c r="E4" i="3"/>
  <c r="H22" i="3"/>
  <c r="H21" i="3"/>
  <c r="H20" i="3"/>
  <c r="H19" i="3"/>
  <c r="H18" i="3"/>
  <c r="H17" i="3"/>
  <c r="H16" i="3"/>
  <c r="H15" i="3"/>
  <c r="H14" i="3"/>
  <c r="H13" i="3"/>
  <c r="H12" i="3"/>
  <c r="H11" i="3"/>
  <c r="H10" i="3"/>
  <c r="H9" i="3"/>
  <c r="H8" i="3"/>
  <c r="H7" i="3"/>
  <c r="H6" i="3"/>
  <c r="H5" i="3"/>
  <c r="H4" i="3"/>
  <c r="H3" i="3"/>
  <c r="E3" i="3"/>
  <c r="L22" i="3" l="1"/>
  <c r="L21" i="3"/>
  <c r="L20" i="3"/>
  <c r="L19" i="3"/>
  <c r="L18" i="3"/>
  <c r="L17" i="3"/>
  <c r="L16" i="3"/>
  <c r="L15" i="3"/>
  <c r="L14" i="3"/>
  <c r="L13" i="3"/>
  <c r="L12" i="3"/>
  <c r="L11" i="3"/>
  <c r="L10" i="3"/>
  <c r="L9" i="3"/>
  <c r="L8" i="3"/>
  <c r="L7" i="3"/>
  <c r="L6" i="3"/>
  <c r="L5" i="3"/>
  <c r="L4" i="3"/>
  <c r="L3" i="3"/>
  <c r="G22" i="3"/>
  <c r="G21" i="3"/>
  <c r="G20" i="3"/>
  <c r="G19" i="3"/>
  <c r="G18" i="3"/>
  <c r="G17" i="3"/>
  <c r="G16" i="3"/>
  <c r="G15" i="3"/>
  <c r="G14" i="3"/>
  <c r="G13" i="3"/>
  <c r="G12" i="3"/>
  <c r="G11" i="3"/>
  <c r="G10" i="3"/>
  <c r="G9" i="3"/>
  <c r="G8" i="3"/>
  <c r="G7" i="3"/>
  <c r="G6" i="3"/>
  <c r="G5" i="3"/>
  <c r="G4" i="3"/>
  <c r="G3" i="3"/>
  <c r="F22" i="3"/>
  <c r="F21" i="3"/>
  <c r="F20" i="3"/>
  <c r="F19" i="3"/>
  <c r="F18" i="3"/>
  <c r="F17" i="3"/>
  <c r="F16" i="3"/>
  <c r="F15" i="3"/>
  <c r="F14" i="3"/>
  <c r="F13" i="3"/>
  <c r="F12" i="3"/>
  <c r="F11" i="3"/>
  <c r="F10" i="3"/>
  <c r="F9" i="3"/>
  <c r="F8" i="3"/>
  <c r="F7" i="3"/>
  <c r="F6" i="3"/>
  <c r="F5" i="3"/>
  <c r="F4" i="3"/>
  <c r="F3" i="3"/>
  <c r="G31" i="12"/>
  <c r="G32" i="12" s="1"/>
  <c r="G33" i="12" s="1"/>
  <c r="G34" i="12" s="1"/>
  <c r="G35" i="12" s="1"/>
  <c r="G36" i="12" s="1"/>
  <c r="G37" i="12" s="1"/>
  <c r="G38" i="12" s="1"/>
  <c r="G39" i="12" s="1"/>
  <c r="G40" i="12" s="1"/>
  <c r="G41" i="12" s="1"/>
  <c r="G42" i="12" s="1"/>
  <c r="G43" i="12" s="1"/>
  <c r="G44" i="12" s="1"/>
  <c r="G45" i="12" s="1"/>
  <c r="K30" i="12"/>
  <c r="K31" i="12" s="1"/>
  <c r="K32" i="12" s="1"/>
  <c r="K33" i="12" s="1"/>
  <c r="K34" i="12" s="1"/>
  <c r="K35" i="12" s="1"/>
  <c r="K36" i="12" s="1"/>
  <c r="K37" i="12" s="1"/>
  <c r="K38" i="12" s="1"/>
  <c r="K39" i="12" s="1"/>
  <c r="K40" i="12" s="1"/>
  <c r="K41" i="12" s="1"/>
  <c r="K42" i="12" s="1"/>
  <c r="K43" i="12" s="1"/>
  <c r="K44" i="12" s="1"/>
  <c r="K45" i="12" s="1"/>
  <c r="G30" i="12"/>
  <c r="F30" i="12"/>
  <c r="F31" i="12" s="1"/>
  <c r="F32" i="12" s="1"/>
  <c r="F33" i="12" s="1"/>
  <c r="F34" i="12" s="1"/>
  <c r="F35" i="12" s="1"/>
  <c r="F36" i="12" s="1"/>
  <c r="F37" i="12" s="1"/>
  <c r="F38" i="12" s="1"/>
  <c r="F39" i="12" s="1"/>
  <c r="F40" i="12" s="1"/>
  <c r="F41" i="12" s="1"/>
  <c r="F42" i="12" s="1"/>
  <c r="F43" i="12" s="1"/>
  <c r="F44" i="12" s="1"/>
  <c r="F45" i="12" s="1"/>
  <c r="K29" i="12"/>
  <c r="J29" i="12"/>
  <c r="J30" i="12" s="1"/>
  <c r="J31" i="12" s="1"/>
  <c r="J32" i="12" s="1"/>
  <c r="J33" i="12" s="1"/>
  <c r="J34" i="12" s="1"/>
  <c r="J35" i="12" s="1"/>
  <c r="J36" i="12" s="1"/>
  <c r="J37" i="12" s="1"/>
  <c r="J38" i="12" s="1"/>
  <c r="J39" i="12" s="1"/>
  <c r="J40" i="12" s="1"/>
  <c r="J41" i="12" s="1"/>
  <c r="J42" i="12" s="1"/>
  <c r="J43" i="12" s="1"/>
  <c r="J44" i="12" s="1"/>
  <c r="J45" i="12" s="1"/>
  <c r="I29" i="12"/>
  <c r="I30" i="12" s="1"/>
  <c r="I31" i="12" s="1"/>
  <c r="I32" i="12" s="1"/>
  <c r="I33" i="12" s="1"/>
  <c r="I34" i="12" s="1"/>
  <c r="I35" i="12" s="1"/>
  <c r="I36" i="12" s="1"/>
  <c r="I37" i="12" s="1"/>
  <c r="I38" i="12" s="1"/>
  <c r="I39" i="12" s="1"/>
  <c r="I40" i="12" s="1"/>
  <c r="I41" i="12" s="1"/>
  <c r="I42" i="12" s="1"/>
  <c r="I43" i="12" s="1"/>
  <c r="I44" i="12" s="1"/>
  <c r="I45" i="12" s="1"/>
  <c r="H29" i="12"/>
  <c r="H30" i="12" s="1"/>
  <c r="H31" i="12" s="1"/>
  <c r="H32" i="12" s="1"/>
  <c r="H33" i="12" s="1"/>
  <c r="H34" i="12" s="1"/>
  <c r="H35" i="12" s="1"/>
  <c r="H36" i="12" s="1"/>
  <c r="H37" i="12" s="1"/>
  <c r="H38" i="12" s="1"/>
  <c r="H39" i="12" s="1"/>
  <c r="H40" i="12" s="1"/>
  <c r="H41" i="12" s="1"/>
  <c r="H42" i="12" s="1"/>
  <c r="H43" i="12" s="1"/>
  <c r="H44" i="12" s="1"/>
  <c r="H45" i="12" s="1"/>
  <c r="G29" i="12"/>
  <c r="F29" i="12"/>
  <c r="E29" i="12"/>
  <c r="E30" i="12" s="1"/>
  <c r="E31" i="12" s="1"/>
  <c r="E32" i="12" s="1"/>
  <c r="E33" i="12" s="1"/>
  <c r="E34" i="12" s="1"/>
  <c r="E35" i="12" s="1"/>
  <c r="E36" i="12" s="1"/>
  <c r="E37" i="12" s="1"/>
  <c r="E38" i="12" s="1"/>
  <c r="E39" i="12" s="1"/>
  <c r="E40" i="12" s="1"/>
  <c r="E41" i="12" s="1"/>
  <c r="E42" i="12" s="1"/>
  <c r="E43" i="12" s="1"/>
  <c r="E44" i="12" s="1"/>
  <c r="E45" i="12" s="1"/>
  <c r="K28" i="12"/>
  <c r="J28" i="12"/>
  <c r="I28" i="12"/>
  <c r="H28" i="12"/>
  <c r="G28" i="12"/>
  <c r="F28" i="12"/>
  <c r="E28" i="12"/>
  <c r="K27" i="12"/>
  <c r="J27" i="12"/>
  <c r="I27" i="12"/>
  <c r="H27" i="12"/>
  <c r="G27" i="12"/>
  <c r="F27" i="12"/>
  <c r="E27" i="12"/>
  <c r="D22" i="3"/>
  <c r="D21" i="3"/>
  <c r="D20" i="3"/>
  <c r="D19" i="3"/>
  <c r="D18" i="3"/>
  <c r="D17" i="3"/>
  <c r="D16" i="3"/>
  <c r="D15" i="3"/>
  <c r="D14" i="3"/>
  <c r="D13" i="3"/>
  <c r="D12" i="3"/>
  <c r="D11" i="3"/>
  <c r="D10" i="3"/>
  <c r="D9" i="3"/>
  <c r="D8" i="3"/>
  <c r="D7" i="3"/>
  <c r="D6" i="3"/>
  <c r="D5" i="3"/>
  <c r="D4" i="3"/>
  <c r="D3" i="3"/>
  <c r="C22" i="3"/>
  <c r="C21" i="3"/>
  <c r="C20" i="3"/>
  <c r="C19" i="3"/>
  <c r="C18" i="3"/>
  <c r="C17" i="3"/>
  <c r="C16" i="3"/>
  <c r="C15" i="3"/>
  <c r="C14" i="3"/>
  <c r="C13" i="3"/>
  <c r="C12" i="3"/>
  <c r="C11" i="3"/>
  <c r="C10" i="3"/>
  <c r="C9" i="3"/>
  <c r="C8" i="3"/>
  <c r="C7" i="3"/>
  <c r="C6" i="3"/>
  <c r="C5" i="3"/>
  <c r="C4" i="3"/>
  <c r="C3" i="3"/>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P6" i="13"/>
  <c r="P7" i="13" s="1"/>
  <c r="P8" i="13" s="1"/>
  <c r="P9" i="13" s="1"/>
  <c r="P10" i="13" s="1"/>
  <c r="P11" i="13" s="1"/>
  <c r="P12" i="13" s="1"/>
  <c r="P13" i="13" s="1"/>
  <c r="P14" i="13" s="1"/>
  <c r="P15" i="13" s="1"/>
  <c r="P16" i="13" s="1"/>
  <c r="P17" i="13" s="1"/>
  <c r="P18" i="13" s="1"/>
  <c r="P19" i="13" s="1"/>
  <c r="P20" i="13" s="1"/>
  <c r="P21" i="13" s="1"/>
  <c r="P22" i="13" s="1"/>
  <c r="P23" i="13" s="1"/>
  <c r="S5" i="13"/>
  <c r="S6" i="13" s="1"/>
  <c r="S7" i="13" s="1"/>
  <c r="S8" i="13" s="1"/>
  <c r="S9" i="13" s="1"/>
  <c r="S10" i="13" s="1"/>
  <c r="S11" i="13" s="1"/>
  <c r="S12" i="13" s="1"/>
  <c r="S13" i="13" s="1"/>
  <c r="S14" i="13" s="1"/>
  <c r="S15" i="13" s="1"/>
  <c r="S16" i="13" s="1"/>
  <c r="S17" i="13" s="1"/>
  <c r="S18" i="13" s="1"/>
  <c r="S19" i="13" s="1"/>
  <c r="S20" i="13" s="1"/>
  <c r="S21" i="13" s="1"/>
  <c r="S22" i="13" s="1"/>
  <c r="S23" i="13" s="1"/>
  <c r="R5" i="13"/>
  <c r="R6" i="13" s="1"/>
  <c r="R7" i="13" s="1"/>
  <c r="R8" i="13" s="1"/>
  <c r="R9" i="13" s="1"/>
  <c r="R10" i="13" s="1"/>
  <c r="R11" i="13" s="1"/>
  <c r="R12" i="13" s="1"/>
  <c r="R13" i="13" s="1"/>
  <c r="R14" i="13" s="1"/>
  <c r="R15" i="13" s="1"/>
  <c r="R16" i="13" s="1"/>
  <c r="R17" i="13" s="1"/>
  <c r="R18" i="13" s="1"/>
  <c r="R19" i="13" s="1"/>
  <c r="R20" i="13" s="1"/>
  <c r="R21" i="13" s="1"/>
  <c r="R22" i="13" s="1"/>
  <c r="R23" i="13" s="1"/>
  <c r="Q5" i="13"/>
  <c r="Q6" i="13" s="1"/>
  <c r="Q7" i="13" s="1"/>
  <c r="Q8" i="13" s="1"/>
  <c r="Q9" i="13" s="1"/>
  <c r="Q10" i="13" s="1"/>
  <c r="Q11" i="13" s="1"/>
  <c r="Q12" i="13" s="1"/>
  <c r="Q13" i="13" s="1"/>
  <c r="Q14" i="13" s="1"/>
  <c r="Q15" i="13" s="1"/>
  <c r="Q16" i="13" s="1"/>
  <c r="Q17" i="13" s="1"/>
  <c r="Q18" i="13" s="1"/>
  <c r="Q19" i="13" s="1"/>
  <c r="Q20" i="13" s="1"/>
  <c r="Q21" i="13" s="1"/>
  <c r="Q22" i="13" s="1"/>
  <c r="Q23" i="13" s="1"/>
  <c r="P5" i="13"/>
  <c r="O5" i="13"/>
  <c r="O6" i="13" s="1"/>
  <c r="O7" i="13" s="1"/>
  <c r="O8" i="13" s="1"/>
  <c r="O9" i="13" s="1"/>
  <c r="O10" i="13" s="1"/>
  <c r="O11" i="13" s="1"/>
  <c r="O12" i="13" s="1"/>
  <c r="O13" i="13" s="1"/>
  <c r="O14" i="13" s="1"/>
  <c r="O15" i="13" s="1"/>
  <c r="O16" i="13" s="1"/>
  <c r="O17" i="13" s="1"/>
  <c r="O18" i="13" s="1"/>
  <c r="O19" i="13" s="1"/>
  <c r="O20" i="13" s="1"/>
  <c r="O21" i="13" s="1"/>
  <c r="O22" i="13" s="1"/>
  <c r="O23" i="13" s="1"/>
  <c r="N5" i="13"/>
  <c r="N6" i="13" s="1"/>
  <c r="N7" i="13" s="1"/>
  <c r="N8" i="13" s="1"/>
  <c r="N9" i="13" s="1"/>
  <c r="N10" i="13" s="1"/>
  <c r="N11" i="13" s="1"/>
  <c r="N12" i="13" s="1"/>
  <c r="N13" i="13" s="1"/>
  <c r="N14" i="13" s="1"/>
  <c r="N15" i="13" s="1"/>
  <c r="N16" i="13" s="1"/>
  <c r="N17" i="13" s="1"/>
  <c r="N18" i="13" s="1"/>
  <c r="N19" i="13" s="1"/>
  <c r="N20" i="13" s="1"/>
  <c r="N21" i="13" s="1"/>
  <c r="N22" i="13" s="1"/>
  <c r="N23" i="13" s="1"/>
  <c r="M6" i="13"/>
  <c r="M7" i="13" s="1"/>
  <c r="M8" i="13" s="1"/>
  <c r="M9" i="13" s="1"/>
  <c r="M10" i="13" s="1"/>
  <c r="M11" i="13" s="1"/>
  <c r="M12" i="13" s="1"/>
  <c r="M13" i="13" s="1"/>
  <c r="M14" i="13" s="1"/>
  <c r="M15" i="13" s="1"/>
  <c r="M16" i="13" s="1"/>
  <c r="M17" i="13" s="1"/>
  <c r="M18" i="13" s="1"/>
  <c r="M19" i="13" s="1"/>
  <c r="M20" i="13" s="1"/>
  <c r="M21" i="13" s="1"/>
  <c r="M22" i="13" s="1"/>
  <c r="M23" i="13" s="1"/>
  <c r="M5" i="13"/>
  <c r="K6" i="13"/>
  <c r="K7" i="13" s="1"/>
  <c r="K8" i="13" s="1"/>
  <c r="K9" i="13" s="1"/>
  <c r="K10" i="13" s="1"/>
  <c r="K11" i="13" s="1"/>
  <c r="K12" i="13" s="1"/>
  <c r="K13" i="13" s="1"/>
  <c r="K14" i="13" s="1"/>
  <c r="K15" i="13" s="1"/>
  <c r="K16" i="13" s="1"/>
  <c r="K17" i="13" s="1"/>
  <c r="K18" i="13" s="1"/>
  <c r="K19" i="13" s="1"/>
  <c r="K20" i="13" s="1"/>
  <c r="K21" i="13" s="1"/>
  <c r="K22" i="13" s="1"/>
  <c r="K23" i="13" s="1"/>
  <c r="J6" i="13"/>
  <c r="J7" i="13" s="1"/>
  <c r="J8" i="13" s="1"/>
  <c r="J9" i="13" s="1"/>
  <c r="J10" i="13" s="1"/>
  <c r="J11" i="13" s="1"/>
  <c r="J12" i="13" s="1"/>
  <c r="J13" i="13" s="1"/>
  <c r="J14" i="13" s="1"/>
  <c r="J15" i="13" s="1"/>
  <c r="J16" i="13" s="1"/>
  <c r="J17" i="13" s="1"/>
  <c r="J18" i="13" s="1"/>
  <c r="J19" i="13" s="1"/>
  <c r="J20" i="13" s="1"/>
  <c r="J21" i="13" s="1"/>
  <c r="J22" i="13" s="1"/>
  <c r="J23" i="13" s="1"/>
  <c r="F6" i="13"/>
  <c r="F7" i="13" s="1"/>
  <c r="F8" i="13" s="1"/>
  <c r="F9" i="13" s="1"/>
  <c r="F10" i="13" s="1"/>
  <c r="F11" i="13" s="1"/>
  <c r="F12" i="13" s="1"/>
  <c r="F13" i="13" s="1"/>
  <c r="F14" i="13" s="1"/>
  <c r="F15" i="13" s="1"/>
  <c r="F16" i="13" s="1"/>
  <c r="F17" i="13" s="1"/>
  <c r="F18" i="13" s="1"/>
  <c r="F19" i="13" s="1"/>
  <c r="F20" i="13" s="1"/>
  <c r="F21" i="13" s="1"/>
  <c r="F22" i="13" s="1"/>
  <c r="F23" i="13" s="1"/>
  <c r="K5" i="13"/>
  <c r="J5" i="13"/>
  <c r="I5" i="13"/>
  <c r="I6" i="13" s="1"/>
  <c r="I7" i="13" s="1"/>
  <c r="I8" i="13" s="1"/>
  <c r="I9" i="13" s="1"/>
  <c r="I10" i="13" s="1"/>
  <c r="I11" i="13" s="1"/>
  <c r="I12" i="13" s="1"/>
  <c r="I13" i="13" s="1"/>
  <c r="I14" i="13" s="1"/>
  <c r="I15" i="13" s="1"/>
  <c r="I16" i="13" s="1"/>
  <c r="I17" i="13" s="1"/>
  <c r="I18" i="13" s="1"/>
  <c r="I19" i="13" s="1"/>
  <c r="I20" i="13" s="1"/>
  <c r="I21" i="13" s="1"/>
  <c r="I22" i="13" s="1"/>
  <c r="I23" i="13" s="1"/>
  <c r="H5" i="13"/>
  <c r="H6" i="13" s="1"/>
  <c r="H7" i="13" s="1"/>
  <c r="H8" i="13" s="1"/>
  <c r="H9" i="13" s="1"/>
  <c r="H10" i="13" s="1"/>
  <c r="H11" i="13" s="1"/>
  <c r="H12" i="13" s="1"/>
  <c r="H13" i="13" s="1"/>
  <c r="H14" i="13" s="1"/>
  <c r="H15" i="13" s="1"/>
  <c r="H16" i="13" s="1"/>
  <c r="H17" i="13" s="1"/>
  <c r="H18" i="13" s="1"/>
  <c r="H19" i="13" s="1"/>
  <c r="H20" i="13" s="1"/>
  <c r="H21" i="13" s="1"/>
  <c r="H22" i="13" s="1"/>
  <c r="H23" i="13" s="1"/>
  <c r="G5" i="13"/>
  <c r="G6" i="13" s="1"/>
  <c r="G7" i="13" s="1"/>
  <c r="G8" i="13" s="1"/>
  <c r="G9" i="13" s="1"/>
  <c r="G10" i="13" s="1"/>
  <c r="G11" i="13" s="1"/>
  <c r="G12" i="13" s="1"/>
  <c r="G13" i="13" s="1"/>
  <c r="G14" i="13" s="1"/>
  <c r="G15" i="13" s="1"/>
  <c r="G16" i="13" s="1"/>
  <c r="G17" i="13" s="1"/>
  <c r="G18" i="13" s="1"/>
  <c r="G19" i="13" s="1"/>
  <c r="G20" i="13" s="1"/>
  <c r="G21" i="13" s="1"/>
  <c r="G22" i="13" s="1"/>
  <c r="G23" i="13" s="1"/>
  <c r="F5" i="13"/>
  <c r="E6" i="13"/>
  <c r="E7" i="13" s="1"/>
  <c r="E8" i="13" s="1"/>
  <c r="E9" i="13" s="1"/>
  <c r="E10" i="13" s="1"/>
  <c r="E11" i="13" s="1"/>
  <c r="E12" i="13" s="1"/>
  <c r="E13" i="13" s="1"/>
  <c r="E14" i="13" s="1"/>
  <c r="E15" i="13" s="1"/>
  <c r="E16" i="13" s="1"/>
  <c r="E17" i="13" s="1"/>
  <c r="E18" i="13" s="1"/>
  <c r="E19" i="13" s="1"/>
  <c r="E20" i="13" s="1"/>
  <c r="E21" i="13" s="1"/>
  <c r="E22" i="13" s="1"/>
  <c r="E23" i="13" s="1"/>
  <c r="E5" i="13"/>
  <c r="N21" i="7"/>
  <c r="N20" i="7"/>
  <c r="N19" i="7"/>
  <c r="N18" i="7"/>
  <c r="N17" i="7"/>
  <c r="N16" i="7"/>
  <c r="N15" i="7"/>
  <c r="N14" i="7"/>
  <c r="N13" i="7"/>
  <c r="N12" i="7"/>
  <c r="J266" i="9"/>
  <c r="I266" i="9"/>
  <c r="J265" i="9"/>
  <c r="I265" i="9"/>
  <c r="J264" i="9"/>
  <c r="I264" i="9"/>
  <c r="J263" i="9"/>
  <c r="I263" i="9"/>
  <c r="J262" i="9"/>
  <c r="I262" i="9"/>
  <c r="J261" i="9"/>
  <c r="I261" i="9"/>
  <c r="J260" i="9"/>
  <c r="I260" i="9"/>
  <c r="J259" i="9"/>
  <c r="I259" i="9"/>
  <c r="J258" i="9"/>
  <c r="I258" i="9"/>
  <c r="J257" i="9"/>
  <c r="I257" i="9"/>
  <c r="J256" i="9"/>
  <c r="I256" i="9"/>
  <c r="J255" i="9"/>
  <c r="I255" i="9"/>
  <c r="J254" i="9"/>
  <c r="I254" i="9"/>
  <c r="J253" i="9"/>
  <c r="I253" i="9"/>
  <c r="J252" i="9"/>
  <c r="I252" i="9"/>
  <c r="J251" i="9"/>
  <c r="I251" i="9"/>
  <c r="J250" i="9"/>
  <c r="I250" i="9"/>
  <c r="J249" i="9"/>
  <c r="I249" i="9"/>
  <c r="J248" i="9"/>
  <c r="I248" i="9"/>
  <c r="J247" i="9"/>
  <c r="I247" i="9"/>
  <c r="J246" i="9"/>
  <c r="I246" i="9"/>
  <c r="J245" i="9"/>
  <c r="I245" i="9"/>
  <c r="J244" i="9"/>
  <c r="I244" i="9"/>
  <c r="J243" i="9"/>
  <c r="I243" i="9"/>
  <c r="J242" i="9"/>
  <c r="I242" i="9"/>
  <c r="J241" i="9"/>
  <c r="I241" i="9"/>
  <c r="J240" i="9"/>
  <c r="I240" i="9"/>
  <c r="J239" i="9"/>
  <c r="I239" i="9"/>
  <c r="J238" i="9"/>
  <c r="I238" i="9"/>
  <c r="J237" i="9"/>
  <c r="I237" i="9"/>
  <c r="J236" i="9"/>
  <c r="I236" i="9"/>
  <c r="J235" i="9"/>
  <c r="I235" i="9"/>
  <c r="J234" i="9"/>
  <c r="I234" i="9"/>
  <c r="J233" i="9"/>
  <c r="I233" i="9"/>
  <c r="J232" i="9"/>
  <c r="I232" i="9"/>
  <c r="J231" i="9"/>
  <c r="I231" i="9"/>
  <c r="J230" i="9"/>
  <c r="I230" i="9"/>
  <c r="J229" i="9"/>
  <c r="I229" i="9"/>
  <c r="J228" i="9"/>
  <c r="I228" i="9"/>
  <c r="J227" i="9"/>
  <c r="I227" i="9"/>
  <c r="J226" i="9"/>
  <c r="I226" i="9"/>
  <c r="J225" i="9"/>
  <c r="I225" i="9"/>
  <c r="J224" i="9"/>
  <c r="I224" i="9"/>
  <c r="J223" i="9"/>
  <c r="I223" i="9"/>
  <c r="J222" i="9"/>
  <c r="I222" i="9"/>
  <c r="J221" i="9"/>
  <c r="I221" i="9"/>
  <c r="J220" i="9"/>
  <c r="I220" i="9"/>
  <c r="J219" i="9"/>
  <c r="I219" i="9"/>
  <c r="J218" i="9"/>
  <c r="I218" i="9"/>
  <c r="J217" i="9"/>
  <c r="I217" i="9"/>
  <c r="J216" i="9"/>
  <c r="I216" i="9"/>
  <c r="J215" i="9"/>
  <c r="I215" i="9"/>
  <c r="J214" i="9"/>
  <c r="I214" i="9"/>
  <c r="J213" i="9"/>
  <c r="I213" i="9"/>
  <c r="J212" i="9"/>
  <c r="I212" i="9"/>
  <c r="J211" i="9"/>
  <c r="I211" i="9"/>
  <c r="J210" i="9"/>
  <c r="I210" i="9"/>
  <c r="J209" i="9"/>
  <c r="I209" i="9"/>
  <c r="J208" i="9"/>
  <c r="I208" i="9"/>
  <c r="J207" i="9"/>
  <c r="I207" i="9"/>
  <c r="J206" i="9"/>
  <c r="I206" i="9"/>
  <c r="J205" i="9"/>
  <c r="I205" i="9"/>
  <c r="J204" i="9"/>
  <c r="I204" i="9"/>
  <c r="J203" i="9"/>
  <c r="I203" i="9"/>
  <c r="J202" i="9"/>
  <c r="I202" i="9"/>
  <c r="J201" i="9"/>
  <c r="I201" i="9"/>
  <c r="J200" i="9"/>
  <c r="I200" i="9"/>
  <c r="J199" i="9"/>
  <c r="I199" i="9"/>
  <c r="J198" i="9"/>
  <c r="I198" i="9"/>
  <c r="J197" i="9"/>
  <c r="I197" i="9"/>
  <c r="J196" i="9"/>
  <c r="I196" i="9"/>
  <c r="J195" i="9"/>
  <c r="I195" i="9"/>
  <c r="J194" i="9"/>
  <c r="I194" i="9"/>
  <c r="J193" i="9"/>
  <c r="I193" i="9"/>
  <c r="J192" i="9"/>
  <c r="I192" i="9"/>
  <c r="J191" i="9"/>
  <c r="I191" i="9"/>
  <c r="J190" i="9"/>
  <c r="I190" i="9"/>
  <c r="J189" i="9"/>
  <c r="I189" i="9"/>
  <c r="J188" i="9"/>
  <c r="I188" i="9"/>
  <c r="J187" i="9"/>
  <c r="I187" i="9"/>
  <c r="J186" i="9"/>
  <c r="I186" i="9"/>
  <c r="J185" i="9"/>
  <c r="I185" i="9"/>
  <c r="J184" i="9"/>
  <c r="I184" i="9"/>
  <c r="J183" i="9"/>
  <c r="I183" i="9"/>
  <c r="J182" i="9"/>
  <c r="I182" i="9"/>
  <c r="J181" i="9"/>
  <c r="I181" i="9"/>
  <c r="J180" i="9"/>
  <c r="I180" i="9"/>
  <c r="J179" i="9"/>
  <c r="I179" i="9"/>
  <c r="J178" i="9"/>
  <c r="I178" i="9"/>
  <c r="J177" i="9"/>
  <c r="I177" i="9"/>
  <c r="J176" i="9"/>
  <c r="I176" i="9"/>
  <c r="J175" i="9"/>
  <c r="I175" i="9"/>
  <c r="J174" i="9"/>
  <c r="I174" i="9"/>
  <c r="J173" i="9"/>
  <c r="I173" i="9"/>
  <c r="J172" i="9"/>
  <c r="I172" i="9"/>
  <c r="J171" i="9"/>
  <c r="I171" i="9"/>
  <c r="J170" i="9"/>
  <c r="I170" i="9"/>
  <c r="J169" i="9"/>
  <c r="I169" i="9"/>
  <c r="J168" i="9"/>
  <c r="I168" i="9"/>
  <c r="J167" i="9"/>
  <c r="I167" i="9"/>
  <c r="J166" i="9"/>
  <c r="I166" i="9"/>
  <c r="J165" i="9"/>
  <c r="I165" i="9"/>
  <c r="J164" i="9"/>
  <c r="I164" i="9"/>
  <c r="J163" i="9"/>
  <c r="I163" i="9"/>
  <c r="J162" i="9"/>
  <c r="I162" i="9"/>
  <c r="J161" i="9"/>
  <c r="I161" i="9"/>
  <c r="J160" i="9"/>
  <c r="I160" i="9"/>
  <c r="J159" i="9"/>
  <c r="I159" i="9"/>
  <c r="J158" i="9"/>
  <c r="I158" i="9"/>
  <c r="J157" i="9"/>
  <c r="I157" i="9"/>
  <c r="J156" i="9"/>
  <c r="I156" i="9"/>
  <c r="J155" i="9"/>
  <c r="I155" i="9"/>
  <c r="J154" i="9"/>
  <c r="I154" i="9"/>
  <c r="J153" i="9"/>
  <c r="I153" i="9"/>
  <c r="J152" i="9"/>
  <c r="I152" i="9"/>
  <c r="J151" i="9"/>
  <c r="I151" i="9"/>
  <c r="J150" i="9"/>
  <c r="I150" i="9"/>
  <c r="J149" i="9"/>
  <c r="I149" i="9"/>
  <c r="J148" i="9"/>
  <c r="I148" i="9"/>
  <c r="J147" i="9"/>
  <c r="I147" i="9"/>
  <c r="J146" i="9"/>
  <c r="I146" i="9"/>
  <c r="J145" i="9"/>
  <c r="I145" i="9"/>
  <c r="J144" i="9"/>
  <c r="I144" i="9"/>
  <c r="J143" i="9"/>
  <c r="I143" i="9"/>
  <c r="J142" i="9"/>
  <c r="I142" i="9"/>
  <c r="J141" i="9"/>
  <c r="I141" i="9"/>
  <c r="J140" i="9"/>
  <c r="I140" i="9"/>
  <c r="J139" i="9"/>
  <c r="I139" i="9"/>
  <c r="J138" i="9"/>
  <c r="I138" i="9"/>
  <c r="J137" i="9"/>
  <c r="I137" i="9"/>
  <c r="J136" i="9"/>
  <c r="I136" i="9"/>
  <c r="J135" i="9"/>
  <c r="I135" i="9"/>
  <c r="J134" i="9"/>
  <c r="I134" i="9"/>
  <c r="J133" i="9"/>
  <c r="I133" i="9"/>
  <c r="J132" i="9"/>
  <c r="I132" i="9"/>
  <c r="J131" i="9"/>
  <c r="I131" i="9"/>
  <c r="J130" i="9"/>
  <c r="I130" i="9"/>
  <c r="J129" i="9"/>
  <c r="I129" i="9"/>
  <c r="J128" i="9"/>
  <c r="I128" i="9"/>
  <c r="J127" i="9"/>
  <c r="I127" i="9"/>
  <c r="J126" i="9"/>
  <c r="I126" i="9"/>
  <c r="J125" i="9"/>
  <c r="I125" i="9"/>
  <c r="J124" i="9"/>
  <c r="I124" i="9"/>
  <c r="J123" i="9"/>
  <c r="I123" i="9"/>
  <c r="J122" i="9"/>
  <c r="I122" i="9"/>
  <c r="J121" i="9"/>
  <c r="I121" i="9"/>
  <c r="J120" i="9"/>
  <c r="I120" i="9"/>
  <c r="J119" i="9"/>
  <c r="I119" i="9"/>
  <c r="J118" i="9"/>
  <c r="I118" i="9"/>
  <c r="J117" i="9"/>
  <c r="I117" i="9"/>
  <c r="J116" i="9"/>
  <c r="I116" i="9"/>
  <c r="J115" i="9"/>
  <c r="I115" i="9"/>
  <c r="J114" i="9"/>
  <c r="I114" i="9"/>
  <c r="J113" i="9"/>
  <c r="I113" i="9"/>
  <c r="J112" i="9"/>
  <c r="I112" i="9"/>
  <c r="J111" i="9"/>
  <c r="I111" i="9"/>
  <c r="J110" i="9"/>
  <c r="I110" i="9"/>
  <c r="J109" i="9"/>
  <c r="I109" i="9"/>
  <c r="J108" i="9"/>
  <c r="I108" i="9"/>
  <c r="J107" i="9"/>
  <c r="I107" i="9"/>
  <c r="J106" i="9"/>
  <c r="I106" i="9"/>
  <c r="J105" i="9"/>
  <c r="I105" i="9"/>
  <c r="J104" i="9"/>
  <c r="I104" i="9"/>
  <c r="J103" i="9"/>
  <c r="I103" i="9"/>
  <c r="J102" i="9"/>
  <c r="I102" i="9"/>
  <c r="J101" i="9"/>
  <c r="I101" i="9"/>
  <c r="J100" i="9"/>
  <c r="I100" i="9"/>
  <c r="J99" i="9"/>
  <c r="I99" i="9"/>
  <c r="J98" i="9"/>
  <c r="I98" i="9"/>
  <c r="J97" i="9"/>
  <c r="I97" i="9"/>
  <c r="J96" i="9"/>
  <c r="I96" i="9"/>
  <c r="J95" i="9"/>
  <c r="I95" i="9"/>
  <c r="J94" i="9"/>
  <c r="I94" i="9"/>
  <c r="J93" i="9"/>
  <c r="I93" i="9"/>
  <c r="J92" i="9"/>
  <c r="I92" i="9"/>
  <c r="J91" i="9"/>
  <c r="I91" i="9"/>
  <c r="J90" i="9"/>
  <c r="I90" i="9"/>
  <c r="J89" i="9"/>
  <c r="I89" i="9"/>
  <c r="J88" i="9"/>
  <c r="I88" i="9"/>
  <c r="J87" i="9"/>
  <c r="I87" i="9"/>
  <c r="J86" i="9"/>
  <c r="I86" i="9"/>
  <c r="J85" i="9"/>
  <c r="I85" i="9"/>
  <c r="J84" i="9"/>
  <c r="I84" i="9"/>
  <c r="J83" i="9"/>
  <c r="I83" i="9"/>
  <c r="J82" i="9"/>
  <c r="I82" i="9"/>
  <c r="J81" i="9"/>
  <c r="I81" i="9"/>
  <c r="J80" i="9"/>
  <c r="I80" i="9"/>
  <c r="J79" i="9"/>
  <c r="I79" i="9"/>
  <c r="J78" i="9"/>
  <c r="I78" i="9"/>
  <c r="J77" i="9"/>
  <c r="I77" i="9"/>
  <c r="J76" i="9"/>
  <c r="I76" i="9"/>
  <c r="J75" i="9"/>
  <c r="I75" i="9"/>
  <c r="J74" i="9"/>
  <c r="I74" i="9"/>
  <c r="J73" i="9"/>
  <c r="I73" i="9"/>
  <c r="J72" i="9"/>
  <c r="I72" i="9"/>
  <c r="J71" i="9"/>
  <c r="I71" i="9"/>
  <c r="J70" i="9"/>
  <c r="I70" i="9"/>
  <c r="J69" i="9"/>
  <c r="I69" i="9"/>
  <c r="J68" i="9"/>
  <c r="I68" i="9"/>
  <c r="J67" i="9"/>
  <c r="I67" i="9"/>
  <c r="J66" i="9"/>
  <c r="I66" i="9"/>
  <c r="J65" i="9"/>
  <c r="I65" i="9"/>
  <c r="J64" i="9"/>
  <c r="I64" i="9"/>
  <c r="J63" i="9"/>
  <c r="I63" i="9"/>
  <c r="J62" i="9"/>
  <c r="I62" i="9"/>
  <c r="J61" i="9"/>
  <c r="I61" i="9"/>
  <c r="J60" i="9"/>
  <c r="I60" i="9"/>
  <c r="J59" i="9"/>
  <c r="I59" i="9"/>
  <c r="J58" i="9"/>
  <c r="I58" i="9"/>
  <c r="J57" i="9"/>
  <c r="I57" i="9"/>
  <c r="J56" i="9"/>
  <c r="I56" i="9"/>
  <c r="J55" i="9"/>
  <c r="I55" i="9"/>
  <c r="J54" i="9"/>
  <c r="I54" i="9"/>
  <c r="J53" i="9"/>
  <c r="I53" i="9"/>
  <c r="J52" i="9"/>
  <c r="I52" i="9"/>
  <c r="J51" i="9"/>
  <c r="I51" i="9"/>
  <c r="J50" i="9"/>
  <c r="I50" i="9"/>
  <c r="J49" i="9"/>
  <c r="I49" i="9"/>
  <c r="J48" i="9"/>
  <c r="I48" i="9"/>
  <c r="J47" i="9"/>
  <c r="I47" i="9"/>
  <c r="J46" i="9"/>
  <c r="I46" i="9"/>
  <c r="J45" i="9"/>
  <c r="I45" i="9"/>
  <c r="J44" i="9"/>
  <c r="I44" i="9"/>
  <c r="J43" i="9"/>
  <c r="I43" i="9"/>
  <c r="J42" i="9"/>
  <c r="I42" i="9"/>
  <c r="J41" i="9"/>
  <c r="I41" i="9"/>
  <c r="J40" i="9"/>
  <c r="I40" i="9"/>
  <c r="J39" i="9"/>
  <c r="I39" i="9"/>
  <c r="J38" i="9"/>
  <c r="I38" i="9"/>
  <c r="J37" i="9"/>
  <c r="I37" i="9"/>
  <c r="J36" i="9"/>
  <c r="I36" i="9"/>
  <c r="J35" i="9"/>
  <c r="I35" i="9"/>
  <c r="J34" i="9"/>
  <c r="I34" i="9"/>
  <c r="J33" i="9"/>
  <c r="I33" i="9"/>
  <c r="J32" i="9"/>
  <c r="I32" i="9"/>
  <c r="J31" i="9"/>
  <c r="I31" i="9"/>
  <c r="J30" i="9"/>
  <c r="I30" i="9"/>
  <c r="J29" i="9"/>
  <c r="I29" i="9"/>
  <c r="J28" i="9"/>
  <c r="I28" i="9"/>
  <c r="J27" i="9"/>
  <c r="I27" i="9"/>
  <c r="J26" i="9"/>
  <c r="I26" i="9"/>
  <c r="J25" i="9"/>
  <c r="I25" i="9"/>
  <c r="J24" i="9"/>
  <c r="I24" i="9"/>
  <c r="J23" i="9"/>
  <c r="I23" i="9"/>
  <c r="J22" i="9"/>
  <c r="I22" i="9"/>
  <c r="J21" i="9"/>
  <c r="I21" i="9"/>
  <c r="J20" i="9"/>
  <c r="I20" i="9"/>
  <c r="J19" i="9"/>
  <c r="I19" i="9"/>
  <c r="J18" i="9"/>
  <c r="I18" i="9"/>
  <c r="J17" i="9"/>
  <c r="I17" i="9"/>
  <c r="J16" i="9"/>
  <c r="I16" i="9"/>
  <c r="J15" i="9"/>
  <c r="I15" i="9"/>
  <c r="J14" i="9"/>
  <c r="I14" i="9"/>
  <c r="J13" i="9"/>
  <c r="I13" i="9"/>
  <c r="J12" i="9"/>
  <c r="I12" i="9"/>
  <c r="J11" i="9"/>
  <c r="I11" i="9"/>
  <c r="J10" i="9"/>
  <c r="I10" i="9"/>
  <c r="J9" i="9"/>
  <c r="I9" i="9"/>
  <c r="J8" i="9"/>
  <c r="I8" i="9"/>
  <c r="J7" i="9"/>
  <c r="I7" i="9"/>
  <c r="J6" i="9"/>
  <c r="I6" i="9"/>
  <c r="J5" i="9"/>
  <c r="I5" i="9"/>
  <c r="J4" i="9"/>
  <c r="I4" i="9"/>
  <c r="J3" i="9"/>
  <c r="I3" i="9"/>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I9" i="8" s="1"/>
  <c r="F32" i="4"/>
  <c r="F31" i="4"/>
  <c r="F30" i="4"/>
  <c r="F29" i="4"/>
  <c r="F28" i="4"/>
  <c r="F27" i="4"/>
  <c r="F26" i="4"/>
  <c r="F25" i="4"/>
  <c r="F24" i="4"/>
  <c r="F23" i="4"/>
  <c r="F22" i="4"/>
  <c r="F21" i="4"/>
  <c r="F20" i="4"/>
  <c r="F19" i="4"/>
  <c r="F18" i="4"/>
  <c r="F17" i="4"/>
  <c r="I12" i="8" s="1"/>
  <c r="F16" i="4"/>
  <c r="F15" i="4"/>
  <c r="I14" i="8" s="1"/>
  <c r="F14" i="4"/>
  <c r="F13" i="4"/>
  <c r="F12" i="4"/>
  <c r="F11" i="4"/>
  <c r="F10" i="4"/>
  <c r="F9" i="4"/>
  <c r="F8" i="4"/>
  <c r="F7" i="4"/>
  <c r="F6" i="4"/>
  <c r="F5" i="4"/>
  <c r="F4" i="4"/>
  <c r="F3" i="4"/>
  <c r="I13" i="8"/>
  <c r="I5" i="8"/>
  <c r="H14" i="8"/>
  <c r="H13" i="8"/>
  <c r="H12" i="8"/>
  <c r="H11" i="8"/>
  <c r="H10" i="8"/>
  <c r="H9" i="8"/>
  <c r="H8" i="8"/>
  <c r="H7" i="8"/>
  <c r="H6" i="8"/>
  <c r="H5" i="8"/>
  <c r="H4" i="8"/>
  <c r="H3" i="8"/>
  <c r="AD6" i="4"/>
  <c r="AC6" i="4"/>
  <c r="AB6" i="4"/>
  <c r="AA6" i="4"/>
  <c r="Z6" i="4"/>
  <c r="Y6" i="4"/>
  <c r="X6" i="4"/>
  <c r="W6" i="4"/>
  <c r="V6" i="4"/>
  <c r="U6" i="4"/>
  <c r="T6" i="4"/>
  <c r="S6" i="4"/>
  <c r="R6" i="4"/>
  <c r="Q6" i="4"/>
  <c r="P6" i="4"/>
  <c r="O6" i="4"/>
  <c r="N6" i="4"/>
  <c r="M6" i="4"/>
  <c r="L6" i="4"/>
  <c r="K6" i="4"/>
  <c r="J6" i="4"/>
  <c r="N5" i="5"/>
  <c r="N4" i="5"/>
  <c r="I4" i="8" l="1"/>
  <c r="I3" i="8"/>
  <c r="I11" i="8"/>
  <c r="I6" i="8"/>
  <c r="I8" i="8"/>
  <c r="I10" i="8"/>
  <c r="I7" i="8"/>
  <c r="C17" i="12" l="1"/>
  <c r="F17" i="12" s="1"/>
  <c r="D17" i="12"/>
  <c r="E17" i="12"/>
  <c r="H26" i="12" s="1"/>
  <c r="C15" i="12"/>
  <c r="F24" i="12"/>
  <c r="D14" i="12"/>
  <c r="E25" i="12" s="1"/>
  <c r="E14" i="12"/>
  <c r="E26" i="12" s="1"/>
  <c r="D15" i="12"/>
  <c r="E15" i="12"/>
  <c r="F26" i="12" s="1"/>
  <c r="D16" i="12"/>
  <c r="D18" i="12"/>
  <c r="E18" i="12"/>
  <c r="I26" i="12" s="1"/>
  <c r="D19" i="12"/>
  <c r="E19" i="12"/>
  <c r="J26" i="12" s="1"/>
  <c r="D20" i="12"/>
  <c r="F20" i="12" s="1"/>
  <c r="E20" i="12"/>
  <c r="K26" i="12" s="1"/>
  <c r="H24" i="12"/>
  <c r="C18" i="12"/>
  <c r="I24" i="12"/>
  <c r="C19" i="12"/>
  <c r="J24" i="12" s="1"/>
  <c r="C20" i="12"/>
  <c r="K24" i="12" s="1"/>
  <c r="E16" i="12"/>
  <c r="G26" i="12" s="1"/>
  <c r="C16" i="12"/>
  <c r="G24" i="12" s="1"/>
  <c r="F2" i="3"/>
  <c r="H2" i="3"/>
  <c r="D4" i="14"/>
  <c r="D5" i="14"/>
  <c r="D6" i="14"/>
  <c r="F7" i="14"/>
  <c r="B9" i="14"/>
  <c r="B12" i="14"/>
  <c r="C6" i="2"/>
  <c r="F6" i="14"/>
  <c r="G6" i="14"/>
  <c r="F5" i="14"/>
  <c r="G5" i="14"/>
  <c r="F4" i="14"/>
  <c r="G4" i="14"/>
  <c r="G7" i="14"/>
  <c r="B24" i="12"/>
  <c r="D24" i="12" s="1"/>
  <c r="C24" i="12"/>
  <c r="B4" i="13"/>
  <c r="B5" i="13"/>
  <c r="B6" i="13"/>
  <c r="B7" i="13"/>
  <c r="B8" i="13"/>
  <c r="B9" i="13"/>
  <c r="B10" i="13"/>
  <c r="B11" i="13"/>
  <c r="B12" i="13"/>
  <c r="B13" i="13"/>
  <c r="B14" i="13"/>
  <c r="B15" i="13"/>
  <c r="B16" i="13"/>
  <c r="B17" i="13"/>
  <c r="B18" i="13"/>
  <c r="B19" i="13"/>
  <c r="B20" i="13"/>
  <c r="B21" i="13"/>
  <c r="B22" i="13"/>
  <c r="B23" i="13"/>
  <c r="A3" i="3"/>
  <c r="A4" i="3" s="1"/>
  <c r="D3" i="2"/>
  <c r="B25" i="12"/>
  <c r="D25" i="12" s="1"/>
  <c r="B26" i="12"/>
  <c r="C26" i="12" s="1"/>
  <c r="D5" i="13"/>
  <c r="D6" i="13"/>
  <c r="D7" i="13"/>
  <c r="D8" i="13"/>
  <c r="D9" i="13"/>
  <c r="D10" i="13"/>
  <c r="D11" i="13"/>
  <c r="D12" i="13"/>
  <c r="D13" i="13"/>
  <c r="D14" i="13"/>
  <c r="D15" i="13"/>
  <c r="D16" i="13"/>
  <c r="D17" i="13"/>
  <c r="D18" i="13"/>
  <c r="D19" i="13"/>
  <c r="D20" i="13"/>
  <c r="D21" i="13"/>
  <c r="D22" i="13"/>
  <c r="D23" i="13"/>
  <c r="C5" i="13"/>
  <c r="C6" i="13"/>
  <c r="C7" i="13"/>
  <c r="C8" i="13"/>
  <c r="C9" i="13"/>
  <c r="C10" i="13"/>
  <c r="C11" i="13"/>
  <c r="C12" i="13"/>
  <c r="C13" i="13"/>
  <c r="C14" i="13"/>
  <c r="C15" i="13"/>
  <c r="C16" i="13"/>
  <c r="C17" i="13"/>
  <c r="C18" i="13"/>
  <c r="C19" i="13"/>
  <c r="C20" i="13"/>
  <c r="C21" i="13"/>
  <c r="C22" i="13"/>
  <c r="C23" i="13"/>
  <c r="C14" i="12"/>
  <c r="F14" i="12" s="1"/>
  <c r="E24" i="12"/>
  <c r="I3" i="3" s="1"/>
  <c r="C25" i="12"/>
  <c r="F18" i="12"/>
  <c r="B3" i="3"/>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D79" i="4"/>
  <c r="B80" i="4"/>
  <c r="C80" i="4"/>
  <c r="B81" i="4"/>
  <c r="C81" i="4"/>
  <c r="B82" i="4"/>
  <c r="C82" i="4"/>
  <c r="B83" i="4"/>
  <c r="C83" i="4"/>
  <c r="B84" i="4"/>
  <c r="C84" i="4"/>
  <c r="B85" i="4"/>
  <c r="C85" i="4"/>
  <c r="B86" i="4"/>
  <c r="C86" i="4"/>
  <c r="B87" i="4"/>
  <c r="D87" i="4"/>
  <c r="B88" i="4"/>
  <c r="C88" i="4"/>
  <c r="B89" i="4"/>
  <c r="C89" i="4"/>
  <c r="B90" i="4"/>
  <c r="C90" i="4"/>
  <c r="B91" i="4"/>
  <c r="C91" i="4"/>
  <c r="B92" i="4"/>
  <c r="C92" i="4"/>
  <c r="B93" i="4"/>
  <c r="C93" i="4"/>
  <c r="B94" i="4"/>
  <c r="C94" i="4"/>
  <c r="B95" i="4"/>
  <c r="D95" i="4"/>
  <c r="B96" i="4"/>
  <c r="C96" i="4"/>
  <c r="B97" i="4"/>
  <c r="C97" i="4"/>
  <c r="B98" i="4"/>
  <c r="C98" i="4"/>
  <c r="B99" i="4"/>
  <c r="C99" i="4"/>
  <c r="B100" i="4"/>
  <c r="C100" i="4"/>
  <c r="B101" i="4"/>
  <c r="C101" i="4"/>
  <c r="B102" i="4"/>
  <c r="C102" i="4"/>
  <c r="B103" i="4"/>
  <c r="D103" i="4"/>
  <c r="B104" i="4"/>
  <c r="C104" i="4"/>
  <c r="B105" i="4"/>
  <c r="C105" i="4"/>
  <c r="B106" i="4"/>
  <c r="C106" i="4"/>
  <c r="B107" i="4"/>
  <c r="C107" i="4"/>
  <c r="B108" i="4"/>
  <c r="C108" i="4"/>
  <c r="B109" i="4"/>
  <c r="C109" i="4"/>
  <c r="B110" i="4"/>
  <c r="C110" i="4"/>
  <c r="B111" i="4"/>
  <c r="D111" i="4"/>
  <c r="B112" i="4"/>
  <c r="C112" i="4"/>
  <c r="B113" i="4"/>
  <c r="C113" i="4"/>
  <c r="B114" i="4"/>
  <c r="C114" i="4"/>
  <c r="B115" i="4"/>
  <c r="C115" i="4"/>
  <c r="B116" i="4"/>
  <c r="C116" i="4"/>
  <c r="B117" i="4"/>
  <c r="C117" i="4"/>
  <c r="B118" i="4"/>
  <c r="C118" i="4"/>
  <c r="B119" i="4"/>
  <c r="D119" i="4"/>
  <c r="B120" i="4"/>
  <c r="C120" i="4"/>
  <c r="B121" i="4"/>
  <c r="C121" i="4"/>
  <c r="B122" i="4"/>
  <c r="C122" i="4"/>
  <c r="B123" i="4"/>
  <c r="C123" i="4"/>
  <c r="B124" i="4"/>
  <c r="C124" i="4"/>
  <c r="B125" i="4"/>
  <c r="C125" i="4"/>
  <c r="B126" i="4"/>
  <c r="C126" i="4"/>
  <c r="B127" i="4"/>
  <c r="D127" i="4"/>
  <c r="B128" i="4"/>
  <c r="C128" i="4"/>
  <c r="B129" i="4"/>
  <c r="C129" i="4"/>
  <c r="B130" i="4"/>
  <c r="C130" i="4"/>
  <c r="B131" i="4"/>
  <c r="C131" i="4"/>
  <c r="B132" i="4"/>
  <c r="C132" i="4"/>
  <c r="B133" i="4"/>
  <c r="C133" i="4"/>
  <c r="B134" i="4"/>
  <c r="C134" i="4"/>
  <c r="B135" i="4"/>
  <c r="D135" i="4"/>
  <c r="B136" i="4"/>
  <c r="C136" i="4"/>
  <c r="B137" i="4"/>
  <c r="C137" i="4"/>
  <c r="B138" i="4"/>
  <c r="C138" i="4"/>
  <c r="B139" i="4"/>
  <c r="C139" i="4"/>
  <c r="B140" i="4"/>
  <c r="C140" i="4"/>
  <c r="B141" i="4"/>
  <c r="C141" i="4"/>
  <c r="B142" i="4"/>
  <c r="C142" i="4"/>
  <c r="B143" i="4"/>
  <c r="D143" i="4"/>
  <c r="B144" i="4"/>
  <c r="C144" i="4"/>
  <c r="B145" i="4"/>
  <c r="C145" i="4"/>
  <c r="B146" i="4"/>
  <c r="C146" i="4"/>
  <c r="B147" i="4"/>
  <c r="C147" i="4"/>
  <c r="B148" i="4"/>
  <c r="C148" i="4"/>
  <c r="B149" i="4"/>
  <c r="C149" i="4"/>
  <c r="B150" i="4"/>
  <c r="C150" i="4"/>
  <c r="B151" i="4"/>
  <c r="D151" i="4"/>
  <c r="B152" i="4"/>
  <c r="C152" i="4"/>
  <c r="B153" i="4"/>
  <c r="C153" i="4"/>
  <c r="B154" i="4"/>
  <c r="C154" i="4"/>
  <c r="B155" i="4"/>
  <c r="C155" i="4"/>
  <c r="B156" i="4"/>
  <c r="D156" i="4"/>
  <c r="B157" i="4"/>
  <c r="C157" i="4"/>
  <c r="B158" i="4"/>
  <c r="C158" i="4"/>
  <c r="B159" i="4"/>
  <c r="D159" i="4"/>
  <c r="B160" i="4"/>
  <c r="C160" i="4"/>
  <c r="B161" i="4"/>
  <c r="C161" i="4"/>
  <c r="B162" i="4"/>
  <c r="C162" i="4"/>
  <c r="B163" i="4"/>
  <c r="C163" i="4"/>
  <c r="B164" i="4"/>
  <c r="C164" i="4"/>
  <c r="B165" i="4"/>
  <c r="C165" i="4"/>
  <c r="B166" i="4"/>
  <c r="C166" i="4"/>
  <c r="B167" i="4"/>
  <c r="D167" i="4"/>
  <c r="B168" i="4"/>
  <c r="C168" i="4"/>
  <c r="B169" i="4"/>
  <c r="C169" i="4"/>
  <c r="B170" i="4"/>
  <c r="C170" i="4"/>
  <c r="B171" i="4"/>
  <c r="C171" i="4"/>
  <c r="B172" i="4"/>
  <c r="C172" i="4"/>
  <c r="B173" i="4"/>
  <c r="C173" i="4"/>
  <c r="B174" i="4"/>
  <c r="C174" i="4"/>
  <c r="B175" i="4"/>
  <c r="D175" i="4"/>
  <c r="B176" i="4"/>
  <c r="C176" i="4"/>
  <c r="B177" i="4"/>
  <c r="C177" i="4"/>
  <c r="B178" i="4"/>
  <c r="C178" i="4"/>
  <c r="B179" i="4"/>
  <c r="C179" i="4"/>
  <c r="B180" i="4"/>
  <c r="C180" i="4"/>
  <c r="B181" i="4"/>
  <c r="C181" i="4"/>
  <c r="B182" i="4"/>
  <c r="C182" i="4"/>
  <c r="B183" i="4"/>
  <c r="D183" i="4"/>
  <c r="B184" i="4"/>
  <c r="C184" i="4"/>
  <c r="B185" i="4"/>
  <c r="C185" i="4"/>
  <c r="B186" i="4"/>
  <c r="C186" i="4"/>
  <c r="B187" i="4"/>
  <c r="D187" i="4"/>
  <c r="B188" i="4"/>
  <c r="C188" i="4"/>
  <c r="B189" i="4"/>
  <c r="C189" i="4"/>
  <c r="B190" i="4"/>
  <c r="C190" i="4"/>
  <c r="B191" i="4"/>
  <c r="D191" i="4"/>
  <c r="B192" i="4"/>
  <c r="C192" i="4"/>
  <c r="B193" i="4"/>
  <c r="C193" i="4"/>
  <c r="B194" i="4"/>
  <c r="C194" i="4"/>
  <c r="B195" i="4"/>
  <c r="C195" i="4"/>
  <c r="B196" i="4"/>
  <c r="C196" i="4"/>
  <c r="B197" i="4"/>
  <c r="C197" i="4"/>
  <c r="B198" i="4"/>
  <c r="C198" i="4"/>
  <c r="B199" i="4"/>
  <c r="D199" i="4"/>
  <c r="B200" i="4"/>
  <c r="C200" i="4"/>
  <c r="B201" i="4"/>
  <c r="C201" i="4"/>
  <c r="B202" i="4"/>
  <c r="C202" i="4"/>
  <c r="B203" i="4"/>
  <c r="C203" i="4"/>
  <c r="B204" i="4"/>
  <c r="C204" i="4"/>
  <c r="B205" i="4"/>
  <c r="C205" i="4"/>
  <c r="B206" i="4"/>
  <c r="C206" i="4"/>
  <c r="B207" i="4"/>
  <c r="D207" i="4"/>
  <c r="B208" i="4"/>
  <c r="C208" i="4"/>
  <c r="B209" i="4"/>
  <c r="C209" i="4"/>
  <c r="B210" i="4"/>
  <c r="C210" i="4"/>
  <c r="B211" i="4"/>
  <c r="C211" i="4"/>
  <c r="B212" i="4"/>
  <c r="D212" i="4"/>
  <c r="B213" i="4"/>
  <c r="C213" i="4"/>
  <c r="B214" i="4"/>
  <c r="C214" i="4"/>
  <c r="B215" i="4"/>
  <c r="D215" i="4"/>
  <c r="B216" i="4"/>
  <c r="C216" i="4"/>
  <c r="B217" i="4"/>
  <c r="C217" i="4"/>
  <c r="B218" i="4"/>
  <c r="C218" i="4"/>
  <c r="B219" i="4"/>
  <c r="C219" i="4"/>
  <c r="B220" i="4"/>
  <c r="C220" i="4"/>
  <c r="B221" i="4"/>
  <c r="C221" i="4"/>
  <c r="B222" i="4"/>
  <c r="C222" i="4"/>
  <c r="B223" i="4"/>
  <c r="D223" i="4"/>
  <c r="B224" i="4"/>
  <c r="C224" i="4"/>
  <c r="B225" i="4"/>
  <c r="C225" i="4"/>
  <c r="B226" i="4"/>
  <c r="C226" i="4"/>
  <c r="B227" i="4"/>
  <c r="C227" i="4"/>
  <c r="B228" i="4"/>
  <c r="C228" i="4"/>
  <c r="B229" i="4"/>
  <c r="C229" i="4"/>
  <c r="B230" i="4"/>
  <c r="C230" i="4"/>
  <c r="B231" i="4"/>
  <c r="D231" i="4"/>
  <c r="B232" i="4"/>
  <c r="C232" i="4"/>
  <c r="B233" i="4"/>
  <c r="C233" i="4"/>
  <c r="B234" i="4"/>
  <c r="C234" i="4"/>
  <c r="B235" i="4"/>
  <c r="D235" i="4"/>
  <c r="B236" i="4"/>
  <c r="C236" i="4"/>
  <c r="B237" i="4"/>
  <c r="C237" i="4"/>
  <c r="B238" i="4"/>
  <c r="C238" i="4"/>
  <c r="B239" i="4"/>
  <c r="D239" i="4"/>
  <c r="B240" i="4"/>
  <c r="C240" i="4"/>
  <c r="B241" i="4"/>
  <c r="C241" i="4"/>
  <c r="B242" i="4"/>
  <c r="C242" i="4"/>
  <c r="B243" i="4"/>
  <c r="C243" i="4"/>
  <c r="B244" i="4"/>
  <c r="C244" i="4"/>
  <c r="B245" i="4"/>
  <c r="C245" i="4"/>
  <c r="B246" i="4"/>
  <c r="C246" i="4"/>
  <c r="B247" i="4"/>
  <c r="D247" i="4"/>
  <c r="B248" i="4"/>
  <c r="C248" i="4"/>
  <c r="B249" i="4"/>
  <c r="C249" i="4"/>
  <c r="B250" i="4"/>
  <c r="C250" i="4"/>
  <c r="B251" i="4"/>
  <c r="D251" i="4"/>
  <c r="B252" i="4"/>
  <c r="C252" i="4"/>
  <c r="B253" i="4"/>
  <c r="C253" i="4"/>
  <c r="B254" i="4"/>
  <c r="C254" i="4"/>
  <c r="B255" i="4"/>
  <c r="D255" i="4"/>
  <c r="B256" i="4"/>
  <c r="C256" i="4"/>
  <c r="B257" i="4"/>
  <c r="C257" i="4"/>
  <c r="B258" i="4"/>
  <c r="C258" i="4"/>
  <c r="B259" i="4"/>
  <c r="C259" i="4"/>
  <c r="B260" i="4"/>
  <c r="C260" i="4"/>
  <c r="B261" i="4"/>
  <c r="C261" i="4"/>
  <c r="B262" i="4"/>
  <c r="C262" i="4"/>
  <c r="B263" i="4"/>
  <c r="D263" i="4"/>
  <c r="B264" i="4"/>
  <c r="C264" i="4"/>
  <c r="B265" i="4"/>
  <c r="C265" i="4"/>
  <c r="B266" i="4"/>
  <c r="C266" i="4"/>
  <c r="B4" i="4"/>
  <c r="C4" i="4"/>
  <c r="D3" i="4"/>
  <c r="B3" i="4"/>
  <c r="C3" i="4"/>
  <c r="C111" i="4"/>
  <c r="D55" i="4"/>
  <c r="D4" i="4"/>
  <c r="C235" i="4"/>
  <c r="D47" i="4"/>
  <c r="C187" i="4"/>
  <c r="C135" i="4"/>
  <c r="D27" i="4"/>
  <c r="D233" i="4"/>
  <c r="D11" i="4"/>
  <c r="D59" i="4"/>
  <c r="D31" i="4"/>
  <c r="D259" i="4"/>
  <c r="D203" i="4"/>
  <c r="D179" i="4"/>
  <c r="D164" i="4"/>
  <c r="D92" i="4"/>
  <c r="D44" i="4"/>
  <c r="C251" i="4"/>
  <c r="D196" i="4"/>
  <c r="D192" i="4"/>
  <c r="D128" i="4"/>
  <c r="D15" i="4"/>
  <c r="D208" i="4"/>
  <c r="D132" i="4"/>
  <c r="D105" i="4"/>
  <c r="D76" i="4"/>
  <c r="D43" i="4"/>
  <c r="D220" i="4"/>
  <c r="D195" i="4"/>
  <c r="D131" i="4"/>
  <c r="D67" i="4"/>
  <c r="D60" i="4"/>
  <c r="C199" i="4"/>
  <c r="D12" i="4"/>
  <c r="C239" i="4"/>
  <c r="D209" i="4"/>
  <c r="D169" i="4"/>
  <c r="C156" i="4"/>
  <c r="D100" i="4"/>
  <c r="D68" i="4"/>
  <c r="D51" i="4"/>
  <c r="D39" i="4"/>
  <c r="D20" i="4"/>
  <c r="D260" i="4"/>
  <c r="D256" i="4"/>
  <c r="D243" i="4"/>
  <c r="D225" i="4"/>
  <c r="D140" i="4"/>
  <c r="C212" i="4"/>
  <c r="C191" i="4"/>
  <c r="D171" i="4"/>
  <c r="D115" i="4"/>
  <c r="D71" i="4"/>
  <c r="D36" i="4"/>
  <c r="D19" i="4"/>
  <c r="D7" i="4"/>
  <c r="C255" i="4"/>
  <c r="D152" i="4"/>
  <c r="D145" i="4"/>
  <c r="D139" i="4"/>
  <c r="D107" i="4"/>
  <c r="D52" i="4"/>
  <c r="D35" i="4"/>
  <c r="D23" i="4"/>
  <c r="C263" i="4"/>
  <c r="D228" i="4"/>
  <c r="D216" i="4"/>
  <c r="D204" i="4"/>
  <c r="C175" i="4"/>
  <c r="D88" i="4"/>
  <c r="D81" i="4"/>
  <c r="D75" i="4"/>
  <c r="D63" i="4"/>
  <c r="D28" i="4"/>
  <c r="D264" i="4"/>
  <c r="C247" i="4"/>
  <c r="D217" i="4"/>
  <c r="D200" i="4"/>
  <c r="C183" i="4"/>
  <c r="D153" i="4"/>
  <c r="D148" i="4"/>
  <c r="D136" i="4"/>
  <c r="D123" i="4"/>
  <c r="C119" i="4"/>
  <c r="D89" i="4"/>
  <c r="D84" i="4"/>
  <c r="D72" i="4"/>
  <c r="D64" i="4"/>
  <c r="D56" i="4"/>
  <c r="D48" i="4"/>
  <c r="D40" i="4"/>
  <c r="D32" i="4"/>
  <c r="D24" i="4"/>
  <c r="D16" i="4"/>
  <c r="D8" i="4"/>
  <c r="D161" i="4"/>
  <c r="D144" i="4"/>
  <c r="C127" i="4"/>
  <c r="D97" i="4"/>
  <c r="D80" i="4"/>
  <c r="D241" i="4"/>
  <c r="D236" i="4"/>
  <c r="D224" i="4"/>
  <c r="D211" i="4"/>
  <c r="C207" i="4"/>
  <c r="D177" i="4"/>
  <c r="D172" i="4"/>
  <c r="D160" i="4"/>
  <c r="D147" i="4"/>
  <c r="C143" i="4"/>
  <c r="D113" i="4"/>
  <c r="D108" i="4"/>
  <c r="D96" i="4"/>
  <c r="D83" i="4"/>
  <c r="C79" i="4"/>
  <c r="D249" i="4"/>
  <c r="D244" i="4"/>
  <c r="D232" i="4"/>
  <c r="D219" i="4"/>
  <c r="C215" i="4"/>
  <c r="D185" i="4"/>
  <c r="D180" i="4"/>
  <c r="D168" i="4"/>
  <c r="D155" i="4"/>
  <c r="C151" i="4"/>
  <c r="D121" i="4"/>
  <c r="D116" i="4"/>
  <c r="D104" i="4"/>
  <c r="D91" i="4"/>
  <c r="C87" i="4"/>
  <c r="D257" i="4"/>
  <c r="D252" i="4"/>
  <c r="D240" i="4"/>
  <c r="D227" i="4"/>
  <c r="C223" i="4"/>
  <c r="D193" i="4"/>
  <c r="D188" i="4"/>
  <c r="D176" i="4"/>
  <c r="D163" i="4"/>
  <c r="C159" i="4"/>
  <c r="D129" i="4"/>
  <c r="D124" i="4"/>
  <c r="D112" i="4"/>
  <c r="D99" i="4"/>
  <c r="C95" i="4"/>
  <c r="D265" i="4"/>
  <c r="D248" i="4"/>
  <c r="C231" i="4"/>
  <c r="D201" i="4"/>
  <c r="D184" i="4"/>
  <c r="C167" i="4"/>
  <c r="D137" i="4"/>
  <c r="D120" i="4"/>
  <c r="C103" i="4"/>
  <c r="D73" i="4"/>
  <c r="D65" i="4"/>
  <c r="D57" i="4"/>
  <c r="D49" i="4"/>
  <c r="D41" i="4"/>
  <c r="D33" i="4"/>
  <c r="D25" i="4"/>
  <c r="D17" i="4"/>
  <c r="D9" i="4"/>
  <c r="D262" i="4"/>
  <c r="D254" i="4"/>
  <c r="D246" i="4"/>
  <c r="D238" i="4"/>
  <c r="D230" i="4"/>
  <c r="D222" i="4"/>
  <c r="D214" i="4"/>
  <c r="D206" i="4"/>
  <c r="D198" i="4"/>
  <c r="D190" i="4"/>
  <c r="D182" i="4"/>
  <c r="D174" i="4"/>
  <c r="D166" i="4"/>
  <c r="D158" i="4"/>
  <c r="D150" i="4"/>
  <c r="D142" i="4"/>
  <c r="D134" i="4"/>
  <c r="D126" i="4"/>
  <c r="D118" i="4"/>
  <c r="D110" i="4"/>
  <c r="D102" i="4"/>
  <c r="D94" i="4"/>
  <c r="D86" i="4"/>
  <c r="D78" i="4"/>
  <c r="D70" i="4"/>
  <c r="D62" i="4"/>
  <c r="D54" i="4"/>
  <c r="D46" i="4"/>
  <c r="D38" i="4"/>
  <c r="D30" i="4"/>
  <c r="D22" i="4"/>
  <c r="D14" i="4"/>
  <c r="D6" i="4"/>
  <c r="D261" i="4"/>
  <c r="D253" i="4"/>
  <c r="D245" i="4"/>
  <c r="D237" i="4"/>
  <c r="D229" i="4"/>
  <c r="D221" i="4"/>
  <c r="D213" i="4"/>
  <c r="D205" i="4"/>
  <c r="D197" i="4"/>
  <c r="D189" i="4"/>
  <c r="D181" i="4"/>
  <c r="D173" i="4"/>
  <c r="D165" i="4"/>
  <c r="D157" i="4"/>
  <c r="D149" i="4"/>
  <c r="D141" i="4"/>
  <c r="D133" i="4"/>
  <c r="D125" i="4"/>
  <c r="D117" i="4"/>
  <c r="D109" i="4"/>
  <c r="D101" i="4"/>
  <c r="D93" i="4"/>
  <c r="D85" i="4"/>
  <c r="D77" i="4"/>
  <c r="D69" i="4"/>
  <c r="D61" i="4"/>
  <c r="D53" i="4"/>
  <c r="D45" i="4"/>
  <c r="D37" i="4"/>
  <c r="D29" i="4"/>
  <c r="D21" i="4"/>
  <c r="D13" i="4"/>
  <c r="D5" i="4"/>
  <c r="D266" i="4"/>
  <c r="D258" i="4"/>
  <c r="D250" i="4"/>
  <c r="D242" i="4"/>
  <c r="D234" i="4"/>
  <c r="D226" i="4"/>
  <c r="D218" i="4"/>
  <c r="D210" i="4"/>
  <c r="D202" i="4"/>
  <c r="D194" i="4"/>
  <c r="D186" i="4"/>
  <c r="D178" i="4"/>
  <c r="D170" i="4"/>
  <c r="D162" i="4"/>
  <c r="D154" i="4"/>
  <c r="D146" i="4"/>
  <c r="D138" i="4"/>
  <c r="D130" i="4"/>
  <c r="D122" i="4"/>
  <c r="D114" i="4"/>
  <c r="D106" i="4"/>
  <c r="D98" i="4"/>
  <c r="D90" i="4"/>
  <c r="D82" i="4"/>
  <c r="D74" i="4"/>
  <c r="D66" i="4"/>
  <c r="D58" i="4"/>
  <c r="D50" i="4"/>
  <c r="D42" i="4"/>
  <c r="D34" i="4"/>
  <c r="D26" i="4"/>
  <c r="D18" i="4"/>
  <c r="D10" i="4"/>
  <c r="K3" i="4"/>
  <c r="L3" i="4"/>
  <c r="G2" i="3"/>
  <c r="E2" i="3"/>
  <c r="D2" i="3"/>
  <c r="C2" i="3"/>
  <c r="B4" i="3"/>
  <c r="B5" i="3" s="1"/>
  <c r="P2" i="9"/>
  <c r="O2" i="9"/>
  <c r="M2" i="9"/>
  <c r="L2" i="9"/>
  <c r="J2" i="9"/>
  <c r="I2" i="9"/>
  <c r="G2" i="9"/>
  <c r="F2" i="9"/>
  <c r="M3" i="4"/>
  <c r="B11" i="9"/>
  <c r="C11" i="9"/>
  <c r="E11" i="9"/>
  <c r="B12" i="9"/>
  <c r="C12" i="9"/>
  <c r="E12" i="9"/>
  <c r="B13" i="9"/>
  <c r="B14" i="9"/>
  <c r="C14" i="9"/>
  <c r="E14" i="9"/>
  <c r="B15" i="9"/>
  <c r="D15" i="9"/>
  <c r="B16" i="9"/>
  <c r="C16" i="9"/>
  <c r="E16" i="9"/>
  <c r="B17" i="9"/>
  <c r="C17" i="9"/>
  <c r="E17" i="9"/>
  <c r="B18" i="9"/>
  <c r="B19" i="9"/>
  <c r="C19" i="9"/>
  <c r="E19" i="9"/>
  <c r="B20" i="9"/>
  <c r="B21" i="9"/>
  <c r="B22" i="9"/>
  <c r="C22" i="9"/>
  <c r="E22" i="9"/>
  <c r="B23" i="9"/>
  <c r="D23" i="9"/>
  <c r="B24" i="9"/>
  <c r="D24" i="9"/>
  <c r="B25" i="9"/>
  <c r="C25" i="9"/>
  <c r="E25" i="9"/>
  <c r="B26" i="9"/>
  <c r="D26" i="9"/>
  <c r="B27" i="9"/>
  <c r="C27" i="9"/>
  <c r="E27" i="9"/>
  <c r="B28" i="9"/>
  <c r="C28" i="9"/>
  <c r="E28" i="9"/>
  <c r="B29" i="9"/>
  <c r="B30" i="9"/>
  <c r="C30" i="9"/>
  <c r="E30" i="9"/>
  <c r="B31" i="9"/>
  <c r="C31" i="9"/>
  <c r="E31" i="9"/>
  <c r="B32" i="9"/>
  <c r="C32" i="9"/>
  <c r="E32" i="9"/>
  <c r="B33" i="9"/>
  <c r="C33" i="9"/>
  <c r="E33" i="9"/>
  <c r="B34" i="9"/>
  <c r="D34" i="9"/>
  <c r="B35" i="9"/>
  <c r="C35" i="9"/>
  <c r="E35" i="9"/>
  <c r="B36" i="9"/>
  <c r="C36" i="9"/>
  <c r="E36" i="9"/>
  <c r="B37" i="9"/>
  <c r="B38" i="9"/>
  <c r="C38" i="9"/>
  <c r="E38" i="9"/>
  <c r="B39" i="9"/>
  <c r="B40" i="9"/>
  <c r="C40" i="9"/>
  <c r="E40" i="9"/>
  <c r="B41" i="9"/>
  <c r="C41" i="9"/>
  <c r="E41" i="9"/>
  <c r="B42" i="9"/>
  <c r="D42" i="9"/>
  <c r="B43" i="9"/>
  <c r="C43" i="9"/>
  <c r="E43" i="9"/>
  <c r="B44" i="9"/>
  <c r="C44" i="9"/>
  <c r="E44" i="9"/>
  <c r="B45" i="9"/>
  <c r="B46" i="9"/>
  <c r="C46" i="9"/>
  <c r="E46" i="9"/>
  <c r="B47" i="9"/>
  <c r="D47" i="9"/>
  <c r="B48" i="9"/>
  <c r="C48" i="9"/>
  <c r="E48" i="9"/>
  <c r="B49" i="9"/>
  <c r="C49" i="9"/>
  <c r="E49" i="9"/>
  <c r="B50" i="9"/>
  <c r="B51" i="9"/>
  <c r="C51" i="9"/>
  <c r="E51" i="9"/>
  <c r="B52" i="9"/>
  <c r="B53" i="9"/>
  <c r="B54" i="9"/>
  <c r="C54" i="9"/>
  <c r="E54" i="9"/>
  <c r="B55" i="9"/>
  <c r="D55" i="9"/>
  <c r="B56" i="9"/>
  <c r="D56" i="9"/>
  <c r="B57" i="9"/>
  <c r="C57" i="9"/>
  <c r="E57" i="9"/>
  <c r="B58" i="9"/>
  <c r="D58" i="9"/>
  <c r="B59" i="9"/>
  <c r="C59" i="9"/>
  <c r="E59" i="9"/>
  <c r="B60" i="9"/>
  <c r="C60" i="9"/>
  <c r="E60" i="9"/>
  <c r="B61" i="9"/>
  <c r="B62" i="9"/>
  <c r="C62" i="9"/>
  <c r="E62" i="9"/>
  <c r="B63" i="9"/>
  <c r="C63" i="9"/>
  <c r="E63" i="9"/>
  <c r="B64" i="9"/>
  <c r="C64" i="9"/>
  <c r="E64" i="9"/>
  <c r="B65" i="9"/>
  <c r="C65" i="9"/>
  <c r="E65" i="9"/>
  <c r="B66" i="9"/>
  <c r="D66" i="9"/>
  <c r="B67" i="9"/>
  <c r="C67" i="9"/>
  <c r="E67" i="9"/>
  <c r="B68" i="9"/>
  <c r="C68" i="9"/>
  <c r="E68" i="9"/>
  <c r="B69" i="9"/>
  <c r="B70" i="9"/>
  <c r="C70" i="9"/>
  <c r="E70" i="9"/>
  <c r="B71" i="9"/>
  <c r="B72" i="9"/>
  <c r="C72" i="9"/>
  <c r="E72" i="9"/>
  <c r="B73" i="9"/>
  <c r="C73" i="9"/>
  <c r="E73" i="9"/>
  <c r="B74" i="9"/>
  <c r="D74" i="9"/>
  <c r="B75" i="9"/>
  <c r="C75" i="9"/>
  <c r="E75" i="9"/>
  <c r="B76" i="9"/>
  <c r="C76" i="9"/>
  <c r="E76" i="9"/>
  <c r="B77" i="9"/>
  <c r="B78" i="9"/>
  <c r="C78" i="9"/>
  <c r="E78" i="9"/>
  <c r="B79" i="9"/>
  <c r="C79" i="9"/>
  <c r="E79" i="9"/>
  <c r="B80" i="9"/>
  <c r="C80" i="9"/>
  <c r="E80" i="9"/>
  <c r="B81" i="9"/>
  <c r="C81" i="9"/>
  <c r="E81" i="9"/>
  <c r="B82" i="9"/>
  <c r="B83" i="9"/>
  <c r="C83" i="9"/>
  <c r="E83" i="9"/>
  <c r="B84" i="9"/>
  <c r="B85" i="9"/>
  <c r="B86" i="9"/>
  <c r="C86" i="9"/>
  <c r="E86" i="9"/>
  <c r="B87" i="9"/>
  <c r="D87" i="9"/>
  <c r="B88" i="9"/>
  <c r="D88" i="9"/>
  <c r="B89" i="9"/>
  <c r="C89" i="9"/>
  <c r="E89" i="9"/>
  <c r="B90" i="9"/>
  <c r="D90" i="9"/>
  <c r="B91" i="9"/>
  <c r="C91" i="9"/>
  <c r="E91" i="9"/>
  <c r="B92" i="9"/>
  <c r="C92" i="9"/>
  <c r="E92" i="9"/>
  <c r="B93" i="9"/>
  <c r="B94" i="9"/>
  <c r="C94" i="9"/>
  <c r="E94" i="9"/>
  <c r="B95" i="9"/>
  <c r="C95" i="9"/>
  <c r="E95" i="9"/>
  <c r="B96" i="9"/>
  <c r="C96" i="9"/>
  <c r="E96" i="9"/>
  <c r="B97" i="9"/>
  <c r="C97" i="9"/>
  <c r="E97" i="9"/>
  <c r="B98" i="9"/>
  <c r="D98" i="9"/>
  <c r="B99" i="9"/>
  <c r="C99" i="9"/>
  <c r="E99" i="9"/>
  <c r="B100" i="9"/>
  <c r="C100" i="9"/>
  <c r="E100" i="9"/>
  <c r="B101" i="9"/>
  <c r="B102" i="9"/>
  <c r="D102" i="9"/>
  <c r="B103" i="9"/>
  <c r="C103" i="9"/>
  <c r="E103" i="9"/>
  <c r="B104" i="9"/>
  <c r="D104" i="9"/>
  <c r="B105" i="9"/>
  <c r="C105" i="9"/>
  <c r="E105" i="9"/>
  <c r="B106" i="9"/>
  <c r="B107" i="9"/>
  <c r="C107" i="9"/>
  <c r="E107" i="9"/>
  <c r="B108" i="9"/>
  <c r="C108" i="9"/>
  <c r="E108" i="9"/>
  <c r="B109" i="9"/>
  <c r="B110" i="9"/>
  <c r="D110" i="9"/>
  <c r="B111" i="9"/>
  <c r="B112" i="9"/>
  <c r="D112" i="9"/>
  <c r="B113" i="9"/>
  <c r="C113" i="9"/>
  <c r="E113" i="9"/>
  <c r="B114" i="9"/>
  <c r="D114" i="9"/>
  <c r="B115" i="9"/>
  <c r="C115" i="9"/>
  <c r="E115" i="9"/>
  <c r="B116" i="9"/>
  <c r="C116" i="9"/>
  <c r="E116" i="9"/>
  <c r="B117" i="9"/>
  <c r="B118" i="9"/>
  <c r="B119" i="9"/>
  <c r="D119" i="9"/>
  <c r="B120" i="9"/>
  <c r="C120" i="9"/>
  <c r="E120" i="9"/>
  <c r="B121" i="9"/>
  <c r="C121" i="9"/>
  <c r="E121" i="9"/>
  <c r="B122" i="9"/>
  <c r="D122" i="9"/>
  <c r="B123" i="9"/>
  <c r="C123" i="9"/>
  <c r="E123" i="9"/>
  <c r="B124" i="9"/>
  <c r="C124" i="9"/>
  <c r="E124" i="9"/>
  <c r="B125" i="9"/>
  <c r="B126" i="9"/>
  <c r="D126" i="9"/>
  <c r="B127" i="9"/>
  <c r="C127" i="9"/>
  <c r="E127" i="9"/>
  <c r="B128" i="9"/>
  <c r="C128" i="9"/>
  <c r="E128" i="9"/>
  <c r="B129" i="9"/>
  <c r="C129" i="9"/>
  <c r="E129" i="9"/>
  <c r="B130" i="9"/>
  <c r="B131" i="9"/>
  <c r="C131" i="9"/>
  <c r="E131" i="9"/>
  <c r="B132" i="9"/>
  <c r="B133" i="9"/>
  <c r="B134" i="9"/>
  <c r="D134" i="9"/>
  <c r="B135" i="9"/>
  <c r="C135" i="9"/>
  <c r="E135" i="9"/>
  <c r="B136" i="9"/>
  <c r="B137" i="9"/>
  <c r="C137" i="9"/>
  <c r="E137" i="9"/>
  <c r="B138" i="9"/>
  <c r="D138" i="9"/>
  <c r="B139" i="9"/>
  <c r="C139" i="9"/>
  <c r="E139" i="9"/>
  <c r="B140" i="9"/>
  <c r="C140" i="9"/>
  <c r="E140" i="9"/>
  <c r="B141" i="9"/>
  <c r="B142" i="9"/>
  <c r="D142" i="9"/>
  <c r="B143" i="9"/>
  <c r="D143" i="9"/>
  <c r="B144" i="9"/>
  <c r="D144" i="9"/>
  <c r="B145" i="9"/>
  <c r="C145" i="9"/>
  <c r="E145" i="9"/>
  <c r="B146" i="9"/>
  <c r="D146" i="9"/>
  <c r="B147" i="9"/>
  <c r="C147" i="9"/>
  <c r="E147" i="9"/>
  <c r="B148" i="9"/>
  <c r="C148" i="9"/>
  <c r="E148" i="9"/>
  <c r="B149" i="9"/>
  <c r="B150" i="9"/>
  <c r="D150" i="9"/>
  <c r="B151" i="9"/>
  <c r="C151" i="9"/>
  <c r="E151" i="9"/>
  <c r="B152" i="9"/>
  <c r="C152" i="9"/>
  <c r="E152" i="9"/>
  <c r="B153" i="9"/>
  <c r="C153" i="9"/>
  <c r="E153" i="9"/>
  <c r="B154" i="9"/>
  <c r="D154" i="9"/>
  <c r="B155" i="9"/>
  <c r="C155" i="9"/>
  <c r="E155" i="9"/>
  <c r="B156" i="9"/>
  <c r="B157" i="9"/>
  <c r="B158" i="9"/>
  <c r="B159" i="9"/>
  <c r="C159" i="9"/>
  <c r="E159" i="9"/>
  <c r="B160" i="9"/>
  <c r="C160" i="9"/>
  <c r="E160" i="9"/>
  <c r="B161" i="9"/>
  <c r="C161" i="9"/>
  <c r="E161" i="9"/>
  <c r="B162" i="9"/>
  <c r="D162" i="9"/>
  <c r="B163" i="9"/>
  <c r="C163" i="9"/>
  <c r="E163" i="9"/>
  <c r="B164" i="9"/>
  <c r="C164" i="9"/>
  <c r="E164" i="9"/>
  <c r="B165" i="9"/>
  <c r="B166" i="9"/>
  <c r="D166" i="9"/>
  <c r="B167" i="9"/>
  <c r="D167" i="9"/>
  <c r="B168" i="9"/>
  <c r="D168" i="9"/>
  <c r="B169" i="9"/>
  <c r="C169" i="9"/>
  <c r="E169" i="9"/>
  <c r="B170" i="9"/>
  <c r="D170" i="9"/>
  <c r="B171" i="9"/>
  <c r="C171" i="9"/>
  <c r="E171" i="9"/>
  <c r="B172" i="9"/>
  <c r="C172" i="9"/>
  <c r="E172" i="9"/>
  <c r="B173" i="9"/>
  <c r="B174" i="9"/>
  <c r="B175" i="9"/>
  <c r="D175" i="9"/>
  <c r="B176" i="9"/>
  <c r="C176" i="9"/>
  <c r="E176" i="9"/>
  <c r="B177" i="9"/>
  <c r="C177" i="9"/>
  <c r="E177" i="9"/>
  <c r="B178" i="9"/>
  <c r="D178" i="9"/>
  <c r="B179" i="9"/>
  <c r="C179" i="9"/>
  <c r="E179" i="9"/>
  <c r="B180" i="9"/>
  <c r="C180" i="9"/>
  <c r="E180" i="9"/>
  <c r="B181" i="9"/>
  <c r="C181" i="9"/>
  <c r="E181" i="9"/>
  <c r="B182" i="9"/>
  <c r="D182" i="9"/>
  <c r="B183" i="9"/>
  <c r="C183" i="9"/>
  <c r="E183" i="9"/>
  <c r="B184" i="9"/>
  <c r="C184" i="9"/>
  <c r="E184" i="9"/>
  <c r="B185" i="9"/>
  <c r="C185" i="9"/>
  <c r="E185" i="9"/>
  <c r="B186" i="9"/>
  <c r="B187" i="9"/>
  <c r="B188" i="9"/>
  <c r="B189" i="9"/>
  <c r="C189" i="9"/>
  <c r="E189" i="9"/>
  <c r="B190" i="9"/>
  <c r="D190" i="9"/>
  <c r="B191" i="9"/>
  <c r="C191" i="9"/>
  <c r="E191" i="9"/>
  <c r="B192" i="9"/>
  <c r="B193" i="9"/>
  <c r="C193" i="9"/>
  <c r="E193" i="9"/>
  <c r="B194" i="9"/>
  <c r="D194" i="9"/>
  <c r="B195" i="9"/>
  <c r="B196" i="9"/>
  <c r="B197" i="9"/>
  <c r="C197" i="9"/>
  <c r="E197" i="9"/>
  <c r="B198" i="9"/>
  <c r="D198" i="9"/>
  <c r="B199" i="9"/>
  <c r="D199" i="9"/>
  <c r="B200" i="9"/>
  <c r="D200" i="9"/>
  <c r="B201" i="9"/>
  <c r="C201" i="9"/>
  <c r="E201" i="9"/>
  <c r="B202" i="9"/>
  <c r="D202" i="9"/>
  <c r="B203" i="9"/>
  <c r="B204" i="9"/>
  <c r="C204" i="9"/>
  <c r="E204" i="9"/>
  <c r="B205" i="9"/>
  <c r="C205" i="9"/>
  <c r="E205" i="9"/>
  <c r="B206" i="9"/>
  <c r="D206" i="9"/>
  <c r="B207" i="9"/>
  <c r="D207" i="9"/>
  <c r="B208" i="9"/>
  <c r="C208" i="9"/>
  <c r="E208" i="9"/>
  <c r="B209" i="9"/>
  <c r="C209" i="9"/>
  <c r="E209" i="9"/>
  <c r="B210" i="9"/>
  <c r="D210" i="9"/>
  <c r="B211" i="9"/>
  <c r="B212" i="9"/>
  <c r="B213" i="9"/>
  <c r="C213" i="9"/>
  <c r="E213" i="9"/>
  <c r="B214" i="9"/>
  <c r="B215" i="9"/>
  <c r="C215" i="9"/>
  <c r="E215" i="9"/>
  <c r="B216" i="9"/>
  <c r="C216" i="9"/>
  <c r="E216" i="9"/>
  <c r="B217" i="9"/>
  <c r="B218" i="9"/>
  <c r="D218" i="9"/>
  <c r="B219" i="9"/>
  <c r="C219" i="9"/>
  <c r="E219" i="9"/>
  <c r="B220" i="9"/>
  <c r="B221" i="9"/>
  <c r="C221" i="9"/>
  <c r="E221" i="9"/>
  <c r="B222" i="9"/>
  <c r="B223" i="9"/>
  <c r="C223" i="9"/>
  <c r="E223" i="9"/>
  <c r="B224" i="9"/>
  <c r="C224" i="9"/>
  <c r="E224" i="9"/>
  <c r="B225" i="9"/>
  <c r="B226" i="9"/>
  <c r="D226" i="9"/>
  <c r="B227" i="9"/>
  <c r="C227" i="9"/>
  <c r="E227" i="9"/>
  <c r="B228" i="9"/>
  <c r="C228" i="9"/>
  <c r="E228" i="9"/>
  <c r="B229" i="9"/>
  <c r="C229" i="9"/>
  <c r="E229" i="9"/>
  <c r="B230" i="9"/>
  <c r="D230" i="9"/>
  <c r="B231" i="9"/>
  <c r="B232" i="9"/>
  <c r="C232" i="9"/>
  <c r="E232" i="9"/>
  <c r="B233" i="9"/>
  <c r="B234" i="9"/>
  <c r="D234" i="9"/>
  <c r="B235" i="9"/>
  <c r="C235" i="9"/>
  <c r="E235" i="9"/>
  <c r="B236" i="9"/>
  <c r="C236" i="9"/>
  <c r="E236" i="9"/>
  <c r="B237" i="9"/>
  <c r="B238" i="9"/>
  <c r="D238" i="9"/>
  <c r="B239" i="9"/>
  <c r="C239" i="9"/>
  <c r="E239" i="9"/>
  <c r="B240" i="9"/>
  <c r="C240" i="9"/>
  <c r="E240" i="9"/>
  <c r="B241" i="9"/>
  <c r="B242" i="9"/>
  <c r="D242" i="9"/>
  <c r="B243" i="9"/>
  <c r="C243" i="9"/>
  <c r="E243" i="9"/>
  <c r="B244" i="9"/>
  <c r="C244" i="9"/>
  <c r="E244" i="9"/>
  <c r="B245" i="9"/>
  <c r="C245" i="9"/>
  <c r="E245" i="9"/>
  <c r="B246" i="9"/>
  <c r="B247" i="9"/>
  <c r="D247" i="9"/>
  <c r="B248" i="9"/>
  <c r="C248" i="9"/>
  <c r="E248" i="9"/>
  <c r="B249" i="9"/>
  <c r="B250" i="9"/>
  <c r="D250" i="9"/>
  <c r="B251" i="9"/>
  <c r="C251" i="9"/>
  <c r="E251" i="9"/>
  <c r="B252" i="9"/>
  <c r="C252" i="9"/>
  <c r="E252" i="9"/>
  <c r="B253" i="9"/>
  <c r="C253" i="9"/>
  <c r="E253" i="9"/>
  <c r="B254" i="9"/>
  <c r="B255" i="9"/>
  <c r="D255" i="9"/>
  <c r="B256" i="9"/>
  <c r="D256" i="9"/>
  <c r="B257" i="9"/>
  <c r="B258" i="9"/>
  <c r="D258" i="9"/>
  <c r="B259" i="9"/>
  <c r="C259" i="9"/>
  <c r="E259" i="9"/>
  <c r="B260" i="9"/>
  <c r="B261" i="9"/>
  <c r="C261" i="9"/>
  <c r="E261" i="9"/>
  <c r="B262" i="9"/>
  <c r="D262" i="9"/>
  <c r="B263" i="9"/>
  <c r="C263" i="9"/>
  <c r="E263" i="9"/>
  <c r="B264" i="9"/>
  <c r="B265" i="9"/>
  <c r="B266" i="9"/>
  <c r="D266" i="9"/>
  <c r="B10" i="9"/>
  <c r="D10" i="9"/>
  <c r="B9" i="9"/>
  <c r="D9" i="9"/>
  <c r="B8" i="9"/>
  <c r="C8" i="9"/>
  <c r="E8" i="9"/>
  <c r="B7" i="9"/>
  <c r="D7" i="9"/>
  <c r="B6" i="9"/>
  <c r="D6" i="9"/>
  <c r="B5" i="9"/>
  <c r="C5" i="9"/>
  <c r="E5" i="9"/>
  <c r="B4" i="9"/>
  <c r="B3" i="9"/>
  <c r="D3" i="9"/>
  <c r="H2" i="4"/>
  <c r="F2" i="4"/>
  <c r="B50" i="8"/>
  <c r="D50" i="8"/>
  <c r="B14" i="8"/>
  <c r="D14" i="8"/>
  <c r="B15" i="8"/>
  <c r="B16" i="8"/>
  <c r="D16" i="8"/>
  <c r="B17" i="8"/>
  <c r="D17" i="8"/>
  <c r="B18" i="8"/>
  <c r="B19" i="8"/>
  <c r="D19" i="8"/>
  <c r="B20" i="8"/>
  <c r="C20" i="8"/>
  <c r="B21" i="8"/>
  <c r="B22" i="8"/>
  <c r="D22" i="8"/>
  <c r="B23" i="8"/>
  <c r="D23" i="8"/>
  <c r="B24" i="8"/>
  <c r="C24" i="8"/>
  <c r="B25" i="8"/>
  <c r="C25" i="8"/>
  <c r="B26" i="8"/>
  <c r="B27" i="8"/>
  <c r="D27" i="8"/>
  <c r="B28" i="8"/>
  <c r="D28" i="8"/>
  <c r="B29" i="8"/>
  <c r="C29" i="8"/>
  <c r="B30" i="8"/>
  <c r="D30" i="8"/>
  <c r="B31" i="8"/>
  <c r="D31" i="8"/>
  <c r="B32" i="8"/>
  <c r="B33" i="8"/>
  <c r="D33" i="8"/>
  <c r="B34" i="8"/>
  <c r="D34" i="8"/>
  <c r="B35" i="8"/>
  <c r="D35" i="8"/>
  <c r="B36" i="8"/>
  <c r="C36" i="8"/>
  <c r="B37" i="8"/>
  <c r="B38" i="8"/>
  <c r="D38" i="8"/>
  <c r="B39" i="8"/>
  <c r="D39" i="8"/>
  <c r="B40" i="8"/>
  <c r="C40" i="8"/>
  <c r="B41" i="8"/>
  <c r="C41" i="8"/>
  <c r="B42" i="8"/>
  <c r="B43" i="8"/>
  <c r="D43" i="8"/>
  <c r="B44" i="8"/>
  <c r="D44" i="8"/>
  <c r="B45" i="8"/>
  <c r="C45" i="8"/>
  <c r="B46" i="8"/>
  <c r="D46" i="8"/>
  <c r="B47" i="8"/>
  <c r="D47" i="8"/>
  <c r="B48" i="8"/>
  <c r="B49" i="8"/>
  <c r="D49" i="8"/>
  <c r="B13" i="8"/>
  <c r="D13" i="8"/>
  <c r="B12" i="8"/>
  <c r="D12" i="8"/>
  <c r="B11" i="8"/>
  <c r="D11" i="8"/>
  <c r="B10" i="8"/>
  <c r="B9" i="8"/>
  <c r="D9" i="8"/>
  <c r="B8" i="8"/>
  <c r="D8" i="8"/>
  <c r="B7" i="8"/>
  <c r="B6" i="8"/>
  <c r="D6" i="8"/>
  <c r="B5" i="8"/>
  <c r="D5" i="8"/>
  <c r="B4" i="8"/>
  <c r="D4" i="8"/>
  <c r="B3" i="8"/>
  <c r="D3" i="8"/>
  <c r="N22" i="7"/>
  <c r="A12" i="7"/>
  <c r="A13" i="7"/>
  <c r="A14" i="7"/>
  <c r="A15" i="7"/>
  <c r="A16" i="7"/>
  <c r="A17" i="7"/>
  <c r="A18" i="7"/>
  <c r="A19" i="7"/>
  <c r="A20" i="7"/>
  <c r="A21" i="7"/>
  <c r="B51" i="5"/>
  <c r="B52" i="5"/>
  <c r="B53" i="5"/>
  <c r="B54" i="5"/>
  <c r="B55" i="5"/>
  <c r="B56" i="5"/>
  <c r="C56" i="5"/>
  <c r="B57" i="5"/>
  <c r="C57" i="5"/>
  <c r="B58" i="5"/>
  <c r="B59" i="5"/>
  <c r="B60" i="5"/>
  <c r="B61" i="5"/>
  <c r="B62" i="5"/>
  <c r="I2" i="5"/>
  <c r="H2" i="5"/>
  <c r="M3" i="5"/>
  <c r="D8" i="9"/>
  <c r="C104" i="9"/>
  <c r="E104" i="9"/>
  <c r="D57" i="5"/>
  <c r="C23" i="9"/>
  <c r="E23" i="9"/>
  <c r="D36" i="8"/>
  <c r="C35" i="8"/>
  <c r="D20" i="8"/>
  <c r="C6" i="8"/>
  <c r="D208" i="9"/>
  <c r="C34" i="8"/>
  <c r="C28" i="8"/>
  <c r="D41" i="8"/>
  <c r="C27" i="8"/>
  <c r="D152" i="9"/>
  <c r="C190" i="9"/>
  <c r="E190" i="9"/>
  <c r="C110" i="9"/>
  <c r="E110" i="9"/>
  <c r="D79" i="9"/>
  <c r="N3" i="4"/>
  <c r="C202" i="9"/>
  <c r="E202" i="9"/>
  <c r="C194" i="9"/>
  <c r="E194" i="9"/>
  <c r="C200" i="9"/>
  <c r="E200" i="9"/>
  <c r="D95" i="9"/>
  <c r="C58" i="9"/>
  <c r="E58" i="9"/>
  <c r="C168" i="9"/>
  <c r="E168" i="9"/>
  <c r="D240" i="9"/>
  <c r="C207" i="9"/>
  <c r="E207" i="9"/>
  <c r="C182" i="9"/>
  <c r="E182" i="9"/>
  <c r="C138" i="9"/>
  <c r="E138" i="9"/>
  <c r="C87" i="9"/>
  <c r="E87" i="9"/>
  <c r="C74" i="9"/>
  <c r="E74" i="9"/>
  <c r="C15" i="9"/>
  <c r="E15" i="9"/>
  <c r="C218" i="9"/>
  <c r="E218" i="9"/>
  <c r="D159" i="9"/>
  <c r="D244" i="9"/>
  <c r="D239" i="9"/>
  <c r="C112" i="9"/>
  <c r="E112" i="9"/>
  <c r="C26" i="9"/>
  <c r="E26" i="9"/>
  <c r="C250" i="9"/>
  <c r="E250" i="9"/>
  <c r="D216" i="9"/>
  <c r="D204" i="9"/>
  <c r="C199" i="9"/>
  <c r="E199" i="9"/>
  <c r="C47" i="9"/>
  <c r="E47" i="9"/>
  <c r="C234" i="9"/>
  <c r="E234" i="9"/>
  <c r="D176" i="9"/>
  <c r="D164" i="9"/>
  <c r="D148" i="9"/>
  <c r="C143" i="9"/>
  <c r="E143" i="9"/>
  <c r="C126" i="9"/>
  <c r="E126" i="9"/>
  <c r="D120" i="9"/>
  <c r="D92" i="9"/>
  <c r="D68" i="9"/>
  <c r="C56" i="9"/>
  <c r="E56" i="9"/>
  <c r="D32" i="9"/>
  <c r="D263" i="9"/>
  <c r="C256" i="9"/>
  <c r="E256" i="9"/>
  <c r="D219" i="9"/>
  <c r="D180" i="9"/>
  <c r="D151" i="9"/>
  <c r="C142" i="9"/>
  <c r="E142" i="9"/>
  <c r="C119" i="9"/>
  <c r="E119" i="9"/>
  <c r="D108" i="9"/>
  <c r="C102" i="9"/>
  <c r="E102" i="9"/>
  <c r="D96" i="9"/>
  <c r="D72" i="9"/>
  <c r="D60" i="9"/>
  <c r="C55" i="9"/>
  <c r="E55" i="9"/>
  <c r="C42" i="9"/>
  <c r="E42" i="9"/>
  <c r="D31" i="9"/>
  <c r="D232" i="9"/>
  <c r="C167" i="9"/>
  <c r="E167" i="9"/>
  <c r="C162" i="9"/>
  <c r="E162" i="9"/>
  <c r="C146" i="9"/>
  <c r="E146" i="9"/>
  <c r="D135" i="9"/>
  <c r="C90" i="9"/>
  <c r="E90" i="9"/>
  <c r="D36" i="9"/>
  <c r="D183" i="9"/>
  <c r="C247" i="9"/>
  <c r="E247" i="9"/>
  <c r="C178" i="9"/>
  <c r="E178" i="9"/>
  <c r="C166" i="9"/>
  <c r="E166" i="9"/>
  <c r="C150" i="9"/>
  <c r="E150" i="9"/>
  <c r="C134" i="9"/>
  <c r="E134" i="9"/>
  <c r="D127" i="9"/>
  <c r="C122" i="9"/>
  <c r="E122" i="9"/>
  <c r="D100" i="9"/>
  <c r="D40" i="9"/>
  <c r="D235" i="9"/>
  <c r="C230" i="9"/>
  <c r="E230" i="9"/>
  <c r="C206" i="9"/>
  <c r="E206" i="9"/>
  <c r="C144" i="9"/>
  <c r="E144" i="9"/>
  <c r="D116" i="9"/>
  <c r="D63" i="9"/>
  <c r="D28" i="9"/>
  <c r="C3" i="8"/>
  <c r="C44" i="8"/>
  <c r="C19" i="8"/>
  <c r="C43" i="8"/>
  <c r="C17" i="8"/>
  <c r="D25" i="8"/>
  <c r="C8" i="8"/>
  <c r="D48" i="8"/>
  <c r="C48" i="8"/>
  <c r="D26" i="8"/>
  <c r="C26" i="8"/>
  <c r="D15" i="8"/>
  <c r="C15" i="8"/>
  <c r="C21" i="8"/>
  <c r="D21" i="8"/>
  <c r="C9" i="8"/>
  <c r="D42" i="8"/>
  <c r="C42" i="8"/>
  <c r="D32" i="8"/>
  <c r="C32" i="8"/>
  <c r="D54" i="5"/>
  <c r="C54" i="5"/>
  <c r="D62" i="5"/>
  <c r="C62" i="5"/>
  <c r="C37" i="8"/>
  <c r="D37" i="8"/>
  <c r="D222" i="9"/>
  <c r="C222" i="9"/>
  <c r="E222" i="9"/>
  <c r="C52" i="9"/>
  <c r="E52" i="9"/>
  <c r="D52" i="9"/>
  <c r="D59" i="5"/>
  <c r="C59" i="5"/>
  <c r="D51" i="5"/>
  <c r="C51" i="5"/>
  <c r="D45" i="8"/>
  <c r="D40" i="8"/>
  <c r="D29" i="8"/>
  <c r="D24" i="8"/>
  <c r="C49" i="8"/>
  <c r="C33" i="8"/>
  <c r="C16" i="8"/>
  <c r="C5" i="8"/>
  <c r="D4" i="9"/>
  <c r="C4" i="9"/>
  <c r="E4" i="9"/>
  <c r="C264" i="9"/>
  <c r="E264" i="9"/>
  <c r="D264" i="9"/>
  <c r="C114" i="9"/>
  <c r="E114" i="9"/>
  <c r="D50" i="9"/>
  <c r="C50" i="9"/>
  <c r="E50" i="9"/>
  <c r="C39" i="9"/>
  <c r="E39" i="9"/>
  <c r="D39" i="9"/>
  <c r="D10" i="8"/>
  <c r="C10" i="8"/>
  <c r="D52" i="5"/>
  <c r="C52" i="5"/>
  <c r="D58" i="5"/>
  <c r="C58" i="5"/>
  <c r="D18" i="8"/>
  <c r="C18" i="8"/>
  <c r="C14" i="8"/>
  <c r="C4" i="8"/>
  <c r="C136" i="9"/>
  <c r="E136" i="9"/>
  <c r="D136" i="9"/>
  <c r="D130" i="9"/>
  <c r="C130" i="9"/>
  <c r="E130" i="9"/>
  <c r="D61" i="5"/>
  <c r="C61" i="5"/>
  <c r="D60" i="5"/>
  <c r="C60" i="5"/>
  <c r="D56" i="5"/>
  <c r="C47" i="8"/>
  <c r="C39" i="8"/>
  <c r="C31" i="8"/>
  <c r="C23" i="8"/>
  <c r="C13" i="8"/>
  <c r="D174" i="9"/>
  <c r="C174" i="9"/>
  <c r="E174" i="9"/>
  <c r="C156" i="9"/>
  <c r="E156" i="9"/>
  <c r="D156" i="9"/>
  <c r="D53" i="5"/>
  <c r="C53" i="5"/>
  <c r="C50" i="8"/>
  <c r="D7" i="8"/>
  <c r="C7" i="8"/>
  <c r="C46" i="8"/>
  <c r="C38" i="8"/>
  <c r="C30" i="8"/>
  <c r="C22" i="8"/>
  <c r="C12" i="8"/>
  <c r="D55" i="5"/>
  <c r="C55" i="5"/>
  <c r="C11" i="8"/>
  <c r="C196" i="9"/>
  <c r="E196" i="9"/>
  <c r="D196" i="9"/>
  <c r="C255" i="9"/>
  <c r="E255" i="9"/>
  <c r="C238" i="9"/>
  <c r="E238" i="9"/>
  <c r="C220" i="9"/>
  <c r="E220" i="9"/>
  <c r="D220" i="9"/>
  <c r="C188" i="9"/>
  <c r="E188" i="9"/>
  <c r="D188" i="9"/>
  <c r="D160" i="9"/>
  <c r="D140" i="9"/>
  <c r="D118" i="9"/>
  <c r="C118" i="9"/>
  <c r="E118" i="9"/>
  <c r="D214" i="9"/>
  <c r="C214" i="9"/>
  <c r="E214" i="9"/>
  <c r="C84" i="9"/>
  <c r="E84" i="9"/>
  <c r="D84" i="9"/>
  <c r="C20" i="9"/>
  <c r="E20" i="9"/>
  <c r="D20" i="9"/>
  <c r="C260" i="9"/>
  <c r="E260" i="9"/>
  <c r="D260" i="9"/>
  <c r="D254" i="9"/>
  <c r="C254" i="9"/>
  <c r="E254" i="9"/>
  <c r="C237" i="9"/>
  <c r="E237" i="9"/>
  <c r="D237" i="9"/>
  <c r="C192" i="9"/>
  <c r="E192" i="9"/>
  <c r="D192" i="9"/>
  <c r="D186" i="9"/>
  <c r="C186" i="9"/>
  <c r="E186" i="9"/>
  <c r="D106" i="9"/>
  <c r="C106" i="9"/>
  <c r="E106" i="9"/>
  <c r="C231" i="9"/>
  <c r="E231" i="9"/>
  <c r="D231" i="9"/>
  <c r="D224" i="9"/>
  <c r="C212" i="9"/>
  <c r="E212" i="9"/>
  <c r="D212" i="9"/>
  <c r="D191" i="9"/>
  <c r="C175" i="9"/>
  <c r="E175" i="9"/>
  <c r="C111" i="9"/>
  <c r="E111" i="9"/>
  <c r="D111" i="9"/>
  <c r="C88" i="9"/>
  <c r="E88" i="9"/>
  <c r="D82" i="9"/>
  <c r="C82" i="9"/>
  <c r="E82" i="9"/>
  <c r="C71" i="9"/>
  <c r="E71" i="9"/>
  <c r="D71" i="9"/>
  <c r="D64" i="9"/>
  <c r="C24" i="9"/>
  <c r="E24" i="9"/>
  <c r="D18" i="9"/>
  <c r="C18" i="9"/>
  <c r="E18" i="9"/>
  <c r="D246" i="9"/>
  <c r="C246" i="9"/>
  <c r="E246" i="9"/>
  <c r="D158" i="9"/>
  <c r="C158" i="9"/>
  <c r="E158" i="9"/>
  <c r="C132" i="9"/>
  <c r="E132" i="9"/>
  <c r="D132" i="9"/>
  <c r="C262" i="9"/>
  <c r="E262" i="9"/>
  <c r="D253" i="9"/>
  <c r="D248" i="9"/>
  <c r="D236" i="9"/>
  <c r="D228" i="9"/>
  <c r="D223" i="9"/>
  <c r="D215" i="9"/>
  <c r="C210" i="9"/>
  <c r="E210" i="9"/>
  <c r="C198" i="9"/>
  <c r="E198" i="9"/>
  <c r="D184" i="9"/>
  <c r="D172" i="9"/>
  <c r="C154" i="9"/>
  <c r="E154" i="9"/>
  <c r="D128" i="9"/>
  <c r="D103" i="9"/>
  <c r="D80" i="9"/>
  <c r="D76" i="9"/>
  <c r="D48" i="9"/>
  <c r="D44" i="9"/>
  <c r="D16" i="9"/>
  <c r="D12" i="9"/>
  <c r="C3" i="9"/>
  <c r="E3" i="9"/>
  <c r="C7" i="9"/>
  <c r="E7" i="9"/>
  <c r="D252" i="9"/>
  <c r="D124" i="9"/>
  <c r="C98" i="9"/>
  <c r="E98" i="9"/>
  <c r="C66" i="9"/>
  <c r="E66" i="9"/>
  <c r="C34" i="9"/>
  <c r="E34" i="9"/>
  <c r="D93" i="9"/>
  <c r="C93" i="9"/>
  <c r="E93" i="9"/>
  <c r="D29" i="9"/>
  <c r="C29" i="9"/>
  <c r="E29" i="9"/>
  <c r="D259" i="9"/>
  <c r="D229" i="9"/>
  <c r="C225" i="9"/>
  <c r="E225" i="9"/>
  <c r="D225" i="9"/>
  <c r="D157" i="9"/>
  <c r="C157" i="9"/>
  <c r="E157" i="9"/>
  <c r="C233" i="9"/>
  <c r="E233" i="9"/>
  <c r="D233" i="9"/>
  <c r="D149" i="9"/>
  <c r="C149" i="9"/>
  <c r="E149" i="9"/>
  <c r="D61" i="9"/>
  <c r="C61" i="9"/>
  <c r="E61" i="9"/>
  <c r="C266" i="9"/>
  <c r="E266" i="9"/>
  <c r="D251" i="9"/>
  <c r="D221" i="9"/>
  <c r="C217" i="9"/>
  <c r="E217" i="9"/>
  <c r="D217" i="9"/>
  <c r="D165" i="9"/>
  <c r="C165" i="9"/>
  <c r="E165" i="9"/>
  <c r="D101" i="9"/>
  <c r="C101" i="9"/>
  <c r="E101" i="9"/>
  <c r="D69" i="9"/>
  <c r="C69" i="9"/>
  <c r="E69" i="9"/>
  <c r="D37" i="9"/>
  <c r="C37" i="9"/>
  <c r="E37" i="9"/>
  <c r="C258" i="9"/>
  <c r="E258" i="9"/>
  <c r="D243" i="9"/>
  <c r="D213" i="9"/>
  <c r="D205" i="9"/>
  <c r="D197" i="9"/>
  <c r="D189" i="9"/>
  <c r="D181" i="9"/>
  <c r="D173" i="9"/>
  <c r="C173" i="9"/>
  <c r="E173" i="9"/>
  <c r="D109" i="9"/>
  <c r="C109" i="9"/>
  <c r="E109" i="9"/>
  <c r="C265" i="9"/>
  <c r="E265" i="9"/>
  <c r="D265" i="9"/>
  <c r="D117" i="9"/>
  <c r="C117" i="9"/>
  <c r="E117" i="9"/>
  <c r="D77" i="9"/>
  <c r="C77" i="9"/>
  <c r="E77" i="9"/>
  <c r="D45" i="9"/>
  <c r="C45" i="9"/>
  <c r="E45" i="9"/>
  <c r="D13" i="9"/>
  <c r="C13" i="9"/>
  <c r="E13" i="9"/>
  <c r="D261" i="9"/>
  <c r="C257" i="9"/>
  <c r="E257" i="9"/>
  <c r="D257" i="9"/>
  <c r="C242" i="9"/>
  <c r="E242" i="9"/>
  <c r="D227" i="9"/>
  <c r="D125" i="9"/>
  <c r="C125" i="9"/>
  <c r="E125" i="9"/>
  <c r="C249" i="9"/>
  <c r="E249" i="9"/>
  <c r="D249" i="9"/>
  <c r="D133" i="9"/>
  <c r="C133" i="9"/>
  <c r="E133" i="9"/>
  <c r="D85" i="9"/>
  <c r="C85" i="9"/>
  <c r="E85" i="9"/>
  <c r="D53" i="9"/>
  <c r="C53" i="9"/>
  <c r="E53" i="9"/>
  <c r="D21" i="9"/>
  <c r="C21" i="9"/>
  <c r="E21" i="9"/>
  <c r="D245" i="9"/>
  <c r="C241" i="9"/>
  <c r="E241" i="9"/>
  <c r="D241" i="9"/>
  <c r="C226" i="9"/>
  <c r="E226" i="9"/>
  <c r="C211" i="9"/>
  <c r="E211" i="9"/>
  <c r="D211" i="9"/>
  <c r="C203" i="9"/>
  <c r="E203" i="9"/>
  <c r="D203" i="9"/>
  <c r="C195" i="9"/>
  <c r="E195" i="9"/>
  <c r="D195" i="9"/>
  <c r="C187" i="9"/>
  <c r="E187" i="9"/>
  <c r="D187" i="9"/>
  <c r="C170" i="9"/>
  <c r="E170" i="9"/>
  <c r="D141" i="9"/>
  <c r="C141" i="9"/>
  <c r="E141" i="9"/>
  <c r="D209" i="9"/>
  <c r="D201" i="9"/>
  <c r="D193" i="9"/>
  <c r="D185" i="9"/>
  <c r="D177" i="9"/>
  <c r="D169" i="9"/>
  <c r="D161" i="9"/>
  <c r="D153" i="9"/>
  <c r="D145" i="9"/>
  <c r="D137" i="9"/>
  <c r="D129" i="9"/>
  <c r="D121" i="9"/>
  <c r="D113" i="9"/>
  <c r="D105" i="9"/>
  <c r="D97" i="9"/>
  <c r="D89" i="9"/>
  <c r="D81" i="9"/>
  <c r="D73" i="9"/>
  <c r="D65" i="9"/>
  <c r="D57" i="9"/>
  <c r="D49" i="9"/>
  <c r="D41" i="9"/>
  <c r="D33" i="9"/>
  <c r="D25" i="9"/>
  <c r="D17" i="9"/>
  <c r="D94" i="9"/>
  <c r="D86" i="9"/>
  <c r="D78" i="9"/>
  <c r="D70" i="9"/>
  <c r="D62" i="9"/>
  <c r="D54" i="9"/>
  <c r="D46" i="9"/>
  <c r="D38" i="9"/>
  <c r="D30" i="9"/>
  <c r="D22" i="9"/>
  <c r="D14" i="9"/>
  <c r="D179" i="9"/>
  <c r="D171" i="9"/>
  <c r="D163" i="9"/>
  <c r="D155" i="9"/>
  <c r="D147" i="9"/>
  <c r="D139" i="9"/>
  <c r="D131" i="9"/>
  <c r="D123" i="9"/>
  <c r="D115" i="9"/>
  <c r="D107" i="9"/>
  <c r="D99" i="9"/>
  <c r="D91" i="9"/>
  <c r="D83" i="9"/>
  <c r="D75" i="9"/>
  <c r="D67" i="9"/>
  <c r="D59" i="9"/>
  <c r="D51" i="9"/>
  <c r="D43" i="9"/>
  <c r="D35" i="9"/>
  <c r="D27" i="9"/>
  <c r="D19" i="9"/>
  <c r="D11" i="9"/>
  <c r="D5" i="9"/>
  <c r="C6" i="9"/>
  <c r="E6" i="9"/>
  <c r="C9" i="9"/>
  <c r="E9" i="9"/>
  <c r="C10" i="9"/>
  <c r="E10" i="9"/>
  <c r="N6" i="5"/>
  <c r="I7" i="5" s="1"/>
  <c r="O3" i="4"/>
  <c r="I14" i="5"/>
  <c r="I13" i="5"/>
  <c r="I9" i="5"/>
  <c r="I5" i="5"/>
  <c r="H13" i="5"/>
  <c r="H9" i="5"/>
  <c r="H5" i="5"/>
  <c r="I12" i="5"/>
  <c r="I8" i="5"/>
  <c r="I4" i="5"/>
  <c r="I16" i="5" s="1"/>
  <c r="I28" i="5" s="1"/>
  <c r="I40" i="5" s="1"/>
  <c r="I52" i="5" s="1"/>
  <c r="H12" i="5"/>
  <c r="H4" i="5"/>
  <c r="I3" i="5"/>
  <c r="H11" i="5"/>
  <c r="H7" i="5"/>
  <c r="H8" i="5"/>
  <c r="I11" i="5"/>
  <c r="P3" i="4"/>
  <c r="Q3" i="4"/>
  <c r="J4" i="4"/>
  <c r="R3" i="4"/>
  <c r="K4" i="4"/>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S3" i="4"/>
  <c r="D48" i="5"/>
  <c r="C48" i="5"/>
  <c r="D40" i="5"/>
  <c r="C40" i="5"/>
  <c r="D32" i="5"/>
  <c r="C32" i="5"/>
  <c r="D24" i="5"/>
  <c r="C24" i="5"/>
  <c r="D41" i="5"/>
  <c r="C41" i="5"/>
  <c r="D47" i="5"/>
  <c r="C47" i="5"/>
  <c r="D31" i="5"/>
  <c r="C31" i="5"/>
  <c r="D38" i="5"/>
  <c r="C38" i="5"/>
  <c r="D45" i="5"/>
  <c r="C45" i="5"/>
  <c r="D29" i="5"/>
  <c r="C29" i="5"/>
  <c r="D36" i="5"/>
  <c r="C36" i="5"/>
  <c r="D28" i="5"/>
  <c r="C28" i="5"/>
  <c r="D20" i="5"/>
  <c r="C20" i="5"/>
  <c r="D49" i="5"/>
  <c r="C49" i="5"/>
  <c r="D25" i="5"/>
  <c r="C25" i="5"/>
  <c r="D23" i="5"/>
  <c r="C23" i="5"/>
  <c r="D22" i="5"/>
  <c r="C22" i="5"/>
  <c r="D21" i="5"/>
  <c r="C21" i="5"/>
  <c r="D43" i="5"/>
  <c r="C43" i="5"/>
  <c r="D27" i="5"/>
  <c r="C27" i="5"/>
  <c r="D19" i="5"/>
  <c r="C19" i="5"/>
  <c r="D33" i="5"/>
  <c r="C33" i="5"/>
  <c r="D39" i="5"/>
  <c r="C39" i="5"/>
  <c r="D46" i="5"/>
  <c r="C46" i="5"/>
  <c r="D30" i="5"/>
  <c r="C30" i="5"/>
  <c r="D37" i="5"/>
  <c r="C37" i="5"/>
  <c r="D44" i="5"/>
  <c r="C44" i="5"/>
  <c r="D35" i="5"/>
  <c r="C35" i="5"/>
  <c r="D50" i="5"/>
  <c r="C50" i="5"/>
  <c r="D42" i="5"/>
  <c r="C42" i="5"/>
  <c r="D34" i="5"/>
  <c r="C34" i="5"/>
  <c r="D26" i="5"/>
  <c r="C26" i="5"/>
  <c r="L4" i="4"/>
  <c r="B18" i="5"/>
  <c r="B17" i="5"/>
  <c r="B16" i="5"/>
  <c r="B15" i="5"/>
  <c r="B14" i="5"/>
  <c r="B13" i="5"/>
  <c r="B12" i="5"/>
  <c r="B11" i="5"/>
  <c r="B10" i="5"/>
  <c r="B9" i="5"/>
  <c r="B8" i="5"/>
  <c r="B7" i="5"/>
  <c r="B6" i="5"/>
  <c r="B5" i="5"/>
  <c r="B4" i="5"/>
  <c r="B3" i="5"/>
  <c r="T3" i="4"/>
  <c r="D5" i="5"/>
  <c r="C5" i="5"/>
  <c r="D4" i="5"/>
  <c r="C4" i="5"/>
  <c r="D12" i="5"/>
  <c r="C12" i="5"/>
  <c r="D13" i="5"/>
  <c r="C13" i="5"/>
  <c r="D15" i="5"/>
  <c r="C15" i="5"/>
  <c r="D14" i="5"/>
  <c r="C14" i="5"/>
  <c r="D16" i="5"/>
  <c r="C16" i="5"/>
  <c r="D6" i="5"/>
  <c r="C6" i="5"/>
  <c r="D7" i="5"/>
  <c r="C7" i="5"/>
  <c r="D9" i="5"/>
  <c r="C9" i="5"/>
  <c r="D17" i="5"/>
  <c r="C17" i="5"/>
  <c r="D8" i="5"/>
  <c r="C8" i="5"/>
  <c r="D10" i="5"/>
  <c r="C10" i="5"/>
  <c r="D18" i="5"/>
  <c r="C18" i="5"/>
  <c r="D3" i="5"/>
  <c r="C3" i="5"/>
  <c r="D11" i="5"/>
  <c r="C11" i="5"/>
  <c r="M4" i="4"/>
  <c r="U3" i="4"/>
  <c r="H42" i="4"/>
  <c r="H18" i="4"/>
  <c r="H57" i="4"/>
  <c r="H33" i="4"/>
  <c r="H9" i="4"/>
  <c r="H10" i="4"/>
  <c r="H56" i="4"/>
  <c r="H48" i="4"/>
  <c r="H40" i="4"/>
  <c r="H32" i="4"/>
  <c r="H24" i="4"/>
  <c r="H16" i="4"/>
  <c r="H8" i="4"/>
  <c r="H26" i="4"/>
  <c r="H55" i="4"/>
  <c r="H47" i="4"/>
  <c r="H39" i="4"/>
  <c r="H31" i="4"/>
  <c r="H23" i="4"/>
  <c r="H15" i="4"/>
  <c r="H7" i="4"/>
  <c r="H50" i="4"/>
  <c r="H62" i="4"/>
  <c r="H54" i="4"/>
  <c r="H46" i="4"/>
  <c r="H38" i="4"/>
  <c r="H30" i="4"/>
  <c r="H22" i="4"/>
  <c r="H14" i="4"/>
  <c r="H6" i="4"/>
  <c r="H45" i="4"/>
  <c r="H21" i="4"/>
  <c r="H34" i="4"/>
  <c r="H60" i="4"/>
  <c r="H52" i="4"/>
  <c r="H44" i="4"/>
  <c r="H36" i="4"/>
  <c r="H28" i="4"/>
  <c r="H20" i="4"/>
  <c r="H12" i="4"/>
  <c r="H4" i="4"/>
  <c r="H58" i="4"/>
  <c r="H3" i="4"/>
  <c r="H59" i="4"/>
  <c r="H51" i="4"/>
  <c r="H43" i="4"/>
  <c r="H35" i="4"/>
  <c r="H27" i="4"/>
  <c r="H19" i="4"/>
  <c r="H11" i="4"/>
  <c r="N4" i="4"/>
  <c r="V3" i="4"/>
  <c r="O4" i="4"/>
  <c r="W3" i="4"/>
  <c r="P4" i="4"/>
  <c r="X3" i="4"/>
  <c r="Q4" i="4"/>
  <c r="Y3" i="4"/>
  <c r="R4" i="4"/>
  <c r="Z3" i="4"/>
  <c r="S4" i="4"/>
  <c r="AA3" i="4"/>
  <c r="T4" i="4"/>
  <c r="AB3" i="4"/>
  <c r="U4" i="4"/>
  <c r="V4" i="4"/>
  <c r="AC3" i="4"/>
  <c r="W4" i="4"/>
  <c r="AD3" i="4"/>
  <c r="X4" i="4"/>
  <c r="Y4" i="4"/>
  <c r="Z4" i="4"/>
  <c r="AA4" i="4"/>
  <c r="AB4" i="4"/>
  <c r="AC4" i="4"/>
  <c r="AD4" i="4"/>
  <c r="H150" i="4"/>
  <c r="H239" i="4"/>
  <c r="H154" i="4"/>
  <c r="H234" i="4"/>
  <c r="H163" i="4"/>
  <c r="H231" i="4"/>
  <c r="H167" i="4"/>
  <c r="H260" i="4"/>
  <c r="H191" i="4"/>
  <c r="H215" i="4"/>
  <c r="H248" i="4"/>
  <c r="H188" i="4"/>
  <c r="H155" i="4"/>
  <c r="H159" i="4"/>
  <c r="H200" i="4"/>
  <c r="H223" i="4"/>
  <c r="H206" i="4"/>
  <c r="H187" i="4"/>
  <c r="H236" i="4"/>
  <c r="H222" i="4"/>
  <c r="H179" i="4"/>
  <c r="H148" i="4"/>
  <c r="H242" i="4"/>
  <c r="H259" i="4"/>
  <c r="H214" i="4"/>
  <c r="H252" i="4"/>
  <c r="H230" i="4"/>
  <c r="H262" i="4"/>
  <c r="H176" i="4"/>
  <c r="H147" i="4"/>
  <c r="H210" i="4"/>
  <c r="H216" i="4"/>
  <c r="H254" i="4"/>
  <c r="H207" i="4"/>
  <c r="H192" i="4"/>
  <c r="H258" i="4"/>
  <c r="H199" i="4"/>
  <c r="H208" i="4"/>
  <c r="H250" i="4"/>
  <c r="H247" i="4"/>
  <c r="H182" i="4"/>
  <c r="H175" i="4"/>
  <c r="H212" i="4"/>
  <c r="H168" i="4"/>
  <c r="H228" i="4"/>
  <c r="H170" i="4"/>
  <c r="H186" i="4"/>
  <c r="H151" i="4"/>
  <c r="H190" i="4"/>
  <c r="H211" i="4"/>
  <c r="H263" i="4"/>
  <c r="H162" i="4"/>
  <c r="H158" i="4"/>
  <c r="H203" i="4"/>
  <c r="H235" i="4"/>
  <c r="H243" i="4"/>
  <c r="H180" i="4"/>
  <c r="H251" i="4"/>
  <c r="H183" i="4"/>
  <c r="H152" i="4"/>
  <c r="H166" i="4"/>
  <c r="H219" i="4"/>
  <c r="H195" i="4"/>
  <c r="H246" i="4"/>
  <c r="H255" i="4"/>
  <c r="H156" i="4"/>
  <c r="H240" i="4"/>
  <c r="H227" i="4"/>
  <c r="H171" i="4"/>
  <c r="H164" i="4"/>
  <c r="H194" i="4"/>
  <c r="H238" i="4"/>
  <c r="H174" i="4"/>
  <c r="H226" i="4"/>
  <c r="H218" i="4"/>
  <c r="H198" i="4"/>
  <c r="H224" i="4"/>
  <c r="H266" i="4"/>
  <c r="H204" i="4"/>
  <c r="H202" i="4"/>
  <c r="H213" i="4"/>
  <c r="H264" i="4"/>
  <c r="H178" i="4"/>
  <c r="I23" i="5" l="1"/>
  <c r="I35" i="5" s="1"/>
  <c r="I47" i="5" s="1"/>
  <c r="I59" i="5" s="1"/>
  <c r="I20" i="5"/>
  <c r="I32" i="5" s="1"/>
  <c r="I44" i="5" s="1"/>
  <c r="I56" i="5" s="1"/>
  <c r="H20" i="5"/>
  <c r="H32" i="5" s="1"/>
  <c r="H44" i="5" s="1"/>
  <c r="H56" i="5" s="1"/>
  <c r="H19" i="5"/>
  <c r="H31" i="5" s="1"/>
  <c r="H43" i="5" s="1"/>
  <c r="H55" i="5" s="1"/>
  <c r="I19" i="5"/>
  <c r="I31" i="5" s="1"/>
  <c r="I43" i="5" s="1"/>
  <c r="I55" i="5" s="1"/>
  <c r="H23" i="5"/>
  <c r="H35" i="5" s="1"/>
  <c r="H47" i="5" s="1"/>
  <c r="H59" i="5" s="1"/>
  <c r="H21" i="5"/>
  <c r="H33" i="5" s="1"/>
  <c r="H45" i="5" s="1"/>
  <c r="H57" i="5" s="1"/>
  <c r="H196" i="4"/>
  <c r="H232" i="4"/>
  <c r="H244" i="4"/>
  <c r="H220" i="4"/>
  <c r="H256" i="4"/>
  <c r="H160" i="4"/>
  <c r="H172" i="4"/>
  <c r="H184" i="4"/>
  <c r="H29" i="4"/>
  <c r="H61" i="4"/>
  <c r="H165" i="4"/>
  <c r="H5" i="4"/>
  <c r="H37" i="4"/>
  <c r="H177" i="4"/>
  <c r="H189" i="4"/>
  <c r="H249" i="4"/>
  <c r="H225" i="4"/>
  <c r="H201" i="4"/>
  <c r="H261" i="4"/>
  <c r="H13" i="4"/>
  <c r="H41" i="4"/>
  <c r="H153" i="4"/>
  <c r="H237" i="4"/>
  <c r="H53" i="4"/>
  <c r="H49" i="4"/>
  <c r="H25" i="5"/>
  <c r="H37" i="5" s="1"/>
  <c r="H49" i="5" s="1"/>
  <c r="H61" i="5" s="1"/>
  <c r="G5" i="9"/>
  <c r="P5" i="9" s="1"/>
  <c r="I17" i="5"/>
  <c r="I29" i="5" s="1"/>
  <c r="I41" i="5" s="1"/>
  <c r="I53" i="5" s="1"/>
  <c r="F12" i="9"/>
  <c r="O12" i="9" s="1"/>
  <c r="H24" i="5"/>
  <c r="H36" i="5" s="1"/>
  <c r="H48" i="5" s="1"/>
  <c r="H60" i="5" s="1"/>
  <c r="G8" i="9"/>
  <c r="P8" i="9" s="1"/>
  <c r="G9" i="9"/>
  <c r="P9" i="9" s="1"/>
  <c r="I21" i="5"/>
  <c r="G12" i="9"/>
  <c r="P12" i="9" s="1"/>
  <c r="I24" i="5"/>
  <c r="I36" i="5" s="1"/>
  <c r="I48" i="5" s="1"/>
  <c r="I60" i="5" s="1"/>
  <c r="G13" i="9"/>
  <c r="P13" i="9" s="1"/>
  <c r="I25" i="5"/>
  <c r="I37" i="5" s="1"/>
  <c r="G14" i="9"/>
  <c r="P14" i="9" s="1"/>
  <c r="I26" i="5"/>
  <c r="I38" i="5" s="1"/>
  <c r="I50" i="5" s="1"/>
  <c r="I62" i="5" s="1"/>
  <c r="G3" i="9"/>
  <c r="P3" i="9" s="1"/>
  <c r="I15" i="5"/>
  <c r="I27" i="5" s="1"/>
  <c r="I39" i="5" s="1"/>
  <c r="I51" i="5" s="1"/>
  <c r="F5" i="9"/>
  <c r="O5" i="9" s="1"/>
  <c r="H17" i="5"/>
  <c r="H29" i="5" s="1"/>
  <c r="H41" i="5" s="1"/>
  <c r="H53" i="5" s="1"/>
  <c r="F4" i="9"/>
  <c r="O4" i="9" s="1"/>
  <c r="H16" i="5"/>
  <c r="H28" i="5" s="1"/>
  <c r="H40" i="5" s="1"/>
  <c r="H52" i="5" s="1"/>
  <c r="H3" i="5"/>
  <c r="G20" i="9"/>
  <c r="H14" i="5"/>
  <c r="I6" i="5"/>
  <c r="H6" i="5"/>
  <c r="H18" i="5" s="1"/>
  <c r="H30" i="5" s="1"/>
  <c r="H42" i="5" s="1"/>
  <c r="H54" i="5" s="1"/>
  <c r="G11" i="9"/>
  <c r="P11" i="9" s="1"/>
  <c r="H10" i="5"/>
  <c r="I10" i="5"/>
  <c r="F8" i="9"/>
  <c r="O8" i="9" s="1"/>
  <c r="F21" i="9"/>
  <c r="G32" i="9"/>
  <c r="M32" i="9" s="1"/>
  <c r="F11" i="9"/>
  <c r="O11" i="9" s="1"/>
  <c r="G23" i="9"/>
  <c r="M23" i="9" s="1"/>
  <c r="G7" i="9"/>
  <c r="P7" i="9" s="1"/>
  <c r="G4" i="9"/>
  <c r="P4" i="9" s="1"/>
  <c r="F20" i="9"/>
  <c r="L20" i="9" s="1"/>
  <c r="F19" i="9"/>
  <c r="L19" i="9" s="1"/>
  <c r="F33" i="9"/>
  <c r="L33" i="9" s="1"/>
  <c r="F9" i="9"/>
  <c r="O9" i="9" s="1"/>
  <c r="F7" i="9"/>
  <c r="O7" i="9" s="1"/>
  <c r="F13" i="9"/>
  <c r="O13" i="9" s="1"/>
  <c r="H25" i="12"/>
  <c r="F19" i="12"/>
  <c r="F16" i="12"/>
  <c r="K25" i="12"/>
  <c r="D26" i="12"/>
  <c r="B27" i="12"/>
  <c r="I25" i="12"/>
  <c r="F15" i="12"/>
  <c r="B6" i="3"/>
  <c r="A5" i="3"/>
  <c r="I4" i="3"/>
  <c r="K4" i="3"/>
  <c r="J3" i="3"/>
  <c r="K3" i="3"/>
  <c r="G35" i="9" l="1"/>
  <c r="M35" i="9" s="1"/>
  <c r="J4" i="3"/>
  <c r="F25" i="9"/>
  <c r="L25" i="9" s="1"/>
  <c r="O21" i="9"/>
  <c r="L21" i="9"/>
  <c r="P20" i="9"/>
  <c r="M20" i="9"/>
  <c r="G25" i="9"/>
  <c r="M25" i="9" s="1"/>
  <c r="O25" i="9"/>
  <c r="F16" i="9"/>
  <c r="L16" i="9" s="1"/>
  <c r="H17" i="4"/>
  <c r="H25" i="4"/>
  <c r="G6" i="9"/>
  <c r="P6" i="9" s="1"/>
  <c r="I18" i="5"/>
  <c r="I33" i="5"/>
  <c r="G21" i="9"/>
  <c r="M21" i="9" s="1"/>
  <c r="G26" i="9"/>
  <c r="M26" i="9" s="1"/>
  <c r="F14" i="9"/>
  <c r="O14" i="9" s="1"/>
  <c r="H26" i="5"/>
  <c r="H38" i="5" s="1"/>
  <c r="H50" i="5" s="1"/>
  <c r="H62" i="5" s="1"/>
  <c r="G10" i="9"/>
  <c r="P10" i="9" s="1"/>
  <c r="I22" i="5"/>
  <c r="F3" i="9"/>
  <c r="O3" i="9" s="1"/>
  <c r="H15" i="5"/>
  <c r="F10" i="9"/>
  <c r="O10" i="9" s="1"/>
  <c r="H22" i="5"/>
  <c r="H34" i="5" s="1"/>
  <c r="H46" i="5" s="1"/>
  <c r="H58" i="5" s="1"/>
  <c r="I49" i="5"/>
  <c r="G37" i="9"/>
  <c r="M37" i="9" s="1"/>
  <c r="F18" i="9"/>
  <c r="F6" i="9"/>
  <c r="O6" i="9" s="1"/>
  <c r="F37" i="9"/>
  <c r="L37" i="9" s="1"/>
  <c r="F17" i="9"/>
  <c r="L17" i="9" s="1"/>
  <c r="F31" i="9"/>
  <c r="L31" i="9" s="1"/>
  <c r="F23" i="9"/>
  <c r="L23" i="9" s="1"/>
  <c r="G56" i="9"/>
  <c r="M56" i="9" s="1"/>
  <c r="G44" i="9"/>
  <c r="M44" i="9" s="1"/>
  <c r="G24" i="9"/>
  <c r="M24" i="9" s="1"/>
  <c r="O19" i="9"/>
  <c r="O33" i="9"/>
  <c r="G16" i="9"/>
  <c r="M16" i="9" s="1"/>
  <c r="G59" i="9"/>
  <c r="M59" i="9" s="1"/>
  <c r="G47" i="9"/>
  <c r="M47" i="9" s="1"/>
  <c r="K11" i="8" s="1"/>
  <c r="O20" i="9"/>
  <c r="F30" i="9"/>
  <c r="L30" i="9" s="1"/>
  <c r="G38" i="9"/>
  <c r="M38" i="9" s="1"/>
  <c r="P32" i="9"/>
  <c r="F24" i="9"/>
  <c r="L24" i="9" s="1"/>
  <c r="F32" i="9"/>
  <c r="L32" i="9" s="1"/>
  <c r="F26" i="9"/>
  <c r="L26" i="9" s="1"/>
  <c r="F28" i="9"/>
  <c r="L28" i="9" s="1"/>
  <c r="G19" i="9"/>
  <c r="M19" i="9" s="1"/>
  <c r="G15" i="9"/>
  <c r="M15" i="9" s="1"/>
  <c r="G17" i="9"/>
  <c r="M17" i="9" s="1"/>
  <c r="F45" i="9"/>
  <c r="L45" i="9" s="1"/>
  <c r="F57" i="9"/>
  <c r="L57" i="9" s="1"/>
  <c r="P35" i="9"/>
  <c r="P23" i="9"/>
  <c r="B28" i="12"/>
  <c r="D27" i="12"/>
  <c r="C27" i="12"/>
  <c r="G25" i="12"/>
  <c r="F25" i="12"/>
  <c r="J25" i="12"/>
  <c r="B7" i="3"/>
  <c r="J5" i="3"/>
  <c r="A6" i="3"/>
  <c r="K5" i="3"/>
  <c r="I5" i="3"/>
  <c r="P25" i="9" l="1"/>
  <c r="J9" i="8"/>
  <c r="L81" i="9" s="1"/>
  <c r="O81" i="9" s="1"/>
  <c r="P26" i="9"/>
  <c r="K8" i="8"/>
  <c r="M128" i="9" s="1"/>
  <c r="L69" i="9"/>
  <c r="O69" i="9" s="1"/>
  <c r="L93" i="9"/>
  <c r="O93" i="9" s="1"/>
  <c r="M131" i="9"/>
  <c r="M119" i="9"/>
  <c r="P119" i="9" s="1"/>
  <c r="M107" i="9"/>
  <c r="P107" i="9" s="1"/>
  <c r="M71" i="9"/>
  <c r="P71" i="9" s="1"/>
  <c r="M83" i="9"/>
  <c r="P83" i="9" s="1"/>
  <c r="M95" i="9"/>
  <c r="P95" i="9" s="1"/>
  <c r="M116" i="9"/>
  <c r="P116" i="9" s="1"/>
  <c r="M104" i="9"/>
  <c r="P104" i="9" s="1"/>
  <c r="M92" i="9"/>
  <c r="P92" i="9" s="1"/>
  <c r="M80" i="9"/>
  <c r="P80" i="9" s="1"/>
  <c r="M68" i="9"/>
  <c r="P68" i="9" s="1"/>
  <c r="O16" i="9"/>
  <c r="O18" i="9"/>
  <c r="L18" i="9"/>
  <c r="H193" i="4"/>
  <c r="H169" i="4"/>
  <c r="H241" i="4"/>
  <c r="H205" i="4"/>
  <c r="H253" i="4"/>
  <c r="H229" i="4"/>
  <c r="H181" i="4"/>
  <c r="H217" i="4"/>
  <c r="H157" i="4"/>
  <c r="H265" i="4"/>
  <c r="H185" i="4"/>
  <c r="H245" i="4"/>
  <c r="H197" i="4"/>
  <c r="H149" i="4"/>
  <c r="H173" i="4"/>
  <c r="H161" i="4"/>
  <c r="H221" i="4"/>
  <c r="H209" i="4"/>
  <c r="H233" i="4"/>
  <c r="H257" i="4"/>
  <c r="P21" i="9"/>
  <c r="H27" i="5"/>
  <c r="F15" i="9"/>
  <c r="L15" i="9" s="1"/>
  <c r="I45" i="5"/>
  <c r="G33" i="9"/>
  <c r="M33" i="9" s="1"/>
  <c r="I61" i="5"/>
  <c r="G61" i="9" s="1"/>
  <c r="M61" i="9" s="1"/>
  <c r="G49" i="9"/>
  <c r="M49" i="9" s="1"/>
  <c r="K13" i="8" s="1"/>
  <c r="I30" i="5"/>
  <c r="G18" i="9"/>
  <c r="M18" i="9" s="1"/>
  <c r="P37" i="9"/>
  <c r="F22" i="9"/>
  <c r="O22" i="9" s="1"/>
  <c r="I34" i="5"/>
  <c r="G22" i="9"/>
  <c r="M22" i="9" s="1"/>
  <c r="F61" i="9"/>
  <c r="L61" i="9" s="1"/>
  <c r="F49" i="9"/>
  <c r="L49" i="9" s="1"/>
  <c r="J13" i="8" s="1"/>
  <c r="O37" i="9"/>
  <c r="P24" i="9"/>
  <c r="G36" i="9"/>
  <c r="M36" i="9" s="1"/>
  <c r="G29" i="9"/>
  <c r="M29" i="9" s="1"/>
  <c r="O26" i="9"/>
  <c r="F42" i="9"/>
  <c r="L42" i="9" s="1"/>
  <c r="F54" i="9"/>
  <c r="L54" i="9" s="1"/>
  <c r="P47" i="9"/>
  <c r="P44" i="9"/>
  <c r="O31" i="9"/>
  <c r="P15" i="9"/>
  <c r="F38" i="9"/>
  <c r="L38" i="9" s="1"/>
  <c r="O30" i="9"/>
  <c r="P59" i="9"/>
  <c r="P56" i="9"/>
  <c r="F43" i="9"/>
  <c r="L43" i="9" s="1"/>
  <c r="J7" i="8" s="1"/>
  <c r="F55" i="9"/>
  <c r="L55" i="9" s="1"/>
  <c r="G27" i="9"/>
  <c r="M27" i="9" s="1"/>
  <c r="F40" i="9"/>
  <c r="L40" i="9" s="1"/>
  <c r="F52" i="9"/>
  <c r="L52" i="9" s="1"/>
  <c r="O32" i="9"/>
  <c r="P16" i="9"/>
  <c r="F35" i="9"/>
  <c r="L35" i="9" s="1"/>
  <c r="O57" i="9"/>
  <c r="O28" i="9"/>
  <c r="F56" i="9"/>
  <c r="L56" i="9" s="1"/>
  <c r="F44" i="9"/>
  <c r="L44" i="9" s="1"/>
  <c r="G28" i="9"/>
  <c r="M28" i="9" s="1"/>
  <c r="O23" i="9"/>
  <c r="P19" i="9"/>
  <c r="F36" i="9"/>
  <c r="L36" i="9" s="1"/>
  <c r="P38" i="9"/>
  <c r="F34" i="9"/>
  <c r="L34" i="9" s="1"/>
  <c r="O17" i="9"/>
  <c r="O45" i="9"/>
  <c r="P17" i="9"/>
  <c r="G31" i="9"/>
  <c r="M31" i="9" s="1"/>
  <c r="O24" i="9"/>
  <c r="G50" i="9"/>
  <c r="M50" i="9" s="1"/>
  <c r="G62" i="9"/>
  <c r="M62" i="9" s="1"/>
  <c r="F29" i="9"/>
  <c r="L29" i="9" s="1"/>
  <c r="D28" i="12"/>
  <c r="C28" i="12"/>
  <c r="B29" i="12"/>
  <c r="B8" i="3"/>
  <c r="J6" i="3"/>
  <c r="A7" i="3"/>
  <c r="K6" i="3"/>
  <c r="I6" i="3"/>
  <c r="L117" i="9" l="1"/>
  <c r="O117" i="9" s="1"/>
  <c r="L105" i="9"/>
  <c r="O105" i="9" s="1"/>
  <c r="L129" i="9"/>
  <c r="J4" i="8"/>
  <c r="K14" i="8"/>
  <c r="M134" i="9" s="1"/>
  <c r="L127" i="9"/>
  <c r="L115" i="9"/>
  <c r="O115" i="9" s="1"/>
  <c r="L103" i="9"/>
  <c r="O103" i="9" s="1"/>
  <c r="L91" i="9"/>
  <c r="O91" i="9" s="1"/>
  <c r="L79" i="9"/>
  <c r="O79" i="9" s="1"/>
  <c r="L67" i="9"/>
  <c r="O67" i="9" s="1"/>
  <c r="M133" i="9"/>
  <c r="M121" i="9"/>
  <c r="P121" i="9" s="1"/>
  <c r="M109" i="9"/>
  <c r="P109" i="9" s="1"/>
  <c r="M97" i="9"/>
  <c r="P97" i="9" s="1"/>
  <c r="M85" i="9"/>
  <c r="P85" i="9" s="1"/>
  <c r="M73" i="9"/>
  <c r="P73" i="9" s="1"/>
  <c r="L124" i="9"/>
  <c r="L112" i="9"/>
  <c r="O112" i="9" s="1"/>
  <c r="L100" i="9"/>
  <c r="O100" i="9" s="1"/>
  <c r="L88" i="9"/>
  <c r="O88" i="9" s="1"/>
  <c r="L76" i="9"/>
  <c r="O76" i="9" s="1"/>
  <c r="L64" i="9"/>
  <c r="O64" i="9" s="1"/>
  <c r="L121" i="9"/>
  <c r="O121" i="9" s="1"/>
  <c r="L85" i="9"/>
  <c r="O85" i="9" s="1"/>
  <c r="L97" i="9"/>
  <c r="O97" i="9" s="1"/>
  <c r="L133" i="9"/>
  <c r="L109" i="9"/>
  <c r="O109" i="9" s="1"/>
  <c r="L73" i="9"/>
  <c r="O73" i="9" s="1"/>
  <c r="J6" i="8"/>
  <c r="P128" i="9"/>
  <c r="M140" i="9"/>
  <c r="J8" i="8"/>
  <c r="L22" i="9"/>
  <c r="M143" i="9"/>
  <c r="P131" i="9"/>
  <c r="O129" i="9"/>
  <c r="L141" i="9"/>
  <c r="P49" i="9"/>
  <c r="P22" i="9"/>
  <c r="P61" i="9"/>
  <c r="I46" i="5"/>
  <c r="G34" i="9"/>
  <c r="M34" i="9" s="1"/>
  <c r="P33" i="9"/>
  <c r="I57" i="5"/>
  <c r="G57" i="9" s="1"/>
  <c r="M57" i="9" s="1"/>
  <c r="G45" i="9"/>
  <c r="M45" i="9" s="1"/>
  <c r="O15" i="9"/>
  <c r="H39" i="5"/>
  <c r="F27" i="9"/>
  <c r="L27" i="9" s="1"/>
  <c r="P18" i="9"/>
  <c r="I42" i="5"/>
  <c r="G30" i="9"/>
  <c r="M30" i="9" s="1"/>
  <c r="O49" i="9"/>
  <c r="O61" i="9"/>
  <c r="O34" i="9"/>
  <c r="O44" i="9"/>
  <c r="P27" i="9"/>
  <c r="F58" i="9"/>
  <c r="L58" i="9" s="1"/>
  <c r="F46" i="9"/>
  <c r="L46" i="9" s="1"/>
  <c r="O56" i="9"/>
  <c r="O35" i="9"/>
  <c r="O55" i="9"/>
  <c r="G53" i="9"/>
  <c r="M53" i="9" s="1"/>
  <c r="G41" i="9"/>
  <c r="M41" i="9" s="1"/>
  <c r="P31" i="9"/>
  <c r="G51" i="9"/>
  <c r="M51" i="9" s="1"/>
  <c r="G39" i="9"/>
  <c r="M39" i="9" s="1"/>
  <c r="F41" i="9"/>
  <c r="L41" i="9" s="1"/>
  <c r="F53" i="9"/>
  <c r="L53" i="9" s="1"/>
  <c r="P62" i="9"/>
  <c r="F59" i="9"/>
  <c r="L59" i="9" s="1"/>
  <c r="F47" i="9"/>
  <c r="L47" i="9" s="1"/>
  <c r="O43" i="9"/>
  <c r="P29" i="9"/>
  <c r="O29" i="9"/>
  <c r="P50" i="9"/>
  <c r="O54" i="9"/>
  <c r="P36" i="9"/>
  <c r="F60" i="9"/>
  <c r="L60" i="9" s="1"/>
  <c r="F48" i="9"/>
  <c r="L48" i="9" s="1"/>
  <c r="G52" i="9"/>
  <c r="M52" i="9" s="1"/>
  <c r="G40" i="9"/>
  <c r="M40" i="9" s="1"/>
  <c r="K4" i="8" s="1"/>
  <c r="O42" i="9"/>
  <c r="G48" i="9"/>
  <c r="M48" i="9" s="1"/>
  <c r="G60" i="9"/>
  <c r="M60" i="9" s="1"/>
  <c r="O36" i="9"/>
  <c r="P28" i="9"/>
  <c r="O52" i="9"/>
  <c r="O38" i="9"/>
  <c r="G43" i="9"/>
  <c r="M43" i="9" s="1"/>
  <c r="K7" i="8" s="1"/>
  <c r="G55" i="9"/>
  <c r="M55" i="9" s="1"/>
  <c r="O40" i="9"/>
  <c r="F62" i="9"/>
  <c r="L62" i="9" s="1"/>
  <c r="F50" i="9"/>
  <c r="L50" i="9" s="1"/>
  <c r="J14" i="8" s="1"/>
  <c r="B30" i="12"/>
  <c r="C29" i="12"/>
  <c r="D29" i="12"/>
  <c r="B9" i="3"/>
  <c r="A8" i="3"/>
  <c r="I7" i="3"/>
  <c r="J7" i="3"/>
  <c r="K7" i="3"/>
  <c r="M74" i="9" l="1"/>
  <c r="P74" i="9" s="1"/>
  <c r="J11" i="8"/>
  <c r="M110" i="9"/>
  <c r="P110" i="9" s="1"/>
  <c r="K9" i="8"/>
  <c r="M129" i="9" s="1"/>
  <c r="M86" i="9"/>
  <c r="P86" i="9" s="1"/>
  <c r="J10" i="8"/>
  <c r="L130" i="9" s="1"/>
  <c r="M98" i="9"/>
  <c r="P98" i="9" s="1"/>
  <c r="M122" i="9"/>
  <c r="P122" i="9" s="1"/>
  <c r="K12" i="8"/>
  <c r="J5" i="8"/>
  <c r="M117" i="9"/>
  <c r="P117" i="9" s="1"/>
  <c r="M81" i="9"/>
  <c r="P81" i="9" s="1"/>
  <c r="M69" i="9"/>
  <c r="P69" i="9" s="1"/>
  <c r="M124" i="9"/>
  <c r="M112" i="9"/>
  <c r="P112" i="9" s="1"/>
  <c r="M100" i="9"/>
  <c r="P100" i="9" s="1"/>
  <c r="M88" i="9"/>
  <c r="P88" i="9" s="1"/>
  <c r="M76" i="9"/>
  <c r="P76" i="9" s="1"/>
  <c r="M64" i="9"/>
  <c r="P64" i="9" s="1"/>
  <c r="L94" i="9"/>
  <c r="O94" i="9" s="1"/>
  <c r="L82" i="9"/>
  <c r="O82" i="9" s="1"/>
  <c r="L70" i="9"/>
  <c r="O70" i="9" s="1"/>
  <c r="L131" i="9"/>
  <c r="L119" i="9"/>
  <c r="O119" i="9" s="1"/>
  <c r="L107" i="9"/>
  <c r="O107" i="9" s="1"/>
  <c r="L95" i="9"/>
  <c r="O95" i="9" s="1"/>
  <c r="L83" i="9"/>
  <c r="O83" i="9" s="1"/>
  <c r="L71" i="9"/>
  <c r="O71" i="9" s="1"/>
  <c r="M127" i="9"/>
  <c r="M91" i="9"/>
  <c r="P91" i="9" s="1"/>
  <c r="M103" i="9"/>
  <c r="P103" i="9" s="1"/>
  <c r="M79" i="9"/>
  <c r="P79" i="9" s="1"/>
  <c r="M115" i="9"/>
  <c r="P115" i="9" s="1"/>
  <c r="M67" i="9"/>
  <c r="P67" i="9" s="1"/>
  <c r="M132" i="9"/>
  <c r="M120" i="9"/>
  <c r="P120" i="9" s="1"/>
  <c r="M108" i="9"/>
  <c r="P108" i="9" s="1"/>
  <c r="M96" i="9"/>
  <c r="P96" i="9" s="1"/>
  <c r="M84" i="9"/>
  <c r="P84" i="9" s="1"/>
  <c r="M72" i="9"/>
  <c r="P72" i="9" s="1"/>
  <c r="L128" i="9"/>
  <c r="L116" i="9"/>
  <c r="O116" i="9" s="1"/>
  <c r="L104" i="9"/>
  <c r="O104" i="9" s="1"/>
  <c r="L92" i="9"/>
  <c r="O92" i="9" s="1"/>
  <c r="L80" i="9"/>
  <c r="O80" i="9" s="1"/>
  <c r="L68" i="9"/>
  <c r="O68" i="9" s="1"/>
  <c r="P133" i="9"/>
  <c r="M145" i="9"/>
  <c r="L125" i="9"/>
  <c r="L101" i="9"/>
  <c r="O101" i="9" s="1"/>
  <c r="L113" i="9"/>
  <c r="O113" i="9" s="1"/>
  <c r="L65" i="9"/>
  <c r="O65" i="9" s="1"/>
  <c r="L77" i="9"/>
  <c r="O77" i="9" s="1"/>
  <c r="L89" i="9"/>
  <c r="O89" i="9" s="1"/>
  <c r="O133" i="9"/>
  <c r="L145" i="9"/>
  <c r="J12" i="8"/>
  <c r="K5" i="8"/>
  <c r="M152" i="9"/>
  <c r="P140" i="9"/>
  <c r="L136" i="9"/>
  <c r="O124" i="9"/>
  <c r="O127" i="9"/>
  <c r="L139" i="9"/>
  <c r="L153" i="9"/>
  <c r="O141" i="9"/>
  <c r="L134" i="9"/>
  <c r="L122" i="9"/>
  <c r="O122" i="9" s="1"/>
  <c r="L110" i="9"/>
  <c r="O110" i="9" s="1"/>
  <c r="L98" i="9"/>
  <c r="O98" i="9" s="1"/>
  <c r="L86" i="9"/>
  <c r="O86" i="9" s="1"/>
  <c r="L74" i="9"/>
  <c r="O74" i="9" s="1"/>
  <c r="L126" i="9"/>
  <c r="L114" i="9"/>
  <c r="O114" i="9" s="1"/>
  <c r="L102" i="9"/>
  <c r="O102" i="9" s="1"/>
  <c r="L90" i="9"/>
  <c r="O90" i="9" s="1"/>
  <c r="L78" i="9"/>
  <c r="O78" i="9" s="1"/>
  <c r="L66" i="9"/>
  <c r="O66" i="9" s="1"/>
  <c r="M155" i="9"/>
  <c r="P143" i="9"/>
  <c r="K3" i="8"/>
  <c r="P134" i="9"/>
  <c r="M146" i="9"/>
  <c r="I58" i="5"/>
  <c r="G58" i="9" s="1"/>
  <c r="M58" i="9" s="1"/>
  <c r="G46" i="9"/>
  <c r="M46" i="9" s="1"/>
  <c r="P30" i="9"/>
  <c r="P45" i="9"/>
  <c r="H51" i="5"/>
  <c r="F51" i="9" s="1"/>
  <c r="L51" i="9" s="1"/>
  <c r="F39" i="9"/>
  <c r="L39" i="9" s="1"/>
  <c r="I54" i="5"/>
  <c r="G54" i="9" s="1"/>
  <c r="M54" i="9" s="1"/>
  <c r="G42" i="9"/>
  <c r="M42" i="9" s="1"/>
  <c r="K6" i="8" s="1"/>
  <c r="P57" i="9"/>
  <c r="O27" i="9"/>
  <c r="P34" i="9"/>
  <c r="P43" i="9"/>
  <c r="P48" i="9"/>
  <c r="P51" i="9"/>
  <c r="P60" i="9"/>
  <c r="P39" i="9"/>
  <c r="O48" i="9"/>
  <c r="O46" i="9"/>
  <c r="O50" i="9"/>
  <c r="O62" i="9"/>
  <c r="O60" i="9"/>
  <c r="O58" i="9"/>
  <c r="P55" i="9"/>
  <c r="P41" i="9"/>
  <c r="P53" i="9"/>
  <c r="P40" i="9"/>
  <c r="O47" i="9"/>
  <c r="O53" i="9"/>
  <c r="P52" i="9"/>
  <c r="O59" i="9"/>
  <c r="O41" i="9"/>
  <c r="C30" i="12"/>
  <c r="D30" i="12"/>
  <c r="B31" i="12"/>
  <c r="K8" i="3"/>
  <c r="J8" i="3"/>
  <c r="A9" i="3"/>
  <c r="I8" i="3"/>
  <c r="B10" i="3"/>
  <c r="M93" i="9" l="1"/>
  <c r="P93" i="9" s="1"/>
  <c r="M105" i="9"/>
  <c r="P105" i="9" s="1"/>
  <c r="K10" i="8"/>
  <c r="L106" i="9"/>
  <c r="O106" i="9" s="1"/>
  <c r="L118" i="9"/>
  <c r="O118" i="9" s="1"/>
  <c r="M126" i="9"/>
  <c r="M114" i="9"/>
  <c r="P114" i="9" s="1"/>
  <c r="M102" i="9"/>
  <c r="P102" i="9" s="1"/>
  <c r="M90" i="9"/>
  <c r="P90" i="9" s="1"/>
  <c r="M78" i="9"/>
  <c r="P78" i="9" s="1"/>
  <c r="M66" i="9"/>
  <c r="P66" i="9" s="1"/>
  <c r="M158" i="9"/>
  <c r="P146" i="9"/>
  <c r="O134" i="9"/>
  <c r="L146" i="9"/>
  <c r="M164" i="9"/>
  <c r="P152" i="9"/>
  <c r="P132" i="9"/>
  <c r="M144" i="9"/>
  <c r="P124" i="9"/>
  <c r="M136" i="9"/>
  <c r="J3" i="8"/>
  <c r="M123" i="9"/>
  <c r="M75" i="9"/>
  <c r="P75" i="9" s="1"/>
  <c r="M87" i="9"/>
  <c r="P87" i="9" s="1"/>
  <c r="M99" i="9"/>
  <c r="P99" i="9" s="1"/>
  <c r="M111" i="9"/>
  <c r="P111" i="9" s="1"/>
  <c r="M63" i="9"/>
  <c r="P63" i="9" s="1"/>
  <c r="O126" i="9"/>
  <c r="L138" i="9"/>
  <c r="L165" i="9"/>
  <c r="O153" i="9"/>
  <c r="L132" i="9"/>
  <c r="L120" i="9"/>
  <c r="O120" i="9" s="1"/>
  <c r="L108" i="9"/>
  <c r="O108" i="9" s="1"/>
  <c r="L96" i="9"/>
  <c r="O96" i="9" s="1"/>
  <c r="L84" i="9"/>
  <c r="O84" i="9" s="1"/>
  <c r="L72" i="9"/>
  <c r="O72" i="9" s="1"/>
  <c r="O125" i="9"/>
  <c r="L137" i="9"/>
  <c r="L140" i="9"/>
  <c r="O128" i="9"/>
  <c r="O130" i="9"/>
  <c r="L142" i="9"/>
  <c r="L157" i="9"/>
  <c r="O145" i="9"/>
  <c r="M157" i="9"/>
  <c r="P145" i="9"/>
  <c r="L151" i="9"/>
  <c r="O139" i="9"/>
  <c r="M167" i="9"/>
  <c r="P155" i="9"/>
  <c r="O131" i="9"/>
  <c r="L143" i="9"/>
  <c r="M139" i="9"/>
  <c r="P127" i="9"/>
  <c r="M125" i="9"/>
  <c r="M113" i="9"/>
  <c r="P113" i="9" s="1"/>
  <c r="M101" i="9"/>
  <c r="P101" i="9" s="1"/>
  <c r="M89" i="9"/>
  <c r="P89" i="9" s="1"/>
  <c r="M77" i="9"/>
  <c r="P77" i="9" s="1"/>
  <c r="M65" i="9"/>
  <c r="P65" i="9" s="1"/>
  <c r="M130" i="9"/>
  <c r="M118" i="9"/>
  <c r="P118" i="9" s="1"/>
  <c r="M106" i="9"/>
  <c r="P106" i="9" s="1"/>
  <c r="M94" i="9"/>
  <c r="P94" i="9" s="1"/>
  <c r="M82" i="9"/>
  <c r="P82" i="9" s="1"/>
  <c r="M70" i="9"/>
  <c r="P70" i="9" s="1"/>
  <c r="L148" i="9"/>
  <c r="O136" i="9"/>
  <c r="P129" i="9"/>
  <c r="M141" i="9"/>
  <c r="O39" i="9"/>
  <c r="O51" i="9"/>
  <c r="P42" i="9"/>
  <c r="P54" i="9"/>
  <c r="P46" i="9"/>
  <c r="P58" i="9"/>
  <c r="B32" i="12"/>
  <c r="D31" i="12"/>
  <c r="C31" i="12"/>
  <c r="B11" i="3"/>
  <c r="J9" i="3"/>
  <c r="K9" i="3"/>
  <c r="A10" i="3"/>
  <c r="I9" i="3"/>
  <c r="L160" i="9" l="1"/>
  <c r="O148" i="9"/>
  <c r="L169" i="9"/>
  <c r="O157" i="9"/>
  <c r="M148" i="9"/>
  <c r="P136" i="9"/>
  <c r="M179" i="9"/>
  <c r="P167" i="9"/>
  <c r="M156" i="9"/>
  <c r="P144" i="9"/>
  <c r="P125" i="9"/>
  <c r="M137" i="9"/>
  <c r="L163" i="9"/>
  <c r="O151" i="9"/>
  <c r="L152" i="9"/>
  <c r="O140" i="9"/>
  <c r="L144" i="9"/>
  <c r="O132" i="9"/>
  <c r="L154" i="9"/>
  <c r="O142" i="9"/>
  <c r="M170" i="9"/>
  <c r="P158" i="9"/>
  <c r="M153" i="9"/>
  <c r="P141" i="9"/>
  <c r="L149" i="9"/>
  <c r="O137" i="9"/>
  <c r="M176" i="9"/>
  <c r="P164" i="9"/>
  <c r="P130" i="9"/>
  <c r="M142" i="9"/>
  <c r="M151" i="9"/>
  <c r="P139" i="9"/>
  <c r="M169" i="9"/>
  <c r="P157" i="9"/>
  <c r="L177" i="9"/>
  <c r="O165" i="9"/>
  <c r="M135" i="9"/>
  <c r="P123" i="9"/>
  <c r="L158" i="9"/>
  <c r="O146" i="9"/>
  <c r="L155" i="9"/>
  <c r="O143" i="9"/>
  <c r="L150" i="9"/>
  <c r="O138" i="9"/>
  <c r="L123" i="9"/>
  <c r="L111" i="9"/>
  <c r="O111" i="9" s="1"/>
  <c r="L99" i="9"/>
  <c r="O99" i="9" s="1"/>
  <c r="L87" i="9"/>
  <c r="O87" i="9" s="1"/>
  <c r="L75" i="9"/>
  <c r="O75" i="9" s="1"/>
  <c r="L63" i="9"/>
  <c r="O63" i="9" s="1"/>
  <c r="P126" i="9"/>
  <c r="M138" i="9"/>
  <c r="B33" i="12"/>
  <c r="C32" i="12"/>
  <c r="D32" i="12"/>
  <c r="B12" i="3"/>
  <c r="J10" i="3"/>
  <c r="I10" i="3"/>
  <c r="A11" i="3"/>
  <c r="K10" i="3"/>
  <c r="M154" i="9" l="1"/>
  <c r="P142" i="9"/>
  <c r="O123" i="9"/>
  <c r="L135" i="9"/>
  <c r="M147" i="9"/>
  <c r="P135" i="9"/>
  <c r="M182" i="9"/>
  <c r="P170" i="9"/>
  <c r="L175" i="9"/>
  <c r="O163" i="9"/>
  <c r="M160" i="9"/>
  <c r="P148" i="9"/>
  <c r="M163" i="9"/>
  <c r="P151" i="9"/>
  <c r="L164" i="9"/>
  <c r="O152" i="9"/>
  <c r="M191" i="9"/>
  <c r="P179" i="9"/>
  <c r="M150" i="9"/>
  <c r="P138" i="9"/>
  <c r="M149" i="9"/>
  <c r="P137" i="9"/>
  <c r="L170" i="9"/>
  <c r="O158" i="9"/>
  <c r="M165" i="9"/>
  <c r="P153" i="9"/>
  <c r="L162" i="9"/>
  <c r="O150" i="9"/>
  <c r="L189" i="9"/>
  <c r="O177" i="9"/>
  <c r="M188" i="9"/>
  <c r="P176" i="9"/>
  <c r="L166" i="9"/>
  <c r="O154" i="9"/>
  <c r="L181" i="9"/>
  <c r="O169" i="9"/>
  <c r="L167" i="9"/>
  <c r="O155" i="9"/>
  <c r="M181" i="9"/>
  <c r="P169" i="9"/>
  <c r="L161" i="9"/>
  <c r="O149" i="9"/>
  <c r="L156" i="9"/>
  <c r="O144" i="9"/>
  <c r="M168" i="9"/>
  <c r="P156" i="9"/>
  <c r="L172" i="9"/>
  <c r="O160" i="9"/>
  <c r="B34" i="12"/>
  <c r="D33" i="12"/>
  <c r="C33" i="12"/>
  <c r="B13" i="3"/>
  <c r="A12" i="3"/>
  <c r="J11" i="3"/>
  <c r="I11" i="3"/>
  <c r="K11" i="3"/>
  <c r="L184" i="9" l="1"/>
  <c r="O172" i="9"/>
  <c r="M193" i="9"/>
  <c r="P181" i="9"/>
  <c r="M200" i="9"/>
  <c r="P188" i="9"/>
  <c r="L182" i="9"/>
  <c r="O170" i="9"/>
  <c r="L176" i="9"/>
  <c r="O164" i="9"/>
  <c r="M194" i="9"/>
  <c r="P182" i="9"/>
  <c r="M180" i="9"/>
  <c r="P168" i="9"/>
  <c r="L179" i="9"/>
  <c r="O167" i="9"/>
  <c r="L201" i="9"/>
  <c r="O189" i="9"/>
  <c r="M161" i="9"/>
  <c r="P149" i="9"/>
  <c r="M175" i="9"/>
  <c r="P163" i="9"/>
  <c r="M159" i="9"/>
  <c r="P147" i="9"/>
  <c r="O135" i="9"/>
  <c r="L147" i="9"/>
  <c r="L168" i="9"/>
  <c r="O156" i="9"/>
  <c r="L193" i="9"/>
  <c r="O181" i="9"/>
  <c r="L174" i="9"/>
  <c r="O162" i="9"/>
  <c r="M162" i="9"/>
  <c r="P150" i="9"/>
  <c r="M172" i="9"/>
  <c r="P160" i="9"/>
  <c r="L173" i="9"/>
  <c r="O161" i="9"/>
  <c r="L178" i="9"/>
  <c r="O166" i="9"/>
  <c r="M177" i="9"/>
  <c r="P165" i="9"/>
  <c r="M203" i="9"/>
  <c r="P191" i="9"/>
  <c r="L187" i="9"/>
  <c r="O175" i="9"/>
  <c r="M166" i="9"/>
  <c r="P154" i="9"/>
  <c r="B35" i="12"/>
  <c r="C34" i="12"/>
  <c r="D34" i="12"/>
  <c r="B14" i="3"/>
  <c r="I12" i="3"/>
  <c r="K12" i="3"/>
  <c r="J12" i="3"/>
  <c r="A13" i="3"/>
  <c r="M174" i="9" l="1"/>
  <c r="P162" i="9"/>
  <c r="L188" i="9"/>
  <c r="O176" i="9"/>
  <c r="L190" i="9"/>
  <c r="O178" i="9"/>
  <c r="L186" i="9"/>
  <c r="O174" i="9"/>
  <c r="M171" i="9"/>
  <c r="P159" i="9"/>
  <c r="L191" i="9"/>
  <c r="O179" i="9"/>
  <c r="L194" i="9"/>
  <c r="O182" i="9"/>
  <c r="M215" i="9"/>
  <c r="P203" i="9"/>
  <c r="M184" i="9"/>
  <c r="P172" i="9"/>
  <c r="L180" i="9"/>
  <c r="O168" i="9"/>
  <c r="M205" i="9"/>
  <c r="P193" i="9"/>
  <c r="M189" i="9"/>
  <c r="P177" i="9"/>
  <c r="L213" i="9"/>
  <c r="O201" i="9"/>
  <c r="L196" i="9"/>
  <c r="O184" i="9"/>
  <c r="M178" i="9"/>
  <c r="P166" i="9"/>
  <c r="L199" i="9"/>
  <c r="O187" i="9"/>
  <c r="L185" i="9"/>
  <c r="O173" i="9"/>
  <c r="L205" i="9"/>
  <c r="O193" i="9"/>
  <c r="M187" i="9"/>
  <c r="P175" i="9"/>
  <c r="M192" i="9"/>
  <c r="P180" i="9"/>
  <c r="M212" i="9"/>
  <c r="P200" i="9"/>
  <c r="M206" i="9"/>
  <c r="P194" i="9"/>
  <c r="L159" i="9"/>
  <c r="O147" i="9"/>
  <c r="M173" i="9"/>
  <c r="P161" i="9"/>
  <c r="C35" i="12"/>
  <c r="D35" i="12"/>
  <c r="B36" i="12"/>
  <c r="K13" i="3"/>
  <c r="A14" i="3"/>
  <c r="I13" i="3"/>
  <c r="J13" i="3"/>
  <c r="B15" i="3"/>
  <c r="M204" i="9" l="1"/>
  <c r="P192" i="9"/>
  <c r="L211" i="9"/>
  <c r="O199" i="9"/>
  <c r="M201" i="9"/>
  <c r="P189" i="9"/>
  <c r="M227" i="9"/>
  <c r="P215" i="9"/>
  <c r="L198" i="9"/>
  <c r="O186" i="9"/>
  <c r="L171" i="9"/>
  <c r="O159" i="9"/>
  <c r="M199" i="9"/>
  <c r="P187" i="9"/>
  <c r="M190" i="9"/>
  <c r="P178" i="9"/>
  <c r="M217" i="9"/>
  <c r="P205" i="9"/>
  <c r="L206" i="9"/>
  <c r="O194" i="9"/>
  <c r="L202" i="9"/>
  <c r="O190" i="9"/>
  <c r="M218" i="9"/>
  <c r="P206" i="9"/>
  <c r="L217" i="9"/>
  <c r="O205" i="9"/>
  <c r="L208" i="9"/>
  <c r="O196" i="9"/>
  <c r="L192" i="9"/>
  <c r="O180" i="9"/>
  <c r="L203" i="9"/>
  <c r="O191" i="9"/>
  <c r="L200" i="9"/>
  <c r="O188" i="9"/>
  <c r="M185" i="9"/>
  <c r="P173" i="9"/>
  <c r="M224" i="9"/>
  <c r="P212" i="9"/>
  <c r="L197" i="9"/>
  <c r="O185" i="9"/>
  <c r="L225" i="9"/>
  <c r="O213" i="9"/>
  <c r="M196" i="9"/>
  <c r="P184" i="9"/>
  <c r="M183" i="9"/>
  <c r="P171" i="9"/>
  <c r="M186" i="9"/>
  <c r="P174" i="9"/>
  <c r="B37" i="12"/>
  <c r="D36" i="12"/>
  <c r="C36" i="12"/>
  <c r="A15" i="3"/>
  <c r="J14" i="3"/>
  <c r="K14" i="3"/>
  <c r="I14" i="3"/>
  <c r="B16" i="3"/>
  <c r="L237" i="9" l="1"/>
  <c r="O225" i="9"/>
  <c r="L229" i="9"/>
  <c r="O217" i="9"/>
  <c r="M229" i="9"/>
  <c r="P217" i="9"/>
  <c r="L210" i="9"/>
  <c r="O198" i="9"/>
  <c r="M216" i="9"/>
  <c r="P204" i="9"/>
  <c r="M195" i="9"/>
  <c r="P183" i="9"/>
  <c r="M236" i="9"/>
  <c r="P224" i="9"/>
  <c r="L204" i="9"/>
  <c r="O192" i="9"/>
  <c r="L214" i="9"/>
  <c r="O202" i="9"/>
  <c r="M211" i="9"/>
  <c r="P199" i="9"/>
  <c r="M213" i="9"/>
  <c r="P201" i="9"/>
  <c r="M208" i="9"/>
  <c r="P196" i="9"/>
  <c r="M197" i="9"/>
  <c r="P185" i="9"/>
  <c r="L220" i="9"/>
  <c r="O208" i="9"/>
  <c r="L218" i="9"/>
  <c r="O206" i="9"/>
  <c r="L183" i="9"/>
  <c r="O171" i="9"/>
  <c r="L223" i="9"/>
  <c r="O211" i="9"/>
  <c r="M198" i="9"/>
  <c r="P186" i="9"/>
  <c r="L209" i="9"/>
  <c r="O197" i="9"/>
  <c r="L215" i="9"/>
  <c r="O203" i="9"/>
  <c r="M230" i="9"/>
  <c r="P218" i="9"/>
  <c r="M202" i="9"/>
  <c r="P190" i="9"/>
  <c r="M239" i="9"/>
  <c r="P227" i="9"/>
  <c r="L212" i="9"/>
  <c r="O200" i="9"/>
  <c r="B38" i="12"/>
  <c r="C37" i="12"/>
  <c r="D37" i="12"/>
  <c r="B17" i="3"/>
  <c r="K15" i="3"/>
  <c r="I15" i="3"/>
  <c r="A16" i="3"/>
  <c r="J15" i="3"/>
  <c r="L195" i="9" l="1"/>
  <c r="O183" i="9"/>
  <c r="M242" i="9"/>
  <c r="P230" i="9"/>
  <c r="L235" i="9"/>
  <c r="O223" i="9"/>
  <c r="L226" i="9"/>
  <c r="O214" i="9"/>
  <c r="M228" i="9"/>
  <c r="P216" i="9"/>
  <c r="L249" i="9"/>
  <c r="O237" i="9"/>
  <c r="L227" i="9"/>
  <c r="O215" i="9"/>
  <c r="M220" i="9"/>
  <c r="P208" i="9"/>
  <c r="L222" i="9"/>
  <c r="O210" i="9"/>
  <c r="L224" i="9"/>
  <c r="O212" i="9"/>
  <c r="L216" i="9"/>
  <c r="O204" i="9"/>
  <c r="M251" i="9"/>
  <c r="P239" i="9"/>
  <c r="L221" i="9"/>
  <c r="O209" i="9"/>
  <c r="L230" i="9"/>
  <c r="O218" i="9"/>
  <c r="M225" i="9"/>
  <c r="P213" i="9"/>
  <c r="M248" i="9"/>
  <c r="P236" i="9"/>
  <c r="M241" i="9"/>
  <c r="P229" i="9"/>
  <c r="M214" i="9"/>
  <c r="P202" i="9"/>
  <c r="M210" i="9"/>
  <c r="P198" i="9"/>
  <c r="L232" i="9"/>
  <c r="O220" i="9"/>
  <c r="M223" i="9"/>
  <c r="P211" i="9"/>
  <c r="M207" i="9"/>
  <c r="P195" i="9"/>
  <c r="L241" i="9"/>
  <c r="O229" i="9"/>
  <c r="M209" i="9"/>
  <c r="P197" i="9"/>
  <c r="B39" i="12"/>
  <c r="C38" i="12"/>
  <c r="D38" i="12"/>
  <c r="B18" i="3"/>
  <c r="A17" i="3"/>
  <c r="K16" i="3"/>
  <c r="J16" i="3"/>
  <c r="I16" i="3"/>
  <c r="M221" i="9" l="1"/>
  <c r="P209" i="9"/>
  <c r="L244" i="9"/>
  <c r="O232" i="9"/>
  <c r="M260" i="9"/>
  <c r="P260" i="9" s="1"/>
  <c r="P248" i="9"/>
  <c r="M263" i="9"/>
  <c r="P263" i="9" s="1"/>
  <c r="P251" i="9"/>
  <c r="M232" i="9"/>
  <c r="P220" i="9"/>
  <c r="L238" i="9"/>
  <c r="O226" i="9"/>
  <c r="M235" i="9"/>
  <c r="P223" i="9"/>
  <c r="M253" i="9"/>
  <c r="P241" i="9"/>
  <c r="L233" i="9"/>
  <c r="O221" i="9"/>
  <c r="M240" i="9"/>
  <c r="P228" i="9"/>
  <c r="L207" i="9"/>
  <c r="O195" i="9"/>
  <c r="L253" i="9"/>
  <c r="O241" i="9"/>
  <c r="M222" i="9"/>
  <c r="P210" i="9"/>
  <c r="M237" i="9"/>
  <c r="P225" i="9"/>
  <c r="L228" i="9"/>
  <c r="O216" i="9"/>
  <c r="L239" i="9"/>
  <c r="O227" i="9"/>
  <c r="L247" i="9"/>
  <c r="O235" i="9"/>
  <c r="M219" i="9"/>
  <c r="P207" i="9"/>
  <c r="M226" i="9"/>
  <c r="P214" i="9"/>
  <c r="L242" i="9"/>
  <c r="O230" i="9"/>
  <c r="L236" i="9"/>
  <c r="O224" i="9"/>
  <c r="L261" i="9"/>
  <c r="O261" i="9" s="1"/>
  <c r="O249" i="9"/>
  <c r="M254" i="9"/>
  <c r="P242" i="9"/>
  <c r="L234" i="9"/>
  <c r="O222" i="9"/>
  <c r="C39" i="12"/>
  <c r="B40" i="12"/>
  <c r="D39" i="12"/>
  <c r="B19" i="3"/>
  <c r="J17" i="3"/>
  <c r="A18" i="3"/>
  <c r="K17" i="3"/>
  <c r="I17" i="3"/>
  <c r="L246" i="9" l="1"/>
  <c r="O234" i="9"/>
  <c r="L254" i="9"/>
  <c r="O242" i="9"/>
  <c r="L251" i="9"/>
  <c r="O239" i="9"/>
  <c r="L265" i="9"/>
  <c r="O265" i="9" s="1"/>
  <c r="O253" i="9"/>
  <c r="M265" i="9"/>
  <c r="P265" i="9" s="1"/>
  <c r="P253" i="9"/>
  <c r="M266" i="9"/>
  <c r="P266" i="9" s="1"/>
  <c r="P254" i="9"/>
  <c r="M238" i="9"/>
  <c r="P226" i="9"/>
  <c r="L240" i="9"/>
  <c r="O228" i="9"/>
  <c r="L219" i="9"/>
  <c r="O207" i="9"/>
  <c r="M247" i="9"/>
  <c r="P235" i="9"/>
  <c r="M231" i="9"/>
  <c r="P219" i="9"/>
  <c r="M249" i="9"/>
  <c r="P237" i="9"/>
  <c r="M252" i="9"/>
  <c r="P240" i="9"/>
  <c r="L250" i="9"/>
  <c r="O238" i="9"/>
  <c r="L256" i="9"/>
  <c r="O256" i="9" s="1"/>
  <c r="O244" i="9"/>
  <c r="L248" i="9"/>
  <c r="O236" i="9"/>
  <c r="L259" i="9"/>
  <c r="O259" i="9" s="1"/>
  <c r="O247" i="9"/>
  <c r="M234" i="9"/>
  <c r="P222" i="9"/>
  <c r="L245" i="9"/>
  <c r="O233" i="9"/>
  <c r="M244" i="9"/>
  <c r="P232" i="9"/>
  <c r="M233" i="9"/>
  <c r="P221" i="9"/>
  <c r="B41" i="12"/>
  <c r="D40" i="12"/>
  <c r="C40" i="12"/>
  <c r="J18" i="3"/>
  <c r="K18" i="3"/>
  <c r="A19" i="3"/>
  <c r="I18" i="3"/>
  <c r="B20" i="3"/>
  <c r="L252" i="9" l="1"/>
  <c r="O240" i="9"/>
  <c r="L257" i="9"/>
  <c r="O257" i="9" s="1"/>
  <c r="O245" i="9"/>
  <c r="M243" i="9"/>
  <c r="P231" i="9"/>
  <c r="M250" i="9"/>
  <c r="P238" i="9"/>
  <c r="L263" i="9"/>
  <c r="O263" i="9" s="1"/>
  <c r="O251" i="9"/>
  <c r="L260" i="9"/>
  <c r="O260" i="9" s="1"/>
  <c r="O248" i="9"/>
  <c r="M246" i="9"/>
  <c r="P234" i="9"/>
  <c r="L262" i="9"/>
  <c r="O262" i="9" s="1"/>
  <c r="O250" i="9"/>
  <c r="M259" i="9"/>
  <c r="P259" i="9" s="1"/>
  <c r="P247" i="9"/>
  <c r="L266" i="9"/>
  <c r="O266" i="9" s="1"/>
  <c r="O254" i="9"/>
  <c r="M261" i="9"/>
  <c r="P261" i="9" s="1"/>
  <c r="P249" i="9"/>
  <c r="M256" i="9"/>
  <c r="P256" i="9" s="1"/>
  <c r="P244" i="9"/>
  <c r="M245" i="9"/>
  <c r="P233" i="9"/>
  <c r="M264" i="9"/>
  <c r="P264" i="9" s="1"/>
  <c r="P252" i="9"/>
  <c r="L231" i="9"/>
  <c r="O219" i="9"/>
  <c r="L258" i="9"/>
  <c r="O258" i="9" s="1"/>
  <c r="O246" i="9"/>
  <c r="B42" i="12"/>
  <c r="D41" i="12"/>
  <c r="C41" i="12"/>
  <c r="B21" i="3"/>
  <c r="I19" i="3"/>
  <c r="K19" i="3"/>
  <c r="A20" i="3"/>
  <c r="J19" i="3"/>
  <c r="M262" i="9" l="1"/>
  <c r="P262" i="9" s="1"/>
  <c r="P250" i="9"/>
  <c r="L243" i="9"/>
  <c r="O231" i="9"/>
  <c r="M258" i="9"/>
  <c r="P258" i="9" s="1"/>
  <c r="P246" i="9"/>
  <c r="M255" i="9"/>
  <c r="P255" i="9" s="1"/>
  <c r="P243" i="9"/>
  <c r="M257" i="9"/>
  <c r="P257" i="9" s="1"/>
  <c r="P245" i="9"/>
  <c r="L264" i="9"/>
  <c r="O264" i="9" s="1"/>
  <c r="O252" i="9"/>
  <c r="D42" i="12"/>
  <c r="B43" i="12"/>
  <c r="C42" i="12"/>
  <c r="B22" i="3"/>
  <c r="A21" i="3"/>
  <c r="K20" i="3"/>
  <c r="I20" i="3"/>
  <c r="J20" i="3"/>
  <c r="L255" i="9" l="1"/>
  <c r="O255" i="9" s="1"/>
  <c r="O243" i="9"/>
  <c r="B44" i="12"/>
  <c r="D43" i="12"/>
  <c r="C43" i="12"/>
  <c r="A22" i="3"/>
  <c r="J21" i="3"/>
  <c r="I21" i="3"/>
  <c r="K21" i="3"/>
  <c r="B45" i="12" l="1"/>
  <c r="D44" i="12"/>
  <c r="C44" i="12"/>
  <c r="K22" i="3"/>
  <c r="I22" i="3"/>
  <c r="J22" i="3"/>
  <c r="D45" i="12" l="1"/>
  <c r="C45" i="12"/>
</calcChain>
</file>

<file path=xl/sharedStrings.xml><?xml version="1.0" encoding="utf-8"?>
<sst xmlns="http://schemas.openxmlformats.org/spreadsheetml/2006/main" count="293" uniqueCount="179">
  <si>
    <t>Plant Specifications</t>
  </si>
  <si>
    <t>Heat Rate (Btu/kWh)</t>
  </si>
  <si>
    <t>Low Efficiency Plant</t>
  </si>
  <si>
    <t xml:space="preserve">High Efficiency Plant </t>
  </si>
  <si>
    <t>Company Name</t>
  </si>
  <si>
    <t>Year</t>
  </si>
  <si>
    <t>Month</t>
  </si>
  <si>
    <t>NYMEX: Henry Hub Natural Gas Price ($/MMBTU)</t>
  </si>
  <si>
    <t>Record Field</t>
  </si>
  <si>
    <t>Avoided Natural Gas Fuel Costs ($/MMBTU)</t>
  </si>
  <si>
    <t>No Value</t>
  </si>
  <si>
    <t>Electric Distribution Companies</t>
  </si>
  <si>
    <t>DLC</t>
  </si>
  <si>
    <t>Metropolitan Edison Co</t>
  </si>
  <si>
    <t>Duquesne Light Co</t>
  </si>
  <si>
    <t>Pennsylvania Electric Co</t>
  </si>
  <si>
    <t>PECO Energy Co</t>
  </si>
  <si>
    <t>PECO</t>
  </si>
  <si>
    <t>PPL Utilities</t>
  </si>
  <si>
    <t>PPL</t>
  </si>
  <si>
    <t>West Penn Power Co</t>
  </si>
  <si>
    <t>Pennsylvania Power Co</t>
  </si>
  <si>
    <t>Real-Time, Load-Weighted LMPs ($/MWH)</t>
  </si>
  <si>
    <t>Western Hub</t>
  </si>
  <si>
    <t>Basis Factor</t>
  </si>
  <si>
    <t>Average</t>
  </si>
  <si>
    <t>NYMEX: PJM Western Hub On-peak ($/MWh)</t>
  </si>
  <si>
    <t>NYMEX: PJM Western Hub Off-peak (S/MWh)</t>
  </si>
  <si>
    <t>Source:  State of the Market Report for PJM</t>
  </si>
  <si>
    <t>PPI Industry Data</t>
  </si>
  <si>
    <t>Original Data Value</t>
  </si>
  <si>
    <t>Series Id:</t>
  </si>
  <si>
    <t>PCU221110221110</t>
  </si>
  <si>
    <t>Series Title:</t>
  </si>
  <si>
    <t>PPI industry data for Electric power generation, not seasonally adjusted</t>
  </si>
  <si>
    <t>Industry:</t>
  </si>
  <si>
    <t>Electric power generation</t>
  </si>
  <si>
    <t>Product:</t>
  </si>
  <si>
    <t>Base Date:</t>
  </si>
  <si>
    <t>200312</t>
  </si>
  <si>
    <t>Years:</t>
  </si>
  <si>
    <t>2009 to 2019</t>
  </si>
  <si>
    <t>Jan</t>
  </si>
  <si>
    <t>Feb</t>
  </si>
  <si>
    <t>Mar</t>
  </si>
  <si>
    <t>Apr</t>
  </si>
  <si>
    <t>May</t>
  </si>
  <si>
    <t>Jun</t>
  </si>
  <si>
    <t>Jul</t>
  </si>
  <si>
    <t>Aug</t>
  </si>
  <si>
    <t>Sep</t>
  </si>
  <si>
    <t>Oct</t>
  </si>
  <si>
    <t>Nov</t>
  </si>
  <si>
    <t>Dec</t>
  </si>
  <si>
    <t>End of Segment I</t>
  </si>
  <si>
    <t>Locational Adjustment</t>
  </si>
  <si>
    <t>Load Shape</t>
  </si>
  <si>
    <t>Period</t>
  </si>
  <si>
    <t>EIA AEO Mid-Atlantic Data</t>
  </si>
  <si>
    <t>EIA AEO Gas Prices</t>
  </si>
  <si>
    <t>Spark Spread On-Peak ($/MWh)</t>
  </si>
  <si>
    <t>Spark Spread Off-Peak ($/MWh)</t>
  </si>
  <si>
    <t>Season</t>
  </si>
  <si>
    <t>Winter</t>
  </si>
  <si>
    <t>Shoulder</t>
  </si>
  <si>
    <t>Summer</t>
  </si>
  <si>
    <t>Segment 1</t>
  </si>
  <si>
    <t>Segment 2</t>
  </si>
  <si>
    <t>Segment 3</t>
  </si>
  <si>
    <t>Real</t>
  </si>
  <si>
    <t>Nominal</t>
  </si>
  <si>
    <t>Annual Avg.</t>
  </si>
  <si>
    <t>Seasonal Definitions</t>
  </si>
  <si>
    <t>General</t>
  </si>
  <si>
    <t>Discount Rate</t>
  </si>
  <si>
    <t>Inflation Rate</t>
  </si>
  <si>
    <t>TRC Order A.4 page 8</t>
  </si>
  <si>
    <t>TRC Order B.2.b.v page 15</t>
  </si>
  <si>
    <t>Legend</t>
  </si>
  <si>
    <t>Calculation Cell - do not edit</t>
  </si>
  <si>
    <t>Results for Segment 1 - Years 1 through 4</t>
  </si>
  <si>
    <t>Data Needed</t>
  </si>
  <si>
    <t>Plant Heat Rates</t>
  </si>
  <si>
    <t>NYMEX Electric Futures at PJM Western Hub</t>
  </si>
  <si>
    <t>PJM State of Market EDC Zone Locational Adjustment</t>
  </si>
  <si>
    <t>NYMEX Natural Gas Futures at Henry Hub</t>
  </si>
  <si>
    <t>NYMEX Natural Gas Adjustments at Transco 6 (Non-NY) or Tetco M-3</t>
  </si>
  <si>
    <t>Bureau of Labor Statistics PPI Data for Electric Utilities</t>
  </si>
  <si>
    <t>EIA AEO Mid Atlantic Natural Gas Price Forecast in Real Dollars</t>
  </si>
  <si>
    <t>TRC Order Section</t>
  </si>
  <si>
    <t>Input Tab</t>
  </si>
  <si>
    <t>Results for Segment 2 - Years 5 through 10</t>
  </si>
  <si>
    <t>Results for Segment 3 - Years 11 through 20</t>
  </si>
  <si>
    <t>A.7 Page 8</t>
  </si>
  <si>
    <t>B.5 Page 17</t>
  </si>
  <si>
    <t>BLS Input</t>
  </si>
  <si>
    <t>General Inputs</t>
  </si>
  <si>
    <t>NG Futures</t>
  </si>
  <si>
    <t>Elec Futures</t>
  </si>
  <si>
    <t>B.2.b.v Page 15</t>
  </si>
  <si>
    <t>NYMEX NG Futures Source</t>
  </si>
  <si>
    <t>Tetco M-3</t>
  </si>
  <si>
    <t>Transco 6 (Non-NY)</t>
  </si>
  <si>
    <t>B.2.a Page 13</t>
  </si>
  <si>
    <t>B.2.b.iii Page 15</t>
  </si>
  <si>
    <t>B.2.b.ii Page 14</t>
  </si>
  <si>
    <t>B.2.b.i Page 14</t>
  </si>
  <si>
    <t>Inputs - where no value is available, utilize text "No Value" and not a zero or null value</t>
  </si>
  <si>
    <t>EDC</t>
  </si>
  <si>
    <t>2021/2022</t>
  </si>
  <si>
    <t>$/kW-year</t>
  </si>
  <si>
    <t>3 year average</t>
  </si>
  <si>
    <t>Act 129 PY</t>
  </si>
  <si>
    <t>DY/PY Start</t>
  </si>
  <si>
    <t>DY/PY End</t>
  </si>
  <si>
    <t>Commentary:</t>
  </si>
  <si>
    <t>BLS Escalation Rate</t>
  </si>
  <si>
    <t>Calendarization Issues:</t>
  </si>
  <si>
    <t>PA ACT 129 Program Year</t>
  </si>
  <si>
    <t>Monetary Issues:</t>
  </si>
  <si>
    <t>All output dollars are nominal</t>
  </si>
  <si>
    <t>PJM BRA Results</t>
  </si>
  <si>
    <t>Calendar</t>
  </si>
  <si>
    <t>Avoided Energy YR</t>
  </si>
  <si>
    <t>Start Year (Program)</t>
  </si>
  <si>
    <t>Avoided Generation Capacity Forecast in Nominal Dollars ($/kW-year)</t>
  </si>
  <si>
    <t>Avoided Transmission Capacity Forecast in Nominal Dollars ($/kW-year)</t>
  </si>
  <si>
    <t>Avoided Distrbution Capacity Forecast in Nominal Dollars ($/kW-year)</t>
  </si>
  <si>
    <t>Generation Capacity ($/kW/year)</t>
  </si>
  <si>
    <t>In some cases, the spark spread may be a negative monetary value.  In the marketplace, this may occur for a short period, but usually for an entire month.  However, this factor accounts for differences in the heat rate assumptions and the real market values.  Escalation is later applied in a positive manner as not to over devalue future spark spreads.</t>
  </si>
  <si>
    <t>TRC Order B.8 page 20</t>
  </si>
  <si>
    <t>AEPS Cost</t>
  </si>
  <si>
    <t>PJM Base Residual Auction Results</t>
  </si>
  <si>
    <t>B.6 Page 17</t>
  </si>
  <si>
    <t>Generation Capacity</t>
  </si>
  <si>
    <t>B.7 Page 18</t>
  </si>
  <si>
    <t>T&amp;D Capacity</t>
  </si>
  <si>
    <t>Transmission and Distribution Capacity Costs</t>
  </si>
  <si>
    <t>Penn Power</t>
  </si>
  <si>
    <t>West Penn</t>
  </si>
  <si>
    <t>Summary of Avoided Energy Cost Methodology</t>
  </si>
  <si>
    <t>PY Start</t>
  </si>
  <si>
    <t>PY End</t>
  </si>
  <si>
    <t>Penelec</t>
  </si>
  <si>
    <t>Load (MWh)</t>
  </si>
  <si>
    <t>Credit</t>
  </si>
  <si>
    <t>Tier Req (weight)</t>
  </si>
  <si>
    <t>Price</t>
  </si>
  <si>
    <t>Required Credits</t>
  </si>
  <si>
    <t>Cost</t>
  </si>
  <si>
    <t>Solar</t>
  </si>
  <si>
    <t>Tier I</t>
  </si>
  <si>
    <t>Tier II</t>
  </si>
  <si>
    <t>Weighted Avg. Price (Per Credit)</t>
  </si>
  <si>
    <t>Weighted Avg. Price (Per MWh)</t>
  </si>
  <si>
    <t>Tier</t>
  </si>
  <si>
    <t>Reporting Year</t>
  </si>
  <si>
    <t>Marex Spectron    (Bid price)</t>
  </si>
  <si>
    <t>Marex Spectron (Offer price)</t>
  </si>
  <si>
    <t xml:space="preserve">Solar </t>
  </si>
  <si>
    <t>Total</t>
  </si>
  <si>
    <t>Met-Ed</t>
  </si>
  <si>
    <t>Alternative Enery Credit Prices as of 06/20/19</t>
  </si>
  <si>
    <t>AEPS Avoided Cost ($/MWh)</t>
  </si>
  <si>
    <t>The BLS escalation rate is based on the latest four full years of available data.  It is important to have a full year of data as the historical trend is that months early in the year have a higher value than the annual average.  To automate this function, it is important to utilize the test "No Value" for months with no available data.  The formula utilizes cell M21, the month of December of the last year, to confirm a full year of data.</t>
  </si>
  <si>
    <t>Start Year</t>
  </si>
  <si>
    <t>EDC Name</t>
  </si>
  <si>
    <t>AEPS Avoided Costs</t>
  </si>
  <si>
    <t>AEPS</t>
  </si>
  <si>
    <t>B.8 Page 20</t>
  </si>
  <si>
    <t>The PA Act 129 calendar follows the PJM calendar, which starts in the month of June and ends in the month of May.  For a measure installed within a PA Act 129 program year, the avoided energy costs are based on the calendar year of the last months in the PJM calendar.  For instance, a measure installed in PA Act 129 program year 13 (6/1/2021-5/31/2022), the avoided energy costs will be calculated based on 12 months of data from the calendar year 2022.</t>
  </si>
  <si>
    <t>Transmission Capacity ($/kW/year)</t>
  </si>
  <si>
    <t>Distribution Capacity ($/kW/year)</t>
  </si>
  <si>
    <t>2022/2023</t>
  </si>
  <si>
    <t>2023/2024</t>
  </si>
  <si>
    <t>Pennsylvania Act 129 IV Avoided Energy and Capacity Cost Calculator</t>
  </si>
  <si>
    <t>PJM BRA $/kW-day</t>
  </si>
  <si>
    <t>This calculator is to be utilized with the Pennsylvania Act 129 Phase IV Total Resource Cost (TRC) test Order.  This calculator, developed by the State Wide Evaluator (SWE), executes the methodology outlined within the TRC Order to develop avoided energy and capacity costs for TRC calculations.  Please refer to the Phase IV TRC Order for additional methodology narrative and source references.
For Phase IV, the start year shall be set to program year 13 (2021/2022).
The user shall gather publicly available data sets as inputs.
This calculator includes the costs of compliance with the Pennsylvania Alternative Energy Portfolio Standard (AEPS) within the avoided energy cost calculations.</t>
  </si>
  <si>
    <t>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</si>
</sst>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409]mmm\-yy;@"/>
    <numFmt numFmtId="165" formatCode="0.0%"/>
    <numFmt numFmtId="166" formatCode="#0.0"/>
    <numFmt numFmtId="167" formatCode="&quot;$&quot;#,##0.00"/>
    <numFmt numFmtId="168" formatCode="_(&quot;$&quot;* #,##0.000_);_(&quot;$&quot;* \(#,##0.000\);_(&quot;$&quot;* &quot;-&quot;??_);_(@_)"/>
    <numFmt numFmtId="169" formatCode="&quot;$&quot;#,##0"/>
  </numFmts>
  <fonts count="16" x14ac:knownFonts="1">
    <font>
      <sz val="11"/>
      <color theme="1"/>
      <name val="Calibri"/>
      <family val="2"/>
      <scheme val="minor"/>
    </font>
    <font>
      <sz val="11"/>
      <color theme="1"/>
      <name val="Calibri"/>
      <family val="2"/>
      <scheme val="minor"/>
    </font>
    <font>
      <sz val="9"/>
      <color indexed="8"/>
      <name val="Calibri"/>
      <family val="2"/>
    </font>
    <font>
      <sz val="10"/>
      <color theme="1"/>
      <name val="Calibri"/>
      <family val="2"/>
      <scheme val="minor"/>
    </font>
    <font>
      <sz val="10"/>
      <name val="Calibri"/>
      <family val="2"/>
      <scheme val="minor"/>
    </font>
    <font>
      <b/>
      <sz val="10"/>
      <color theme="1"/>
      <name val="Calibri"/>
      <family val="2"/>
      <scheme val="minor"/>
    </font>
    <font>
      <sz val="11"/>
      <color indexed="8"/>
      <name val="Calibri"/>
      <family val="2"/>
      <scheme val="minor"/>
    </font>
    <font>
      <b/>
      <sz val="11"/>
      <color theme="1"/>
      <name val="Calibri"/>
      <family val="2"/>
      <scheme val="minor"/>
    </font>
    <font>
      <sz val="10"/>
      <color rgb="FF333333"/>
      <name val="Calibri"/>
      <family val="2"/>
      <scheme val="minor"/>
    </font>
    <font>
      <b/>
      <sz val="12"/>
      <color indexed="8"/>
      <name val="Calibri"/>
      <family val="2"/>
      <scheme val="minor"/>
    </font>
    <font>
      <b/>
      <sz val="10"/>
      <color indexed="8"/>
      <name val="Calibri"/>
      <family val="2"/>
      <scheme val="minor"/>
    </font>
    <font>
      <sz val="10"/>
      <color indexed="8"/>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0"/>
      <color theme="2" tint="-0.74999237037263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50">
    <border>
      <left/>
      <right/>
      <top/>
      <bottom/>
      <diagonal/>
    </border>
    <border>
      <left/>
      <right/>
      <top/>
      <bottom style="dashed">
        <color rgb="FFBFBFBF"/>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diagonal/>
    </border>
    <border>
      <left style="thin">
        <color rgb="FF0070C0"/>
      </left>
      <right style="thin">
        <color rgb="FF0070C0"/>
      </right>
      <top style="thin">
        <color rgb="FF0070C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70C0"/>
      </left>
      <right style="thin">
        <color rgb="FF0070C0"/>
      </right>
      <top/>
      <bottom style="medium">
        <color indexed="64"/>
      </bottom>
      <diagonal/>
    </border>
    <border>
      <left style="thin">
        <color rgb="FF0070C0"/>
      </left>
      <right/>
      <top/>
      <bottom/>
      <diagonal/>
    </border>
    <border>
      <left style="thin">
        <color rgb="FF0070C0"/>
      </left>
      <right/>
      <top style="thin">
        <color rgb="FF0070C0"/>
      </top>
      <bottom/>
      <diagonal/>
    </border>
    <border>
      <left/>
      <right style="thin">
        <color rgb="FF0070C0"/>
      </right>
      <top style="thin">
        <color rgb="FF0070C0"/>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rgb="FF0070C0"/>
      </left>
      <right style="thin">
        <color theme="4"/>
      </right>
      <top/>
      <bottom/>
      <diagonal/>
    </border>
    <border>
      <left/>
      <right/>
      <top style="thin">
        <color rgb="FF0070C0"/>
      </top>
      <bottom style="thin">
        <color rgb="FF0070C0"/>
      </bottom>
      <diagonal/>
    </border>
    <border>
      <left/>
      <right/>
      <top/>
      <bottom style="thin">
        <color theme="4"/>
      </bottom>
      <diagonal/>
    </border>
    <border>
      <left/>
      <right style="thin">
        <color theme="4"/>
      </right>
      <top/>
      <bottom style="thin">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theme="4"/>
      </right>
      <top style="thin">
        <color theme="4"/>
      </top>
      <bottom/>
      <diagonal/>
    </border>
    <border>
      <left/>
      <right style="thin">
        <color theme="4"/>
      </right>
      <top/>
      <bottom/>
      <diagonal/>
    </border>
    <border>
      <left style="thin">
        <color theme="4"/>
      </left>
      <right/>
      <top style="thin">
        <color theme="4"/>
      </top>
      <bottom/>
      <diagonal/>
    </border>
    <border>
      <left style="thin">
        <color theme="4"/>
      </left>
      <right/>
      <top/>
      <bottom/>
      <diagonal/>
    </border>
    <border>
      <left style="thin">
        <color theme="4"/>
      </left>
      <right/>
      <top/>
      <bottom style="thin">
        <color theme="4"/>
      </bottom>
      <diagonal/>
    </border>
  </borders>
  <cellStyleXfs count="5">
    <xf numFmtId="0" fontId="0" fillId="0" borderId="0"/>
    <xf numFmtId="44" fontId="1" fillId="0" borderId="0" applyFont="0" applyFill="0" applyBorder="0" applyAlignment="0" applyProtection="0"/>
    <xf numFmtId="0" fontId="2" fillId="0" borderId="1" applyNumberFormat="0" applyFont="0" applyProtection="0">
      <alignment wrapText="1"/>
    </xf>
    <xf numFmtId="9" fontId="1" fillId="0" borderId="0" applyFont="0" applyFill="0" applyBorder="0" applyAlignment="0" applyProtection="0"/>
    <xf numFmtId="0" fontId="6" fillId="0" borderId="0"/>
  </cellStyleXfs>
  <cellXfs count="228">
    <xf numFmtId="0" fontId="0" fillId="0" borderId="0" xfId="0"/>
    <xf numFmtId="0" fontId="3" fillId="0" borderId="0" xfId="0" applyFont="1" applyAlignment="1">
      <alignment wrapText="1"/>
    </xf>
    <xf numFmtId="0" fontId="3" fillId="0" borderId="0" xfId="0" applyFont="1" applyAlignment="1">
      <alignment horizontal="center"/>
    </xf>
    <xf numFmtId="0" fontId="3" fillId="0" borderId="0" xfId="0" applyFont="1"/>
    <xf numFmtId="44" fontId="3" fillId="0" borderId="0" xfId="1" applyFont="1"/>
    <xf numFmtId="44" fontId="0" fillId="0" borderId="0" xfId="0" applyNumberFormat="1"/>
    <xf numFmtId="0" fontId="5" fillId="0" borderId="2" xfId="0" applyFont="1" applyBorder="1" applyAlignment="1">
      <alignment horizontal="center" vertical="center" wrapText="1"/>
    </xf>
    <xf numFmtId="0" fontId="3" fillId="0" borderId="2" xfId="0" applyFont="1" applyBorder="1" applyAlignment="1">
      <alignment horizontal="center"/>
    </xf>
    <xf numFmtId="44" fontId="3" fillId="0" borderId="0" xfId="0" applyNumberFormat="1" applyFont="1"/>
    <xf numFmtId="44" fontId="3" fillId="0" borderId="0" xfId="1" applyFont="1" applyFill="1"/>
    <xf numFmtId="0" fontId="0" fillId="0" borderId="0" xfId="0" applyAlignment="1"/>
    <xf numFmtId="164" fontId="3" fillId="3" borderId="2" xfId="0" applyNumberFormat="1" applyFont="1" applyFill="1" applyBorder="1" applyAlignment="1">
      <alignment horizontal="center"/>
    </xf>
    <xf numFmtId="0" fontId="3" fillId="4" borderId="0" xfId="0" applyFont="1" applyFill="1"/>
    <xf numFmtId="0" fontId="3" fillId="0" borderId="0" xfId="0" applyFont="1" applyFill="1"/>
    <xf numFmtId="44" fontId="3" fillId="0" borderId="0" xfId="0" applyNumberFormat="1" applyFont="1" applyFill="1"/>
    <xf numFmtId="0" fontId="5" fillId="0" borderId="2" xfId="0" applyFont="1" applyBorder="1" applyAlignment="1">
      <alignment horizontal="left" vertical="center" wrapText="1"/>
    </xf>
    <xf numFmtId="0" fontId="3" fillId="4" borderId="0" xfId="0" applyFont="1" applyFill="1" applyAlignment="1">
      <alignment wrapText="1"/>
    </xf>
    <xf numFmtId="1" fontId="3" fillId="3" borderId="15" xfId="0" applyNumberFormat="1" applyFont="1" applyFill="1" applyBorder="1"/>
    <xf numFmtId="0" fontId="5" fillId="0" borderId="4" xfId="0" applyFont="1" applyBorder="1" applyAlignment="1">
      <alignment horizontal="center" vertical="center" wrapText="1"/>
    </xf>
    <xf numFmtId="0" fontId="0" fillId="4" borderId="0" xfId="0" applyFill="1"/>
    <xf numFmtId="0" fontId="6" fillId="0" borderId="0" xfId="4" applyFont="1"/>
    <xf numFmtId="0" fontId="1" fillId="0" borderId="0" xfId="0" applyFont="1"/>
    <xf numFmtId="0" fontId="10" fillId="0" borderId="0" xfId="4" applyFont="1" applyFill="1" applyAlignment="1">
      <alignment horizontal="left" vertical="top" wrapText="1"/>
    </xf>
    <xf numFmtId="166" fontId="11" fillId="2" borderId="17" xfId="4" applyNumberFormat="1" applyFont="1" applyFill="1" applyBorder="1" applyAlignment="1">
      <alignment horizontal="right"/>
    </xf>
    <xf numFmtId="0" fontId="1" fillId="4" borderId="18" xfId="0" applyFont="1" applyFill="1" applyBorder="1"/>
    <xf numFmtId="0" fontId="1" fillId="4" borderId="19" xfId="0" applyFont="1" applyFill="1" applyBorder="1"/>
    <xf numFmtId="164" fontId="3" fillId="7" borderId="2" xfId="0" applyNumberFormat="1" applyFont="1" applyFill="1" applyBorder="1"/>
    <xf numFmtId="1" fontId="3" fillId="7" borderId="2" xfId="0" applyNumberFormat="1" applyFont="1" applyFill="1" applyBorder="1" applyAlignment="1">
      <alignment horizontal="center"/>
    </xf>
    <xf numFmtId="165" fontId="3" fillId="7" borderId="2" xfId="3" applyNumberFormat="1" applyFont="1" applyFill="1" applyBorder="1"/>
    <xf numFmtId="49" fontId="5" fillId="7" borderId="2" xfId="1" applyNumberFormat="1" applyFont="1" applyFill="1" applyBorder="1" applyAlignment="1">
      <alignment horizontal="center" wrapText="1"/>
    </xf>
    <xf numFmtId="0" fontId="10" fillId="7" borderId="17" xfId="4" applyFont="1" applyFill="1" applyBorder="1" applyAlignment="1">
      <alignment horizontal="left"/>
    </xf>
    <xf numFmtId="10" fontId="5" fillId="5" borderId="17" xfId="3" applyNumberFormat="1" applyFont="1" applyFill="1" applyBorder="1" applyAlignment="1">
      <alignment horizontal="center"/>
    </xf>
    <xf numFmtId="166" fontId="3" fillId="5" borderId="17" xfId="0" applyNumberFormat="1" applyFont="1" applyFill="1" applyBorder="1" applyAlignment="1">
      <alignment horizontal="center"/>
    </xf>
    <xf numFmtId="0" fontId="7" fillId="0" borderId="0" xfId="0" applyFont="1"/>
    <xf numFmtId="0" fontId="7" fillId="4" borderId="19" xfId="0" applyFont="1" applyFill="1" applyBorder="1" applyAlignment="1">
      <alignment horizontal="right"/>
    </xf>
    <xf numFmtId="0" fontId="10" fillId="4" borderId="17" xfId="4" applyFont="1" applyFill="1" applyBorder="1" applyAlignment="1">
      <alignment horizontal="left" vertical="top" wrapText="1"/>
    </xf>
    <xf numFmtId="0" fontId="10" fillId="11" borderId="17" xfId="4" applyFont="1" applyFill="1" applyBorder="1" applyAlignment="1">
      <alignment horizontal="center" wrapText="1"/>
    </xf>
    <xf numFmtId="0" fontId="10" fillId="11" borderId="0" xfId="4" applyFont="1" applyFill="1" applyBorder="1" applyAlignment="1">
      <alignment horizontal="center" wrapText="1"/>
    </xf>
    <xf numFmtId="0" fontId="0" fillId="0" borderId="0" xfId="0" applyAlignment="1">
      <alignment horizontal="center"/>
    </xf>
    <xf numFmtId="1" fontId="5" fillId="7" borderId="2" xfId="1" applyNumberFormat="1" applyFont="1" applyFill="1" applyBorder="1" applyAlignment="1">
      <alignment horizontal="center" wrapText="1"/>
    </xf>
    <xf numFmtId="167" fontId="3" fillId="5" borderId="2" xfId="1" applyNumberFormat="1" applyFont="1" applyFill="1" applyBorder="1" applyAlignment="1">
      <alignment horizontal="center"/>
    </xf>
    <xf numFmtId="167" fontId="3" fillId="5" borderId="15" xfId="1" applyNumberFormat="1" applyFont="1" applyFill="1" applyBorder="1" applyAlignment="1">
      <alignment horizontal="center"/>
    </xf>
    <xf numFmtId="167" fontId="3" fillId="8" borderId="2" xfId="1" applyNumberFormat="1" applyFont="1" applyFill="1" applyBorder="1" applyAlignment="1">
      <alignment horizontal="center"/>
    </xf>
    <xf numFmtId="167" fontId="3" fillId="8" borderId="15" xfId="1" applyNumberFormat="1" applyFont="1" applyFill="1" applyBorder="1" applyAlignment="1">
      <alignment horizontal="center"/>
    </xf>
    <xf numFmtId="167" fontId="3" fillId="6" borderId="2" xfId="1" applyNumberFormat="1" applyFont="1" applyFill="1" applyBorder="1" applyAlignment="1">
      <alignment horizontal="center"/>
    </xf>
    <xf numFmtId="167" fontId="3" fillId="6" borderId="15" xfId="1" applyNumberFormat="1" applyFont="1" applyFill="1" applyBorder="1" applyAlignment="1">
      <alignment horizontal="center"/>
    </xf>
    <xf numFmtId="164" fontId="3" fillId="7" borderId="2" xfId="0" applyNumberFormat="1" applyFont="1" applyFill="1" applyBorder="1" applyAlignment="1">
      <alignment horizontal="center"/>
    </xf>
    <xf numFmtId="167" fontId="5" fillId="0" borderId="2" xfId="0" applyNumberFormat="1" applyFont="1" applyBorder="1" applyAlignment="1">
      <alignment horizontal="center" vertical="center" wrapText="1"/>
    </xf>
    <xf numFmtId="167" fontId="0" fillId="0" borderId="0" xfId="0" applyNumberFormat="1" applyAlignment="1">
      <alignment horizontal="center"/>
    </xf>
    <xf numFmtId="167" fontId="3" fillId="7" borderId="2" xfId="1" applyNumberFormat="1" applyFont="1" applyFill="1" applyBorder="1" applyAlignment="1">
      <alignment horizontal="center"/>
    </xf>
    <xf numFmtId="167" fontId="3" fillId="4" borderId="4" xfId="1" applyNumberFormat="1" applyFont="1" applyFill="1" applyBorder="1" applyAlignment="1">
      <alignment horizontal="center"/>
    </xf>
    <xf numFmtId="167" fontId="3" fillId="9" borderId="2" xfId="1" applyNumberFormat="1" applyFont="1" applyFill="1" applyBorder="1" applyAlignment="1">
      <alignment horizontal="center"/>
    </xf>
    <xf numFmtId="167" fontId="3" fillId="4" borderId="3" xfId="1" applyNumberFormat="1" applyFont="1" applyFill="1" applyBorder="1" applyAlignment="1">
      <alignment horizontal="center"/>
    </xf>
    <xf numFmtId="167" fontId="3" fillId="10" borderId="2" xfId="1" applyNumberFormat="1" applyFont="1" applyFill="1" applyBorder="1" applyAlignment="1">
      <alignment horizontal="center"/>
    </xf>
    <xf numFmtId="167" fontId="3" fillId="2" borderId="2" xfId="1" applyNumberFormat="1" applyFont="1" applyFill="1" applyBorder="1" applyAlignment="1">
      <alignment horizont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7" borderId="2" xfId="0" applyNumberFormat="1" applyFont="1" applyFill="1" applyBorder="1" applyAlignment="1">
      <alignment horizontal="center" vertical="center"/>
    </xf>
    <xf numFmtId="1" fontId="3" fillId="3" borderId="2" xfId="0" applyNumberFormat="1" applyFont="1" applyFill="1" applyBorder="1" applyAlignment="1">
      <alignment horizontal="center" vertical="center"/>
    </xf>
    <xf numFmtId="167" fontId="3" fillId="2" borderId="2" xfId="1" applyNumberFormat="1" applyFont="1" applyFill="1" applyBorder="1" applyAlignment="1">
      <alignment horizontal="center" vertical="center"/>
    </xf>
    <xf numFmtId="167" fontId="3" fillId="7" borderId="2" xfId="1" applyNumberFormat="1" applyFont="1" applyFill="1" applyBorder="1" applyAlignment="1">
      <alignment horizontal="center" vertical="center"/>
    </xf>
    <xf numFmtId="44" fontId="3" fillId="0" borderId="0" xfId="1" applyFont="1" applyAlignment="1">
      <alignment horizontal="center" vertical="center"/>
    </xf>
    <xf numFmtId="2" fontId="4" fillId="0" borderId="17" xfId="0" applyNumberFormat="1" applyFont="1" applyFill="1" applyBorder="1" applyAlignment="1">
      <alignment horizontal="center" vertical="center"/>
    </xf>
    <xf numFmtId="44" fontId="3" fillId="4" borderId="3" xfId="1" applyFont="1" applyFill="1" applyBorder="1" applyAlignment="1">
      <alignment horizontal="center" vertical="center"/>
    </xf>
    <xf numFmtId="167" fontId="3" fillId="2" borderId="17" xfId="1" applyNumberFormat="1" applyFont="1" applyFill="1" applyBorder="1" applyAlignment="1">
      <alignment horizontal="center" vertical="center"/>
    </xf>
    <xf numFmtId="9" fontId="4" fillId="7" borderId="17" xfId="3" applyNumberFormat="1" applyFont="1" applyFill="1" applyBorder="1" applyAlignment="1">
      <alignment horizontal="center" vertical="center"/>
    </xf>
    <xf numFmtId="9" fontId="4" fillId="7" borderId="17" xfId="3" applyFont="1" applyFill="1" applyBorder="1" applyAlignment="1">
      <alignment horizontal="center" vertical="center"/>
    </xf>
    <xf numFmtId="39" fontId="4" fillId="0" borderId="17"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0" borderId="4" xfId="0" applyFont="1" applyBorder="1" applyAlignment="1">
      <alignment horizontal="center" vertical="center"/>
    </xf>
    <xf numFmtId="164" fontId="3" fillId="7" borderId="4" xfId="0" applyNumberFormat="1" applyFont="1" applyFill="1" applyBorder="1" applyAlignment="1">
      <alignment horizontal="center" vertical="center"/>
    </xf>
    <xf numFmtId="1" fontId="3" fillId="3" borderId="4" xfId="0" applyNumberFormat="1" applyFont="1" applyFill="1" applyBorder="1" applyAlignment="1">
      <alignment horizontal="center" vertical="center"/>
    </xf>
    <xf numFmtId="167" fontId="3" fillId="2" borderId="4" xfId="1" applyNumberFormat="1" applyFont="1" applyFill="1" applyBorder="1" applyAlignment="1">
      <alignment horizontal="center" vertical="center"/>
    </xf>
    <xf numFmtId="0" fontId="3" fillId="4" borderId="8" xfId="0" applyFont="1" applyFill="1" applyBorder="1" applyAlignment="1">
      <alignment horizontal="center" vertical="center"/>
    </xf>
    <xf numFmtId="49" fontId="5" fillId="11" borderId="2" xfId="1" applyNumberFormat="1" applyFont="1" applyFill="1" applyBorder="1" applyAlignment="1">
      <alignment horizontal="center" wrapText="1"/>
    </xf>
    <xf numFmtId="44" fontId="5" fillId="11" borderId="2" xfId="1" applyFont="1" applyFill="1" applyBorder="1" applyAlignment="1">
      <alignment horizontal="center" vertical="center" wrapText="1"/>
    </xf>
    <xf numFmtId="44" fontId="5" fillId="11" borderId="15" xfId="1" applyFont="1" applyFill="1" applyBorder="1" applyAlignment="1">
      <alignment horizontal="center" vertical="center" wrapText="1"/>
    </xf>
    <xf numFmtId="0" fontId="3" fillId="11" borderId="17" xfId="0" applyFont="1" applyFill="1" applyBorder="1" applyAlignment="1">
      <alignment wrapText="1"/>
    </xf>
    <xf numFmtId="0" fontId="12" fillId="0" borderId="17" xfId="0" applyNumberFormat="1" applyFont="1" applyFill="1" applyBorder="1" applyAlignment="1">
      <alignment horizontal="center" vertical="center"/>
    </xf>
    <xf numFmtId="0" fontId="5" fillId="11" borderId="2"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3" fillId="11" borderId="24" xfId="0" applyFont="1" applyFill="1" applyBorder="1" applyAlignment="1">
      <alignment horizontal="center" vertical="center" wrapText="1"/>
    </xf>
    <xf numFmtId="44" fontId="3" fillId="11" borderId="24" xfId="1" applyFont="1" applyFill="1" applyBorder="1" applyAlignment="1">
      <alignment horizontal="center" vertical="center"/>
    </xf>
    <xf numFmtId="167" fontId="5" fillId="11" borderId="2" xfId="0" applyNumberFormat="1" applyFont="1" applyFill="1" applyBorder="1" applyAlignment="1">
      <alignment horizontal="center" vertical="center" wrapText="1"/>
    </xf>
    <xf numFmtId="167" fontId="3" fillId="0" borderId="0" xfId="0" applyNumberFormat="1" applyFont="1" applyAlignment="1">
      <alignment horizontal="center"/>
    </xf>
    <xf numFmtId="167" fontId="3" fillId="0" borderId="2" xfId="1" applyNumberFormat="1" applyFont="1" applyBorder="1" applyAlignment="1">
      <alignment horizontal="center"/>
    </xf>
    <xf numFmtId="167" fontId="3" fillId="5" borderId="2" xfId="0" applyNumberFormat="1" applyFont="1" applyFill="1" applyBorder="1" applyAlignment="1">
      <alignment horizontal="center"/>
    </xf>
    <xf numFmtId="167" fontId="3" fillId="4" borderId="10" xfId="1" applyNumberFormat="1" applyFont="1" applyFill="1" applyBorder="1" applyAlignment="1">
      <alignment horizontal="center"/>
    </xf>
    <xf numFmtId="167" fontId="3" fillId="4" borderId="11" xfId="1" applyNumberFormat="1" applyFont="1" applyFill="1" applyBorder="1" applyAlignment="1">
      <alignment horizontal="center"/>
    </xf>
    <xf numFmtId="167" fontId="3" fillId="4" borderId="9" xfId="1" applyNumberFormat="1" applyFont="1" applyFill="1" applyBorder="1" applyAlignment="1">
      <alignment horizontal="center"/>
    </xf>
    <xf numFmtId="167" fontId="3" fillId="4" borderId="12" xfId="0" applyNumberFormat="1" applyFont="1" applyFill="1" applyBorder="1" applyAlignment="1">
      <alignment horizontal="center"/>
    </xf>
    <xf numFmtId="167" fontId="3" fillId="4" borderId="9" xfId="0" applyNumberFormat="1" applyFont="1" applyFill="1" applyBorder="1" applyAlignment="1">
      <alignment horizontal="center"/>
    </xf>
    <xf numFmtId="167" fontId="3" fillId="4" borderId="13" xfId="0" applyNumberFormat="1" applyFont="1" applyFill="1" applyBorder="1" applyAlignment="1">
      <alignment horizontal="center"/>
    </xf>
    <xf numFmtId="167" fontId="3" fillId="4" borderId="14" xfId="0" applyNumberFormat="1" applyFont="1" applyFill="1" applyBorder="1" applyAlignment="1">
      <alignment horizontal="center"/>
    </xf>
    <xf numFmtId="0" fontId="3" fillId="11" borderId="0" xfId="0" applyFont="1" applyFill="1"/>
    <xf numFmtId="0" fontId="3" fillId="11" borderId="17" xfId="0" applyFont="1" applyFill="1" applyBorder="1"/>
    <xf numFmtId="0" fontId="5" fillId="0" borderId="17" xfId="0" applyFont="1" applyBorder="1"/>
    <xf numFmtId="0" fontId="3" fillId="2" borderId="17" xfId="0" applyFont="1" applyFill="1" applyBorder="1" applyAlignment="1">
      <alignment horizontal="center"/>
    </xf>
    <xf numFmtId="0" fontId="3" fillId="0" borderId="17" xfId="0" applyFont="1" applyBorder="1"/>
    <xf numFmtId="0" fontId="12" fillId="11" borderId="17" xfId="0" applyFont="1" applyFill="1" applyBorder="1" applyAlignment="1">
      <alignment horizontal="center" vertical="center"/>
    </xf>
    <xf numFmtId="0" fontId="3" fillId="7" borderId="17" xfId="0" applyFont="1" applyFill="1" applyBorder="1" applyAlignment="1">
      <alignment horizontal="center"/>
    </xf>
    <xf numFmtId="0" fontId="3" fillId="7" borderId="17" xfId="0" applyFont="1" applyFill="1" applyBorder="1" applyAlignment="1">
      <alignment horizontal="center" vertical="center"/>
    </xf>
    <xf numFmtId="9" fontId="3" fillId="2" borderId="17" xfId="0" applyNumberFormat="1" applyFont="1" applyFill="1" applyBorder="1" applyAlignment="1">
      <alignment horizontal="center"/>
    </xf>
    <xf numFmtId="0" fontId="3" fillId="0" borderId="17" xfId="0" applyFont="1" applyBorder="1" applyAlignment="1">
      <alignment horizontal="center"/>
    </xf>
    <xf numFmtId="0" fontId="4" fillId="0" borderId="17" xfId="0" applyFont="1" applyFill="1" applyBorder="1"/>
    <xf numFmtId="0" fontId="12" fillId="0" borderId="17" xfId="0" applyFont="1" applyFill="1" applyBorder="1" applyAlignment="1">
      <alignment horizontal="center" wrapText="1"/>
    </xf>
    <xf numFmtId="0" fontId="12" fillId="0" borderId="17" xfId="0" applyFont="1" applyFill="1" applyBorder="1" applyAlignment="1">
      <alignment horizontal="left"/>
    </xf>
    <xf numFmtId="3" fontId="4" fillId="2" borderId="17" xfId="0" applyNumberFormat="1" applyFont="1" applyFill="1" applyBorder="1" applyAlignment="1">
      <alignment horizontal="center"/>
    </xf>
    <xf numFmtId="0" fontId="3" fillId="4" borderId="18" xfId="0" applyFont="1" applyFill="1" applyBorder="1"/>
    <xf numFmtId="0" fontId="3" fillId="4" borderId="19" xfId="0" applyFont="1" applyFill="1" applyBorder="1"/>
    <xf numFmtId="0" fontId="3" fillId="4" borderId="20" xfId="0" applyFont="1" applyFill="1" applyBorder="1"/>
    <xf numFmtId="0" fontId="5" fillId="9" borderId="17" xfId="0" applyFont="1" applyFill="1" applyBorder="1"/>
    <xf numFmtId="0" fontId="3" fillId="7" borderId="17" xfId="0" applyFont="1" applyFill="1" applyBorder="1"/>
    <xf numFmtId="0" fontId="3" fillId="0" borderId="21" xfId="0" applyFont="1" applyBorder="1"/>
    <xf numFmtId="0" fontId="3" fillId="0" borderId="22" xfId="0" applyFont="1" applyBorder="1"/>
    <xf numFmtId="0" fontId="3" fillId="0" borderId="23" xfId="0" applyFont="1" applyBorder="1"/>
    <xf numFmtId="167" fontId="3" fillId="7" borderId="17" xfId="0" applyNumberFormat="1" applyFont="1" applyFill="1" applyBorder="1" applyAlignment="1">
      <alignment horizontal="center" vertical="center"/>
    </xf>
    <xf numFmtId="0" fontId="3" fillId="2" borderId="17" xfId="0" applyFont="1" applyFill="1" applyBorder="1"/>
    <xf numFmtId="0" fontId="5" fillId="0" borderId="17" xfId="0" applyFont="1" applyBorder="1" applyAlignment="1">
      <alignment horizontal="left" vertical="center" wrapText="1"/>
    </xf>
    <xf numFmtId="0" fontId="3" fillId="5" borderId="17" xfId="0" applyFont="1" applyFill="1" applyBorder="1"/>
    <xf numFmtId="0" fontId="3" fillId="8" borderId="17" xfId="0" applyFont="1" applyFill="1" applyBorder="1"/>
    <xf numFmtId="0" fontId="3" fillId="6" borderId="17" xfId="0" applyFont="1" applyFill="1" applyBorder="1"/>
    <xf numFmtId="0" fontId="5" fillId="4" borderId="17" xfId="0" applyFont="1" applyFill="1" applyBorder="1"/>
    <xf numFmtId="0" fontId="5" fillId="0" borderId="0" xfId="0" applyFont="1" applyBorder="1" applyAlignment="1">
      <alignment horizontal="left"/>
    </xf>
    <xf numFmtId="0" fontId="3" fillId="0" borderId="0" xfId="0" applyFont="1" applyBorder="1"/>
    <xf numFmtId="0" fontId="5" fillId="9" borderId="17" xfId="0" applyFont="1" applyFill="1" applyBorder="1" applyAlignment="1">
      <alignment horizontal="left"/>
    </xf>
    <xf numFmtId="0" fontId="3" fillId="11" borderId="17" xfId="0" applyFont="1" applyFill="1" applyBorder="1" applyAlignment="1">
      <alignment horizontal="left"/>
    </xf>
    <xf numFmtId="0" fontId="3" fillId="9" borderId="0" xfId="0" applyFont="1" applyFill="1"/>
    <xf numFmtId="0" fontId="5" fillId="0" borderId="18" xfId="0" applyFont="1" applyBorder="1" applyAlignment="1">
      <alignment horizontal="left"/>
    </xf>
    <xf numFmtId="0" fontId="5" fillId="0" borderId="20" xfId="0" applyFont="1" applyBorder="1" applyAlignment="1">
      <alignment horizontal="left"/>
    </xf>
    <xf numFmtId="0" fontId="13" fillId="0" borderId="17" xfId="0" applyFont="1" applyBorder="1" applyAlignment="1">
      <alignment horizontal="center"/>
    </xf>
    <xf numFmtId="167" fontId="3" fillId="2" borderId="17" xfId="0" applyNumberFormat="1" applyFont="1" applyFill="1" applyBorder="1" applyAlignment="1">
      <alignment horizontal="center"/>
    </xf>
    <xf numFmtId="0" fontId="3" fillId="9" borderId="20" xfId="0" applyFont="1" applyFill="1" applyBorder="1" applyAlignment="1">
      <alignment horizontal="center"/>
    </xf>
    <xf numFmtId="167" fontId="3" fillId="7" borderId="2" xfId="1" applyNumberFormat="1" applyFont="1" applyFill="1" applyBorder="1"/>
    <xf numFmtId="167" fontId="8" fillId="2" borderId="17" xfId="1" applyNumberFormat="1" applyFont="1" applyFill="1" applyBorder="1" applyAlignment="1">
      <alignment horizontal="center" vertical="top" wrapText="1"/>
    </xf>
    <xf numFmtId="0" fontId="5" fillId="0" borderId="0" xfId="0" applyFont="1"/>
    <xf numFmtId="0" fontId="14" fillId="0" borderId="0" xfId="0" applyFont="1"/>
    <xf numFmtId="0" fontId="5" fillId="0" borderId="33" xfId="0" applyFont="1" applyBorder="1" applyAlignment="1">
      <alignment horizontal="center" wrapText="1"/>
    </xf>
    <xf numFmtId="167" fontId="3" fillId="7" borderId="17" xfId="0" applyNumberFormat="1" applyFont="1" applyFill="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wrapText="1"/>
    </xf>
    <xf numFmtId="0" fontId="3" fillId="0" borderId="37" xfId="0" applyFont="1" applyBorder="1" applyAlignment="1">
      <alignment horizontal="center"/>
    </xf>
    <xf numFmtId="0" fontId="3" fillId="0" borderId="28" xfId="0" applyFont="1" applyBorder="1" applyAlignment="1">
      <alignment horizontal="center"/>
    </xf>
    <xf numFmtId="0" fontId="3" fillId="0" borderId="41" xfId="0" applyFont="1" applyBorder="1" applyAlignment="1">
      <alignment horizontal="center"/>
    </xf>
    <xf numFmtId="0" fontId="5" fillId="0" borderId="0" xfId="0" applyFont="1" applyBorder="1"/>
    <xf numFmtId="168" fontId="3" fillId="0" borderId="0" xfId="1" applyNumberFormat="1" applyFont="1" applyFill="1" applyBorder="1"/>
    <xf numFmtId="0" fontId="5" fillId="0" borderId="32" xfId="0" applyFont="1" applyBorder="1" applyAlignment="1">
      <alignment horizontal="center" wrapText="1"/>
    </xf>
    <xf numFmtId="169" fontId="3" fillId="7" borderId="17" xfId="0" applyNumberFormat="1" applyFont="1" applyFill="1" applyBorder="1" applyAlignment="1">
      <alignment horizontal="center"/>
    </xf>
    <xf numFmtId="0" fontId="5" fillId="7" borderId="17" xfId="0" applyFont="1" applyFill="1" applyBorder="1" applyAlignment="1">
      <alignment horizontal="center"/>
    </xf>
    <xf numFmtId="169" fontId="5" fillId="7" borderId="17" xfId="0" applyNumberFormat="1" applyFont="1" applyFill="1" applyBorder="1" applyAlignment="1">
      <alignment horizontal="center"/>
    </xf>
    <xf numFmtId="165" fontId="3" fillId="7" borderId="17" xfId="3" applyNumberFormat="1" applyFont="1" applyFill="1" applyBorder="1" applyAlignment="1">
      <alignment horizontal="center"/>
    </xf>
    <xf numFmtId="0" fontId="3" fillId="13" borderId="0" xfId="0" applyFont="1" applyFill="1"/>
    <xf numFmtId="0" fontId="3" fillId="13" borderId="0" xfId="0" applyFont="1" applyFill="1" applyAlignment="1">
      <alignment wrapText="1"/>
    </xf>
    <xf numFmtId="0" fontId="5" fillId="13" borderId="0" xfId="0" applyFont="1" applyFill="1" applyAlignment="1">
      <alignment wrapText="1"/>
    </xf>
    <xf numFmtId="167" fontId="3" fillId="9" borderId="37" xfId="1" applyNumberFormat="1" applyFont="1" applyFill="1" applyBorder="1" applyAlignment="1">
      <alignment horizontal="center"/>
    </xf>
    <xf numFmtId="167" fontId="3" fillId="9" borderId="38" xfId="1" applyNumberFormat="1" applyFont="1" applyFill="1" applyBorder="1" applyAlignment="1">
      <alignment horizontal="center"/>
    </xf>
    <xf numFmtId="167" fontId="3" fillId="9" borderId="28" xfId="1" applyNumberFormat="1" applyFont="1" applyFill="1" applyBorder="1" applyAlignment="1">
      <alignment horizontal="center"/>
    </xf>
    <xf numFmtId="167" fontId="3" fillId="9" borderId="40" xfId="1" applyNumberFormat="1" applyFont="1" applyFill="1" applyBorder="1" applyAlignment="1">
      <alignment horizontal="center"/>
    </xf>
    <xf numFmtId="167" fontId="3" fillId="2" borderId="37" xfId="1" applyNumberFormat="1" applyFont="1" applyFill="1" applyBorder="1" applyAlignment="1">
      <alignment horizontal="center"/>
    </xf>
    <xf numFmtId="167" fontId="3" fillId="9" borderId="41" xfId="1" applyNumberFormat="1" applyFont="1" applyFill="1" applyBorder="1" applyAlignment="1">
      <alignment horizontal="center"/>
    </xf>
    <xf numFmtId="167" fontId="3" fillId="9" borderId="42" xfId="1" applyNumberFormat="1" applyFont="1" applyFill="1" applyBorder="1" applyAlignment="1">
      <alignment horizontal="center"/>
    </xf>
    <xf numFmtId="167" fontId="3" fillId="2" borderId="38" xfId="1" applyNumberFormat="1" applyFont="1" applyFill="1" applyBorder="1" applyAlignment="1">
      <alignment horizontal="center"/>
    </xf>
    <xf numFmtId="0" fontId="12" fillId="0" borderId="18" xfId="0" applyFont="1" applyBorder="1"/>
    <xf numFmtId="2" fontId="12" fillId="0" borderId="17" xfId="0" applyNumberFormat="1" applyFont="1" applyFill="1" applyBorder="1" applyAlignment="1">
      <alignment horizontal="center" vertical="center"/>
    </xf>
    <xf numFmtId="0" fontId="5" fillId="0" borderId="18" xfId="0" applyFont="1" applyBorder="1" applyAlignment="1">
      <alignment horizontal="left"/>
    </xf>
    <xf numFmtId="0" fontId="5" fillId="0" borderId="20" xfId="0" applyFont="1" applyBorder="1" applyAlignment="1">
      <alignment horizontal="left"/>
    </xf>
    <xf numFmtId="0" fontId="12" fillId="11" borderId="17" xfId="0" applyFont="1" applyFill="1" applyBorder="1" applyAlignment="1">
      <alignment horizontal="center"/>
    </xf>
    <xf numFmtId="8" fontId="3" fillId="2" borderId="17" xfId="0" applyNumberFormat="1" applyFont="1" applyFill="1" applyBorder="1" applyAlignment="1">
      <alignment horizontal="center" vertical="center"/>
    </xf>
    <xf numFmtId="167" fontId="3" fillId="3" borderId="17" xfId="0" applyNumberFormat="1" applyFont="1" applyFill="1" applyBorder="1" applyAlignment="1">
      <alignment horizontal="center"/>
    </xf>
    <xf numFmtId="8" fontId="3" fillId="11" borderId="0" xfId="0" applyNumberFormat="1" applyFont="1" applyFill="1"/>
    <xf numFmtId="167" fontId="3" fillId="12" borderId="17" xfId="0" applyNumberFormat="1" applyFont="1" applyFill="1" applyBorder="1" applyAlignment="1">
      <alignment horizontal="center"/>
    </xf>
    <xf numFmtId="167" fontId="3" fillId="10" borderId="17" xfId="0" applyNumberFormat="1" applyFont="1" applyFill="1" applyBorder="1" applyAlignment="1">
      <alignment horizontal="center"/>
    </xf>
    <xf numFmtId="0" fontId="12" fillId="11" borderId="18" xfId="0" applyFont="1" applyFill="1" applyBorder="1" applyAlignment="1">
      <alignment horizontal="center" vertical="center"/>
    </xf>
    <xf numFmtId="0" fontId="12" fillId="11" borderId="19" xfId="0" applyFont="1" applyFill="1" applyBorder="1" applyAlignment="1">
      <alignment horizontal="center" vertical="center"/>
    </xf>
    <xf numFmtId="0" fontId="12" fillId="11" borderId="20" xfId="0" applyFont="1" applyFill="1" applyBorder="1" applyAlignment="1">
      <alignment horizontal="center" vertical="center"/>
    </xf>
    <xf numFmtId="0" fontId="5" fillId="0" borderId="18" xfId="0" applyFont="1" applyBorder="1" applyAlignment="1">
      <alignment horizontal="left"/>
    </xf>
    <xf numFmtId="0" fontId="5" fillId="0" borderId="20" xfId="0" applyFont="1" applyBorder="1" applyAlignment="1">
      <alignment horizontal="left"/>
    </xf>
    <xf numFmtId="0" fontId="4" fillId="11" borderId="17" xfId="0" applyFont="1" applyFill="1" applyBorder="1" applyAlignment="1">
      <alignment horizontal="left" vertical="top" wrapText="1"/>
    </xf>
    <xf numFmtId="0" fontId="5" fillId="4" borderId="17" xfId="0" applyFont="1" applyFill="1" applyBorder="1" applyAlignment="1">
      <alignment horizontal="center"/>
    </xf>
    <xf numFmtId="0" fontId="4" fillId="11" borderId="47" xfId="0" applyFont="1" applyFill="1" applyBorder="1" applyAlignment="1">
      <alignment horizontal="left" vertical="center" wrapText="1"/>
    </xf>
    <xf numFmtId="0" fontId="4" fillId="11" borderId="45" xfId="0" applyFont="1" applyFill="1" applyBorder="1" applyAlignment="1">
      <alignment horizontal="left" vertical="center" wrapText="1"/>
    </xf>
    <xf numFmtId="0" fontId="4" fillId="11" borderId="48" xfId="0" applyFont="1" applyFill="1" applyBorder="1" applyAlignment="1">
      <alignment horizontal="left" vertical="center" wrapText="1"/>
    </xf>
    <xf numFmtId="0" fontId="4" fillId="11" borderId="46" xfId="0" applyFont="1" applyFill="1" applyBorder="1" applyAlignment="1">
      <alignment horizontal="left" vertical="center" wrapText="1"/>
    </xf>
    <xf numFmtId="0" fontId="4" fillId="11" borderId="49" xfId="0" applyFont="1" applyFill="1" applyBorder="1" applyAlignment="1">
      <alignment horizontal="left" vertical="center" wrapText="1"/>
    </xf>
    <xf numFmtId="0" fontId="4" fillId="11" borderId="27" xfId="0" applyFont="1" applyFill="1" applyBorder="1" applyAlignment="1">
      <alignment horizontal="left" vertical="center" wrapText="1"/>
    </xf>
    <xf numFmtId="0" fontId="5" fillId="4" borderId="18" xfId="0" applyFont="1" applyFill="1" applyBorder="1" applyAlignment="1">
      <alignment horizontal="center"/>
    </xf>
    <xf numFmtId="0" fontId="5" fillId="4" borderId="19" xfId="0" applyFont="1" applyFill="1" applyBorder="1" applyAlignment="1">
      <alignment horizontal="center"/>
    </xf>
    <xf numFmtId="0" fontId="5" fillId="4" borderId="20" xfId="0" applyFont="1" applyFill="1" applyBorder="1" applyAlignment="1">
      <alignment horizontal="center"/>
    </xf>
    <xf numFmtId="0" fontId="5" fillId="11" borderId="26" xfId="0" applyFont="1" applyFill="1" applyBorder="1" applyAlignment="1">
      <alignment horizontal="center"/>
    </xf>
    <xf numFmtId="0" fontId="5" fillId="11" borderId="27" xfId="0" applyFont="1" applyFill="1" applyBorder="1" applyAlignment="1">
      <alignment horizontal="center"/>
    </xf>
    <xf numFmtId="0" fontId="5" fillId="5" borderId="17" xfId="0" applyFont="1" applyFill="1" applyBorder="1" applyAlignment="1">
      <alignment horizontal="center" vertical="center" textRotation="180"/>
    </xf>
    <xf numFmtId="0" fontId="5" fillId="8" borderId="17" xfId="0" applyFont="1" applyFill="1" applyBorder="1" applyAlignment="1">
      <alignment horizontal="center" vertical="center" textRotation="180"/>
    </xf>
    <xf numFmtId="0" fontId="5" fillId="6" borderId="17" xfId="0" applyFont="1" applyFill="1" applyBorder="1" applyAlignment="1">
      <alignment horizontal="center" vertical="center" textRotation="180"/>
    </xf>
    <xf numFmtId="2" fontId="12" fillId="11" borderId="17" xfId="0" applyNumberFormat="1" applyFont="1" applyFill="1" applyBorder="1" applyAlignment="1">
      <alignment horizontal="center" vertical="center"/>
    </xf>
    <xf numFmtId="2" fontId="4" fillId="0" borderId="17" xfId="0" quotePrefix="1" applyNumberFormat="1"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11" borderId="15" xfId="0" applyFont="1" applyFill="1" applyBorder="1" applyAlignment="1">
      <alignment horizontal="left" vertical="center" wrapText="1"/>
    </xf>
    <xf numFmtId="0" fontId="5" fillId="11" borderId="25" xfId="0" applyFont="1" applyFill="1" applyBorder="1" applyAlignment="1">
      <alignment horizontal="left" vertical="center" wrapText="1"/>
    </xf>
    <xf numFmtId="0" fontId="5" fillId="11" borderId="16" xfId="0" applyFont="1" applyFill="1" applyBorder="1" applyAlignment="1">
      <alignment horizontal="left" vertical="center" wrapText="1"/>
    </xf>
    <xf numFmtId="0" fontId="5" fillId="11" borderId="17" xfId="0" applyFont="1" applyFill="1" applyBorder="1" applyAlignment="1">
      <alignment horizontal="center"/>
    </xf>
    <xf numFmtId="0" fontId="5" fillId="11" borderId="18" xfId="0" applyFont="1" applyFill="1" applyBorder="1" applyAlignment="1">
      <alignment horizontal="center"/>
    </xf>
    <xf numFmtId="0" fontId="5" fillId="11" borderId="19" xfId="0" applyFont="1" applyFill="1" applyBorder="1" applyAlignment="1">
      <alignment horizontal="center"/>
    </xf>
    <xf numFmtId="0" fontId="5" fillId="11" borderId="20" xfId="0" applyFont="1" applyFill="1" applyBorder="1" applyAlignment="1">
      <alignment horizontal="center"/>
    </xf>
    <xf numFmtId="0" fontId="3" fillId="11" borderId="21" xfId="0" applyFont="1" applyFill="1" applyBorder="1" applyAlignment="1">
      <alignment horizontal="left" vertical="top" wrapText="1"/>
    </xf>
    <xf numFmtId="0" fontId="3" fillId="11" borderId="22" xfId="0" applyFont="1" applyFill="1" applyBorder="1" applyAlignment="1">
      <alignment horizontal="left" vertical="top" wrapText="1"/>
    </xf>
    <xf numFmtId="0" fontId="3" fillId="11" borderId="23" xfId="0" applyFont="1" applyFill="1" applyBorder="1" applyAlignment="1">
      <alignment horizontal="left" vertical="top" wrapText="1"/>
    </xf>
    <xf numFmtId="0" fontId="4" fillId="11" borderId="0" xfId="4" applyFont="1" applyFill="1" applyBorder="1" applyAlignment="1">
      <alignment horizontal="left" vertical="top" wrapText="1"/>
    </xf>
    <xf numFmtId="0" fontId="11" fillId="4" borderId="17" xfId="4" applyFont="1" applyFill="1" applyBorder="1" applyAlignment="1">
      <alignment horizontal="left" vertical="top" wrapText="1"/>
    </xf>
    <xf numFmtId="0" fontId="6" fillId="4" borderId="17" xfId="4" applyFont="1" applyFill="1" applyBorder="1"/>
    <xf numFmtId="0" fontId="11" fillId="4" borderId="17" xfId="4" applyFont="1" applyFill="1" applyBorder="1" applyAlignment="1">
      <alignment horizontal="left"/>
    </xf>
    <xf numFmtId="0" fontId="9" fillId="0" borderId="0" xfId="4" applyFont="1" applyFill="1" applyAlignment="1">
      <alignment horizontal="left"/>
    </xf>
    <xf numFmtId="0" fontId="6" fillId="0" borderId="0" xfId="4" applyFont="1"/>
    <xf numFmtId="0" fontId="11" fillId="0" borderId="0" xfId="4" applyFont="1" applyFill="1" applyAlignment="1">
      <alignment horizontal="left" vertical="top" wrapText="1"/>
    </xf>
    <xf numFmtId="0" fontId="15" fillId="0" borderId="36" xfId="0" applyFont="1" applyBorder="1" applyAlignment="1">
      <alignment horizontal="center" vertical="center"/>
    </xf>
    <xf numFmtId="0" fontId="15" fillId="0" borderId="39" xfId="0" applyFont="1" applyBorder="1" applyAlignment="1">
      <alignment horizontal="center" vertical="center"/>
    </xf>
    <xf numFmtId="0" fontId="15" fillId="0" borderId="34" xfId="0" applyFont="1" applyBorder="1" applyAlignment="1">
      <alignment horizontal="center" vertic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9" borderId="33" xfId="0" applyFont="1" applyFill="1" applyBorder="1" applyAlignment="1">
      <alignment horizontal="center" wrapText="1"/>
    </xf>
    <xf numFmtId="0" fontId="5" fillId="9" borderId="35" xfId="0" applyFont="1" applyFill="1" applyBorder="1" applyAlignment="1">
      <alignment horizontal="center" wrapText="1"/>
    </xf>
    <xf numFmtId="0" fontId="5" fillId="9" borderId="43" xfId="0" applyFont="1" applyFill="1" applyBorder="1" applyAlignment="1">
      <alignment horizontal="center" wrapText="1"/>
    </xf>
    <xf numFmtId="0" fontId="5" fillId="9" borderId="44" xfId="0" applyFont="1" applyFill="1" applyBorder="1" applyAlignment="1">
      <alignment horizontal="center" wrapText="1"/>
    </xf>
    <xf numFmtId="0" fontId="12" fillId="0" borderId="36" xfId="0" applyFont="1" applyBorder="1" applyAlignment="1">
      <alignment horizontal="center" vertical="center"/>
    </xf>
    <xf numFmtId="0" fontId="12" fillId="0" borderId="39" xfId="0" applyFont="1" applyBorder="1" applyAlignment="1">
      <alignment horizontal="center" vertical="center"/>
    </xf>
    <xf numFmtId="0" fontId="12" fillId="0" borderId="34" xfId="0" applyFont="1" applyBorder="1" applyAlignment="1">
      <alignment horizontal="center" vertical="center"/>
    </xf>
  </cellXfs>
  <cellStyles count="5">
    <cellStyle name="Body: normal cell" xfId="2" xr:uid="{00000000-0005-0000-0000-000000000000}"/>
    <cellStyle name="Currency" xfId="1" builtinId="4"/>
    <cellStyle name="Normal" xfId="0" builtinId="0"/>
    <cellStyle name="Normal 2" xfId="4"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Avoided</a:t>
            </a:r>
            <a:r>
              <a:rPr lang="en-US" baseline="0"/>
              <a:t> Energy Costs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Outputs!$C$2</c:f>
              <c:strCache>
                <c:ptCount val="1"/>
                <c:pt idx="0">
                  <c:v>  Zone Summer On-Peak ($/MWh) </c:v>
                </c:pt>
              </c:strCache>
            </c:strRef>
          </c:tx>
          <c:spPr>
            <a:ln w="28575" cap="rnd">
              <a:solidFill>
                <a:schemeClr val="accent2"/>
              </a:solidFill>
              <a:round/>
            </a:ln>
            <a:effectLst/>
          </c:spPr>
          <c:marker>
            <c:symbol val="none"/>
          </c:marker>
          <c:cat>
            <c:numRef>
              <c:f>Outputs!$B$3:$B$22</c:f>
              <c:numCache>
                <c:formatCode>@</c:formatCode>
                <c:ptCount val="20"/>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numCache>
            </c:numRef>
          </c:cat>
          <c:val>
            <c:numRef>
              <c:f>Outputs!$C$3:$C$22</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C82-4BF9-B5EA-C58BE7403D39}"/>
            </c:ext>
          </c:extLst>
        </c:ser>
        <c:ser>
          <c:idx val="2"/>
          <c:order val="1"/>
          <c:tx>
            <c:strRef>
              <c:f>Outputs!$D$2</c:f>
              <c:strCache>
                <c:ptCount val="1"/>
                <c:pt idx="0">
                  <c:v>  Zone Summer Off-Peak ($/MWh) </c:v>
                </c:pt>
              </c:strCache>
            </c:strRef>
          </c:tx>
          <c:spPr>
            <a:ln w="28575" cap="rnd">
              <a:solidFill>
                <a:schemeClr val="accent3"/>
              </a:solidFill>
              <a:round/>
            </a:ln>
            <a:effectLst/>
          </c:spPr>
          <c:marker>
            <c:symbol val="none"/>
          </c:marker>
          <c:cat>
            <c:numRef>
              <c:f>Outputs!$B$3:$B$22</c:f>
              <c:numCache>
                <c:formatCode>@</c:formatCode>
                <c:ptCount val="20"/>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numCache>
            </c:numRef>
          </c:cat>
          <c:val>
            <c:numRef>
              <c:f>Outputs!$D$3:$D$22</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2-5C82-4BF9-B5EA-C58BE7403D39}"/>
            </c:ext>
          </c:extLst>
        </c:ser>
        <c:ser>
          <c:idx val="3"/>
          <c:order val="2"/>
          <c:tx>
            <c:strRef>
              <c:f>Outputs!$E$2</c:f>
              <c:strCache>
                <c:ptCount val="1"/>
                <c:pt idx="0">
                  <c:v>  Zone Winter On-Peak ($/MWh) </c:v>
                </c:pt>
              </c:strCache>
            </c:strRef>
          </c:tx>
          <c:spPr>
            <a:ln w="28575" cap="rnd">
              <a:solidFill>
                <a:schemeClr val="accent4"/>
              </a:solidFill>
              <a:round/>
            </a:ln>
            <a:effectLst/>
          </c:spPr>
          <c:marker>
            <c:symbol val="none"/>
          </c:marker>
          <c:cat>
            <c:numRef>
              <c:f>Outputs!$B$3:$B$22</c:f>
              <c:numCache>
                <c:formatCode>@</c:formatCode>
                <c:ptCount val="20"/>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numCache>
            </c:numRef>
          </c:cat>
          <c:val>
            <c:numRef>
              <c:f>Outputs!$E$3:$E$22</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5C82-4BF9-B5EA-C58BE7403D39}"/>
            </c:ext>
          </c:extLst>
        </c:ser>
        <c:ser>
          <c:idx val="4"/>
          <c:order val="3"/>
          <c:tx>
            <c:strRef>
              <c:f>Outputs!$F$2</c:f>
              <c:strCache>
                <c:ptCount val="1"/>
                <c:pt idx="0">
                  <c:v>  Zone Winter Off-Peak ($/MWh) </c:v>
                </c:pt>
              </c:strCache>
            </c:strRef>
          </c:tx>
          <c:spPr>
            <a:ln w="28575" cap="rnd">
              <a:solidFill>
                <a:schemeClr val="accent5"/>
              </a:solidFill>
              <a:round/>
            </a:ln>
            <a:effectLst/>
          </c:spPr>
          <c:marker>
            <c:symbol val="none"/>
          </c:marker>
          <c:cat>
            <c:numRef>
              <c:f>Outputs!$B$3:$B$22</c:f>
              <c:numCache>
                <c:formatCode>@</c:formatCode>
                <c:ptCount val="20"/>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numCache>
            </c:numRef>
          </c:cat>
          <c:val>
            <c:numRef>
              <c:f>Outputs!$F$3:$F$22</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4-5C82-4BF9-B5EA-C58BE7403D39}"/>
            </c:ext>
          </c:extLst>
        </c:ser>
        <c:ser>
          <c:idx val="5"/>
          <c:order val="4"/>
          <c:tx>
            <c:strRef>
              <c:f>Outputs!$G$2</c:f>
              <c:strCache>
                <c:ptCount val="1"/>
                <c:pt idx="0">
                  <c:v>  Zone Shoulder On-Peak ($/MWh) </c:v>
                </c:pt>
              </c:strCache>
            </c:strRef>
          </c:tx>
          <c:spPr>
            <a:ln w="28575" cap="rnd">
              <a:solidFill>
                <a:schemeClr val="accent6"/>
              </a:solidFill>
              <a:round/>
            </a:ln>
            <a:effectLst/>
          </c:spPr>
          <c:marker>
            <c:symbol val="none"/>
          </c:marker>
          <c:cat>
            <c:numRef>
              <c:f>Outputs!$B$3:$B$22</c:f>
              <c:numCache>
                <c:formatCode>@</c:formatCode>
                <c:ptCount val="20"/>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numCache>
            </c:numRef>
          </c:cat>
          <c:val>
            <c:numRef>
              <c:f>Outputs!$G$3:$G$22</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5-5C82-4BF9-B5EA-C58BE7403D39}"/>
            </c:ext>
          </c:extLst>
        </c:ser>
        <c:ser>
          <c:idx val="6"/>
          <c:order val="5"/>
          <c:tx>
            <c:strRef>
              <c:f>Outputs!$H$2</c:f>
              <c:strCache>
                <c:ptCount val="1"/>
                <c:pt idx="0">
                  <c:v>  Zone Shoulder Off-Peak ($/MWh) </c:v>
                </c:pt>
              </c:strCache>
            </c:strRef>
          </c:tx>
          <c:spPr>
            <a:ln w="28575" cap="rnd">
              <a:solidFill>
                <a:schemeClr val="accent1">
                  <a:lumMod val="60000"/>
                </a:schemeClr>
              </a:solidFill>
              <a:round/>
            </a:ln>
            <a:effectLst/>
          </c:spPr>
          <c:marker>
            <c:symbol val="none"/>
          </c:marker>
          <c:cat>
            <c:numRef>
              <c:f>Outputs!$B$3:$B$22</c:f>
              <c:numCache>
                <c:formatCode>@</c:formatCode>
                <c:ptCount val="20"/>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numCache>
            </c:numRef>
          </c:cat>
          <c:val>
            <c:numRef>
              <c:f>Outputs!$H$3:$H$22</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6-5C82-4BF9-B5EA-C58BE7403D39}"/>
            </c:ext>
          </c:extLst>
        </c:ser>
        <c:dLbls>
          <c:showLegendKey val="0"/>
          <c:showVal val="0"/>
          <c:showCatName val="0"/>
          <c:showSerName val="0"/>
          <c:showPercent val="0"/>
          <c:showBubbleSize val="0"/>
        </c:dLbls>
        <c:smooth val="0"/>
        <c:axId val="508193392"/>
        <c:axId val="683779104"/>
      </c:lineChart>
      <c:catAx>
        <c:axId val="508193392"/>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3779104"/>
        <c:crosses val="autoZero"/>
        <c:auto val="1"/>
        <c:lblAlgn val="ctr"/>
        <c:lblOffset val="100"/>
        <c:tickLblSkip val="5"/>
        <c:tickMarkSkip val="5"/>
        <c:noMultiLvlLbl val="0"/>
      </c:catAx>
      <c:valAx>
        <c:axId val="6837791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1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488373</xdr:colOff>
      <xdr:row>1</xdr:row>
      <xdr:rowOff>157595</xdr:rowOff>
    </xdr:from>
    <xdr:to>
      <xdr:col>18</xdr:col>
      <xdr:colOff>61480</xdr:colOff>
      <xdr:row>31</xdr:row>
      <xdr:rowOff>86590</xdr:rowOff>
    </xdr:to>
    <xdr:pic>
      <xdr:nvPicPr>
        <xdr:cNvPr id="3" name="Picture 2">
          <a:extLst>
            <a:ext uri="{FF2B5EF4-FFF2-40B4-BE49-F238E27FC236}">
              <a16:creationId xmlns:a16="http://schemas.microsoft.com/office/drawing/2014/main" id="{E4EADFC4-1F3B-4EB1-84E8-A149518C1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5146" y="322118"/>
          <a:ext cx="7936923" cy="59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714374</xdr:colOff>
      <xdr:row>23</xdr:row>
      <xdr:rowOff>147637</xdr:rowOff>
    </xdr:from>
    <xdr:to>
      <xdr:col>11</xdr:col>
      <xdr:colOff>9524</xdr:colOff>
      <xdr:row>49</xdr:row>
      <xdr:rowOff>142875</xdr:rowOff>
    </xdr:to>
    <xdr:graphicFrame macro="">
      <xdr:nvGraphicFramePr>
        <xdr:cNvPr id="2" name="Chart 1">
          <a:extLst>
            <a:ext uri="{FF2B5EF4-FFF2-40B4-BE49-F238E27FC236}">
              <a16:creationId xmlns:a16="http://schemas.microsoft.com/office/drawing/2014/main" id="{2F400D69-254B-4031-900D-19B9E3A493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zoomScale="110" zoomScaleNormal="110" workbookViewId="0">
      <selection activeCell="B13" sqref="B13"/>
    </sheetView>
  </sheetViews>
  <sheetFormatPr defaultRowHeight="12.75" x14ac:dyDescent="0.2"/>
  <cols>
    <col min="1" max="1" width="21.28515625" style="3" customWidth="1"/>
    <col min="2" max="2" width="48.42578125" style="3" customWidth="1"/>
    <col min="3" max="3" width="14" style="3" customWidth="1"/>
    <col min="4" max="4" width="17.28515625" style="3" customWidth="1"/>
    <col min="5" max="5" width="3.140625" style="3" customWidth="1"/>
    <col min="6" max="16384" width="9.140625" style="3"/>
  </cols>
  <sheetData>
    <row r="1" spans="1:18" x14ac:dyDescent="0.2">
      <c r="A1" s="178" t="s">
        <v>175</v>
      </c>
      <c r="B1" s="178"/>
      <c r="F1" s="172" t="s">
        <v>140</v>
      </c>
      <c r="G1" s="173"/>
      <c r="H1" s="173"/>
      <c r="I1" s="173"/>
      <c r="J1" s="173"/>
      <c r="K1" s="173"/>
      <c r="L1" s="173"/>
      <c r="M1" s="173"/>
      <c r="N1" s="173"/>
      <c r="O1" s="173"/>
      <c r="P1" s="173"/>
      <c r="Q1" s="173"/>
      <c r="R1" s="174"/>
    </row>
    <row r="2" spans="1:18" ht="12.75" customHeight="1" x14ac:dyDescent="0.2">
      <c r="A2" s="179" t="s">
        <v>177</v>
      </c>
      <c r="B2" s="180"/>
    </row>
    <row r="3" spans="1:18" x14ac:dyDescent="0.2">
      <c r="A3" s="181"/>
      <c r="B3" s="182"/>
    </row>
    <row r="4" spans="1:18" x14ac:dyDescent="0.2">
      <c r="A4" s="181"/>
      <c r="B4" s="182"/>
    </row>
    <row r="5" spans="1:18" x14ac:dyDescent="0.2">
      <c r="A5" s="181"/>
      <c r="B5" s="182"/>
    </row>
    <row r="6" spans="1:18" x14ac:dyDescent="0.2">
      <c r="A6" s="181"/>
      <c r="B6" s="182"/>
    </row>
    <row r="7" spans="1:18" x14ac:dyDescent="0.2">
      <c r="A7" s="181"/>
      <c r="B7" s="182"/>
    </row>
    <row r="8" spans="1:18" x14ac:dyDescent="0.2">
      <c r="A8" s="181"/>
      <c r="B8" s="182"/>
    </row>
    <row r="9" spans="1:18" x14ac:dyDescent="0.2">
      <c r="A9" s="181"/>
      <c r="B9" s="182"/>
    </row>
    <row r="10" spans="1:18" x14ac:dyDescent="0.2">
      <c r="A10" s="183"/>
      <c r="B10" s="184"/>
    </row>
    <row r="12" spans="1:18" x14ac:dyDescent="0.2">
      <c r="A12" s="178" t="s">
        <v>78</v>
      </c>
      <c r="B12" s="178"/>
    </row>
    <row r="13" spans="1:18" ht="30" customHeight="1" x14ac:dyDescent="0.2">
      <c r="A13" s="117"/>
      <c r="B13" s="118" t="s">
        <v>107</v>
      </c>
    </row>
    <row r="14" spans="1:18" ht="30" customHeight="1" x14ac:dyDescent="0.2">
      <c r="A14" s="112"/>
      <c r="B14" s="118" t="s">
        <v>79</v>
      </c>
    </row>
    <row r="15" spans="1:18" ht="30" customHeight="1" x14ac:dyDescent="0.2">
      <c r="A15" s="119"/>
      <c r="B15" s="118" t="s">
        <v>80</v>
      </c>
    </row>
    <row r="16" spans="1:18" ht="30" customHeight="1" x14ac:dyDescent="0.2">
      <c r="A16" s="120"/>
      <c r="B16" s="118" t="s">
        <v>91</v>
      </c>
    </row>
    <row r="17" spans="1:4" ht="30" customHeight="1" x14ac:dyDescent="0.2">
      <c r="A17" s="121"/>
      <c r="B17" s="118" t="s">
        <v>92</v>
      </c>
    </row>
    <row r="19" spans="1:4" x14ac:dyDescent="0.2">
      <c r="A19" s="178" t="s">
        <v>81</v>
      </c>
      <c r="B19" s="178"/>
      <c r="C19" s="122" t="s">
        <v>89</v>
      </c>
      <c r="D19" s="122" t="s">
        <v>90</v>
      </c>
    </row>
    <row r="20" spans="1:4" x14ac:dyDescent="0.2">
      <c r="A20" s="175" t="s">
        <v>166</v>
      </c>
      <c r="B20" s="176"/>
      <c r="C20" s="98"/>
      <c r="D20" s="98" t="s">
        <v>96</v>
      </c>
    </row>
    <row r="21" spans="1:4" x14ac:dyDescent="0.2">
      <c r="A21" s="175" t="s">
        <v>165</v>
      </c>
      <c r="B21" s="176"/>
      <c r="C21" s="98"/>
      <c r="D21" s="98" t="s">
        <v>96</v>
      </c>
    </row>
    <row r="22" spans="1:4" x14ac:dyDescent="0.2">
      <c r="A22" s="175" t="s">
        <v>75</v>
      </c>
      <c r="B22" s="176"/>
      <c r="C22" s="98" t="s">
        <v>93</v>
      </c>
      <c r="D22" s="98" t="s">
        <v>96</v>
      </c>
    </row>
    <row r="23" spans="1:4" x14ac:dyDescent="0.2">
      <c r="A23" s="175" t="s">
        <v>82</v>
      </c>
      <c r="B23" s="176"/>
      <c r="C23" s="98" t="s">
        <v>99</v>
      </c>
      <c r="D23" s="98" t="s">
        <v>96</v>
      </c>
    </row>
    <row r="24" spans="1:4" x14ac:dyDescent="0.2">
      <c r="A24" s="175" t="s">
        <v>83</v>
      </c>
      <c r="B24" s="176"/>
      <c r="C24" s="98" t="s">
        <v>103</v>
      </c>
      <c r="D24" s="98" t="s">
        <v>98</v>
      </c>
    </row>
    <row r="25" spans="1:4" x14ac:dyDescent="0.2">
      <c r="A25" s="175" t="s">
        <v>84</v>
      </c>
      <c r="B25" s="176"/>
      <c r="C25" s="98" t="s">
        <v>103</v>
      </c>
      <c r="D25" s="98" t="s">
        <v>98</v>
      </c>
    </row>
    <row r="26" spans="1:4" x14ac:dyDescent="0.2">
      <c r="A26" s="175" t="s">
        <v>85</v>
      </c>
      <c r="B26" s="176"/>
      <c r="C26" s="98" t="s">
        <v>106</v>
      </c>
      <c r="D26" s="98" t="s">
        <v>97</v>
      </c>
    </row>
    <row r="27" spans="1:4" x14ac:dyDescent="0.2">
      <c r="A27" s="175" t="s">
        <v>88</v>
      </c>
      <c r="B27" s="176"/>
      <c r="C27" s="98" t="s">
        <v>104</v>
      </c>
      <c r="D27" s="98" t="s">
        <v>97</v>
      </c>
    </row>
    <row r="28" spans="1:4" x14ac:dyDescent="0.2">
      <c r="A28" s="175" t="s">
        <v>86</v>
      </c>
      <c r="B28" s="176"/>
      <c r="C28" s="98" t="s">
        <v>105</v>
      </c>
      <c r="D28" s="98" t="s">
        <v>178</v>
      </c>
    </row>
    <row r="29" spans="1:4" x14ac:dyDescent="0.2">
      <c r="A29" s="128" t="s">
        <v>87</v>
      </c>
      <c r="B29" s="129"/>
      <c r="C29" s="98" t="s">
        <v>94</v>
      </c>
      <c r="D29" s="98" t="s">
        <v>95</v>
      </c>
    </row>
    <row r="30" spans="1:4" x14ac:dyDescent="0.2">
      <c r="A30" s="128" t="s">
        <v>132</v>
      </c>
      <c r="B30" s="129"/>
      <c r="C30" s="98" t="s">
        <v>133</v>
      </c>
      <c r="D30" s="98" t="s">
        <v>134</v>
      </c>
    </row>
    <row r="31" spans="1:4" x14ac:dyDescent="0.2">
      <c r="A31" s="164" t="s">
        <v>137</v>
      </c>
      <c r="B31" s="165"/>
      <c r="C31" s="98" t="s">
        <v>135</v>
      </c>
      <c r="D31" s="98" t="s">
        <v>136</v>
      </c>
    </row>
    <row r="32" spans="1:4" x14ac:dyDescent="0.2">
      <c r="A32" s="128" t="s">
        <v>167</v>
      </c>
      <c r="B32" s="129"/>
      <c r="C32" s="98" t="s">
        <v>169</v>
      </c>
      <c r="D32" s="98" t="s">
        <v>168</v>
      </c>
    </row>
    <row r="33" spans="1:4" ht="15" customHeight="1" x14ac:dyDescent="0.2">
      <c r="A33" s="123"/>
      <c r="B33" s="123"/>
      <c r="C33" s="124"/>
      <c r="D33" s="124"/>
    </row>
    <row r="34" spans="1:4" x14ac:dyDescent="0.2">
      <c r="A34" s="125" t="s">
        <v>119</v>
      </c>
      <c r="B34" s="126" t="s">
        <v>120</v>
      </c>
      <c r="C34" s="124"/>
      <c r="D34" s="124"/>
    </row>
    <row r="35" spans="1:4" x14ac:dyDescent="0.2">
      <c r="A35" s="127"/>
    </row>
    <row r="36" spans="1:4" x14ac:dyDescent="0.2">
      <c r="A36" s="111" t="s">
        <v>117</v>
      </c>
      <c r="B36" s="177" t="s">
        <v>170</v>
      </c>
    </row>
    <row r="37" spans="1:4" x14ac:dyDescent="0.2">
      <c r="B37" s="177"/>
    </row>
    <row r="38" spans="1:4" x14ac:dyDescent="0.2">
      <c r="B38" s="177"/>
    </row>
    <row r="39" spans="1:4" x14ac:dyDescent="0.2">
      <c r="B39" s="177"/>
    </row>
    <row r="40" spans="1:4" x14ac:dyDescent="0.2">
      <c r="B40" s="177"/>
    </row>
    <row r="41" spans="1:4" x14ac:dyDescent="0.2">
      <c r="B41" s="177"/>
    </row>
    <row r="42" spans="1:4" x14ac:dyDescent="0.2">
      <c r="B42" s="177"/>
    </row>
    <row r="43" spans="1:4" x14ac:dyDescent="0.2">
      <c r="B43" s="177"/>
    </row>
    <row r="44" spans="1:4" x14ac:dyDescent="0.2">
      <c r="B44" s="177"/>
    </row>
  </sheetData>
  <mergeCells count="15">
    <mergeCell ref="B36:B44"/>
    <mergeCell ref="A28:B28"/>
    <mergeCell ref="A20:B20"/>
    <mergeCell ref="A21:B21"/>
    <mergeCell ref="A1:B1"/>
    <mergeCell ref="A2:B10"/>
    <mergeCell ref="A12:B12"/>
    <mergeCell ref="A19:B19"/>
    <mergeCell ref="A22:B22"/>
    <mergeCell ref="F1:R1"/>
    <mergeCell ref="A24:B24"/>
    <mergeCell ref="A25:B25"/>
    <mergeCell ref="A26:B26"/>
    <mergeCell ref="A27:B27"/>
    <mergeCell ref="A23:B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2"/>
  <sheetViews>
    <sheetView workbookViewId="0">
      <selection activeCell="N14" sqref="N14"/>
    </sheetView>
  </sheetViews>
  <sheetFormatPr defaultColWidth="9.140625" defaultRowHeight="15" x14ac:dyDescent="0.25"/>
  <cols>
    <col min="1" max="13" width="9.140625" style="21"/>
    <col min="14" max="14" width="11.42578125" style="21" bestFit="1" customWidth="1"/>
    <col min="15" max="15" width="4.140625" style="21" customWidth="1"/>
    <col min="16" max="16" width="12.85546875" style="21" customWidth="1"/>
    <col min="17" max="17" width="50.7109375" style="21" customWidth="1"/>
    <col min="18" max="16384" width="9.140625" style="21"/>
  </cols>
  <sheetData>
    <row r="1" spans="1:17" ht="15.75" x14ac:dyDescent="0.25">
      <c r="A1" s="212" t="s">
        <v>29</v>
      </c>
      <c r="B1" s="213"/>
      <c r="C1" s="213"/>
      <c r="D1" s="213"/>
      <c r="E1" s="213"/>
      <c r="F1" s="213"/>
      <c r="G1" s="20"/>
      <c r="H1" s="20"/>
      <c r="I1" s="20"/>
      <c r="J1" s="20"/>
      <c r="K1" s="20"/>
      <c r="L1" s="20"/>
      <c r="M1" s="20"/>
    </row>
    <row r="2" spans="1:17" ht="15.75" x14ac:dyDescent="0.25">
      <c r="A2" s="212" t="s">
        <v>30</v>
      </c>
      <c r="B2" s="213"/>
      <c r="C2" s="213"/>
      <c r="D2" s="213"/>
      <c r="E2" s="213"/>
      <c r="F2" s="213"/>
      <c r="G2" s="20"/>
      <c r="H2" s="20"/>
      <c r="I2" s="20"/>
      <c r="J2" s="20"/>
      <c r="K2" s="20"/>
      <c r="L2" s="20"/>
      <c r="M2" s="20"/>
    </row>
    <row r="3" spans="1:17" x14ac:dyDescent="0.25">
      <c r="A3" s="213"/>
      <c r="B3" s="213"/>
      <c r="C3" s="213"/>
      <c r="D3" s="213"/>
      <c r="E3" s="213"/>
      <c r="F3" s="213"/>
      <c r="G3" s="20"/>
      <c r="H3" s="20"/>
      <c r="I3" s="20"/>
      <c r="J3" s="20"/>
      <c r="K3" s="20"/>
      <c r="L3" s="20"/>
      <c r="M3" s="20"/>
    </row>
    <row r="4" spans="1:17" x14ac:dyDescent="0.25">
      <c r="A4" s="22" t="s">
        <v>31</v>
      </c>
      <c r="B4" s="214" t="s">
        <v>32</v>
      </c>
      <c r="C4" s="213"/>
      <c r="D4" s="213"/>
      <c r="E4" s="213"/>
      <c r="F4" s="213"/>
      <c r="G4" s="20"/>
      <c r="H4" s="20"/>
      <c r="I4" s="20"/>
      <c r="J4" s="20"/>
      <c r="K4" s="20"/>
      <c r="L4" s="20"/>
      <c r="M4" s="20"/>
    </row>
    <row r="5" spans="1:17" ht="25.5" x14ac:dyDescent="0.25">
      <c r="A5" s="22" t="s">
        <v>33</v>
      </c>
      <c r="B5" s="214" t="s">
        <v>34</v>
      </c>
      <c r="C5" s="213"/>
      <c r="D5" s="213"/>
      <c r="E5" s="213"/>
      <c r="F5" s="213"/>
      <c r="G5" s="20"/>
      <c r="H5" s="20"/>
      <c r="I5" s="20"/>
      <c r="J5" s="20"/>
      <c r="K5" s="20"/>
      <c r="L5" s="20"/>
      <c r="M5" s="20"/>
    </row>
    <row r="6" spans="1:17" x14ac:dyDescent="0.25">
      <c r="A6" s="35" t="s">
        <v>35</v>
      </c>
      <c r="B6" s="209" t="s">
        <v>36</v>
      </c>
      <c r="C6" s="210"/>
      <c r="D6" s="210"/>
      <c r="E6" s="210"/>
      <c r="F6" s="210"/>
      <c r="G6" s="20"/>
      <c r="H6" s="20"/>
      <c r="I6" s="20"/>
      <c r="J6" s="20"/>
      <c r="K6" s="20"/>
      <c r="L6" s="20"/>
      <c r="M6" s="20"/>
    </row>
    <row r="7" spans="1:17" x14ac:dyDescent="0.25">
      <c r="A7" s="35" t="s">
        <v>37</v>
      </c>
      <c r="B7" s="209" t="s">
        <v>36</v>
      </c>
      <c r="C7" s="210"/>
      <c r="D7" s="210"/>
      <c r="E7" s="210"/>
      <c r="F7" s="210"/>
      <c r="G7" s="20"/>
      <c r="H7" s="20"/>
      <c r="I7" s="20"/>
      <c r="J7" s="20"/>
      <c r="K7" s="20"/>
      <c r="L7" s="20"/>
      <c r="M7" s="20"/>
    </row>
    <row r="8" spans="1:17" ht="25.5" x14ac:dyDescent="0.25">
      <c r="A8" s="35" t="s">
        <v>38</v>
      </c>
      <c r="B8" s="209" t="s">
        <v>39</v>
      </c>
      <c r="C8" s="210"/>
      <c r="D8" s="210"/>
      <c r="E8" s="210"/>
      <c r="F8" s="210"/>
      <c r="G8" s="20"/>
      <c r="H8" s="20"/>
      <c r="I8" s="20"/>
      <c r="J8" s="20"/>
      <c r="K8" s="20"/>
      <c r="L8" s="20"/>
      <c r="M8" s="20"/>
    </row>
    <row r="9" spans="1:17" x14ac:dyDescent="0.25">
      <c r="A9" s="35" t="s">
        <v>40</v>
      </c>
      <c r="B9" s="211" t="s">
        <v>41</v>
      </c>
      <c r="C9" s="210"/>
      <c r="D9" s="210"/>
      <c r="E9" s="210"/>
      <c r="F9" s="210"/>
      <c r="G9" s="20"/>
      <c r="H9" s="20"/>
      <c r="I9" s="20"/>
      <c r="J9" s="20"/>
      <c r="K9" s="20"/>
      <c r="L9" s="20"/>
      <c r="M9" s="20"/>
    </row>
    <row r="11" spans="1:17" ht="15" customHeight="1" x14ac:dyDescent="0.25">
      <c r="A11" s="36" t="s">
        <v>5</v>
      </c>
      <c r="B11" s="36" t="s">
        <v>42</v>
      </c>
      <c r="C11" s="36" t="s">
        <v>43</v>
      </c>
      <c r="D11" s="36" t="s">
        <v>44</v>
      </c>
      <c r="E11" s="36" t="s">
        <v>45</v>
      </c>
      <c r="F11" s="36" t="s">
        <v>46</v>
      </c>
      <c r="G11" s="36" t="s">
        <v>47</v>
      </c>
      <c r="H11" s="36" t="s">
        <v>48</v>
      </c>
      <c r="I11" s="36" t="s">
        <v>49</v>
      </c>
      <c r="J11" s="36" t="s">
        <v>50</v>
      </c>
      <c r="K11" s="36" t="s">
        <v>51</v>
      </c>
      <c r="L11" s="36" t="s">
        <v>52</v>
      </c>
      <c r="M11" s="36" t="s">
        <v>53</v>
      </c>
      <c r="N11" s="36" t="s">
        <v>71</v>
      </c>
      <c r="P11" s="37" t="s">
        <v>115</v>
      </c>
      <c r="Q11" s="208" t="s">
        <v>164</v>
      </c>
    </row>
    <row r="12" spans="1:17" x14ac:dyDescent="0.25">
      <c r="A12" s="30">
        <f>Start_Year-10</f>
        <v>2012</v>
      </c>
      <c r="B12" s="23"/>
      <c r="C12" s="23"/>
      <c r="D12" s="23"/>
      <c r="E12" s="23"/>
      <c r="F12" s="23"/>
      <c r="G12" s="23"/>
      <c r="H12" s="23"/>
      <c r="I12" s="23"/>
      <c r="J12" s="23"/>
      <c r="K12" s="23"/>
      <c r="L12" s="23"/>
      <c r="M12" s="23"/>
      <c r="N12" s="32" t="str">
        <f>IFERROR(AVERAGE(B12:M12), "Data Missing")</f>
        <v>Data Missing</v>
      </c>
      <c r="Q12" s="208"/>
    </row>
    <row r="13" spans="1:17" x14ac:dyDescent="0.25">
      <c r="A13" s="30">
        <f>A12+1</f>
        <v>2013</v>
      </c>
      <c r="B13" s="23"/>
      <c r="C13" s="23"/>
      <c r="D13" s="23"/>
      <c r="E13" s="23"/>
      <c r="F13" s="23"/>
      <c r="G13" s="23"/>
      <c r="H13" s="23"/>
      <c r="I13" s="23"/>
      <c r="J13" s="23"/>
      <c r="K13" s="23"/>
      <c r="L13" s="23"/>
      <c r="M13" s="23"/>
      <c r="N13" s="32" t="str">
        <f t="shared" ref="N13:N21" si="0">IFERROR(AVERAGE(B13:M13), "Data Missing")</f>
        <v>Data Missing</v>
      </c>
      <c r="Q13" s="208"/>
    </row>
    <row r="14" spans="1:17" x14ac:dyDescent="0.25">
      <c r="A14" s="30">
        <f t="shared" ref="A14:A21" si="1">A13+1</f>
        <v>2014</v>
      </c>
      <c r="B14" s="23"/>
      <c r="C14" s="23"/>
      <c r="D14" s="23"/>
      <c r="E14" s="23"/>
      <c r="F14" s="23"/>
      <c r="G14" s="23"/>
      <c r="H14" s="23"/>
      <c r="I14" s="23"/>
      <c r="J14" s="23"/>
      <c r="K14" s="23"/>
      <c r="L14" s="23"/>
      <c r="M14" s="23"/>
      <c r="N14" s="32" t="str">
        <f t="shared" si="0"/>
        <v>Data Missing</v>
      </c>
      <c r="Q14" s="208"/>
    </row>
    <row r="15" spans="1:17" x14ac:dyDescent="0.25">
      <c r="A15" s="30">
        <f t="shared" si="1"/>
        <v>2015</v>
      </c>
      <c r="B15" s="23"/>
      <c r="C15" s="23"/>
      <c r="D15" s="23"/>
      <c r="E15" s="23"/>
      <c r="F15" s="23"/>
      <c r="G15" s="23"/>
      <c r="H15" s="23"/>
      <c r="I15" s="23"/>
      <c r="J15" s="23"/>
      <c r="K15" s="23"/>
      <c r="L15" s="23"/>
      <c r="M15" s="23"/>
      <c r="N15" s="32" t="str">
        <f t="shared" si="0"/>
        <v>Data Missing</v>
      </c>
      <c r="Q15" s="208"/>
    </row>
    <row r="16" spans="1:17" x14ac:dyDescent="0.25">
      <c r="A16" s="30">
        <f t="shared" si="1"/>
        <v>2016</v>
      </c>
      <c r="B16" s="23"/>
      <c r="C16" s="23"/>
      <c r="D16" s="23"/>
      <c r="E16" s="23"/>
      <c r="F16" s="23"/>
      <c r="G16" s="23"/>
      <c r="H16" s="23"/>
      <c r="I16" s="23"/>
      <c r="J16" s="23"/>
      <c r="K16" s="23"/>
      <c r="L16" s="23"/>
      <c r="M16" s="23"/>
      <c r="N16" s="32" t="str">
        <f t="shared" si="0"/>
        <v>Data Missing</v>
      </c>
      <c r="Q16" s="208"/>
    </row>
    <row r="17" spans="1:17" x14ac:dyDescent="0.25">
      <c r="A17" s="30">
        <f t="shared" si="1"/>
        <v>2017</v>
      </c>
      <c r="B17" s="23"/>
      <c r="C17" s="23"/>
      <c r="D17" s="23"/>
      <c r="E17" s="23"/>
      <c r="F17" s="23"/>
      <c r="G17" s="23"/>
      <c r="H17" s="23"/>
      <c r="I17" s="23"/>
      <c r="J17" s="23"/>
      <c r="K17" s="23"/>
      <c r="L17" s="23"/>
      <c r="M17" s="23"/>
      <c r="N17" s="32" t="str">
        <f t="shared" si="0"/>
        <v>Data Missing</v>
      </c>
      <c r="Q17" s="208"/>
    </row>
    <row r="18" spans="1:17" x14ac:dyDescent="0.25">
      <c r="A18" s="30">
        <f t="shared" si="1"/>
        <v>2018</v>
      </c>
      <c r="B18" s="23"/>
      <c r="C18" s="23"/>
      <c r="D18" s="23"/>
      <c r="E18" s="23"/>
      <c r="F18" s="23"/>
      <c r="G18" s="23"/>
      <c r="H18" s="23"/>
      <c r="I18" s="23"/>
      <c r="J18" s="23"/>
      <c r="K18" s="23"/>
      <c r="L18" s="23"/>
      <c r="M18" s="23"/>
      <c r="N18" s="32" t="str">
        <f t="shared" si="0"/>
        <v>Data Missing</v>
      </c>
    </row>
    <row r="19" spans="1:17" x14ac:dyDescent="0.25">
      <c r="A19" s="30">
        <f t="shared" si="1"/>
        <v>2019</v>
      </c>
      <c r="B19" s="23"/>
      <c r="C19" s="23"/>
      <c r="D19" s="23"/>
      <c r="E19" s="23"/>
      <c r="F19" s="23"/>
      <c r="G19" s="23"/>
      <c r="H19" s="23"/>
      <c r="I19" s="23"/>
      <c r="J19" s="23"/>
      <c r="K19" s="23"/>
      <c r="L19" s="23"/>
      <c r="M19" s="23"/>
      <c r="N19" s="32" t="str">
        <f t="shared" si="0"/>
        <v>Data Missing</v>
      </c>
    </row>
    <row r="20" spans="1:17" x14ac:dyDescent="0.25">
      <c r="A20" s="30">
        <f t="shared" si="1"/>
        <v>2020</v>
      </c>
      <c r="B20" s="23"/>
      <c r="C20" s="23"/>
      <c r="D20" s="23"/>
      <c r="E20" s="23"/>
      <c r="F20" s="23"/>
      <c r="G20" s="23"/>
      <c r="H20" s="23"/>
      <c r="I20" s="23"/>
      <c r="J20" s="23"/>
      <c r="K20" s="23"/>
      <c r="L20" s="23"/>
      <c r="M20" s="23"/>
      <c r="N20" s="32" t="str">
        <f t="shared" si="0"/>
        <v>Data Missing</v>
      </c>
    </row>
    <row r="21" spans="1:17" x14ac:dyDescent="0.25">
      <c r="A21" s="30">
        <f t="shared" si="1"/>
        <v>2021</v>
      </c>
      <c r="B21" s="23"/>
      <c r="C21" s="23"/>
      <c r="D21" s="23"/>
      <c r="E21" s="23"/>
      <c r="F21" s="23"/>
      <c r="G21" s="23"/>
      <c r="H21" s="23"/>
      <c r="I21" s="23"/>
      <c r="J21" s="23"/>
      <c r="K21" s="23"/>
      <c r="L21" s="23"/>
      <c r="M21" s="23"/>
      <c r="N21" s="32" t="str">
        <f t="shared" si="0"/>
        <v>Data Missing</v>
      </c>
    </row>
    <row r="22" spans="1:17" x14ac:dyDescent="0.25">
      <c r="A22" s="24"/>
      <c r="B22" s="25"/>
      <c r="C22" s="25"/>
      <c r="D22" s="25"/>
      <c r="E22" s="25"/>
      <c r="F22" s="25"/>
      <c r="G22" s="25"/>
      <c r="H22" s="25"/>
      <c r="I22" s="25"/>
      <c r="J22" s="25"/>
      <c r="K22" s="25"/>
      <c r="L22" s="25"/>
      <c r="M22" s="34" t="s">
        <v>116</v>
      </c>
      <c r="N22" s="31" t="str">
        <f>IFERROR(IF($M$21="No Value",((N20/N17)^(1/COUNT(N17:N20)))-1,((N21/N18)^(1/COUNT(N18:N21)))-1),"Data Missing")</f>
        <v>Data Missing</v>
      </c>
      <c r="O22" s="33"/>
    </row>
  </sheetData>
  <mergeCells count="10">
    <mergeCell ref="A1:F1"/>
    <mergeCell ref="A2:F2"/>
    <mergeCell ref="A3:F3"/>
    <mergeCell ref="B4:F4"/>
    <mergeCell ref="B5:F5"/>
    <mergeCell ref="Q11:Q17"/>
    <mergeCell ref="B6:F6"/>
    <mergeCell ref="B7:F7"/>
    <mergeCell ref="B8:F8"/>
    <mergeCell ref="B9:F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08CB-9136-4FB9-827A-470EB570A88D}">
  <dimension ref="B1:L17"/>
  <sheetViews>
    <sheetView workbookViewId="0">
      <selection activeCell="I14" sqref="I14:I17"/>
    </sheetView>
  </sheetViews>
  <sheetFormatPr defaultRowHeight="12.75" x14ac:dyDescent="0.2"/>
  <cols>
    <col min="1" max="1" width="3.7109375" style="3" customWidth="1"/>
    <col min="2" max="2" width="26.85546875" style="3" bestFit="1" customWidth="1"/>
    <col min="3" max="7" width="9.140625" style="3"/>
    <col min="8" max="8" width="5.7109375" style="3" customWidth="1"/>
    <col min="9" max="12" width="13.28515625" style="3" customWidth="1"/>
    <col min="13" max="16384" width="9.140625" style="3"/>
  </cols>
  <sheetData>
    <row r="1" spans="2:12" ht="13.5" thickBot="1" x14ac:dyDescent="0.25">
      <c r="B1" s="135" t="s">
        <v>144</v>
      </c>
      <c r="C1" s="136">
        <v>1000</v>
      </c>
    </row>
    <row r="2" spans="2:12" x14ac:dyDescent="0.2">
      <c r="H2" s="151"/>
      <c r="I2" s="218" t="s">
        <v>162</v>
      </c>
      <c r="J2" s="219"/>
      <c r="K2" s="219"/>
      <c r="L2" s="220"/>
    </row>
    <row r="3" spans="2:12" ht="26.25" customHeight="1" x14ac:dyDescent="0.2">
      <c r="B3" s="15" t="s">
        <v>145</v>
      </c>
      <c r="C3" s="15" t="s">
        <v>146</v>
      </c>
      <c r="D3" s="15" t="s">
        <v>147</v>
      </c>
      <c r="E3" s="153"/>
      <c r="F3" s="15" t="s">
        <v>148</v>
      </c>
      <c r="G3" s="15" t="s">
        <v>149</v>
      </c>
      <c r="H3" s="152"/>
      <c r="I3" s="146" t="s">
        <v>155</v>
      </c>
      <c r="J3" s="137" t="s">
        <v>156</v>
      </c>
      <c r="K3" s="221" t="s">
        <v>157</v>
      </c>
      <c r="L3" s="223" t="s">
        <v>158</v>
      </c>
    </row>
    <row r="4" spans="2:12" ht="15.75" customHeight="1" thickBot="1" x14ac:dyDescent="0.25">
      <c r="B4" s="15" t="s">
        <v>150</v>
      </c>
      <c r="C4" s="150">
        <v>5.0000000000000001E-3</v>
      </c>
      <c r="D4" s="138">
        <f>AVERAGE(K8:L8)</f>
        <v>55</v>
      </c>
      <c r="E4" s="151"/>
      <c r="F4" s="100">
        <f>$C$1*C4</f>
        <v>5</v>
      </c>
      <c r="G4" s="147">
        <f>D4*F4</f>
        <v>275</v>
      </c>
      <c r="H4" s="151"/>
      <c r="I4" s="139"/>
      <c r="J4" s="140"/>
      <c r="K4" s="222"/>
      <c r="L4" s="224"/>
    </row>
    <row r="5" spans="2:12" x14ac:dyDescent="0.2">
      <c r="B5" s="15" t="s">
        <v>151</v>
      </c>
      <c r="C5" s="150">
        <v>0.08</v>
      </c>
      <c r="D5" s="138">
        <f>AVERAGE(K12:L12)</f>
        <v>6.3</v>
      </c>
      <c r="E5" s="151"/>
      <c r="F5" s="100">
        <f t="shared" ref="F5:F6" si="0">$C$1*C5</f>
        <v>80</v>
      </c>
      <c r="G5" s="147">
        <f t="shared" ref="G5:G6" si="1">D5*F5</f>
        <v>504</v>
      </c>
      <c r="H5" s="151"/>
      <c r="I5" s="225" t="s">
        <v>159</v>
      </c>
      <c r="J5" s="141">
        <v>2018</v>
      </c>
      <c r="K5" s="154">
        <v>32.5</v>
      </c>
      <c r="L5" s="155">
        <v>40</v>
      </c>
    </row>
    <row r="6" spans="2:12" ht="15" customHeight="1" x14ac:dyDescent="0.2">
      <c r="B6" s="15" t="s">
        <v>152</v>
      </c>
      <c r="C6" s="150">
        <v>0.1</v>
      </c>
      <c r="D6" s="138">
        <f>AVERAGE(K16:L16)</f>
        <v>0.55000000000000004</v>
      </c>
      <c r="E6" s="151"/>
      <c r="F6" s="100">
        <f t="shared" si="0"/>
        <v>100</v>
      </c>
      <c r="G6" s="147">
        <f t="shared" si="1"/>
        <v>55.000000000000007</v>
      </c>
      <c r="H6" s="151"/>
      <c r="I6" s="226"/>
      <c r="J6" s="142">
        <v>2019</v>
      </c>
      <c r="K6" s="156">
        <v>38</v>
      </c>
      <c r="L6" s="157">
        <v>45</v>
      </c>
    </row>
    <row r="7" spans="2:12" ht="15.75" customHeight="1" thickBot="1" x14ac:dyDescent="0.25">
      <c r="E7" s="15" t="s">
        <v>160</v>
      </c>
      <c r="F7" s="148">
        <f>SUM(C4:C6)*$C$1</f>
        <v>185</v>
      </c>
      <c r="G7" s="149">
        <f>F7*B9</f>
        <v>834</v>
      </c>
      <c r="H7" s="151"/>
      <c r="I7" s="226"/>
      <c r="J7" s="142">
        <v>2020</v>
      </c>
      <c r="K7" s="156">
        <v>47.5</v>
      </c>
      <c r="L7" s="157">
        <v>55</v>
      </c>
    </row>
    <row r="8" spans="2:12" ht="15" customHeight="1" x14ac:dyDescent="0.2">
      <c r="B8" s="15" t="s">
        <v>153</v>
      </c>
      <c r="I8" s="226"/>
      <c r="J8" s="142">
        <v>2021</v>
      </c>
      <c r="K8" s="158">
        <v>50</v>
      </c>
      <c r="L8" s="158">
        <v>60</v>
      </c>
    </row>
    <row r="9" spans="2:12" ht="15.75" customHeight="1" thickBot="1" x14ac:dyDescent="0.25">
      <c r="B9" s="138">
        <f>(D4*C4+C5*D5+C6*D6)/SUM(C4:C6)</f>
        <v>4.5081081081081082</v>
      </c>
      <c r="I9" s="227"/>
      <c r="J9" s="143">
        <v>2022</v>
      </c>
      <c r="K9" s="159">
        <v>50</v>
      </c>
      <c r="L9" s="160">
        <v>60</v>
      </c>
    </row>
    <row r="10" spans="2:12" x14ac:dyDescent="0.2">
      <c r="I10" s="225" t="s">
        <v>151</v>
      </c>
      <c r="J10" s="141">
        <v>2019</v>
      </c>
      <c r="K10" s="154">
        <v>5.55</v>
      </c>
      <c r="L10" s="155">
        <v>5.7</v>
      </c>
    </row>
    <row r="11" spans="2:12" ht="15.75" customHeight="1" thickBot="1" x14ac:dyDescent="0.25">
      <c r="B11" s="15" t="s">
        <v>154</v>
      </c>
      <c r="I11" s="226"/>
      <c r="J11" s="142">
        <v>2020</v>
      </c>
      <c r="K11" s="156">
        <v>5.9</v>
      </c>
      <c r="L11" s="157">
        <v>6.15</v>
      </c>
    </row>
    <row r="12" spans="2:12" ht="15" customHeight="1" x14ac:dyDescent="0.2">
      <c r="B12" s="138">
        <f>B9*F7/C1</f>
        <v>0.83399999999999996</v>
      </c>
      <c r="I12" s="226"/>
      <c r="J12" s="142">
        <v>2021</v>
      </c>
      <c r="K12" s="158">
        <v>6.1</v>
      </c>
      <c r="L12" s="158">
        <v>6.5</v>
      </c>
    </row>
    <row r="13" spans="2:12" ht="15.75" customHeight="1" thickBot="1" x14ac:dyDescent="0.25">
      <c r="B13" s="124"/>
      <c r="I13" s="227"/>
      <c r="J13" s="143">
        <v>2022</v>
      </c>
      <c r="K13" s="159">
        <v>6.4</v>
      </c>
      <c r="L13" s="160">
        <v>6.9</v>
      </c>
    </row>
    <row r="14" spans="2:12" ht="13.5" thickBot="1" x14ac:dyDescent="0.25">
      <c r="B14" s="144"/>
      <c r="I14" s="215" t="s">
        <v>152</v>
      </c>
      <c r="J14" s="141">
        <v>2019</v>
      </c>
      <c r="K14" s="154">
        <v>0.45</v>
      </c>
      <c r="L14" s="155">
        <v>0.65</v>
      </c>
    </row>
    <row r="15" spans="2:12" ht="15.75" customHeight="1" thickBot="1" x14ac:dyDescent="0.25">
      <c r="B15" s="145"/>
      <c r="I15" s="216"/>
      <c r="J15" s="142">
        <v>2020</v>
      </c>
      <c r="K15" s="154">
        <v>0.45</v>
      </c>
      <c r="L15" s="155">
        <v>0.65</v>
      </c>
    </row>
    <row r="16" spans="2:12" ht="15" customHeight="1" x14ac:dyDescent="0.2">
      <c r="B16" s="124"/>
      <c r="I16" s="216"/>
      <c r="J16" s="142">
        <v>2021</v>
      </c>
      <c r="K16" s="158">
        <v>0.45</v>
      </c>
      <c r="L16" s="161">
        <v>0.65</v>
      </c>
    </row>
    <row r="17" spans="9:12" ht="15.75" customHeight="1" thickBot="1" x14ac:dyDescent="0.25">
      <c r="I17" s="217"/>
      <c r="J17" s="143">
        <v>2022</v>
      </c>
      <c r="K17" s="159">
        <v>0.4</v>
      </c>
      <c r="L17" s="160">
        <v>0.6</v>
      </c>
    </row>
  </sheetData>
  <mergeCells count="6">
    <mergeCell ref="I14:I17"/>
    <mergeCell ref="I2:L2"/>
    <mergeCell ref="K3:K4"/>
    <mergeCell ref="L3:L4"/>
    <mergeCell ref="I5:I9"/>
    <mergeCell ref="I10:I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2"/>
  <sheetViews>
    <sheetView zoomScale="110" zoomScaleNormal="110" workbookViewId="0">
      <selection activeCell="C2" sqref="C2"/>
    </sheetView>
  </sheetViews>
  <sheetFormatPr defaultRowHeight="12.75" x14ac:dyDescent="0.2"/>
  <cols>
    <col min="1" max="1" width="3.7109375" style="3" customWidth="1"/>
    <col min="2" max="2" width="29.28515625" style="3" bestFit="1" customWidth="1"/>
    <col min="3" max="3" width="11.28515625" style="3" bestFit="1" customWidth="1"/>
    <col min="4" max="4" width="26.7109375" style="3" bestFit="1" customWidth="1"/>
    <col min="5" max="5" width="3.28515625" style="3" customWidth="1"/>
    <col min="6" max="6" width="10" style="3" bestFit="1" customWidth="1"/>
    <col min="7" max="8" width="11.140625" style="3" bestFit="1" customWidth="1"/>
    <col min="9" max="9" width="16.140625" style="3" bestFit="1" customWidth="1"/>
    <col min="10" max="10" width="3.28515625" style="3" customWidth="1"/>
    <col min="11" max="11" width="11.42578125" style="3" bestFit="1" customWidth="1"/>
    <col min="12" max="16384" width="9.140625" style="3"/>
  </cols>
  <sheetData>
    <row r="1" spans="2:11" ht="15" customHeight="1" x14ac:dyDescent="0.2">
      <c r="B1" s="185" t="s">
        <v>73</v>
      </c>
      <c r="C1" s="186"/>
      <c r="D1" s="187"/>
      <c r="E1" s="94"/>
      <c r="F1" s="188" t="s">
        <v>122</v>
      </c>
      <c r="G1" s="188"/>
      <c r="H1" s="188"/>
      <c r="I1" s="189"/>
      <c r="J1" s="94"/>
    </row>
    <row r="2" spans="2:11" x14ac:dyDescent="0.2">
      <c r="B2" s="96" t="s">
        <v>4</v>
      </c>
      <c r="C2" s="97"/>
      <c r="D2" s="130"/>
      <c r="E2" s="94"/>
      <c r="F2" s="99" t="s">
        <v>112</v>
      </c>
      <c r="G2" s="99" t="s">
        <v>141</v>
      </c>
      <c r="H2" s="99" t="s">
        <v>142</v>
      </c>
      <c r="I2" s="99" t="s">
        <v>123</v>
      </c>
      <c r="J2" s="94"/>
      <c r="K2" s="99" t="s">
        <v>131</v>
      </c>
    </row>
    <row r="3" spans="2:11" x14ac:dyDescent="0.2">
      <c r="B3" s="96" t="s">
        <v>124</v>
      </c>
      <c r="C3" s="97">
        <v>13</v>
      </c>
      <c r="D3" s="100">
        <f>INDEX($I$3:$I$32,MATCH($C$3,$F$3:$F$32,FALSE),1)</f>
        <v>2022</v>
      </c>
      <c r="E3" s="94"/>
      <c r="F3" s="101">
        <v>13</v>
      </c>
      <c r="G3" s="101">
        <v>2021</v>
      </c>
      <c r="H3" s="101">
        <v>2022</v>
      </c>
      <c r="I3" s="101">
        <v>2022</v>
      </c>
      <c r="J3" s="94"/>
      <c r="K3" s="116" t="str">
        <f t="shared" ref="K3:K32" si="0">IFERROR($C$6*(1+BLS_Esc_Rate)^($I3-Start_Year), "Data Missing")</f>
        <v>Data Missing</v>
      </c>
    </row>
    <row r="4" spans="2:11" x14ac:dyDescent="0.2">
      <c r="B4" s="96" t="s">
        <v>74</v>
      </c>
      <c r="C4" s="102">
        <v>0.05</v>
      </c>
      <c r="D4" s="103" t="s">
        <v>76</v>
      </c>
      <c r="E4" s="94"/>
      <c r="F4" s="101">
        <v>14</v>
      </c>
      <c r="G4" s="101">
        <v>2022</v>
      </c>
      <c r="H4" s="101">
        <v>2023</v>
      </c>
      <c r="I4" s="101">
        <v>2023</v>
      </c>
      <c r="J4" s="94"/>
      <c r="K4" s="116" t="str">
        <f t="shared" si="0"/>
        <v>Data Missing</v>
      </c>
    </row>
    <row r="5" spans="2:11" x14ac:dyDescent="0.2">
      <c r="B5" s="96" t="s">
        <v>75</v>
      </c>
      <c r="C5" s="102">
        <v>0.02</v>
      </c>
      <c r="D5" s="103" t="s">
        <v>76</v>
      </c>
      <c r="E5" s="94"/>
      <c r="F5" s="101">
        <v>15</v>
      </c>
      <c r="G5" s="101">
        <v>2023</v>
      </c>
      <c r="H5" s="101">
        <v>2024</v>
      </c>
      <c r="I5" s="101">
        <v>2024</v>
      </c>
      <c r="J5" s="94"/>
      <c r="K5" s="116" t="str">
        <f t="shared" si="0"/>
        <v>Data Missing</v>
      </c>
    </row>
    <row r="6" spans="2:11" x14ac:dyDescent="0.2">
      <c r="B6" s="162" t="s">
        <v>163</v>
      </c>
      <c r="C6" s="60">
        <f>AEPS!B12</f>
        <v>0.83399999999999996</v>
      </c>
      <c r="D6" s="132" t="s">
        <v>130</v>
      </c>
      <c r="E6" s="94"/>
      <c r="F6" s="101">
        <v>16</v>
      </c>
      <c r="G6" s="101">
        <v>2024</v>
      </c>
      <c r="H6" s="101">
        <v>2025</v>
      </c>
      <c r="I6" s="101">
        <v>2025</v>
      </c>
      <c r="J6" s="94"/>
      <c r="K6" s="116" t="str">
        <f t="shared" si="0"/>
        <v>Data Missing</v>
      </c>
    </row>
    <row r="7" spans="2:11" x14ac:dyDescent="0.2">
      <c r="B7" s="185" t="s">
        <v>0</v>
      </c>
      <c r="C7" s="186"/>
      <c r="D7" s="187"/>
      <c r="E7" s="94"/>
      <c r="F7" s="101">
        <v>17</v>
      </c>
      <c r="G7" s="101">
        <v>2025</v>
      </c>
      <c r="H7" s="101">
        <v>2026</v>
      </c>
      <c r="I7" s="101">
        <v>2026</v>
      </c>
      <c r="J7" s="94"/>
      <c r="K7" s="116" t="str">
        <f t="shared" si="0"/>
        <v>Data Missing</v>
      </c>
    </row>
    <row r="8" spans="2:11" ht="25.5" x14ac:dyDescent="0.2">
      <c r="B8" s="104"/>
      <c r="C8" s="105" t="s">
        <v>1</v>
      </c>
      <c r="D8" s="98"/>
      <c r="E8" s="94"/>
      <c r="F8" s="101">
        <v>18</v>
      </c>
      <c r="G8" s="101">
        <v>2026</v>
      </c>
      <c r="H8" s="101">
        <v>2027</v>
      </c>
      <c r="I8" s="101">
        <v>2027</v>
      </c>
      <c r="J8" s="94"/>
      <c r="K8" s="116" t="str">
        <f t="shared" si="0"/>
        <v>Data Missing</v>
      </c>
    </row>
    <row r="9" spans="2:11" x14ac:dyDescent="0.2">
      <c r="B9" s="106" t="s">
        <v>2</v>
      </c>
      <c r="C9" s="107">
        <v>11176</v>
      </c>
      <c r="D9" s="98" t="s">
        <v>77</v>
      </c>
      <c r="E9" s="94"/>
      <c r="F9" s="101">
        <v>19</v>
      </c>
      <c r="G9" s="101">
        <v>2027</v>
      </c>
      <c r="H9" s="101">
        <v>2028</v>
      </c>
      <c r="I9" s="101">
        <v>2028</v>
      </c>
      <c r="J9" s="94"/>
      <c r="K9" s="116" t="str">
        <f t="shared" si="0"/>
        <v>Data Missing</v>
      </c>
    </row>
    <row r="10" spans="2:11" x14ac:dyDescent="0.2">
      <c r="B10" s="106" t="s">
        <v>3</v>
      </c>
      <c r="C10" s="107">
        <v>7649</v>
      </c>
      <c r="D10" s="98" t="s">
        <v>77</v>
      </c>
      <c r="E10" s="94"/>
      <c r="F10" s="101">
        <v>20</v>
      </c>
      <c r="G10" s="101">
        <v>2028</v>
      </c>
      <c r="H10" s="101">
        <v>2029</v>
      </c>
      <c r="I10" s="101">
        <v>2029</v>
      </c>
      <c r="J10" s="94"/>
      <c r="K10" s="116" t="str">
        <f t="shared" si="0"/>
        <v>Data Missing</v>
      </c>
    </row>
    <row r="11" spans="2:11" x14ac:dyDescent="0.2">
      <c r="B11" s="108"/>
      <c r="C11" s="109"/>
      <c r="D11" s="110"/>
      <c r="E11" s="94"/>
      <c r="F11" s="101">
        <v>21</v>
      </c>
      <c r="G11" s="101">
        <v>2029</v>
      </c>
      <c r="H11" s="101">
        <v>2030</v>
      </c>
      <c r="I11" s="101">
        <v>2030</v>
      </c>
      <c r="J11" s="94"/>
      <c r="K11" s="116" t="str">
        <f t="shared" si="0"/>
        <v>Data Missing</v>
      </c>
    </row>
    <row r="12" spans="2:11" x14ac:dyDescent="0.2">
      <c r="B12" s="96" t="s">
        <v>11</v>
      </c>
      <c r="C12" s="96"/>
      <c r="D12" s="96" t="s">
        <v>100</v>
      </c>
      <c r="E12" s="94"/>
      <c r="F12" s="101">
        <v>22</v>
      </c>
      <c r="G12" s="101">
        <v>2030</v>
      </c>
      <c r="H12" s="101">
        <v>2031</v>
      </c>
      <c r="I12" s="101">
        <v>2031</v>
      </c>
      <c r="J12" s="94"/>
      <c r="K12" s="116" t="str">
        <f t="shared" si="0"/>
        <v>Data Missing</v>
      </c>
    </row>
    <row r="13" spans="2:11" x14ac:dyDescent="0.2">
      <c r="B13" s="111" t="s">
        <v>14</v>
      </c>
      <c r="C13" s="112" t="s">
        <v>12</v>
      </c>
      <c r="D13" s="112" t="s">
        <v>101</v>
      </c>
      <c r="E13" s="94"/>
      <c r="F13" s="101">
        <v>23</v>
      </c>
      <c r="G13" s="101">
        <v>2031</v>
      </c>
      <c r="H13" s="101">
        <v>2032</v>
      </c>
      <c r="I13" s="101">
        <v>2032</v>
      </c>
      <c r="J13" s="94"/>
      <c r="K13" s="116" t="str">
        <f t="shared" si="0"/>
        <v>Data Missing</v>
      </c>
    </row>
    <row r="14" spans="2:11" x14ac:dyDescent="0.2">
      <c r="B14" s="111" t="s">
        <v>13</v>
      </c>
      <c r="C14" s="112" t="s">
        <v>161</v>
      </c>
      <c r="D14" s="112" t="s">
        <v>102</v>
      </c>
      <c r="E14" s="94"/>
      <c r="F14" s="101">
        <v>24</v>
      </c>
      <c r="G14" s="101">
        <v>2032</v>
      </c>
      <c r="H14" s="101">
        <v>2033</v>
      </c>
      <c r="I14" s="101">
        <v>2033</v>
      </c>
      <c r="J14" s="94"/>
      <c r="K14" s="116" t="str">
        <f t="shared" si="0"/>
        <v>Data Missing</v>
      </c>
    </row>
    <row r="15" spans="2:11" x14ac:dyDescent="0.2">
      <c r="B15" s="111" t="s">
        <v>16</v>
      </c>
      <c r="C15" s="112" t="s">
        <v>17</v>
      </c>
      <c r="D15" s="112" t="s">
        <v>102</v>
      </c>
      <c r="E15" s="94"/>
      <c r="F15" s="101">
        <v>25</v>
      </c>
      <c r="G15" s="101">
        <v>2033</v>
      </c>
      <c r="H15" s="101">
        <v>2034</v>
      </c>
      <c r="I15" s="101">
        <v>2034</v>
      </c>
      <c r="J15" s="94"/>
      <c r="K15" s="116" t="str">
        <f t="shared" si="0"/>
        <v>Data Missing</v>
      </c>
    </row>
    <row r="16" spans="2:11" x14ac:dyDescent="0.2">
      <c r="B16" s="111" t="s">
        <v>15</v>
      </c>
      <c r="C16" s="112" t="s">
        <v>143</v>
      </c>
      <c r="D16" s="112" t="s">
        <v>101</v>
      </c>
      <c r="E16" s="94"/>
      <c r="F16" s="101">
        <v>26</v>
      </c>
      <c r="G16" s="101">
        <v>2034</v>
      </c>
      <c r="H16" s="101">
        <v>2035</v>
      </c>
      <c r="I16" s="101">
        <v>2035</v>
      </c>
      <c r="J16" s="94"/>
      <c r="K16" s="116" t="str">
        <f t="shared" si="0"/>
        <v>Data Missing</v>
      </c>
    </row>
    <row r="17" spans="2:11" x14ac:dyDescent="0.2">
      <c r="B17" s="111" t="s">
        <v>21</v>
      </c>
      <c r="C17" s="112" t="s">
        <v>138</v>
      </c>
      <c r="D17" s="112" t="s">
        <v>101</v>
      </c>
      <c r="E17" s="94"/>
      <c r="F17" s="101">
        <v>27</v>
      </c>
      <c r="G17" s="101">
        <v>2035</v>
      </c>
      <c r="H17" s="101">
        <v>2036</v>
      </c>
      <c r="I17" s="101">
        <v>2036</v>
      </c>
      <c r="J17" s="94"/>
      <c r="K17" s="116" t="str">
        <f t="shared" si="0"/>
        <v>Data Missing</v>
      </c>
    </row>
    <row r="18" spans="2:11" x14ac:dyDescent="0.2">
      <c r="B18" s="111" t="s">
        <v>18</v>
      </c>
      <c r="C18" s="112" t="s">
        <v>19</v>
      </c>
      <c r="D18" s="112" t="s">
        <v>102</v>
      </c>
      <c r="E18" s="94"/>
      <c r="F18" s="101">
        <v>28</v>
      </c>
      <c r="G18" s="101">
        <v>2036</v>
      </c>
      <c r="H18" s="101">
        <v>2037</v>
      </c>
      <c r="I18" s="101">
        <v>2037</v>
      </c>
      <c r="J18" s="94"/>
      <c r="K18" s="116" t="str">
        <f t="shared" si="0"/>
        <v>Data Missing</v>
      </c>
    </row>
    <row r="19" spans="2:11" x14ac:dyDescent="0.2">
      <c r="B19" s="111" t="s">
        <v>20</v>
      </c>
      <c r="C19" s="112" t="s">
        <v>139</v>
      </c>
      <c r="D19" s="112" t="s">
        <v>101</v>
      </c>
      <c r="E19" s="94"/>
      <c r="F19" s="101">
        <v>29</v>
      </c>
      <c r="G19" s="101">
        <v>2037</v>
      </c>
      <c r="H19" s="101">
        <v>2038</v>
      </c>
      <c r="I19" s="101">
        <v>2038</v>
      </c>
      <c r="J19" s="94"/>
      <c r="K19" s="116" t="str">
        <f t="shared" si="0"/>
        <v>Data Missing</v>
      </c>
    </row>
    <row r="20" spans="2:11" x14ac:dyDescent="0.2">
      <c r="B20" s="185" t="s">
        <v>72</v>
      </c>
      <c r="C20" s="186"/>
      <c r="D20" s="187"/>
      <c r="E20" s="94"/>
      <c r="F20" s="101">
        <v>30</v>
      </c>
      <c r="G20" s="101">
        <v>2038</v>
      </c>
      <c r="H20" s="101">
        <v>2039</v>
      </c>
      <c r="I20" s="101">
        <v>2039</v>
      </c>
      <c r="J20" s="94"/>
      <c r="K20" s="116" t="str">
        <f t="shared" si="0"/>
        <v>Data Missing</v>
      </c>
    </row>
    <row r="21" spans="2:11" x14ac:dyDescent="0.2">
      <c r="B21" s="111" t="s">
        <v>42</v>
      </c>
      <c r="C21" s="112" t="s">
        <v>63</v>
      </c>
      <c r="D21" s="113"/>
      <c r="E21" s="94"/>
      <c r="F21" s="101">
        <v>31</v>
      </c>
      <c r="G21" s="101">
        <v>2039</v>
      </c>
      <c r="H21" s="101">
        <v>2040</v>
      </c>
      <c r="I21" s="101">
        <v>2040</v>
      </c>
      <c r="J21" s="94"/>
      <c r="K21" s="116" t="str">
        <f t="shared" si="0"/>
        <v>Data Missing</v>
      </c>
    </row>
    <row r="22" spans="2:11" x14ac:dyDescent="0.2">
      <c r="B22" s="111" t="s">
        <v>43</v>
      </c>
      <c r="C22" s="112" t="s">
        <v>63</v>
      </c>
      <c r="D22" s="114"/>
      <c r="E22" s="94"/>
      <c r="F22" s="101">
        <v>32</v>
      </c>
      <c r="G22" s="101">
        <v>2040</v>
      </c>
      <c r="H22" s="101">
        <v>2041</v>
      </c>
      <c r="I22" s="101">
        <v>2041</v>
      </c>
      <c r="J22" s="94"/>
      <c r="K22" s="116" t="str">
        <f t="shared" si="0"/>
        <v>Data Missing</v>
      </c>
    </row>
    <row r="23" spans="2:11" x14ac:dyDescent="0.2">
      <c r="B23" s="111" t="s">
        <v>44</v>
      </c>
      <c r="C23" s="112" t="s">
        <v>64</v>
      </c>
      <c r="D23" s="114"/>
      <c r="E23" s="94"/>
      <c r="F23" s="101">
        <v>33</v>
      </c>
      <c r="G23" s="101">
        <v>2041</v>
      </c>
      <c r="H23" s="101">
        <v>2042</v>
      </c>
      <c r="I23" s="101">
        <v>2042</v>
      </c>
      <c r="J23" s="94"/>
      <c r="K23" s="116" t="str">
        <f t="shared" si="0"/>
        <v>Data Missing</v>
      </c>
    </row>
    <row r="24" spans="2:11" x14ac:dyDescent="0.2">
      <c r="B24" s="111" t="s">
        <v>45</v>
      </c>
      <c r="C24" s="112" t="s">
        <v>64</v>
      </c>
      <c r="D24" s="114"/>
      <c r="E24" s="94"/>
      <c r="F24" s="101">
        <v>34</v>
      </c>
      <c r="G24" s="101">
        <v>2042</v>
      </c>
      <c r="H24" s="101">
        <v>2043</v>
      </c>
      <c r="I24" s="101">
        <v>2043</v>
      </c>
      <c r="J24" s="94"/>
      <c r="K24" s="116" t="str">
        <f t="shared" si="0"/>
        <v>Data Missing</v>
      </c>
    </row>
    <row r="25" spans="2:11" x14ac:dyDescent="0.2">
      <c r="B25" s="111" t="s">
        <v>46</v>
      </c>
      <c r="C25" s="112" t="s">
        <v>65</v>
      </c>
      <c r="D25" s="114"/>
      <c r="E25" s="94"/>
      <c r="F25" s="101">
        <v>35</v>
      </c>
      <c r="G25" s="101">
        <v>2043</v>
      </c>
      <c r="H25" s="101">
        <v>2044</v>
      </c>
      <c r="I25" s="101">
        <v>2044</v>
      </c>
      <c r="J25" s="94"/>
      <c r="K25" s="116" t="str">
        <f t="shared" si="0"/>
        <v>Data Missing</v>
      </c>
    </row>
    <row r="26" spans="2:11" x14ac:dyDescent="0.2">
      <c r="B26" s="111" t="s">
        <v>47</v>
      </c>
      <c r="C26" s="112" t="s">
        <v>65</v>
      </c>
      <c r="D26" s="114"/>
      <c r="E26" s="94"/>
      <c r="F26" s="101">
        <v>36</v>
      </c>
      <c r="G26" s="101">
        <v>2044</v>
      </c>
      <c r="H26" s="101">
        <v>2045</v>
      </c>
      <c r="I26" s="101">
        <v>2045</v>
      </c>
      <c r="J26" s="94"/>
      <c r="K26" s="116" t="str">
        <f t="shared" si="0"/>
        <v>Data Missing</v>
      </c>
    </row>
    <row r="27" spans="2:11" x14ac:dyDescent="0.2">
      <c r="B27" s="111" t="s">
        <v>48</v>
      </c>
      <c r="C27" s="112" t="s">
        <v>65</v>
      </c>
      <c r="D27" s="114"/>
      <c r="E27" s="94"/>
      <c r="F27" s="101">
        <v>37</v>
      </c>
      <c r="G27" s="101">
        <v>2045</v>
      </c>
      <c r="H27" s="101">
        <v>2046</v>
      </c>
      <c r="I27" s="101">
        <v>2046</v>
      </c>
      <c r="J27" s="94"/>
      <c r="K27" s="116" t="str">
        <f t="shared" si="0"/>
        <v>Data Missing</v>
      </c>
    </row>
    <row r="28" spans="2:11" x14ac:dyDescent="0.2">
      <c r="B28" s="111" t="s">
        <v>49</v>
      </c>
      <c r="C28" s="112" t="s">
        <v>65</v>
      </c>
      <c r="D28" s="114"/>
      <c r="E28" s="94"/>
      <c r="F28" s="101">
        <v>38</v>
      </c>
      <c r="G28" s="101">
        <v>2046</v>
      </c>
      <c r="H28" s="101">
        <v>2047</v>
      </c>
      <c r="I28" s="101">
        <v>2047</v>
      </c>
      <c r="J28" s="94"/>
      <c r="K28" s="116" t="str">
        <f t="shared" si="0"/>
        <v>Data Missing</v>
      </c>
    </row>
    <row r="29" spans="2:11" x14ac:dyDescent="0.2">
      <c r="B29" s="111" t="s">
        <v>50</v>
      </c>
      <c r="C29" s="112" t="s">
        <v>65</v>
      </c>
      <c r="D29" s="114"/>
      <c r="E29" s="94"/>
      <c r="F29" s="101">
        <v>39</v>
      </c>
      <c r="G29" s="101">
        <v>2047</v>
      </c>
      <c r="H29" s="101">
        <v>2048</v>
      </c>
      <c r="I29" s="101">
        <v>2048</v>
      </c>
      <c r="J29" s="94"/>
      <c r="K29" s="116" t="str">
        <f t="shared" si="0"/>
        <v>Data Missing</v>
      </c>
    </row>
    <row r="30" spans="2:11" x14ac:dyDescent="0.2">
      <c r="B30" s="111" t="s">
        <v>51</v>
      </c>
      <c r="C30" s="112" t="s">
        <v>64</v>
      </c>
      <c r="D30" s="114"/>
      <c r="E30" s="94"/>
      <c r="F30" s="101">
        <v>40</v>
      </c>
      <c r="G30" s="101">
        <v>2048</v>
      </c>
      <c r="H30" s="101">
        <v>2049</v>
      </c>
      <c r="I30" s="101">
        <v>2049</v>
      </c>
      <c r="J30" s="94"/>
      <c r="K30" s="116" t="str">
        <f t="shared" si="0"/>
        <v>Data Missing</v>
      </c>
    </row>
    <row r="31" spans="2:11" x14ac:dyDescent="0.2">
      <c r="B31" s="111" t="s">
        <v>52</v>
      </c>
      <c r="C31" s="112" t="s">
        <v>64</v>
      </c>
      <c r="D31" s="114"/>
      <c r="E31" s="94"/>
      <c r="F31" s="101">
        <v>41</v>
      </c>
      <c r="G31" s="101">
        <v>2049</v>
      </c>
      <c r="H31" s="101">
        <v>2050</v>
      </c>
      <c r="I31" s="101">
        <v>2050</v>
      </c>
      <c r="J31" s="94"/>
      <c r="K31" s="116" t="str">
        <f t="shared" si="0"/>
        <v>Data Missing</v>
      </c>
    </row>
    <row r="32" spans="2:11" x14ac:dyDescent="0.2">
      <c r="B32" s="111" t="s">
        <v>53</v>
      </c>
      <c r="C32" s="112" t="s">
        <v>63</v>
      </c>
      <c r="D32" s="115"/>
      <c r="E32" s="94"/>
      <c r="F32" s="101">
        <v>42</v>
      </c>
      <c r="G32" s="101">
        <v>2050</v>
      </c>
      <c r="H32" s="101">
        <v>2051</v>
      </c>
      <c r="I32" s="101">
        <v>2051</v>
      </c>
      <c r="J32" s="94"/>
      <c r="K32" s="116" t="str">
        <f t="shared" si="0"/>
        <v>Data Missing</v>
      </c>
    </row>
  </sheetData>
  <mergeCells count="4">
    <mergeCell ref="B20:D20"/>
    <mergeCell ref="B7:D7"/>
    <mergeCell ref="B1:D1"/>
    <mergeCell ref="F1:I1"/>
  </mergeCells>
  <dataValidations count="2">
    <dataValidation type="list" allowBlank="1" showInputMessage="1" showErrorMessage="1" sqref="C2" xr:uid="{00000000-0002-0000-0500-000000000000}">
      <formula1>$C$12:$C$19</formula1>
    </dataValidation>
    <dataValidation type="list" allowBlank="1" showInputMessage="1" showErrorMessage="1" sqref="C3" xr:uid="{B5196BFD-42B5-4DC1-A728-11B141F71D3A}">
      <formula1>$F$3:$F$32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2"/>
  <sheetViews>
    <sheetView zoomScale="150" zoomScaleNormal="150" workbookViewId="0">
      <selection activeCell="D14" sqref="D14"/>
    </sheetView>
  </sheetViews>
  <sheetFormatPr defaultColWidth="9.140625" defaultRowHeight="12.75" x14ac:dyDescent="0.2"/>
  <cols>
    <col min="1" max="1" width="11.28515625" style="3" customWidth="1"/>
    <col min="2" max="2" width="10.7109375" style="3" customWidth="1"/>
    <col min="3" max="12" width="12.7109375" style="3" customWidth="1"/>
    <col min="13" max="16384" width="9.140625" style="3"/>
  </cols>
  <sheetData>
    <row r="2" spans="1:13" s="1" customFormat="1" ht="50.1" customHeight="1" x14ac:dyDescent="0.2">
      <c r="A2" s="74" t="s">
        <v>118</v>
      </c>
      <c r="B2" s="74" t="s">
        <v>5</v>
      </c>
      <c r="C2" s="75" t="str">
        <f>EDC_NAME&amp; " Zone Summer On-Peak ($/MWh)"</f>
        <v xml:space="preserve"> Zone Summer On-Peak ($/MWh)</v>
      </c>
      <c r="D2" s="75" t="str">
        <f>EDC_NAME&amp; " Zone Summer Off-Peak ($/MWh)"</f>
        <v xml:space="preserve"> Zone Summer Off-Peak ($/MWh)</v>
      </c>
      <c r="E2" s="75" t="str">
        <f>EDC_NAME&amp; " Zone Winter On-Peak ($/MWh)"</f>
        <v xml:space="preserve"> Zone Winter On-Peak ($/MWh)</v>
      </c>
      <c r="F2" s="75" t="str">
        <f>EDC_NAME&amp; " Zone Winter Off-Peak ($/MWh)"</f>
        <v xml:space="preserve"> Zone Winter Off-Peak ($/MWh)</v>
      </c>
      <c r="G2" s="75" t="str">
        <f>EDC_NAME&amp; " Zone Shoulder On-Peak ($/MWh)"</f>
        <v xml:space="preserve"> Zone Shoulder On-Peak ($/MWh)</v>
      </c>
      <c r="H2" s="75" t="str">
        <f>EDC_NAME&amp; " Zone Shoulder Off-Peak ($/MWh)"</f>
        <v xml:space="preserve"> Zone Shoulder Off-Peak ($/MWh)</v>
      </c>
      <c r="I2" s="75" t="s">
        <v>128</v>
      </c>
      <c r="J2" s="75" t="s">
        <v>171</v>
      </c>
      <c r="K2" s="75" t="s">
        <v>172</v>
      </c>
      <c r="L2" s="76" t="s">
        <v>9</v>
      </c>
      <c r="M2" s="77"/>
    </row>
    <row r="3" spans="1:13" x14ac:dyDescent="0.2">
      <c r="A3" s="39">
        <f>Start_Year_PY</f>
        <v>13</v>
      </c>
      <c r="B3" s="29">
        <f>Start_Year</f>
        <v>2022</v>
      </c>
      <c r="C3" s="40" t="str">
        <f>IFERROR(AVERAGEIFS(Elec_On_Peak,'Avoided AC'!$D:$D,$B3,'Avoided AC'!$E:$E,"Summer")+INDEX('General Inputs'!$K$3:$K$32,MATCH(Outputs!$A3,'General Inputs'!$F$3:$F$32,0),1),"Data Missing")</f>
        <v>Data Missing</v>
      </c>
      <c r="D3" s="40" t="str">
        <f>IFERROR(AVERAGEIFS(Elec_Off_Peak,'Avoided AC'!$D:$D,$B3,'Avoided AC'!$E:$E,"Summer")+INDEX('General Inputs'!$K$3:$K$32,MATCH(Outputs!$A3,'General Inputs'!$F$3:$F$32,0),1),"Data Missing")</f>
        <v>Data Missing</v>
      </c>
      <c r="E3" s="40" t="str">
        <f>IFERROR(AVERAGEIFS(Elec_On_Peak,'Avoided AC'!$D:$D,$B3,'Avoided AC'!$E:$E,"Winter")+INDEX('General Inputs'!$K$3:$K$32,MATCH(Outputs!$A3,'General Inputs'!$F$3:$F$32,0),1),"Data Missing")</f>
        <v>Data Missing</v>
      </c>
      <c r="F3" s="40" t="str">
        <f>IFERROR(AVERAGEIFS(Elec_Off_Peak,'Avoided AC'!$D:$D,$B3,'Avoided AC'!$E:$E,"Winter")+INDEX('General Inputs'!$K$3:$K$32,MATCH(Outputs!$A3,'General Inputs'!$F$3:$F$32,0),1), "Data Missing")</f>
        <v>Data Missing</v>
      </c>
      <c r="G3" s="40" t="str">
        <f>IFERROR(AVERAGEIFS(Elec_On_Peak,'Avoided AC'!$D:$D,$B3,'Avoided AC'!$E:$E,"Shoulder")+INDEX('General Inputs'!$K$3:$K$32,MATCH(Outputs!$A3,'General Inputs'!$F$3:$F$32,0),1),"Data Missing")</f>
        <v>Data Missing</v>
      </c>
      <c r="H3" s="40" t="str">
        <f>IFERROR(AVERAGEIFS(Elec_Off_Peak,'Avoided AC'!$D:$D,$B3,'Avoided AC'!$E:$E,"Shoulder")+INDEX('General Inputs'!$K$3:$K$32,MATCH(Outputs!$A3,'General Inputs'!$F$3:$F$32,0),1),"Data Missing")</f>
        <v>Data Missing</v>
      </c>
      <c r="I3" s="40" t="e">
        <f>INDEX('Generation Capacity'!$E$24:$K$45,MATCH($A3,'Generation Capacity'!$B$24:$B$45,FALSE),MATCH(EDC_NAME,'Generation Capacity'!$E$23:$K$23,FALSE))</f>
        <v>#N/A</v>
      </c>
      <c r="J3" s="40" t="e">
        <f>INDEX('T&amp;D Capacity'!$E$4:$K$23,MATCH($A3,'T&amp;D Capacity'!$B$4:$B$23,FALSE),MATCH(EDC_NAME,'T&amp;D Capacity'!$E$3:$K$3,FALSE))</f>
        <v>#N/A</v>
      </c>
      <c r="K3" s="40" t="e">
        <f>INDEX('T&amp;D Capacity'!$M$4:$S$23,MATCH($A3,'T&amp;D Capacity'!$B$4:$B$23,FALSE),MATCH(EDC_NAME,'T&amp;D Capacity'!$M$3:$S$3,FALSE))</f>
        <v>#N/A</v>
      </c>
      <c r="L3" s="41" t="str">
        <f>IFERROR(AVERAGEIF('NG Futures'!$D:$D,Outputs!$B3,'NG Futures'!$H:$H),"Data Missing")</f>
        <v>Data Missing</v>
      </c>
      <c r="M3" s="190" t="s">
        <v>66</v>
      </c>
    </row>
    <row r="4" spans="1:13" x14ac:dyDescent="0.2">
      <c r="A4" s="29">
        <f>A3+1</f>
        <v>14</v>
      </c>
      <c r="B4" s="29">
        <f>B3+1</f>
        <v>2023</v>
      </c>
      <c r="C4" s="40" t="str">
        <f>IFERROR(AVERAGEIFS(Elec_On_Peak,'Avoided AC'!$D:$D,$B4,'Avoided AC'!$E:$E,"Summer")+INDEX('General Inputs'!$K$3:$K$32,MATCH(Outputs!$A4,'General Inputs'!$F$3:$F$32,0),1),"Data Missing")</f>
        <v>Data Missing</v>
      </c>
      <c r="D4" s="40" t="str">
        <f>IFERROR(AVERAGEIFS(Elec_Off_Peak,'Avoided AC'!$D:$D,$B4,'Avoided AC'!$E:$E,"Summer")+INDEX('General Inputs'!$K$3:$K$32,MATCH(Outputs!$A4,'General Inputs'!$F$3:$F$32,0),1),"Data Missing")</f>
        <v>Data Missing</v>
      </c>
      <c r="E4" s="40" t="str">
        <f>IFERROR(AVERAGEIFS(Elec_On_Peak,'Avoided AC'!$D:$D,$B4,'Avoided AC'!$E:$E,"Winter")+INDEX('General Inputs'!$K$3:$K$32,MATCH(Outputs!$A4,'General Inputs'!$F$3:$F$32,0),1),"Data Missing")</f>
        <v>Data Missing</v>
      </c>
      <c r="F4" s="40" t="str">
        <f>IFERROR(AVERAGEIFS(Elec_Off_Peak,'Avoided AC'!$D:$D,$B4,'Avoided AC'!$E:$E,"Winter")+INDEX('General Inputs'!$K$3:$K$32,MATCH(Outputs!$A4,'General Inputs'!$F$3:$F$32,0),1), "Data Missing")</f>
        <v>Data Missing</v>
      </c>
      <c r="G4" s="40" t="str">
        <f>IFERROR(AVERAGEIFS(Elec_On_Peak,'Avoided AC'!$D:$D,$B4,'Avoided AC'!$E:$E,"Shoulder")+INDEX('General Inputs'!$K$3:$K$32,MATCH(Outputs!$A4,'General Inputs'!$F$3:$F$32,0),1),"Data Missing")</f>
        <v>Data Missing</v>
      </c>
      <c r="H4" s="40" t="str">
        <f>IFERROR(AVERAGEIFS(Elec_Off_Peak,'Avoided AC'!$D:$D,$B4,'Avoided AC'!$E:$E,"Shoulder")+INDEX('General Inputs'!$K$3:$K$32,MATCH(Outputs!$A4,'General Inputs'!$F$3:$F$32,0),1),"Data Missing")</f>
        <v>Data Missing</v>
      </c>
      <c r="I4" s="40" t="e">
        <f>INDEX('Generation Capacity'!$E$24:$K$45,MATCH($A4,'Generation Capacity'!$B$24:$B$45,FALSE),MATCH(EDC_NAME,'Generation Capacity'!$E$23:$K$23,FALSE))</f>
        <v>#N/A</v>
      </c>
      <c r="J4" s="40" t="e">
        <f>INDEX('T&amp;D Capacity'!$E$4:$K$23,MATCH($A4,'T&amp;D Capacity'!$B$4:$B$23,FALSE),MATCH(EDC_NAME,'T&amp;D Capacity'!$E$3:$K$3,FALSE))</f>
        <v>#N/A</v>
      </c>
      <c r="K4" s="40" t="e">
        <f>INDEX('T&amp;D Capacity'!$M$4:$S$23,MATCH($A4,'T&amp;D Capacity'!$B$4:$B$23,FALSE),MATCH(EDC_NAME,'T&amp;D Capacity'!$M$3:$S$3,FALSE))</f>
        <v>#N/A</v>
      </c>
      <c r="L4" s="41" t="str">
        <f>IFERROR(AVERAGEIF('NG Futures'!$D:$D,Outputs!$B4,'NG Futures'!$H:$H),"Data Missing")</f>
        <v>Data Missing</v>
      </c>
      <c r="M4" s="190"/>
    </row>
    <row r="5" spans="1:13" x14ac:dyDescent="0.2">
      <c r="A5" s="29">
        <f t="shared" ref="A5:B22" si="0">A4+1</f>
        <v>15</v>
      </c>
      <c r="B5" s="29">
        <f t="shared" si="0"/>
        <v>2024</v>
      </c>
      <c r="C5" s="40" t="str">
        <f>IFERROR(AVERAGEIFS(Elec_On_Peak,'Avoided AC'!$D:$D,$B5,'Avoided AC'!$E:$E,"Summer")+INDEX('General Inputs'!$K$3:$K$32,MATCH(Outputs!$A5,'General Inputs'!$F$3:$F$32,0),1),"Data Missing")</f>
        <v>Data Missing</v>
      </c>
      <c r="D5" s="40" t="str">
        <f>IFERROR(AVERAGEIFS(Elec_Off_Peak,'Avoided AC'!$D:$D,$B5,'Avoided AC'!$E:$E,"Summer")+INDEX('General Inputs'!$K$3:$K$32,MATCH(Outputs!$A5,'General Inputs'!$F$3:$F$32,0),1),"Data Missing")</f>
        <v>Data Missing</v>
      </c>
      <c r="E5" s="40" t="str">
        <f>IFERROR(AVERAGEIFS(Elec_On_Peak,'Avoided AC'!$D:$D,$B5,'Avoided AC'!$E:$E,"Winter")+INDEX('General Inputs'!$K$3:$K$32,MATCH(Outputs!$A5,'General Inputs'!$F$3:$F$32,0),1),"Data Missing")</f>
        <v>Data Missing</v>
      </c>
      <c r="F5" s="40" t="str">
        <f>IFERROR(AVERAGEIFS(Elec_Off_Peak,'Avoided AC'!$D:$D,$B5,'Avoided AC'!$E:$E,"Winter")+INDEX('General Inputs'!$K$3:$K$32,MATCH(Outputs!$A5,'General Inputs'!$F$3:$F$32,0),1), "Data Missing")</f>
        <v>Data Missing</v>
      </c>
      <c r="G5" s="40" t="str">
        <f>IFERROR(AVERAGEIFS(Elec_On_Peak,'Avoided AC'!$D:$D,$B5,'Avoided AC'!$E:$E,"Shoulder")+INDEX('General Inputs'!$K$3:$K$32,MATCH(Outputs!$A5,'General Inputs'!$F$3:$F$32,0),1),"Data Missing")</f>
        <v>Data Missing</v>
      </c>
      <c r="H5" s="40" t="str">
        <f>IFERROR(AVERAGEIFS(Elec_Off_Peak,'Avoided AC'!$D:$D,$B5,'Avoided AC'!$E:$E,"Shoulder")+INDEX('General Inputs'!$K$3:$K$32,MATCH(Outputs!$A5,'General Inputs'!$F$3:$F$32,0),1),"Data Missing")</f>
        <v>Data Missing</v>
      </c>
      <c r="I5" s="40" t="e">
        <f>INDEX('Generation Capacity'!$E$24:$K$45,MATCH($A5,'Generation Capacity'!$B$24:$B$45,FALSE),MATCH(EDC_NAME,'Generation Capacity'!$E$23:$K$23,FALSE))</f>
        <v>#N/A</v>
      </c>
      <c r="J5" s="40" t="e">
        <f>INDEX('T&amp;D Capacity'!$E$4:$K$23,MATCH($A5,'T&amp;D Capacity'!$B$4:$B$23,FALSE),MATCH(EDC_NAME,'T&amp;D Capacity'!$E$3:$K$3,FALSE))</f>
        <v>#N/A</v>
      </c>
      <c r="K5" s="40" t="e">
        <f>INDEX('T&amp;D Capacity'!$M$4:$S$23,MATCH($A5,'T&amp;D Capacity'!$B$4:$B$23,FALSE),MATCH(EDC_NAME,'T&amp;D Capacity'!$M$3:$S$3,FALSE))</f>
        <v>#N/A</v>
      </c>
      <c r="L5" s="41" t="str">
        <f>IFERROR(AVERAGEIF('NG Futures'!$D:$D,Outputs!$B5,'NG Futures'!$H:$H),"Data Missing")</f>
        <v>Data Missing</v>
      </c>
      <c r="M5" s="190"/>
    </row>
    <row r="6" spans="1:13" x14ac:dyDescent="0.2">
      <c r="A6" s="29">
        <f t="shared" si="0"/>
        <v>16</v>
      </c>
      <c r="B6" s="29">
        <f t="shared" si="0"/>
        <v>2025</v>
      </c>
      <c r="C6" s="40" t="str">
        <f>IFERROR(AVERAGEIFS(Elec_On_Peak,'Avoided AC'!$D:$D,$B6,'Avoided AC'!$E:$E,"Summer")+INDEX('General Inputs'!$K$3:$K$32,MATCH(Outputs!$A6,'General Inputs'!$F$3:$F$32,0),1),"Data Missing")</f>
        <v>Data Missing</v>
      </c>
      <c r="D6" s="40" t="str">
        <f>IFERROR(AVERAGEIFS(Elec_Off_Peak,'Avoided AC'!$D:$D,$B6,'Avoided AC'!$E:$E,"Summer")+INDEX('General Inputs'!$K$3:$K$32,MATCH(Outputs!$A6,'General Inputs'!$F$3:$F$32,0),1),"Data Missing")</f>
        <v>Data Missing</v>
      </c>
      <c r="E6" s="40" t="str">
        <f>IFERROR(AVERAGEIFS(Elec_On_Peak,'Avoided AC'!$D:$D,$B6,'Avoided AC'!$E:$E,"Winter")+INDEX('General Inputs'!$K$3:$K$32,MATCH(Outputs!$A6,'General Inputs'!$F$3:$F$32,0),1),"Data Missing")</f>
        <v>Data Missing</v>
      </c>
      <c r="F6" s="40" t="str">
        <f>IFERROR(AVERAGEIFS(Elec_Off_Peak,'Avoided AC'!$D:$D,$B6,'Avoided AC'!$E:$E,"Winter")+INDEX('General Inputs'!$K$3:$K$32,MATCH(Outputs!$A6,'General Inputs'!$F$3:$F$32,0),1), "Data Missing")</f>
        <v>Data Missing</v>
      </c>
      <c r="G6" s="40" t="str">
        <f>IFERROR(AVERAGEIFS(Elec_On_Peak,'Avoided AC'!$D:$D,$B6,'Avoided AC'!$E:$E,"Shoulder")+INDEX('General Inputs'!$K$3:$K$32,MATCH(Outputs!$A6,'General Inputs'!$F$3:$F$32,0),1),"Data Missing")</f>
        <v>Data Missing</v>
      </c>
      <c r="H6" s="40" t="str">
        <f>IFERROR(AVERAGEIFS(Elec_Off_Peak,'Avoided AC'!$D:$D,$B6,'Avoided AC'!$E:$E,"Shoulder")+INDEX('General Inputs'!$K$3:$K$32,MATCH(Outputs!$A6,'General Inputs'!$F$3:$F$32,0),1),"Data Missing")</f>
        <v>Data Missing</v>
      </c>
      <c r="I6" s="40" t="e">
        <f>INDEX('Generation Capacity'!$E$24:$K$45,MATCH($A6,'Generation Capacity'!$B$24:$B$45,FALSE),MATCH(EDC_NAME,'Generation Capacity'!$E$23:$K$23,FALSE))</f>
        <v>#N/A</v>
      </c>
      <c r="J6" s="40" t="e">
        <f>INDEX('T&amp;D Capacity'!$E$4:$K$23,MATCH($A6,'T&amp;D Capacity'!$B$4:$B$23,FALSE),MATCH(EDC_NAME,'T&amp;D Capacity'!$E$3:$K$3,FALSE))</f>
        <v>#N/A</v>
      </c>
      <c r="K6" s="40" t="e">
        <f>INDEX('T&amp;D Capacity'!$M$4:$S$23,MATCH($A6,'T&amp;D Capacity'!$B$4:$B$23,FALSE),MATCH(EDC_NAME,'T&amp;D Capacity'!$M$3:$S$3,FALSE))</f>
        <v>#N/A</v>
      </c>
      <c r="L6" s="41" t="str">
        <f>IFERROR(AVERAGEIF('NG Futures'!$D:$D,Outputs!$B6,'NG Futures'!$H:$H),"Data Missing")</f>
        <v>Data Missing</v>
      </c>
      <c r="M6" s="190"/>
    </row>
    <row r="7" spans="1:13" x14ac:dyDescent="0.2">
      <c r="A7" s="29">
        <f t="shared" si="0"/>
        <v>17</v>
      </c>
      <c r="B7" s="29">
        <f t="shared" si="0"/>
        <v>2026</v>
      </c>
      <c r="C7" s="42" t="str">
        <f>IFERROR(AVERAGEIFS(Elec_On_Peak,'Avoided AC'!$D:$D,$B7,'Avoided AC'!$E:$E,"Summer")+INDEX('General Inputs'!$K$3:$K$32,MATCH(Outputs!$A7,'General Inputs'!$F$3:$F$32,0),1),"Data Missing")</f>
        <v>Data Missing</v>
      </c>
      <c r="D7" s="42" t="str">
        <f>IFERROR(AVERAGEIFS(Elec_Off_Peak,'Avoided AC'!$D:$D,$B7,'Avoided AC'!$E:$E,"Summer")+INDEX('General Inputs'!$K$3:$K$32,MATCH(Outputs!$A7,'General Inputs'!$F$3:$F$32,0),1),"Data Missing")</f>
        <v>Data Missing</v>
      </c>
      <c r="E7" s="42" t="str">
        <f>IFERROR(AVERAGEIFS(Elec_On_Peak,'Avoided AC'!$D:$D,$B7,'Avoided AC'!$E:$E,"Winter")+INDEX('General Inputs'!$K$3:$K$32,MATCH(Outputs!$A7,'General Inputs'!$F$3:$F$32,0),1),"Data Missing")</f>
        <v>Data Missing</v>
      </c>
      <c r="F7" s="42" t="str">
        <f>IFERROR(AVERAGEIFS(Elec_Off_Peak,'Avoided AC'!$D:$D,$B7,'Avoided AC'!$E:$E,"Winter")+INDEX('General Inputs'!$K$3:$K$32,MATCH(Outputs!$A7,'General Inputs'!$F$3:$F$32,0),1), "Data Missing")</f>
        <v>Data Missing</v>
      </c>
      <c r="G7" s="42" t="str">
        <f>IFERROR(AVERAGEIFS(Elec_On_Peak,'Avoided AC'!$D:$D,$B7,'Avoided AC'!$E:$E,"Shoulder")+INDEX('General Inputs'!$K$3:$K$32,MATCH(Outputs!$A7,'General Inputs'!$F$3:$F$32,0),1),"Data Missing")</f>
        <v>Data Missing</v>
      </c>
      <c r="H7" s="42" t="str">
        <f>IFERROR(AVERAGEIFS(Elec_Off_Peak,'Avoided AC'!$D:$D,$B7,'Avoided AC'!$E:$E,"Shoulder")+INDEX('General Inputs'!$K$3:$K$32,MATCH(Outputs!$A7,'General Inputs'!$F$3:$F$32,0),1),"Data Missing")</f>
        <v>Data Missing</v>
      </c>
      <c r="I7" s="42" t="e">
        <f>INDEX('Generation Capacity'!$E$24:$K$45,MATCH($A7,'Generation Capacity'!$B$24:$B$45,FALSE),MATCH(EDC_NAME,'Generation Capacity'!$E$23:$K$23,FALSE))</f>
        <v>#N/A</v>
      </c>
      <c r="J7" s="42" t="e">
        <f>INDEX('T&amp;D Capacity'!$E$4:$K$23,MATCH($A7,'T&amp;D Capacity'!$B$4:$B$23,FALSE),MATCH(EDC_NAME,'T&amp;D Capacity'!$E$3:$K$3,FALSE))</f>
        <v>#N/A</v>
      </c>
      <c r="K7" s="42" t="e">
        <f>INDEX('T&amp;D Capacity'!$M$4:$S$23,MATCH($A7,'T&amp;D Capacity'!$B$4:$B$23,FALSE),MATCH(EDC_NAME,'T&amp;D Capacity'!$M$3:$S$3,FALSE))</f>
        <v>#N/A</v>
      </c>
      <c r="L7" s="43" t="str">
        <f>IFERROR(AVERAGEIF('NG Futures'!$D:$D,Outputs!$B7,'NG Futures'!$H:$H),"Data Missing")</f>
        <v>Data Missing</v>
      </c>
      <c r="M7" s="191" t="s">
        <v>67</v>
      </c>
    </row>
    <row r="8" spans="1:13" x14ac:dyDescent="0.2">
      <c r="A8" s="29">
        <f t="shared" si="0"/>
        <v>18</v>
      </c>
      <c r="B8" s="29">
        <f t="shared" si="0"/>
        <v>2027</v>
      </c>
      <c r="C8" s="42" t="str">
        <f>IFERROR(AVERAGEIFS(Elec_On_Peak,'Avoided AC'!$D:$D,$B8,'Avoided AC'!$E:$E,"Summer")+INDEX('General Inputs'!$K$3:$K$32,MATCH(Outputs!$A8,'General Inputs'!$F$3:$F$32,0),1),"Data Missing")</f>
        <v>Data Missing</v>
      </c>
      <c r="D8" s="42" t="str">
        <f>IFERROR(AVERAGEIFS(Elec_Off_Peak,'Avoided AC'!$D:$D,$B8,'Avoided AC'!$E:$E,"Summer")+INDEX('General Inputs'!$K$3:$K$32,MATCH(Outputs!$A8,'General Inputs'!$F$3:$F$32,0),1),"Data Missing")</f>
        <v>Data Missing</v>
      </c>
      <c r="E8" s="42" t="str">
        <f>IFERROR(AVERAGEIFS(Elec_On_Peak,'Avoided AC'!$D:$D,$B8,'Avoided AC'!$E:$E,"Winter")+INDEX('General Inputs'!$K$3:$K$32,MATCH(Outputs!$A8,'General Inputs'!$F$3:$F$32,0),1),"Data Missing")</f>
        <v>Data Missing</v>
      </c>
      <c r="F8" s="42" t="str">
        <f>IFERROR(AVERAGEIFS(Elec_Off_Peak,'Avoided AC'!$D:$D,$B8,'Avoided AC'!$E:$E,"Winter")+INDEX('General Inputs'!$K$3:$K$32,MATCH(Outputs!$A8,'General Inputs'!$F$3:$F$32,0),1), "Data Missing")</f>
        <v>Data Missing</v>
      </c>
      <c r="G8" s="42" t="str">
        <f>IFERROR(AVERAGEIFS(Elec_On_Peak,'Avoided AC'!$D:$D,$B8,'Avoided AC'!$E:$E,"Shoulder")+INDEX('General Inputs'!$K$3:$K$32,MATCH(Outputs!$A8,'General Inputs'!$F$3:$F$32,0),1),"Data Missing")</f>
        <v>Data Missing</v>
      </c>
      <c r="H8" s="42" t="str">
        <f>IFERROR(AVERAGEIFS(Elec_Off_Peak,'Avoided AC'!$D:$D,$B8,'Avoided AC'!$E:$E,"Shoulder")+INDEX('General Inputs'!$K$3:$K$32,MATCH(Outputs!$A8,'General Inputs'!$F$3:$F$32,0),1),"Data Missing")</f>
        <v>Data Missing</v>
      </c>
      <c r="I8" s="42" t="e">
        <f>INDEX('Generation Capacity'!$E$24:$K$45,MATCH($A8,'Generation Capacity'!$B$24:$B$45,FALSE),MATCH(EDC_NAME,'Generation Capacity'!$E$23:$K$23,FALSE))</f>
        <v>#N/A</v>
      </c>
      <c r="J8" s="42" t="e">
        <f>INDEX('T&amp;D Capacity'!$E$4:$K$23,MATCH($A8,'T&amp;D Capacity'!$B$4:$B$23,FALSE),MATCH(EDC_NAME,'T&amp;D Capacity'!$E$3:$K$3,FALSE))</f>
        <v>#N/A</v>
      </c>
      <c r="K8" s="42" t="e">
        <f>INDEX('T&amp;D Capacity'!$M$4:$S$23,MATCH($A8,'T&amp;D Capacity'!$B$4:$B$23,FALSE),MATCH(EDC_NAME,'T&amp;D Capacity'!$M$3:$S$3,FALSE))</f>
        <v>#N/A</v>
      </c>
      <c r="L8" s="43" t="str">
        <f>IFERROR(AVERAGEIF('NG Futures'!$D:$D,Outputs!$B8,'NG Futures'!$H:$H),"Data Missing")</f>
        <v>Data Missing</v>
      </c>
      <c r="M8" s="191"/>
    </row>
    <row r="9" spans="1:13" x14ac:dyDescent="0.2">
      <c r="A9" s="29">
        <f t="shared" si="0"/>
        <v>19</v>
      </c>
      <c r="B9" s="29">
        <f t="shared" si="0"/>
        <v>2028</v>
      </c>
      <c r="C9" s="42" t="str">
        <f>IFERROR(AVERAGEIFS(Elec_On_Peak,'Avoided AC'!$D:$D,$B9,'Avoided AC'!$E:$E,"Summer")+INDEX('General Inputs'!$K$3:$K$32,MATCH(Outputs!$A9,'General Inputs'!$F$3:$F$32,0),1),"Data Missing")</f>
        <v>Data Missing</v>
      </c>
      <c r="D9" s="42" t="str">
        <f>IFERROR(AVERAGEIFS(Elec_Off_Peak,'Avoided AC'!$D:$D,$B9,'Avoided AC'!$E:$E,"Summer")+INDEX('General Inputs'!$K$3:$K$32,MATCH(Outputs!$A9,'General Inputs'!$F$3:$F$32,0),1),"Data Missing")</f>
        <v>Data Missing</v>
      </c>
      <c r="E9" s="42" t="str">
        <f>IFERROR(AVERAGEIFS(Elec_On_Peak,'Avoided AC'!$D:$D,$B9,'Avoided AC'!$E:$E,"Winter")+INDEX('General Inputs'!$K$3:$K$32,MATCH(Outputs!$A9,'General Inputs'!$F$3:$F$32,0),1),"Data Missing")</f>
        <v>Data Missing</v>
      </c>
      <c r="F9" s="42" t="str">
        <f>IFERROR(AVERAGEIFS(Elec_Off_Peak,'Avoided AC'!$D:$D,$B9,'Avoided AC'!$E:$E,"Winter")+INDEX('General Inputs'!$K$3:$K$32,MATCH(Outputs!$A9,'General Inputs'!$F$3:$F$32,0),1), "Data Missing")</f>
        <v>Data Missing</v>
      </c>
      <c r="G9" s="42" t="str">
        <f>IFERROR(AVERAGEIFS(Elec_On_Peak,'Avoided AC'!$D:$D,$B9,'Avoided AC'!$E:$E,"Shoulder")+INDEX('General Inputs'!$K$3:$K$32,MATCH(Outputs!$A9,'General Inputs'!$F$3:$F$32,0),1),"Data Missing")</f>
        <v>Data Missing</v>
      </c>
      <c r="H9" s="42" t="str">
        <f>IFERROR(AVERAGEIFS(Elec_Off_Peak,'Avoided AC'!$D:$D,$B9,'Avoided AC'!$E:$E,"Shoulder")+INDEX('General Inputs'!$K$3:$K$32,MATCH(Outputs!$A9,'General Inputs'!$F$3:$F$32,0),1),"Data Missing")</f>
        <v>Data Missing</v>
      </c>
      <c r="I9" s="42" t="e">
        <f>INDEX('Generation Capacity'!$E$24:$K$45,MATCH($A9,'Generation Capacity'!$B$24:$B$45,FALSE),MATCH(EDC_NAME,'Generation Capacity'!$E$23:$K$23,FALSE))</f>
        <v>#N/A</v>
      </c>
      <c r="J9" s="42" t="e">
        <f>INDEX('T&amp;D Capacity'!$E$4:$K$23,MATCH($A9,'T&amp;D Capacity'!$B$4:$B$23,FALSE),MATCH(EDC_NAME,'T&amp;D Capacity'!$E$3:$K$3,FALSE))</f>
        <v>#N/A</v>
      </c>
      <c r="K9" s="42" t="e">
        <f>INDEX('T&amp;D Capacity'!$M$4:$S$23,MATCH($A9,'T&amp;D Capacity'!$B$4:$B$23,FALSE),MATCH(EDC_NAME,'T&amp;D Capacity'!$M$3:$S$3,FALSE))</f>
        <v>#N/A</v>
      </c>
      <c r="L9" s="43" t="str">
        <f>IFERROR(AVERAGEIF('NG Futures'!$D:$D,Outputs!$B9,'NG Futures'!$H:$H),"Data Missing")</f>
        <v>Data Missing</v>
      </c>
      <c r="M9" s="191"/>
    </row>
    <row r="10" spans="1:13" x14ac:dyDescent="0.2">
      <c r="A10" s="29">
        <f t="shared" si="0"/>
        <v>20</v>
      </c>
      <c r="B10" s="29">
        <f t="shared" si="0"/>
        <v>2029</v>
      </c>
      <c r="C10" s="42" t="str">
        <f>IFERROR(AVERAGEIFS(Elec_On_Peak,'Avoided AC'!$D:$D,$B10,'Avoided AC'!$E:$E,"Summer")+INDEX('General Inputs'!$K$3:$K$32,MATCH(Outputs!$A10,'General Inputs'!$F$3:$F$32,0),1),"Data Missing")</f>
        <v>Data Missing</v>
      </c>
      <c r="D10" s="42" t="str">
        <f>IFERROR(AVERAGEIFS(Elec_Off_Peak,'Avoided AC'!$D:$D,$B10,'Avoided AC'!$E:$E,"Summer")+INDEX('General Inputs'!$K$3:$K$32,MATCH(Outputs!$A10,'General Inputs'!$F$3:$F$32,0),1),"Data Missing")</f>
        <v>Data Missing</v>
      </c>
      <c r="E10" s="42" t="str">
        <f>IFERROR(AVERAGEIFS(Elec_On_Peak,'Avoided AC'!$D:$D,$B10,'Avoided AC'!$E:$E,"Winter")+INDEX('General Inputs'!$K$3:$K$32,MATCH(Outputs!$A10,'General Inputs'!$F$3:$F$32,0),1),"Data Missing")</f>
        <v>Data Missing</v>
      </c>
      <c r="F10" s="42" t="str">
        <f>IFERROR(AVERAGEIFS(Elec_Off_Peak,'Avoided AC'!$D:$D,$B10,'Avoided AC'!$E:$E,"Winter")+INDEX('General Inputs'!$K$3:$K$32,MATCH(Outputs!$A10,'General Inputs'!$F$3:$F$32,0),1), "Data Missing")</f>
        <v>Data Missing</v>
      </c>
      <c r="G10" s="42" t="str">
        <f>IFERROR(AVERAGEIFS(Elec_On_Peak,'Avoided AC'!$D:$D,$B10,'Avoided AC'!$E:$E,"Shoulder")+INDEX('General Inputs'!$K$3:$K$32,MATCH(Outputs!$A10,'General Inputs'!$F$3:$F$32,0),1),"Data Missing")</f>
        <v>Data Missing</v>
      </c>
      <c r="H10" s="42" t="str">
        <f>IFERROR(AVERAGEIFS(Elec_Off_Peak,'Avoided AC'!$D:$D,$B10,'Avoided AC'!$E:$E,"Shoulder")+INDEX('General Inputs'!$K$3:$K$32,MATCH(Outputs!$A10,'General Inputs'!$F$3:$F$32,0),1),"Data Missing")</f>
        <v>Data Missing</v>
      </c>
      <c r="I10" s="42" t="e">
        <f>INDEX('Generation Capacity'!$E$24:$K$45,MATCH($A10,'Generation Capacity'!$B$24:$B$45,FALSE),MATCH(EDC_NAME,'Generation Capacity'!$E$23:$K$23,FALSE))</f>
        <v>#N/A</v>
      </c>
      <c r="J10" s="42" t="e">
        <f>INDEX('T&amp;D Capacity'!$E$4:$K$23,MATCH($A10,'T&amp;D Capacity'!$B$4:$B$23,FALSE),MATCH(EDC_NAME,'T&amp;D Capacity'!$E$3:$K$3,FALSE))</f>
        <v>#N/A</v>
      </c>
      <c r="K10" s="42" t="e">
        <f>INDEX('T&amp;D Capacity'!$M$4:$S$23,MATCH($A10,'T&amp;D Capacity'!$B$4:$B$23,FALSE),MATCH(EDC_NAME,'T&amp;D Capacity'!$M$3:$S$3,FALSE))</f>
        <v>#N/A</v>
      </c>
      <c r="L10" s="43" t="str">
        <f>IFERROR(AVERAGEIF('NG Futures'!$D:$D,Outputs!$B10,'NG Futures'!$H:$H),"Data Missing")</f>
        <v>Data Missing</v>
      </c>
      <c r="M10" s="191"/>
    </row>
    <row r="11" spans="1:13" x14ac:dyDescent="0.2">
      <c r="A11" s="29">
        <f t="shared" si="0"/>
        <v>21</v>
      </c>
      <c r="B11" s="29">
        <f t="shared" si="0"/>
        <v>2030</v>
      </c>
      <c r="C11" s="42" t="str">
        <f>IFERROR(AVERAGEIFS(Elec_On_Peak,'Avoided AC'!$D:$D,$B11,'Avoided AC'!$E:$E,"Summer")+INDEX('General Inputs'!$K$3:$K$32,MATCH(Outputs!$A11,'General Inputs'!$F$3:$F$32,0),1),"Data Missing")</f>
        <v>Data Missing</v>
      </c>
      <c r="D11" s="42" t="str">
        <f>IFERROR(AVERAGEIFS(Elec_Off_Peak,'Avoided AC'!$D:$D,$B11,'Avoided AC'!$E:$E,"Summer")+INDEX('General Inputs'!$K$3:$K$32,MATCH(Outputs!$A11,'General Inputs'!$F$3:$F$32,0),1),"Data Missing")</f>
        <v>Data Missing</v>
      </c>
      <c r="E11" s="42" t="str">
        <f>IFERROR(AVERAGEIFS(Elec_On_Peak,'Avoided AC'!$D:$D,$B11,'Avoided AC'!$E:$E,"Winter")+INDEX('General Inputs'!$K$3:$K$32,MATCH(Outputs!$A11,'General Inputs'!$F$3:$F$32,0),1),"Data Missing")</f>
        <v>Data Missing</v>
      </c>
      <c r="F11" s="42" t="str">
        <f>IFERROR(AVERAGEIFS(Elec_Off_Peak,'Avoided AC'!$D:$D,$B11,'Avoided AC'!$E:$E,"Winter")+INDEX('General Inputs'!$K$3:$K$32,MATCH(Outputs!$A11,'General Inputs'!$F$3:$F$32,0),1), "Data Missing")</f>
        <v>Data Missing</v>
      </c>
      <c r="G11" s="42" t="str">
        <f>IFERROR(AVERAGEIFS(Elec_On_Peak,'Avoided AC'!$D:$D,$B11,'Avoided AC'!$E:$E,"Shoulder")+INDEX('General Inputs'!$K$3:$K$32,MATCH(Outputs!$A11,'General Inputs'!$F$3:$F$32,0),1),"Data Missing")</f>
        <v>Data Missing</v>
      </c>
      <c r="H11" s="42" t="str">
        <f>IFERROR(AVERAGEIFS(Elec_Off_Peak,'Avoided AC'!$D:$D,$B11,'Avoided AC'!$E:$E,"Shoulder")+INDEX('General Inputs'!$K$3:$K$32,MATCH(Outputs!$A11,'General Inputs'!$F$3:$F$32,0),1),"Data Missing")</f>
        <v>Data Missing</v>
      </c>
      <c r="I11" s="42" t="e">
        <f>INDEX('Generation Capacity'!$E$24:$K$45,MATCH($A11,'Generation Capacity'!$B$24:$B$45,FALSE),MATCH(EDC_NAME,'Generation Capacity'!$E$23:$K$23,FALSE))</f>
        <v>#N/A</v>
      </c>
      <c r="J11" s="42" t="e">
        <f>INDEX('T&amp;D Capacity'!$E$4:$K$23,MATCH($A11,'T&amp;D Capacity'!$B$4:$B$23,FALSE),MATCH(EDC_NAME,'T&amp;D Capacity'!$E$3:$K$3,FALSE))</f>
        <v>#N/A</v>
      </c>
      <c r="K11" s="42" t="e">
        <f>INDEX('T&amp;D Capacity'!$M$4:$S$23,MATCH($A11,'T&amp;D Capacity'!$B$4:$B$23,FALSE),MATCH(EDC_NAME,'T&amp;D Capacity'!$M$3:$S$3,FALSE))</f>
        <v>#N/A</v>
      </c>
      <c r="L11" s="43" t="str">
        <f>IFERROR(AVERAGEIF('NG Futures'!$D:$D,Outputs!$B11,'NG Futures'!$H:$H),"Data Missing")</f>
        <v>Data Missing</v>
      </c>
      <c r="M11" s="191"/>
    </row>
    <row r="12" spans="1:13" x14ac:dyDescent="0.2">
      <c r="A12" s="29">
        <f t="shared" si="0"/>
        <v>22</v>
      </c>
      <c r="B12" s="29">
        <f t="shared" si="0"/>
        <v>2031</v>
      </c>
      <c r="C12" s="42" t="str">
        <f>IFERROR(AVERAGEIFS(Elec_On_Peak,'Avoided AC'!$D:$D,$B12,'Avoided AC'!$E:$E,"Summer")+INDEX('General Inputs'!$K$3:$K$32,MATCH(Outputs!$A12,'General Inputs'!$F$3:$F$32,0),1),"Data Missing")</f>
        <v>Data Missing</v>
      </c>
      <c r="D12" s="42" t="str">
        <f>IFERROR(AVERAGEIFS(Elec_Off_Peak,'Avoided AC'!$D:$D,$B12,'Avoided AC'!$E:$E,"Summer")+INDEX('General Inputs'!$K$3:$K$32,MATCH(Outputs!$A12,'General Inputs'!$F$3:$F$32,0),1),"Data Missing")</f>
        <v>Data Missing</v>
      </c>
      <c r="E12" s="42" t="str">
        <f>IFERROR(AVERAGEIFS(Elec_On_Peak,'Avoided AC'!$D:$D,$B12,'Avoided AC'!$E:$E,"Winter")+INDEX('General Inputs'!$K$3:$K$32,MATCH(Outputs!$A12,'General Inputs'!$F$3:$F$32,0),1),"Data Missing")</f>
        <v>Data Missing</v>
      </c>
      <c r="F12" s="42" t="str">
        <f>IFERROR(AVERAGEIFS(Elec_Off_Peak,'Avoided AC'!$D:$D,$B12,'Avoided AC'!$E:$E,"Winter")+INDEX('General Inputs'!$K$3:$K$32,MATCH(Outputs!$A12,'General Inputs'!$F$3:$F$32,0),1), "Data Missing")</f>
        <v>Data Missing</v>
      </c>
      <c r="G12" s="42" t="str">
        <f>IFERROR(AVERAGEIFS(Elec_On_Peak,'Avoided AC'!$D:$D,$B12,'Avoided AC'!$E:$E,"Shoulder")+INDEX('General Inputs'!$K$3:$K$32,MATCH(Outputs!$A12,'General Inputs'!$F$3:$F$32,0),1),"Data Missing")</f>
        <v>Data Missing</v>
      </c>
      <c r="H12" s="42" t="str">
        <f>IFERROR(AVERAGEIFS(Elec_Off_Peak,'Avoided AC'!$D:$D,$B12,'Avoided AC'!$E:$E,"Shoulder")+INDEX('General Inputs'!$K$3:$K$32,MATCH(Outputs!$A12,'General Inputs'!$F$3:$F$32,0),1),"Data Missing")</f>
        <v>Data Missing</v>
      </c>
      <c r="I12" s="42" t="e">
        <f>INDEX('Generation Capacity'!$E$24:$K$45,MATCH($A12,'Generation Capacity'!$B$24:$B$45,FALSE),MATCH(EDC_NAME,'Generation Capacity'!$E$23:$K$23,FALSE))</f>
        <v>#N/A</v>
      </c>
      <c r="J12" s="42" t="e">
        <f>INDEX('T&amp;D Capacity'!$E$4:$K$23,MATCH($A12,'T&amp;D Capacity'!$B$4:$B$23,FALSE),MATCH(EDC_NAME,'T&amp;D Capacity'!$E$3:$K$3,FALSE))</f>
        <v>#N/A</v>
      </c>
      <c r="K12" s="42" t="e">
        <f>INDEX('T&amp;D Capacity'!$M$4:$S$23,MATCH($A12,'T&amp;D Capacity'!$B$4:$B$23,FALSE),MATCH(EDC_NAME,'T&amp;D Capacity'!$M$3:$S$3,FALSE))</f>
        <v>#N/A</v>
      </c>
      <c r="L12" s="43" t="str">
        <f>IFERROR(AVERAGEIF('NG Futures'!$D:$D,Outputs!$B12,'NG Futures'!$H:$H),"Data Missing")</f>
        <v>Data Missing</v>
      </c>
      <c r="M12" s="191"/>
    </row>
    <row r="13" spans="1:13" x14ac:dyDescent="0.2">
      <c r="A13" s="29">
        <f t="shared" si="0"/>
        <v>23</v>
      </c>
      <c r="B13" s="29">
        <f t="shared" si="0"/>
        <v>2032</v>
      </c>
      <c r="C13" s="44" t="str">
        <f>IFERROR(AVERAGEIFS(Elec_On_Peak,'Avoided AC'!$D:$D,$B13,'Avoided AC'!$E:$E,"Summer")+INDEX('General Inputs'!$K$3:$K$32,MATCH(Outputs!$A13,'General Inputs'!$F$3:$F$32,0),1),"Data Missing")</f>
        <v>Data Missing</v>
      </c>
      <c r="D13" s="44" t="str">
        <f>IFERROR(AVERAGEIFS(Elec_Off_Peak,'Avoided AC'!$D:$D,$B13,'Avoided AC'!$E:$E,"Summer")+INDEX('General Inputs'!$K$3:$K$32,MATCH(Outputs!$A13,'General Inputs'!$F$3:$F$32,0),1),"Data Missing")</f>
        <v>Data Missing</v>
      </c>
      <c r="E13" s="44" t="str">
        <f>IFERROR(AVERAGEIFS(Elec_On_Peak,'Avoided AC'!$D:$D,$B13,'Avoided AC'!$E:$E,"Winter")+INDEX('General Inputs'!$K$3:$K$32,MATCH(Outputs!$A13,'General Inputs'!$F$3:$F$32,0),1),"Data Missing")</f>
        <v>Data Missing</v>
      </c>
      <c r="F13" s="44" t="str">
        <f>IFERROR(AVERAGEIFS(Elec_Off_Peak,'Avoided AC'!$D:$D,$B13,'Avoided AC'!$E:$E,"Winter")+INDEX('General Inputs'!$K$3:$K$32,MATCH(Outputs!$A13,'General Inputs'!$F$3:$F$32,0),1), "Data Missing")</f>
        <v>Data Missing</v>
      </c>
      <c r="G13" s="44" t="str">
        <f>IFERROR(AVERAGEIFS(Elec_On_Peak,'Avoided AC'!$D:$D,$B13,'Avoided AC'!$E:$E,"Shoulder")+INDEX('General Inputs'!$K$3:$K$32,MATCH(Outputs!$A13,'General Inputs'!$F$3:$F$32,0),1),"Data Missing")</f>
        <v>Data Missing</v>
      </c>
      <c r="H13" s="44" t="str">
        <f>IFERROR(AVERAGEIFS(Elec_Off_Peak,'Avoided AC'!$D:$D,$B13,'Avoided AC'!$E:$E,"Shoulder")+INDEX('General Inputs'!$K$3:$K$32,MATCH(Outputs!$A13,'General Inputs'!$F$3:$F$32,0),1),"Data Missing")</f>
        <v>Data Missing</v>
      </c>
      <c r="I13" s="44" t="e">
        <f>INDEX('Generation Capacity'!$E$24:$K$45,MATCH($A13,'Generation Capacity'!$B$24:$B$45,FALSE),MATCH(EDC_NAME,'Generation Capacity'!$E$23:$K$23,FALSE))</f>
        <v>#N/A</v>
      </c>
      <c r="J13" s="44" t="e">
        <f>INDEX('T&amp;D Capacity'!$E$4:$K$23,MATCH($A13,'T&amp;D Capacity'!$B$4:$B$23,FALSE),MATCH(EDC_NAME,'T&amp;D Capacity'!$E$3:$K$3,FALSE))</f>
        <v>#N/A</v>
      </c>
      <c r="K13" s="44" t="e">
        <f>INDEX('T&amp;D Capacity'!$M$4:$S$23,MATCH($A13,'T&amp;D Capacity'!$B$4:$B$23,FALSE),MATCH(EDC_NAME,'T&amp;D Capacity'!$M$3:$S$3,FALSE))</f>
        <v>#N/A</v>
      </c>
      <c r="L13" s="45" t="str">
        <f>IFERROR(AVERAGEIF('NG Futures'!$D:$D,Outputs!$B13,'NG Futures'!$H:$H),"Data Missing")</f>
        <v>Data Missing</v>
      </c>
      <c r="M13" s="192" t="s">
        <v>68</v>
      </c>
    </row>
    <row r="14" spans="1:13" x14ac:dyDescent="0.2">
      <c r="A14" s="29">
        <f t="shared" si="0"/>
        <v>24</v>
      </c>
      <c r="B14" s="29">
        <f t="shared" si="0"/>
        <v>2033</v>
      </c>
      <c r="C14" s="44" t="str">
        <f>IFERROR(AVERAGEIFS(Elec_On_Peak,'Avoided AC'!$D:$D,$B14,'Avoided AC'!$E:$E,"Summer")+INDEX('General Inputs'!$K$3:$K$32,MATCH(Outputs!$A14,'General Inputs'!$F$3:$F$32,0),1),"Data Missing")</f>
        <v>Data Missing</v>
      </c>
      <c r="D14" s="44" t="str">
        <f>IFERROR(AVERAGEIFS(Elec_Off_Peak,'Avoided AC'!$D:$D,$B14,'Avoided AC'!$E:$E,"Summer")+INDEX('General Inputs'!$K$3:$K$32,MATCH(Outputs!$A14,'General Inputs'!$F$3:$F$32,0),1),"Data Missing")</f>
        <v>Data Missing</v>
      </c>
      <c r="E14" s="44" t="str">
        <f>IFERROR(AVERAGEIFS(Elec_On_Peak,'Avoided AC'!$D:$D,$B14,'Avoided AC'!$E:$E,"Winter")+INDEX('General Inputs'!$K$3:$K$32,MATCH(Outputs!$A14,'General Inputs'!$F$3:$F$32,0),1),"Data Missing")</f>
        <v>Data Missing</v>
      </c>
      <c r="F14" s="44" t="str">
        <f>IFERROR(AVERAGEIFS(Elec_Off_Peak,'Avoided AC'!$D:$D,$B14,'Avoided AC'!$E:$E,"Winter")+INDEX('General Inputs'!$K$3:$K$32,MATCH(Outputs!$A14,'General Inputs'!$F$3:$F$32,0),1), "Data Missing")</f>
        <v>Data Missing</v>
      </c>
      <c r="G14" s="44" t="str">
        <f>IFERROR(AVERAGEIFS(Elec_On_Peak,'Avoided AC'!$D:$D,$B14,'Avoided AC'!$E:$E,"Shoulder")+INDEX('General Inputs'!$K$3:$K$32,MATCH(Outputs!$A14,'General Inputs'!$F$3:$F$32,0),1),"Data Missing")</f>
        <v>Data Missing</v>
      </c>
      <c r="H14" s="44" t="str">
        <f>IFERROR(AVERAGEIFS(Elec_Off_Peak,'Avoided AC'!$D:$D,$B14,'Avoided AC'!$E:$E,"Shoulder")+INDEX('General Inputs'!$K$3:$K$32,MATCH(Outputs!$A14,'General Inputs'!$F$3:$F$32,0),1),"Data Missing")</f>
        <v>Data Missing</v>
      </c>
      <c r="I14" s="44" t="e">
        <f>INDEX('Generation Capacity'!$E$24:$K$45,MATCH($A14,'Generation Capacity'!$B$24:$B$45,FALSE),MATCH(EDC_NAME,'Generation Capacity'!$E$23:$K$23,FALSE))</f>
        <v>#N/A</v>
      </c>
      <c r="J14" s="44" t="e">
        <f>INDEX('T&amp;D Capacity'!$E$4:$K$23,MATCH($A14,'T&amp;D Capacity'!$B$4:$B$23,FALSE),MATCH(EDC_NAME,'T&amp;D Capacity'!$E$3:$K$3,FALSE))</f>
        <v>#N/A</v>
      </c>
      <c r="K14" s="44" t="e">
        <f>INDEX('T&amp;D Capacity'!$M$4:$S$23,MATCH($A14,'T&amp;D Capacity'!$B$4:$B$23,FALSE),MATCH(EDC_NAME,'T&amp;D Capacity'!$M$3:$S$3,FALSE))</f>
        <v>#N/A</v>
      </c>
      <c r="L14" s="45" t="str">
        <f>IFERROR(AVERAGEIF('NG Futures'!$D:$D,Outputs!$B14,'NG Futures'!$H:$H),"Data Missing")</f>
        <v>Data Missing</v>
      </c>
      <c r="M14" s="192"/>
    </row>
    <row r="15" spans="1:13" x14ac:dyDescent="0.2">
      <c r="A15" s="29">
        <f t="shared" si="0"/>
        <v>25</v>
      </c>
      <c r="B15" s="29">
        <f t="shared" si="0"/>
        <v>2034</v>
      </c>
      <c r="C15" s="44" t="str">
        <f>IFERROR(AVERAGEIFS(Elec_On_Peak,'Avoided AC'!$D:$D,$B15,'Avoided AC'!$E:$E,"Summer")+INDEX('General Inputs'!$K$3:$K$32,MATCH(Outputs!$A15,'General Inputs'!$F$3:$F$32,0),1),"Data Missing")</f>
        <v>Data Missing</v>
      </c>
      <c r="D15" s="44" t="str">
        <f>IFERROR(AVERAGEIFS(Elec_Off_Peak,'Avoided AC'!$D:$D,$B15,'Avoided AC'!$E:$E,"Summer")+INDEX('General Inputs'!$K$3:$K$32,MATCH(Outputs!$A15,'General Inputs'!$F$3:$F$32,0),1),"Data Missing")</f>
        <v>Data Missing</v>
      </c>
      <c r="E15" s="44" t="str">
        <f>IFERROR(AVERAGEIFS(Elec_On_Peak,'Avoided AC'!$D:$D,$B15,'Avoided AC'!$E:$E,"Winter")+INDEX('General Inputs'!$K$3:$K$32,MATCH(Outputs!$A15,'General Inputs'!$F$3:$F$32,0),1),"Data Missing")</f>
        <v>Data Missing</v>
      </c>
      <c r="F15" s="44" t="str">
        <f>IFERROR(AVERAGEIFS(Elec_Off_Peak,'Avoided AC'!$D:$D,$B15,'Avoided AC'!$E:$E,"Winter")+INDEX('General Inputs'!$K$3:$K$32,MATCH(Outputs!$A15,'General Inputs'!$F$3:$F$32,0),1), "Data Missing")</f>
        <v>Data Missing</v>
      </c>
      <c r="G15" s="44" t="str">
        <f>IFERROR(AVERAGEIFS(Elec_On_Peak,'Avoided AC'!$D:$D,$B15,'Avoided AC'!$E:$E,"Shoulder")+INDEX('General Inputs'!$K$3:$K$32,MATCH(Outputs!$A15,'General Inputs'!$F$3:$F$32,0),1),"Data Missing")</f>
        <v>Data Missing</v>
      </c>
      <c r="H15" s="44" t="str">
        <f>IFERROR(AVERAGEIFS(Elec_Off_Peak,'Avoided AC'!$D:$D,$B15,'Avoided AC'!$E:$E,"Shoulder")+INDEX('General Inputs'!$K$3:$K$32,MATCH(Outputs!$A15,'General Inputs'!$F$3:$F$32,0),1),"Data Missing")</f>
        <v>Data Missing</v>
      </c>
      <c r="I15" s="44" t="e">
        <f>INDEX('Generation Capacity'!$E$24:$K$45,MATCH($A15,'Generation Capacity'!$B$24:$B$45,FALSE),MATCH(EDC_NAME,'Generation Capacity'!$E$23:$K$23,FALSE))</f>
        <v>#N/A</v>
      </c>
      <c r="J15" s="44" t="e">
        <f>INDEX('T&amp;D Capacity'!$E$4:$K$23,MATCH($A15,'T&amp;D Capacity'!$B$4:$B$23,FALSE),MATCH(EDC_NAME,'T&amp;D Capacity'!$E$3:$K$3,FALSE))</f>
        <v>#N/A</v>
      </c>
      <c r="K15" s="44" t="e">
        <f>INDEX('T&amp;D Capacity'!$M$4:$S$23,MATCH($A15,'T&amp;D Capacity'!$B$4:$B$23,FALSE),MATCH(EDC_NAME,'T&amp;D Capacity'!$M$3:$S$3,FALSE))</f>
        <v>#N/A</v>
      </c>
      <c r="L15" s="45" t="str">
        <f>IFERROR(AVERAGEIF('NG Futures'!$D:$D,Outputs!$B15,'NG Futures'!$H:$H),"Data Missing")</f>
        <v>Data Missing</v>
      </c>
      <c r="M15" s="192"/>
    </row>
    <row r="16" spans="1:13" x14ac:dyDescent="0.2">
      <c r="A16" s="29">
        <f t="shared" si="0"/>
        <v>26</v>
      </c>
      <c r="B16" s="29">
        <f t="shared" si="0"/>
        <v>2035</v>
      </c>
      <c r="C16" s="44" t="str">
        <f>IFERROR(AVERAGEIFS(Elec_On_Peak,'Avoided AC'!$D:$D,$B16,'Avoided AC'!$E:$E,"Summer")+INDEX('General Inputs'!$K$3:$K$32,MATCH(Outputs!$A16,'General Inputs'!$F$3:$F$32,0),1),"Data Missing")</f>
        <v>Data Missing</v>
      </c>
      <c r="D16" s="44" t="str">
        <f>IFERROR(AVERAGEIFS(Elec_Off_Peak,'Avoided AC'!$D:$D,$B16,'Avoided AC'!$E:$E,"Summer")+INDEX('General Inputs'!$K$3:$K$32,MATCH(Outputs!$A16,'General Inputs'!$F$3:$F$32,0),1),"Data Missing")</f>
        <v>Data Missing</v>
      </c>
      <c r="E16" s="44" t="str">
        <f>IFERROR(AVERAGEIFS(Elec_On_Peak,'Avoided AC'!$D:$D,$B16,'Avoided AC'!$E:$E,"Winter")+INDEX('General Inputs'!$K$3:$K$32,MATCH(Outputs!$A16,'General Inputs'!$F$3:$F$32,0),1),"Data Missing")</f>
        <v>Data Missing</v>
      </c>
      <c r="F16" s="44" t="str">
        <f>IFERROR(AVERAGEIFS(Elec_Off_Peak,'Avoided AC'!$D:$D,$B16,'Avoided AC'!$E:$E,"Winter")+INDEX('General Inputs'!$K$3:$K$32,MATCH(Outputs!$A16,'General Inputs'!$F$3:$F$32,0),1), "Data Missing")</f>
        <v>Data Missing</v>
      </c>
      <c r="G16" s="44" t="str">
        <f>IFERROR(AVERAGEIFS(Elec_On_Peak,'Avoided AC'!$D:$D,$B16,'Avoided AC'!$E:$E,"Shoulder")+INDEX('General Inputs'!$K$3:$K$32,MATCH(Outputs!$A16,'General Inputs'!$F$3:$F$32,0),1),"Data Missing")</f>
        <v>Data Missing</v>
      </c>
      <c r="H16" s="44" t="str">
        <f>IFERROR(AVERAGEIFS(Elec_Off_Peak,'Avoided AC'!$D:$D,$B16,'Avoided AC'!$E:$E,"Shoulder")+INDEX('General Inputs'!$K$3:$K$32,MATCH(Outputs!$A16,'General Inputs'!$F$3:$F$32,0),1),"Data Missing")</f>
        <v>Data Missing</v>
      </c>
      <c r="I16" s="44" t="e">
        <f>INDEX('Generation Capacity'!$E$24:$K$45,MATCH($A16,'Generation Capacity'!$B$24:$B$45,FALSE),MATCH(EDC_NAME,'Generation Capacity'!$E$23:$K$23,FALSE))</f>
        <v>#N/A</v>
      </c>
      <c r="J16" s="44" t="e">
        <f>INDEX('T&amp;D Capacity'!$E$4:$K$23,MATCH($A16,'T&amp;D Capacity'!$B$4:$B$23,FALSE),MATCH(EDC_NAME,'T&amp;D Capacity'!$E$3:$K$3,FALSE))</f>
        <v>#N/A</v>
      </c>
      <c r="K16" s="44" t="e">
        <f>INDEX('T&amp;D Capacity'!$M$4:$S$23,MATCH($A16,'T&amp;D Capacity'!$B$4:$B$23,FALSE),MATCH(EDC_NAME,'T&amp;D Capacity'!$M$3:$S$3,FALSE))</f>
        <v>#N/A</v>
      </c>
      <c r="L16" s="45" t="str">
        <f>IFERROR(AVERAGEIF('NG Futures'!$D:$D,Outputs!$B16,'NG Futures'!$H:$H),"Data Missing")</f>
        <v>Data Missing</v>
      </c>
      <c r="M16" s="192"/>
    </row>
    <row r="17" spans="1:13" x14ac:dyDescent="0.2">
      <c r="A17" s="29">
        <f t="shared" si="0"/>
        <v>27</v>
      </c>
      <c r="B17" s="29">
        <f t="shared" si="0"/>
        <v>2036</v>
      </c>
      <c r="C17" s="44" t="str">
        <f>IFERROR(AVERAGEIFS(Elec_On_Peak,'Avoided AC'!$D:$D,$B17,'Avoided AC'!$E:$E,"Summer")+INDEX('General Inputs'!$K$3:$K$32,MATCH(Outputs!$A17,'General Inputs'!$F$3:$F$32,0),1),"Data Missing")</f>
        <v>Data Missing</v>
      </c>
      <c r="D17" s="44" t="str">
        <f>IFERROR(AVERAGEIFS(Elec_Off_Peak,'Avoided AC'!$D:$D,$B17,'Avoided AC'!$E:$E,"Summer")+INDEX('General Inputs'!$K$3:$K$32,MATCH(Outputs!$A17,'General Inputs'!$F$3:$F$32,0),1),"Data Missing")</f>
        <v>Data Missing</v>
      </c>
      <c r="E17" s="44" t="str">
        <f>IFERROR(AVERAGEIFS(Elec_On_Peak,'Avoided AC'!$D:$D,$B17,'Avoided AC'!$E:$E,"Winter")+INDEX('General Inputs'!$K$3:$K$32,MATCH(Outputs!$A17,'General Inputs'!$F$3:$F$32,0),1),"Data Missing")</f>
        <v>Data Missing</v>
      </c>
      <c r="F17" s="44" t="str">
        <f>IFERROR(AVERAGEIFS(Elec_Off_Peak,'Avoided AC'!$D:$D,$B17,'Avoided AC'!$E:$E,"Winter")+INDEX('General Inputs'!$K$3:$K$32,MATCH(Outputs!$A17,'General Inputs'!$F$3:$F$32,0),1), "Data Missing")</f>
        <v>Data Missing</v>
      </c>
      <c r="G17" s="44" t="str">
        <f>IFERROR(AVERAGEIFS(Elec_On_Peak,'Avoided AC'!$D:$D,$B17,'Avoided AC'!$E:$E,"Shoulder")+INDEX('General Inputs'!$K$3:$K$32,MATCH(Outputs!$A17,'General Inputs'!$F$3:$F$32,0),1),"Data Missing")</f>
        <v>Data Missing</v>
      </c>
      <c r="H17" s="44" t="str">
        <f>IFERROR(AVERAGEIFS(Elec_Off_Peak,'Avoided AC'!$D:$D,$B17,'Avoided AC'!$E:$E,"Shoulder")+INDEX('General Inputs'!$K$3:$K$32,MATCH(Outputs!$A17,'General Inputs'!$F$3:$F$32,0),1),"Data Missing")</f>
        <v>Data Missing</v>
      </c>
      <c r="I17" s="44" t="e">
        <f>INDEX('Generation Capacity'!$E$24:$K$45,MATCH($A17,'Generation Capacity'!$B$24:$B$45,FALSE),MATCH(EDC_NAME,'Generation Capacity'!$E$23:$K$23,FALSE))</f>
        <v>#N/A</v>
      </c>
      <c r="J17" s="44" t="e">
        <f>INDEX('T&amp;D Capacity'!$E$4:$K$23,MATCH($A17,'T&amp;D Capacity'!$B$4:$B$23,FALSE),MATCH(EDC_NAME,'T&amp;D Capacity'!$E$3:$K$3,FALSE))</f>
        <v>#N/A</v>
      </c>
      <c r="K17" s="44" t="e">
        <f>INDEX('T&amp;D Capacity'!$M$4:$S$23,MATCH($A17,'T&amp;D Capacity'!$B$4:$B$23,FALSE),MATCH(EDC_NAME,'T&amp;D Capacity'!$M$3:$S$3,FALSE))</f>
        <v>#N/A</v>
      </c>
      <c r="L17" s="45" t="str">
        <f>IFERROR(AVERAGEIF('NG Futures'!$D:$D,Outputs!$B17,'NG Futures'!$H:$H),"Data Missing")</f>
        <v>Data Missing</v>
      </c>
      <c r="M17" s="192"/>
    </row>
    <row r="18" spans="1:13" x14ac:dyDescent="0.2">
      <c r="A18" s="29">
        <f t="shared" si="0"/>
        <v>28</v>
      </c>
      <c r="B18" s="29">
        <f t="shared" si="0"/>
        <v>2037</v>
      </c>
      <c r="C18" s="44" t="str">
        <f>IFERROR(AVERAGEIFS(Elec_On_Peak,'Avoided AC'!$D:$D,$B18,'Avoided AC'!$E:$E,"Summer")+INDEX('General Inputs'!$K$3:$K$32,MATCH(Outputs!$A18,'General Inputs'!$F$3:$F$32,0),1),"Data Missing")</f>
        <v>Data Missing</v>
      </c>
      <c r="D18" s="44" t="str">
        <f>IFERROR(AVERAGEIFS(Elec_Off_Peak,'Avoided AC'!$D:$D,$B18,'Avoided AC'!$E:$E,"Summer")+INDEX('General Inputs'!$K$3:$K$32,MATCH(Outputs!$A18,'General Inputs'!$F$3:$F$32,0),1),"Data Missing")</f>
        <v>Data Missing</v>
      </c>
      <c r="E18" s="44" t="str">
        <f>IFERROR(AVERAGEIFS(Elec_On_Peak,'Avoided AC'!$D:$D,$B18,'Avoided AC'!$E:$E,"Winter")+INDEX('General Inputs'!$K$3:$K$32,MATCH(Outputs!$A18,'General Inputs'!$F$3:$F$32,0),1),"Data Missing")</f>
        <v>Data Missing</v>
      </c>
      <c r="F18" s="44" t="str">
        <f>IFERROR(AVERAGEIFS(Elec_Off_Peak,'Avoided AC'!$D:$D,$B18,'Avoided AC'!$E:$E,"Winter")+INDEX('General Inputs'!$K$3:$K$32,MATCH(Outputs!$A18,'General Inputs'!$F$3:$F$32,0),1), "Data Missing")</f>
        <v>Data Missing</v>
      </c>
      <c r="G18" s="44" t="str">
        <f>IFERROR(AVERAGEIFS(Elec_On_Peak,'Avoided AC'!$D:$D,$B18,'Avoided AC'!$E:$E,"Shoulder")+INDEX('General Inputs'!$K$3:$K$32,MATCH(Outputs!$A18,'General Inputs'!$F$3:$F$32,0),1),"Data Missing")</f>
        <v>Data Missing</v>
      </c>
      <c r="H18" s="44" t="str">
        <f>IFERROR(AVERAGEIFS(Elec_Off_Peak,'Avoided AC'!$D:$D,$B18,'Avoided AC'!$E:$E,"Shoulder")+INDEX('General Inputs'!$K$3:$K$32,MATCH(Outputs!$A18,'General Inputs'!$F$3:$F$32,0),1),"Data Missing")</f>
        <v>Data Missing</v>
      </c>
      <c r="I18" s="44" t="e">
        <f>INDEX('Generation Capacity'!$E$24:$K$45,MATCH($A18,'Generation Capacity'!$B$24:$B$45,FALSE),MATCH(EDC_NAME,'Generation Capacity'!$E$23:$K$23,FALSE))</f>
        <v>#N/A</v>
      </c>
      <c r="J18" s="44" t="e">
        <f>INDEX('T&amp;D Capacity'!$E$4:$K$23,MATCH($A18,'T&amp;D Capacity'!$B$4:$B$23,FALSE),MATCH(EDC_NAME,'T&amp;D Capacity'!$E$3:$K$3,FALSE))</f>
        <v>#N/A</v>
      </c>
      <c r="K18" s="44" t="e">
        <f>INDEX('T&amp;D Capacity'!$M$4:$S$23,MATCH($A18,'T&amp;D Capacity'!$B$4:$B$23,FALSE),MATCH(EDC_NAME,'T&amp;D Capacity'!$M$3:$S$3,FALSE))</f>
        <v>#N/A</v>
      </c>
      <c r="L18" s="45" t="str">
        <f>IFERROR(AVERAGEIF('NG Futures'!$D:$D,Outputs!$B18,'NG Futures'!$H:$H),"Data Missing")</f>
        <v>Data Missing</v>
      </c>
      <c r="M18" s="192"/>
    </row>
    <row r="19" spans="1:13" x14ac:dyDescent="0.2">
      <c r="A19" s="29">
        <f t="shared" si="0"/>
        <v>29</v>
      </c>
      <c r="B19" s="29">
        <f t="shared" si="0"/>
        <v>2038</v>
      </c>
      <c r="C19" s="44" t="str">
        <f>IFERROR(AVERAGEIFS(Elec_On_Peak,'Avoided AC'!$D:$D,$B19,'Avoided AC'!$E:$E,"Summer")+INDEX('General Inputs'!$K$3:$K$32,MATCH(Outputs!$A19,'General Inputs'!$F$3:$F$32,0),1),"Data Missing")</f>
        <v>Data Missing</v>
      </c>
      <c r="D19" s="44" t="str">
        <f>IFERROR(AVERAGEIFS(Elec_Off_Peak,'Avoided AC'!$D:$D,$B19,'Avoided AC'!$E:$E,"Summer")+INDEX('General Inputs'!$K$3:$K$32,MATCH(Outputs!$A19,'General Inputs'!$F$3:$F$32,0),1),"Data Missing")</f>
        <v>Data Missing</v>
      </c>
      <c r="E19" s="44" t="str">
        <f>IFERROR(AVERAGEIFS(Elec_On_Peak,'Avoided AC'!$D:$D,$B19,'Avoided AC'!$E:$E,"Winter")+INDEX('General Inputs'!$K$3:$K$32,MATCH(Outputs!$A19,'General Inputs'!$F$3:$F$32,0),1),"Data Missing")</f>
        <v>Data Missing</v>
      </c>
      <c r="F19" s="44" t="str">
        <f>IFERROR(AVERAGEIFS(Elec_Off_Peak,'Avoided AC'!$D:$D,$B19,'Avoided AC'!$E:$E,"Winter")+INDEX('General Inputs'!$K$3:$K$32,MATCH(Outputs!$A19,'General Inputs'!$F$3:$F$32,0),1), "Data Missing")</f>
        <v>Data Missing</v>
      </c>
      <c r="G19" s="44" t="str">
        <f>IFERROR(AVERAGEIFS(Elec_On_Peak,'Avoided AC'!$D:$D,$B19,'Avoided AC'!$E:$E,"Shoulder")+INDEX('General Inputs'!$K$3:$K$32,MATCH(Outputs!$A19,'General Inputs'!$F$3:$F$32,0),1),"Data Missing")</f>
        <v>Data Missing</v>
      </c>
      <c r="H19" s="44" t="str">
        <f>IFERROR(AVERAGEIFS(Elec_Off_Peak,'Avoided AC'!$D:$D,$B19,'Avoided AC'!$E:$E,"Shoulder")+INDEX('General Inputs'!$K$3:$K$32,MATCH(Outputs!$A19,'General Inputs'!$F$3:$F$32,0),1),"Data Missing")</f>
        <v>Data Missing</v>
      </c>
      <c r="I19" s="44" t="e">
        <f>INDEX('Generation Capacity'!$E$24:$K$45,MATCH($A19,'Generation Capacity'!$B$24:$B$45,FALSE),MATCH(EDC_NAME,'Generation Capacity'!$E$23:$K$23,FALSE))</f>
        <v>#N/A</v>
      </c>
      <c r="J19" s="44" t="e">
        <f>INDEX('T&amp;D Capacity'!$E$4:$K$23,MATCH($A19,'T&amp;D Capacity'!$B$4:$B$23,FALSE),MATCH(EDC_NAME,'T&amp;D Capacity'!$E$3:$K$3,FALSE))</f>
        <v>#N/A</v>
      </c>
      <c r="K19" s="44" t="e">
        <f>INDEX('T&amp;D Capacity'!$M$4:$S$23,MATCH($A19,'T&amp;D Capacity'!$B$4:$B$23,FALSE),MATCH(EDC_NAME,'T&amp;D Capacity'!$M$3:$S$3,FALSE))</f>
        <v>#N/A</v>
      </c>
      <c r="L19" s="45" t="str">
        <f>IFERROR(AVERAGEIF('NG Futures'!$D:$D,Outputs!$B19,'NG Futures'!$H:$H),"Data Missing")</f>
        <v>Data Missing</v>
      </c>
      <c r="M19" s="192"/>
    </row>
    <row r="20" spans="1:13" x14ac:dyDescent="0.2">
      <c r="A20" s="29">
        <f t="shared" si="0"/>
        <v>30</v>
      </c>
      <c r="B20" s="29">
        <f t="shared" si="0"/>
        <v>2039</v>
      </c>
      <c r="C20" s="44" t="str">
        <f>IFERROR(AVERAGEIFS(Elec_On_Peak,'Avoided AC'!$D:$D,$B20,'Avoided AC'!$E:$E,"Summer")+INDEX('General Inputs'!$K$3:$K$32,MATCH(Outputs!$A20,'General Inputs'!$F$3:$F$32,0),1),"Data Missing")</f>
        <v>Data Missing</v>
      </c>
      <c r="D20" s="44" t="str">
        <f>IFERROR(AVERAGEIFS(Elec_Off_Peak,'Avoided AC'!$D:$D,$B20,'Avoided AC'!$E:$E,"Summer")+INDEX('General Inputs'!$K$3:$K$32,MATCH(Outputs!$A20,'General Inputs'!$F$3:$F$32,0),1),"Data Missing")</f>
        <v>Data Missing</v>
      </c>
      <c r="E20" s="44" t="str">
        <f>IFERROR(AVERAGEIFS(Elec_On_Peak,'Avoided AC'!$D:$D,$B20,'Avoided AC'!$E:$E,"Winter")+INDEX('General Inputs'!$K$3:$K$32,MATCH(Outputs!$A20,'General Inputs'!$F$3:$F$32,0),1),"Data Missing")</f>
        <v>Data Missing</v>
      </c>
      <c r="F20" s="44" t="str">
        <f>IFERROR(AVERAGEIFS(Elec_Off_Peak,'Avoided AC'!$D:$D,$B20,'Avoided AC'!$E:$E,"Winter")+INDEX('General Inputs'!$K$3:$K$32,MATCH(Outputs!$A20,'General Inputs'!$F$3:$F$32,0),1), "Data Missing")</f>
        <v>Data Missing</v>
      </c>
      <c r="G20" s="44" t="str">
        <f>IFERROR(AVERAGEIFS(Elec_On_Peak,'Avoided AC'!$D:$D,$B20,'Avoided AC'!$E:$E,"Shoulder")+INDEX('General Inputs'!$K$3:$K$32,MATCH(Outputs!$A20,'General Inputs'!$F$3:$F$32,0),1),"Data Missing")</f>
        <v>Data Missing</v>
      </c>
      <c r="H20" s="44" t="str">
        <f>IFERROR(AVERAGEIFS(Elec_Off_Peak,'Avoided AC'!$D:$D,$B20,'Avoided AC'!$E:$E,"Shoulder")+INDEX('General Inputs'!$K$3:$K$32,MATCH(Outputs!$A20,'General Inputs'!$F$3:$F$32,0),1),"Data Missing")</f>
        <v>Data Missing</v>
      </c>
      <c r="I20" s="44" t="e">
        <f>INDEX('Generation Capacity'!$E$24:$K$45,MATCH($A20,'Generation Capacity'!$B$24:$B$45,FALSE),MATCH(EDC_NAME,'Generation Capacity'!$E$23:$K$23,FALSE))</f>
        <v>#N/A</v>
      </c>
      <c r="J20" s="44" t="e">
        <f>INDEX('T&amp;D Capacity'!$E$4:$K$23,MATCH($A20,'T&amp;D Capacity'!$B$4:$B$23,FALSE),MATCH(EDC_NAME,'T&amp;D Capacity'!$E$3:$K$3,FALSE))</f>
        <v>#N/A</v>
      </c>
      <c r="K20" s="44" t="e">
        <f>INDEX('T&amp;D Capacity'!$M$4:$S$23,MATCH($A20,'T&amp;D Capacity'!$B$4:$B$23,FALSE),MATCH(EDC_NAME,'T&amp;D Capacity'!$M$3:$S$3,FALSE))</f>
        <v>#N/A</v>
      </c>
      <c r="L20" s="45" t="str">
        <f>IFERROR(AVERAGEIF('NG Futures'!$D:$D,Outputs!$B20,'NG Futures'!$H:$H),"Data Missing")</f>
        <v>Data Missing</v>
      </c>
      <c r="M20" s="192"/>
    </row>
    <row r="21" spans="1:13" x14ac:dyDescent="0.2">
      <c r="A21" s="29">
        <f t="shared" si="0"/>
        <v>31</v>
      </c>
      <c r="B21" s="29">
        <f t="shared" si="0"/>
        <v>2040</v>
      </c>
      <c r="C21" s="44" t="str">
        <f>IFERROR(AVERAGEIFS(Elec_On_Peak,'Avoided AC'!$D:$D,$B21,'Avoided AC'!$E:$E,"Summer")+INDEX('General Inputs'!$K$3:$K$32,MATCH(Outputs!$A21,'General Inputs'!$F$3:$F$32,0),1),"Data Missing")</f>
        <v>Data Missing</v>
      </c>
      <c r="D21" s="44" t="str">
        <f>IFERROR(AVERAGEIFS(Elec_Off_Peak,'Avoided AC'!$D:$D,$B21,'Avoided AC'!$E:$E,"Summer")+INDEX('General Inputs'!$K$3:$K$32,MATCH(Outputs!$A21,'General Inputs'!$F$3:$F$32,0),1),"Data Missing")</f>
        <v>Data Missing</v>
      </c>
      <c r="E21" s="44" t="str">
        <f>IFERROR(AVERAGEIFS(Elec_On_Peak,'Avoided AC'!$D:$D,$B21,'Avoided AC'!$E:$E,"Winter")+INDEX('General Inputs'!$K$3:$K$32,MATCH(Outputs!$A21,'General Inputs'!$F$3:$F$32,0),1),"Data Missing")</f>
        <v>Data Missing</v>
      </c>
      <c r="F21" s="44" t="str">
        <f>IFERROR(AVERAGEIFS(Elec_Off_Peak,'Avoided AC'!$D:$D,$B21,'Avoided AC'!$E:$E,"Winter")+INDEX('General Inputs'!$K$3:$K$32,MATCH(Outputs!$A21,'General Inputs'!$F$3:$F$32,0),1), "Data Missing")</f>
        <v>Data Missing</v>
      </c>
      <c r="G21" s="44" t="str">
        <f>IFERROR(AVERAGEIFS(Elec_On_Peak,'Avoided AC'!$D:$D,$B21,'Avoided AC'!$E:$E,"Shoulder")+INDEX('General Inputs'!$K$3:$K$32,MATCH(Outputs!$A21,'General Inputs'!$F$3:$F$32,0),1),"Data Missing")</f>
        <v>Data Missing</v>
      </c>
      <c r="H21" s="44" t="str">
        <f>IFERROR(AVERAGEIFS(Elec_Off_Peak,'Avoided AC'!$D:$D,$B21,'Avoided AC'!$E:$E,"Shoulder")+INDEX('General Inputs'!$K$3:$K$32,MATCH(Outputs!$A21,'General Inputs'!$F$3:$F$32,0),1),"Data Missing")</f>
        <v>Data Missing</v>
      </c>
      <c r="I21" s="44" t="e">
        <f>INDEX('Generation Capacity'!$E$24:$K$45,MATCH($A21,'Generation Capacity'!$B$24:$B$45,FALSE),MATCH(EDC_NAME,'Generation Capacity'!$E$23:$K$23,FALSE))</f>
        <v>#N/A</v>
      </c>
      <c r="J21" s="44" t="e">
        <f>INDEX('T&amp;D Capacity'!$E$4:$K$23,MATCH($A21,'T&amp;D Capacity'!$B$4:$B$23,FALSE),MATCH(EDC_NAME,'T&amp;D Capacity'!$E$3:$K$3,FALSE))</f>
        <v>#N/A</v>
      </c>
      <c r="K21" s="44" t="e">
        <f>INDEX('T&amp;D Capacity'!$M$4:$S$23,MATCH($A21,'T&amp;D Capacity'!$B$4:$B$23,FALSE),MATCH(EDC_NAME,'T&amp;D Capacity'!$M$3:$S$3,FALSE))</f>
        <v>#N/A</v>
      </c>
      <c r="L21" s="45" t="str">
        <f>IFERROR(AVERAGEIF('NG Futures'!$D:$D,Outputs!$B21,'NG Futures'!$H:$H),"Data Missing")</f>
        <v>Data Missing</v>
      </c>
      <c r="M21" s="192"/>
    </row>
    <row r="22" spans="1:13" x14ac:dyDescent="0.2">
      <c r="A22" s="29">
        <f t="shared" si="0"/>
        <v>32</v>
      </c>
      <c r="B22" s="29">
        <f t="shared" si="0"/>
        <v>2041</v>
      </c>
      <c r="C22" s="44" t="str">
        <f>IFERROR(AVERAGEIFS(Elec_On_Peak,'Avoided AC'!$D:$D,$B22,'Avoided AC'!$E:$E,"Summer")+INDEX('General Inputs'!$K$3:$K$32,MATCH(Outputs!$A22,'General Inputs'!$F$3:$F$32,0),1),"Data Missing")</f>
        <v>Data Missing</v>
      </c>
      <c r="D22" s="44" t="str">
        <f>IFERROR(AVERAGEIFS(Elec_Off_Peak,'Avoided AC'!$D:$D,$B22,'Avoided AC'!$E:$E,"Summer")+INDEX('General Inputs'!$K$3:$K$32,MATCH(Outputs!$A22,'General Inputs'!$F$3:$F$32,0),1),"Data Missing")</f>
        <v>Data Missing</v>
      </c>
      <c r="E22" s="44" t="str">
        <f>IFERROR(AVERAGEIFS(Elec_On_Peak,'Avoided AC'!$D:$D,$B22,'Avoided AC'!$E:$E,"Winter")+INDEX('General Inputs'!$K$3:$K$32,MATCH(Outputs!$A22,'General Inputs'!$F$3:$F$32,0),1),"Data Missing")</f>
        <v>Data Missing</v>
      </c>
      <c r="F22" s="44" t="str">
        <f>IFERROR(AVERAGEIFS(Elec_Off_Peak,'Avoided AC'!$D:$D,$B22,'Avoided AC'!$E:$E,"Winter")+INDEX('General Inputs'!$K$3:$K$32,MATCH(Outputs!$A22,'General Inputs'!$F$3:$F$32,0),1), "Data Missing")</f>
        <v>Data Missing</v>
      </c>
      <c r="G22" s="44" t="str">
        <f>IFERROR(AVERAGEIFS(Elec_On_Peak,'Avoided AC'!$D:$D,$B22,'Avoided AC'!$E:$E,"Shoulder")+INDEX('General Inputs'!$K$3:$K$32,MATCH(Outputs!$A22,'General Inputs'!$F$3:$F$32,0),1),"Data Missing")</f>
        <v>Data Missing</v>
      </c>
      <c r="H22" s="44" t="str">
        <f>IFERROR(AVERAGEIFS(Elec_Off_Peak,'Avoided AC'!$D:$D,$B22,'Avoided AC'!$E:$E,"Shoulder")+INDEX('General Inputs'!$K$3:$K$32,MATCH(Outputs!$A22,'General Inputs'!$F$3:$F$32,0),1),"Data Missing")</f>
        <v>Data Missing</v>
      </c>
      <c r="I22" s="44" t="e">
        <f>INDEX('Generation Capacity'!$E$24:$K$45,MATCH($A22,'Generation Capacity'!$B$24:$B$45,FALSE),MATCH(EDC_NAME,'Generation Capacity'!$E$23:$K$23,FALSE))</f>
        <v>#N/A</v>
      </c>
      <c r="J22" s="44" t="e">
        <f>INDEX('T&amp;D Capacity'!$E$4:$K$23,MATCH($A22,'T&amp;D Capacity'!$B$4:$B$23,FALSE),MATCH(EDC_NAME,'T&amp;D Capacity'!$E$3:$K$3,FALSE))</f>
        <v>#N/A</v>
      </c>
      <c r="K22" s="44" t="e">
        <f>INDEX('T&amp;D Capacity'!$M$4:$S$23,MATCH($A22,'T&amp;D Capacity'!$B$4:$B$23,FALSE),MATCH(EDC_NAME,'T&amp;D Capacity'!$M$3:$S$3,FALSE))</f>
        <v>#N/A</v>
      </c>
      <c r="L22" s="45" t="str">
        <f>IFERROR(AVERAGEIF('NG Futures'!$D:$D,Outputs!$B22,'NG Futures'!$H:$H),"Data Missing")</f>
        <v>Data Missing</v>
      </c>
      <c r="M22" s="192"/>
    </row>
  </sheetData>
  <mergeCells count="3">
    <mergeCell ref="M3:M6"/>
    <mergeCell ref="M7:M12"/>
    <mergeCell ref="M13:M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63"/>
  <sheetViews>
    <sheetView zoomScale="150" zoomScaleNormal="150" workbookViewId="0">
      <pane xSplit="1" ySplit="2" topLeftCell="B3" activePane="bottomRight" state="frozen"/>
      <selection pane="topRight" activeCell="B1" sqref="B1"/>
      <selection pane="bottomLeft" activeCell="A3" sqref="A3"/>
      <selection pane="bottomRight" activeCell="I7" sqref="I7"/>
    </sheetView>
  </sheetViews>
  <sheetFormatPr defaultColWidth="9.140625" defaultRowHeight="12.75" x14ac:dyDescent="0.25"/>
  <cols>
    <col min="1" max="1" width="8.28515625" style="55" hidden="1" customWidth="1"/>
    <col min="2" max="2" width="12.7109375" style="55" customWidth="1"/>
    <col min="3" max="4" width="8.28515625" style="55" hidden="1" customWidth="1"/>
    <col min="5" max="6" width="12.7109375" style="55" customWidth="1"/>
    <col min="7" max="7" width="3.28515625" style="55" customWidth="1"/>
    <col min="8" max="9" width="12.7109375" style="55" customWidth="1"/>
    <col min="10" max="10" width="3.28515625" style="55" customWidth="1"/>
    <col min="11" max="11" width="8.28515625" style="55" bestFit="1" customWidth="1"/>
    <col min="12" max="12" width="12.5703125" style="55" bestFit="1" customWidth="1"/>
    <col min="13" max="13" width="11.5703125" style="55" customWidth="1"/>
    <col min="14" max="14" width="11" style="55" customWidth="1"/>
    <col min="15" max="16384" width="9.140625" style="55"/>
  </cols>
  <sheetData>
    <row r="2" spans="1:14" ht="50.1" customHeight="1" x14ac:dyDescent="0.25">
      <c r="A2" s="6" t="s">
        <v>8</v>
      </c>
      <c r="B2" s="79" t="s">
        <v>57</v>
      </c>
      <c r="C2" s="79" t="s">
        <v>6</v>
      </c>
      <c r="D2" s="79" t="s">
        <v>5</v>
      </c>
      <c r="E2" s="79" t="s">
        <v>26</v>
      </c>
      <c r="F2" s="79" t="s">
        <v>27</v>
      </c>
      <c r="G2" s="80"/>
      <c r="H2" s="79" t="str">
        <f>EDC_NAME&amp;" Zone Adjusted On-Peak ($/MWh)"</f>
        <v xml:space="preserve"> Zone Adjusted On-Peak ($/MWh)</v>
      </c>
      <c r="I2" s="79" t="str">
        <f>EDC_NAME&amp;" Zone Adjusted Off-Peak ($/MWh)"</f>
        <v xml:space="preserve"> Zone Adjusted Off-Peak ($/MWh)</v>
      </c>
      <c r="J2" s="81"/>
      <c r="K2" s="193" t="s">
        <v>22</v>
      </c>
      <c r="L2" s="193"/>
      <c r="M2" s="193"/>
      <c r="N2" s="193"/>
    </row>
    <row r="3" spans="1:14" x14ac:dyDescent="0.25">
      <c r="A3" s="56">
        <v>1</v>
      </c>
      <c r="B3" s="57">
        <f t="shared" ref="B3:B50" si="0">DATE(Start_Year-1,A3,1)</f>
        <v>44197</v>
      </c>
      <c r="C3" s="58" t="str">
        <f>CHOOSE(MONTH(B3), "Jan", "Feb", "Mar", "Apr", "May", "Jun", "Jul", "Aug", "Sep", "Oct", "Nov", "Dec")</f>
        <v>Jan</v>
      </c>
      <c r="D3" s="58">
        <f>YEAR(B3)</f>
        <v>2021</v>
      </c>
      <c r="E3" s="59"/>
      <c r="F3" s="59"/>
      <c r="G3" s="63"/>
      <c r="H3" s="60" t="str">
        <f>IF(ISNUMBER(E3),E3*ELEC_Zone_Adjust,"N/A")</f>
        <v>N/A</v>
      </c>
      <c r="I3" s="60" t="str">
        <f t="shared" ref="I3:I14" si="1">IF(ISNUMBER(F3),F3*ELEC_Zone_Adjust,"N/A")</f>
        <v>N/A</v>
      </c>
      <c r="J3" s="82"/>
      <c r="K3" s="62"/>
      <c r="L3" s="163" t="s">
        <v>23</v>
      </c>
      <c r="M3" s="163" t="str">
        <f>EDC_NAME&amp;" Zone"</f>
        <v xml:space="preserve"> Zone</v>
      </c>
      <c r="N3" s="163" t="s">
        <v>24</v>
      </c>
    </row>
    <row r="4" spans="1:14" x14ac:dyDescent="0.25">
      <c r="A4" s="56">
        <v>2</v>
      </c>
      <c r="B4" s="57">
        <f t="shared" si="0"/>
        <v>44228</v>
      </c>
      <c r="C4" s="58" t="str">
        <f t="shared" ref="C4:C62" si="2">CHOOSE(MONTH(B4), "Jan", "Feb", "Mar", "Apr", "May", "Jun", "Jul", "Aug", "Sep", "Oct", "Nov", "Dec")</f>
        <v>Feb</v>
      </c>
      <c r="D4" s="58">
        <f t="shared" ref="D4:D62" si="3">YEAR(B4)</f>
        <v>2021</v>
      </c>
      <c r="E4" s="59"/>
      <c r="F4" s="59"/>
      <c r="G4" s="63"/>
      <c r="H4" s="60" t="str">
        <f t="shared" ref="H4:H14" si="4">IF(ISNUMBER(E4),E4*ELEC_Zone_Adjust,"N/A")</f>
        <v>N/A</v>
      </c>
      <c r="I4" s="60" t="str">
        <f t="shared" si="1"/>
        <v>N/A</v>
      </c>
      <c r="J4" s="82"/>
      <c r="K4" s="78">
        <v>2017</v>
      </c>
      <c r="L4" s="64"/>
      <c r="M4" s="64"/>
      <c r="N4" s="65">
        <f>IFERROR(M4/L4,0)</f>
        <v>0</v>
      </c>
    </row>
    <row r="5" spans="1:14" x14ac:dyDescent="0.25">
      <c r="A5" s="56">
        <v>3</v>
      </c>
      <c r="B5" s="57">
        <f t="shared" si="0"/>
        <v>44256</v>
      </c>
      <c r="C5" s="58" t="str">
        <f t="shared" si="2"/>
        <v>Mar</v>
      </c>
      <c r="D5" s="58">
        <f t="shared" si="3"/>
        <v>2021</v>
      </c>
      <c r="E5" s="59"/>
      <c r="F5" s="59"/>
      <c r="G5" s="63"/>
      <c r="H5" s="60" t="str">
        <f t="shared" si="4"/>
        <v>N/A</v>
      </c>
      <c r="I5" s="60" t="str">
        <f t="shared" si="1"/>
        <v>N/A</v>
      </c>
      <c r="J5" s="82"/>
      <c r="K5" s="78">
        <v>2018</v>
      </c>
      <c r="L5" s="64"/>
      <c r="M5" s="64"/>
      <c r="N5" s="65">
        <f t="shared" ref="N5" si="5">IFERROR(M5/L5,0)</f>
        <v>0</v>
      </c>
    </row>
    <row r="6" spans="1:14" x14ac:dyDescent="0.25">
      <c r="A6" s="56">
        <v>4</v>
      </c>
      <c r="B6" s="57">
        <f t="shared" si="0"/>
        <v>44287</v>
      </c>
      <c r="C6" s="58" t="str">
        <f t="shared" si="2"/>
        <v>Apr</v>
      </c>
      <c r="D6" s="58">
        <f t="shared" si="3"/>
        <v>2021</v>
      </c>
      <c r="E6" s="59"/>
      <c r="F6" s="59"/>
      <c r="G6" s="63"/>
      <c r="H6" s="60" t="str">
        <f t="shared" si="4"/>
        <v>N/A</v>
      </c>
      <c r="I6" s="60" t="str">
        <f t="shared" si="1"/>
        <v>N/A</v>
      </c>
      <c r="J6" s="82"/>
      <c r="K6" s="62" t="s">
        <v>25</v>
      </c>
      <c r="L6" s="67"/>
      <c r="M6" s="67"/>
      <c r="N6" s="66">
        <f>AVERAGE(N4:N5)</f>
        <v>0</v>
      </c>
    </row>
    <row r="7" spans="1:14" x14ac:dyDescent="0.25">
      <c r="A7" s="56">
        <v>5</v>
      </c>
      <c r="B7" s="57">
        <f t="shared" si="0"/>
        <v>44317</v>
      </c>
      <c r="C7" s="58" t="str">
        <f t="shared" si="2"/>
        <v>May</v>
      </c>
      <c r="D7" s="58">
        <f t="shared" si="3"/>
        <v>2021</v>
      </c>
      <c r="E7" s="59"/>
      <c r="F7" s="59"/>
      <c r="G7" s="63"/>
      <c r="H7" s="60" t="str">
        <f t="shared" si="4"/>
        <v>N/A</v>
      </c>
      <c r="I7" s="60" t="str">
        <f t="shared" si="1"/>
        <v>N/A</v>
      </c>
      <c r="J7" s="82"/>
      <c r="K7" s="194" t="s">
        <v>28</v>
      </c>
      <c r="L7" s="194"/>
      <c r="M7" s="194"/>
      <c r="N7" s="194"/>
    </row>
    <row r="8" spans="1:14" x14ac:dyDescent="0.25">
      <c r="A8" s="56">
        <v>6</v>
      </c>
      <c r="B8" s="57">
        <f t="shared" si="0"/>
        <v>44348</v>
      </c>
      <c r="C8" s="58" t="str">
        <f t="shared" si="2"/>
        <v>Jun</v>
      </c>
      <c r="D8" s="58">
        <f t="shared" si="3"/>
        <v>2021</v>
      </c>
      <c r="E8" s="59"/>
      <c r="F8" s="59"/>
      <c r="G8" s="63"/>
      <c r="H8" s="60" t="str">
        <f t="shared" si="4"/>
        <v>N/A</v>
      </c>
      <c r="I8" s="60" t="str">
        <f t="shared" si="1"/>
        <v>N/A</v>
      </c>
      <c r="J8" s="61"/>
      <c r="K8" s="61"/>
    </row>
    <row r="9" spans="1:14" x14ac:dyDescent="0.25">
      <c r="A9" s="56">
        <v>7</v>
      </c>
      <c r="B9" s="57">
        <f t="shared" si="0"/>
        <v>44378</v>
      </c>
      <c r="C9" s="58" t="str">
        <f t="shared" si="2"/>
        <v>Jul</v>
      </c>
      <c r="D9" s="58">
        <f t="shared" si="3"/>
        <v>2021</v>
      </c>
      <c r="E9" s="59"/>
      <c r="F9" s="59"/>
      <c r="G9" s="63"/>
      <c r="H9" s="60" t="str">
        <f t="shared" si="4"/>
        <v>N/A</v>
      </c>
      <c r="I9" s="60" t="str">
        <f t="shared" si="1"/>
        <v>N/A</v>
      </c>
      <c r="J9" s="61"/>
      <c r="K9" s="61"/>
    </row>
    <row r="10" spans="1:14" x14ac:dyDescent="0.25">
      <c r="A10" s="56">
        <v>8</v>
      </c>
      <c r="B10" s="57">
        <f t="shared" si="0"/>
        <v>44409</v>
      </c>
      <c r="C10" s="58" t="str">
        <f t="shared" si="2"/>
        <v>Aug</v>
      </c>
      <c r="D10" s="58">
        <f t="shared" si="3"/>
        <v>2021</v>
      </c>
      <c r="E10" s="59"/>
      <c r="F10" s="59"/>
      <c r="G10" s="63"/>
      <c r="H10" s="60" t="str">
        <f t="shared" si="4"/>
        <v>N/A</v>
      </c>
      <c r="I10" s="60" t="str">
        <f t="shared" si="1"/>
        <v>N/A</v>
      </c>
      <c r="J10" s="61"/>
      <c r="K10" s="61"/>
    </row>
    <row r="11" spans="1:14" x14ac:dyDescent="0.25">
      <c r="A11" s="56">
        <v>9</v>
      </c>
      <c r="B11" s="57">
        <f t="shared" si="0"/>
        <v>44440</v>
      </c>
      <c r="C11" s="58" t="str">
        <f t="shared" si="2"/>
        <v>Sep</v>
      </c>
      <c r="D11" s="58">
        <f t="shared" si="3"/>
        <v>2021</v>
      </c>
      <c r="E11" s="59"/>
      <c r="F11" s="59"/>
      <c r="G11" s="63"/>
      <c r="H11" s="60" t="str">
        <f t="shared" si="4"/>
        <v>N/A</v>
      </c>
      <c r="I11" s="60" t="str">
        <f t="shared" si="1"/>
        <v>N/A</v>
      </c>
      <c r="J11" s="61"/>
      <c r="K11" s="61"/>
    </row>
    <row r="12" spans="1:14" x14ac:dyDescent="0.25">
      <c r="A12" s="56">
        <v>10</v>
      </c>
      <c r="B12" s="57">
        <f t="shared" si="0"/>
        <v>44470</v>
      </c>
      <c r="C12" s="58" t="str">
        <f t="shared" si="2"/>
        <v>Oct</v>
      </c>
      <c r="D12" s="58">
        <f t="shared" si="3"/>
        <v>2021</v>
      </c>
      <c r="E12" s="59"/>
      <c r="F12" s="59"/>
      <c r="G12" s="63"/>
      <c r="H12" s="60" t="str">
        <f t="shared" si="4"/>
        <v>N/A</v>
      </c>
      <c r="I12" s="60" t="str">
        <f t="shared" si="1"/>
        <v>N/A</v>
      </c>
      <c r="J12" s="61"/>
      <c r="K12" s="61"/>
    </row>
    <row r="13" spans="1:14" x14ac:dyDescent="0.25">
      <c r="A13" s="56">
        <v>11</v>
      </c>
      <c r="B13" s="57">
        <f t="shared" si="0"/>
        <v>44501</v>
      </c>
      <c r="C13" s="58" t="str">
        <f t="shared" si="2"/>
        <v>Nov</v>
      </c>
      <c r="D13" s="58">
        <f t="shared" si="3"/>
        <v>2021</v>
      </c>
      <c r="E13" s="59"/>
      <c r="F13" s="59"/>
      <c r="G13" s="63"/>
      <c r="H13" s="60" t="str">
        <f t="shared" si="4"/>
        <v>N/A</v>
      </c>
      <c r="I13" s="60" t="str">
        <f t="shared" si="1"/>
        <v>N/A</v>
      </c>
      <c r="J13" s="61"/>
      <c r="K13" s="61"/>
    </row>
    <row r="14" spans="1:14" x14ac:dyDescent="0.25">
      <c r="A14" s="56">
        <v>12</v>
      </c>
      <c r="B14" s="57">
        <f t="shared" si="0"/>
        <v>44531</v>
      </c>
      <c r="C14" s="58" t="str">
        <f t="shared" si="2"/>
        <v>Dec</v>
      </c>
      <c r="D14" s="58">
        <f t="shared" si="3"/>
        <v>2021</v>
      </c>
      <c r="E14" s="59"/>
      <c r="F14" s="59"/>
      <c r="G14" s="63"/>
      <c r="H14" s="60" t="str">
        <f t="shared" si="4"/>
        <v>N/A</v>
      </c>
      <c r="I14" s="60" t="str">
        <f t="shared" si="1"/>
        <v>N/A</v>
      </c>
      <c r="J14" s="61"/>
      <c r="K14" s="61"/>
    </row>
    <row r="15" spans="1:14" x14ac:dyDescent="0.25">
      <c r="A15" s="56">
        <v>13</v>
      </c>
      <c r="B15" s="57">
        <f t="shared" si="0"/>
        <v>44562</v>
      </c>
      <c r="C15" s="58" t="str">
        <f t="shared" si="2"/>
        <v>Jan</v>
      </c>
      <c r="D15" s="58">
        <f t="shared" si="3"/>
        <v>2022</v>
      </c>
      <c r="E15" s="59"/>
      <c r="F15" s="59"/>
      <c r="G15" s="63"/>
      <c r="H15" s="60" t="str">
        <f t="shared" ref="H15:H62" si="6">IFERROR(IF(ISNUMBER(E15),E15*ELEC_Zone_Adjust,H3*(1+BLS_Esc_Rate)),"Missing Data")</f>
        <v>Missing Data</v>
      </c>
      <c r="I15" s="60" t="str">
        <f t="shared" ref="I15:I62" si="7">IFERROR(IF(ISNUMBER(F15),F15*ELEC_Zone_Adjust,I3*(1+BLS_Esc_Rate)),"Missing Data")</f>
        <v>Missing Data</v>
      </c>
      <c r="J15" s="61"/>
      <c r="K15" s="61"/>
    </row>
    <row r="16" spans="1:14" x14ac:dyDescent="0.25">
      <c r="A16" s="56">
        <v>14</v>
      </c>
      <c r="B16" s="57">
        <f t="shared" si="0"/>
        <v>44593</v>
      </c>
      <c r="C16" s="58" t="str">
        <f t="shared" si="2"/>
        <v>Feb</v>
      </c>
      <c r="D16" s="58">
        <f t="shared" si="3"/>
        <v>2022</v>
      </c>
      <c r="E16" s="59"/>
      <c r="F16" s="59"/>
      <c r="G16" s="63"/>
      <c r="H16" s="60" t="str">
        <f t="shared" si="6"/>
        <v>Missing Data</v>
      </c>
      <c r="I16" s="60" t="str">
        <f t="shared" si="7"/>
        <v>Missing Data</v>
      </c>
      <c r="J16" s="61"/>
      <c r="K16" s="61"/>
    </row>
    <row r="17" spans="1:11" x14ac:dyDescent="0.25">
      <c r="A17" s="56">
        <v>15</v>
      </c>
      <c r="B17" s="57">
        <f t="shared" si="0"/>
        <v>44621</v>
      </c>
      <c r="C17" s="58" t="str">
        <f t="shared" si="2"/>
        <v>Mar</v>
      </c>
      <c r="D17" s="58">
        <f t="shared" si="3"/>
        <v>2022</v>
      </c>
      <c r="E17" s="59"/>
      <c r="F17" s="59"/>
      <c r="G17" s="63"/>
      <c r="H17" s="60" t="str">
        <f t="shared" si="6"/>
        <v>Missing Data</v>
      </c>
      <c r="I17" s="60" t="str">
        <f t="shared" si="7"/>
        <v>Missing Data</v>
      </c>
      <c r="J17" s="61"/>
      <c r="K17" s="61"/>
    </row>
    <row r="18" spans="1:11" x14ac:dyDescent="0.25">
      <c r="A18" s="56">
        <v>16</v>
      </c>
      <c r="B18" s="57">
        <f t="shared" si="0"/>
        <v>44652</v>
      </c>
      <c r="C18" s="58" t="str">
        <f t="shared" si="2"/>
        <v>Apr</v>
      </c>
      <c r="D18" s="58">
        <f t="shared" si="3"/>
        <v>2022</v>
      </c>
      <c r="E18" s="59"/>
      <c r="F18" s="59"/>
      <c r="G18" s="63"/>
      <c r="H18" s="60" t="str">
        <f t="shared" si="6"/>
        <v>Missing Data</v>
      </c>
      <c r="I18" s="60" t="str">
        <f t="shared" si="7"/>
        <v>Missing Data</v>
      </c>
      <c r="J18" s="61"/>
      <c r="K18" s="61"/>
    </row>
    <row r="19" spans="1:11" x14ac:dyDescent="0.25">
      <c r="A19" s="56">
        <v>17</v>
      </c>
      <c r="B19" s="57">
        <f t="shared" si="0"/>
        <v>44682</v>
      </c>
      <c r="C19" s="58" t="str">
        <f t="shared" si="2"/>
        <v>May</v>
      </c>
      <c r="D19" s="58">
        <f t="shared" si="3"/>
        <v>2022</v>
      </c>
      <c r="E19" s="59"/>
      <c r="F19" s="59"/>
      <c r="G19" s="63"/>
      <c r="H19" s="60" t="str">
        <f t="shared" si="6"/>
        <v>Missing Data</v>
      </c>
      <c r="I19" s="60" t="str">
        <f t="shared" si="7"/>
        <v>Missing Data</v>
      </c>
      <c r="J19" s="61"/>
      <c r="K19" s="61"/>
    </row>
    <row r="20" spans="1:11" x14ac:dyDescent="0.25">
      <c r="A20" s="56">
        <v>18</v>
      </c>
      <c r="B20" s="57">
        <f t="shared" si="0"/>
        <v>44713</v>
      </c>
      <c r="C20" s="58" t="str">
        <f t="shared" si="2"/>
        <v>Jun</v>
      </c>
      <c r="D20" s="58">
        <f t="shared" si="3"/>
        <v>2022</v>
      </c>
      <c r="E20" s="59"/>
      <c r="F20" s="59"/>
      <c r="G20" s="63"/>
      <c r="H20" s="60" t="str">
        <f t="shared" si="6"/>
        <v>Missing Data</v>
      </c>
      <c r="I20" s="60" t="str">
        <f t="shared" si="7"/>
        <v>Missing Data</v>
      </c>
      <c r="J20" s="61"/>
      <c r="K20" s="61"/>
    </row>
    <row r="21" spans="1:11" x14ac:dyDescent="0.25">
      <c r="A21" s="56">
        <v>19</v>
      </c>
      <c r="B21" s="57">
        <f t="shared" si="0"/>
        <v>44743</v>
      </c>
      <c r="C21" s="58" t="str">
        <f t="shared" si="2"/>
        <v>Jul</v>
      </c>
      <c r="D21" s="58">
        <f t="shared" si="3"/>
        <v>2022</v>
      </c>
      <c r="E21" s="59"/>
      <c r="F21" s="59"/>
      <c r="G21" s="63"/>
      <c r="H21" s="60" t="str">
        <f t="shared" si="6"/>
        <v>Missing Data</v>
      </c>
      <c r="I21" s="60" t="str">
        <f t="shared" si="7"/>
        <v>Missing Data</v>
      </c>
      <c r="J21" s="61"/>
      <c r="K21" s="61"/>
    </row>
    <row r="22" spans="1:11" x14ac:dyDescent="0.25">
      <c r="A22" s="56">
        <v>20</v>
      </c>
      <c r="B22" s="57">
        <f t="shared" si="0"/>
        <v>44774</v>
      </c>
      <c r="C22" s="58" t="str">
        <f t="shared" si="2"/>
        <v>Aug</v>
      </c>
      <c r="D22" s="58">
        <f t="shared" si="3"/>
        <v>2022</v>
      </c>
      <c r="E22" s="59"/>
      <c r="F22" s="59"/>
      <c r="G22" s="63"/>
      <c r="H22" s="60" t="str">
        <f t="shared" si="6"/>
        <v>Missing Data</v>
      </c>
      <c r="I22" s="60" t="str">
        <f t="shared" si="7"/>
        <v>Missing Data</v>
      </c>
      <c r="J22" s="61"/>
      <c r="K22" s="61"/>
    </row>
    <row r="23" spans="1:11" x14ac:dyDescent="0.25">
      <c r="A23" s="56">
        <v>21</v>
      </c>
      <c r="B23" s="57">
        <f t="shared" si="0"/>
        <v>44805</v>
      </c>
      <c r="C23" s="58" t="str">
        <f t="shared" si="2"/>
        <v>Sep</v>
      </c>
      <c r="D23" s="58">
        <f t="shared" si="3"/>
        <v>2022</v>
      </c>
      <c r="E23" s="59"/>
      <c r="F23" s="59"/>
      <c r="G23" s="63"/>
      <c r="H23" s="60" t="str">
        <f t="shared" si="6"/>
        <v>Missing Data</v>
      </c>
      <c r="I23" s="60" t="str">
        <f t="shared" si="7"/>
        <v>Missing Data</v>
      </c>
      <c r="J23" s="61"/>
      <c r="K23" s="61"/>
    </row>
    <row r="24" spans="1:11" x14ac:dyDescent="0.25">
      <c r="A24" s="56">
        <v>22</v>
      </c>
      <c r="B24" s="57">
        <f t="shared" si="0"/>
        <v>44835</v>
      </c>
      <c r="C24" s="58" t="str">
        <f t="shared" si="2"/>
        <v>Oct</v>
      </c>
      <c r="D24" s="58">
        <f t="shared" si="3"/>
        <v>2022</v>
      </c>
      <c r="E24" s="59"/>
      <c r="F24" s="59"/>
      <c r="G24" s="63"/>
      <c r="H24" s="60" t="str">
        <f t="shared" si="6"/>
        <v>Missing Data</v>
      </c>
      <c r="I24" s="60" t="str">
        <f t="shared" si="7"/>
        <v>Missing Data</v>
      </c>
      <c r="J24" s="61"/>
      <c r="K24" s="61"/>
    </row>
    <row r="25" spans="1:11" x14ac:dyDescent="0.25">
      <c r="A25" s="56">
        <v>23</v>
      </c>
      <c r="B25" s="57">
        <f t="shared" si="0"/>
        <v>44866</v>
      </c>
      <c r="C25" s="58" t="str">
        <f t="shared" si="2"/>
        <v>Nov</v>
      </c>
      <c r="D25" s="58">
        <f t="shared" si="3"/>
        <v>2022</v>
      </c>
      <c r="E25" s="59"/>
      <c r="F25" s="59"/>
      <c r="G25" s="63"/>
      <c r="H25" s="60" t="str">
        <f t="shared" si="6"/>
        <v>Missing Data</v>
      </c>
      <c r="I25" s="60" t="str">
        <f t="shared" si="7"/>
        <v>Missing Data</v>
      </c>
      <c r="J25" s="61"/>
      <c r="K25" s="61"/>
    </row>
    <row r="26" spans="1:11" x14ac:dyDescent="0.25">
      <c r="A26" s="56">
        <v>24</v>
      </c>
      <c r="B26" s="57">
        <f t="shared" si="0"/>
        <v>44896</v>
      </c>
      <c r="C26" s="58" t="str">
        <f t="shared" si="2"/>
        <v>Dec</v>
      </c>
      <c r="D26" s="58">
        <f t="shared" si="3"/>
        <v>2022</v>
      </c>
      <c r="E26" s="59"/>
      <c r="F26" s="59"/>
      <c r="G26" s="63"/>
      <c r="H26" s="60" t="str">
        <f t="shared" si="6"/>
        <v>Missing Data</v>
      </c>
      <c r="I26" s="60" t="str">
        <f t="shared" si="7"/>
        <v>Missing Data</v>
      </c>
      <c r="J26" s="61"/>
      <c r="K26" s="61"/>
    </row>
    <row r="27" spans="1:11" x14ac:dyDescent="0.25">
      <c r="A27" s="56">
        <v>25</v>
      </c>
      <c r="B27" s="57">
        <f t="shared" si="0"/>
        <v>44927</v>
      </c>
      <c r="C27" s="58" t="str">
        <f t="shared" si="2"/>
        <v>Jan</v>
      </c>
      <c r="D27" s="58">
        <f t="shared" si="3"/>
        <v>2023</v>
      </c>
      <c r="E27" s="59"/>
      <c r="F27" s="59"/>
      <c r="G27" s="68"/>
      <c r="H27" s="60" t="str">
        <f t="shared" si="6"/>
        <v>Missing Data</v>
      </c>
      <c r="I27" s="60" t="str">
        <f t="shared" si="7"/>
        <v>Missing Data</v>
      </c>
    </row>
    <row r="28" spans="1:11" x14ac:dyDescent="0.25">
      <c r="A28" s="56">
        <v>26</v>
      </c>
      <c r="B28" s="57">
        <f t="shared" si="0"/>
        <v>44958</v>
      </c>
      <c r="C28" s="58" t="str">
        <f t="shared" si="2"/>
        <v>Feb</v>
      </c>
      <c r="D28" s="58">
        <f t="shared" si="3"/>
        <v>2023</v>
      </c>
      <c r="E28" s="59"/>
      <c r="F28" s="59"/>
      <c r="G28" s="68"/>
      <c r="H28" s="60" t="str">
        <f t="shared" si="6"/>
        <v>Missing Data</v>
      </c>
      <c r="I28" s="60" t="str">
        <f t="shared" si="7"/>
        <v>Missing Data</v>
      </c>
    </row>
    <row r="29" spans="1:11" x14ac:dyDescent="0.25">
      <c r="A29" s="56">
        <v>27</v>
      </c>
      <c r="B29" s="57">
        <f t="shared" si="0"/>
        <v>44986</v>
      </c>
      <c r="C29" s="58" t="str">
        <f t="shared" si="2"/>
        <v>Mar</v>
      </c>
      <c r="D29" s="58">
        <f t="shared" si="3"/>
        <v>2023</v>
      </c>
      <c r="E29" s="59"/>
      <c r="F29" s="59"/>
      <c r="G29" s="68"/>
      <c r="H29" s="60" t="str">
        <f t="shared" si="6"/>
        <v>Missing Data</v>
      </c>
      <c r="I29" s="60" t="str">
        <f t="shared" si="7"/>
        <v>Missing Data</v>
      </c>
    </row>
    <row r="30" spans="1:11" x14ac:dyDescent="0.25">
      <c r="A30" s="56">
        <v>28</v>
      </c>
      <c r="B30" s="57">
        <f t="shared" si="0"/>
        <v>45017</v>
      </c>
      <c r="C30" s="58" t="str">
        <f t="shared" si="2"/>
        <v>Apr</v>
      </c>
      <c r="D30" s="58">
        <f t="shared" si="3"/>
        <v>2023</v>
      </c>
      <c r="E30" s="59"/>
      <c r="F30" s="59"/>
      <c r="G30" s="68"/>
      <c r="H30" s="60" t="str">
        <f t="shared" si="6"/>
        <v>Missing Data</v>
      </c>
      <c r="I30" s="60" t="str">
        <f t="shared" si="7"/>
        <v>Missing Data</v>
      </c>
    </row>
    <row r="31" spans="1:11" x14ac:dyDescent="0.25">
      <c r="A31" s="56">
        <v>29</v>
      </c>
      <c r="B31" s="57">
        <f t="shared" si="0"/>
        <v>45047</v>
      </c>
      <c r="C31" s="58" t="str">
        <f t="shared" si="2"/>
        <v>May</v>
      </c>
      <c r="D31" s="58">
        <f t="shared" si="3"/>
        <v>2023</v>
      </c>
      <c r="E31" s="59"/>
      <c r="F31" s="59"/>
      <c r="G31" s="68"/>
      <c r="H31" s="60" t="str">
        <f t="shared" si="6"/>
        <v>Missing Data</v>
      </c>
      <c r="I31" s="60" t="str">
        <f t="shared" si="7"/>
        <v>Missing Data</v>
      </c>
    </row>
    <row r="32" spans="1:11" x14ac:dyDescent="0.25">
      <c r="A32" s="56">
        <v>30</v>
      </c>
      <c r="B32" s="57">
        <f t="shared" si="0"/>
        <v>45078</v>
      </c>
      <c r="C32" s="58" t="str">
        <f t="shared" si="2"/>
        <v>Jun</v>
      </c>
      <c r="D32" s="58">
        <f t="shared" si="3"/>
        <v>2023</v>
      </c>
      <c r="E32" s="59"/>
      <c r="F32" s="59"/>
      <c r="G32" s="68"/>
      <c r="H32" s="60" t="str">
        <f t="shared" si="6"/>
        <v>Missing Data</v>
      </c>
      <c r="I32" s="60" t="str">
        <f t="shared" si="7"/>
        <v>Missing Data</v>
      </c>
    </row>
    <row r="33" spans="1:9" x14ac:dyDescent="0.25">
      <c r="A33" s="56">
        <v>31</v>
      </c>
      <c r="B33" s="57">
        <f t="shared" si="0"/>
        <v>45108</v>
      </c>
      <c r="C33" s="58" t="str">
        <f t="shared" si="2"/>
        <v>Jul</v>
      </c>
      <c r="D33" s="58">
        <f t="shared" si="3"/>
        <v>2023</v>
      </c>
      <c r="E33" s="59"/>
      <c r="F33" s="59"/>
      <c r="G33" s="68"/>
      <c r="H33" s="60" t="str">
        <f t="shared" si="6"/>
        <v>Missing Data</v>
      </c>
      <c r="I33" s="60" t="str">
        <f t="shared" si="7"/>
        <v>Missing Data</v>
      </c>
    </row>
    <row r="34" spans="1:9" x14ac:dyDescent="0.25">
      <c r="A34" s="56">
        <v>32</v>
      </c>
      <c r="B34" s="57">
        <f t="shared" si="0"/>
        <v>45139</v>
      </c>
      <c r="C34" s="58" t="str">
        <f t="shared" si="2"/>
        <v>Aug</v>
      </c>
      <c r="D34" s="58">
        <f t="shared" si="3"/>
        <v>2023</v>
      </c>
      <c r="E34" s="59"/>
      <c r="F34" s="59"/>
      <c r="G34" s="68"/>
      <c r="H34" s="60" t="str">
        <f t="shared" si="6"/>
        <v>Missing Data</v>
      </c>
      <c r="I34" s="60" t="str">
        <f t="shared" si="7"/>
        <v>Missing Data</v>
      </c>
    </row>
    <row r="35" spans="1:9" x14ac:dyDescent="0.25">
      <c r="A35" s="56">
        <v>33</v>
      </c>
      <c r="B35" s="57">
        <f t="shared" si="0"/>
        <v>45170</v>
      </c>
      <c r="C35" s="58" t="str">
        <f t="shared" si="2"/>
        <v>Sep</v>
      </c>
      <c r="D35" s="58">
        <f t="shared" si="3"/>
        <v>2023</v>
      </c>
      <c r="E35" s="59"/>
      <c r="F35" s="59"/>
      <c r="G35" s="68"/>
      <c r="H35" s="60" t="str">
        <f t="shared" si="6"/>
        <v>Missing Data</v>
      </c>
      <c r="I35" s="60" t="str">
        <f t="shared" si="7"/>
        <v>Missing Data</v>
      </c>
    </row>
    <row r="36" spans="1:9" x14ac:dyDescent="0.25">
      <c r="A36" s="56">
        <v>34</v>
      </c>
      <c r="B36" s="57">
        <f t="shared" si="0"/>
        <v>45200</v>
      </c>
      <c r="C36" s="58" t="str">
        <f t="shared" si="2"/>
        <v>Oct</v>
      </c>
      <c r="D36" s="58">
        <f t="shared" si="3"/>
        <v>2023</v>
      </c>
      <c r="E36" s="59"/>
      <c r="F36" s="59"/>
      <c r="G36" s="68"/>
      <c r="H36" s="60" t="str">
        <f t="shared" si="6"/>
        <v>Missing Data</v>
      </c>
      <c r="I36" s="60" t="str">
        <f t="shared" si="7"/>
        <v>Missing Data</v>
      </c>
    </row>
    <row r="37" spans="1:9" x14ac:dyDescent="0.25">
      <c r="A37" s="56">
        <v>35</v>
      </c>
      <c r="B37" s="57">
        <f t="shared" si="0"/>
        <v>45231</v>
      </c>
      <c r="C37" s="58" t="str">
        <f t="shared" si="2"/>
        <v>Nov</v>
      </c>
      <c r="D37" s="58">
        <f t="shared" si="3"/>
        <v>2023</v>
      </c>
      <c r="E37" s="59"/>
      <c r="F37" s="59"/>
      <c r="G37" s="68"/>
      <c r="H37" s="60" t="str">
        <f t="shared" si="6"/>
        <v>Missing Data</v>
      </c>
      <c r="I37" s="60" t="str">
        <f t="shared" si="7"/>
        <v>Missing Data</v>
      </c>
    </row>
    <row r="38" spans="1:9" x14ac:dyDescent="0.25">
      <c r="A38" s="56">
        <v>36</v>
      </c>
      <c r="B38" s="57">
        <f t="shared" si="0"/>
        <v>45261</v>
      </c>
      <c r="C38" s="58" t="str">
        <f t="shared" si="2"/>
        <v>Dec</v>
      </c>
      <c r="D38" s="58">
        <f t="shared" si="3"/>
        <v>2023</v>
      </c>
      <c r="E38" s="59"/>
      <c r="F38" s="59"/>
      <c r="G38" s="68"/>
      <c r="H38" s="60" t="str">
        <f t="shared" si="6"/>
        <v>Missing Data</v>
      </c>
      <c r="I38" s="60" t="str">
        <f t="shared" si="7"/>
        <v>Missing Data</v>
      </c>
    </row>
    <row r="39" spans="1:9" x14ac:dyDescent="0.25">
      <c r="A39" s="56">
        <v>37</v>
      </c>
      <c r="B39" s="57">
        <f t="shared" si="0"/>
        <v>45292</v>
      </c>
      <c r="C39" s="58" t="str">
        <f t="shared" si="2"/>
        <v>Jan</v>
      </c>
      <c r="D39" s="58">
        <f t="shared" si="3"/>
        <v>2024</v>
      </c>
      <c r="E39" s="59"/>
      <c r="F39" s="59"/>
      <c r="G39" s="68"/>
      <c r="H39" s="60" t="str">
        <f t="shared" si="6"/>
        <v>Missing Data</v>
      </c>
      <c r="I39" s="60" t="str">
        <f t="shared" si="7"/>
        <v>Missing Data</v>
      </c>
    </row>
    <row r="40" spans="1:9" x14ac:dyDescent="0.25">
      <c r="A40" s="56">
        <v>38</v>
      </c>
      <c r="B40" s="57">
        <f t="shared" si="0"/>
        <v>45323</v>
      </c>
      <c r="C40" s="58" t="str">
        <f t="shared" si="2"/>
        <v>Feb</v>
      </c>
      <c r="D40" s="58">
        <f t="shared" si="3"/>
        <v>2024</v>
      </c>
      <c r="E40" s="59"/>
      <c r="F40" s="59"/>
      <c r="G40" s="68"/>
      <c r="H40" s="60" t="str">
        <f t="shared" si="6"/>
        <v>Missing Data</v>
      </c>
      <c r="I40" s="60" t="str">
        <f t="shared" si="7"/>
        <v>Missing Data</v>
      </c>
    </row>
    <row r="41" spans="1:9" x14ac:dyDescent="0.25">
      <c r="A41" s="56">
        <v>39</v>
      </c>
      <c r="B41" s="57">
        <f t="shared" si="0"/>
        <v>45352</v>
      </c>
      <c r="C41" s="58" t="str">
        <f t="shared" si="2"/>
        <v>Mar</v>
      </c>
      <c r="D41" s="58">
        <f t="shared" si="3"/>
        <v>2024</v>
      </c>
      <c r="E41" s="59"/>
      <c r="F41" s="59"/>
      <c r="G41" s="68"/>
      <c r="H41" s="60" t="str">
        <f t="shared" si="6"/>
        <v>Missing Data</v>
      </c>
      <c r="I41" s="60" t="str">
        <f t="shared" si="7"/>
        <v>Missing Data</v>
      </c>
    </row>
    <row r="42" spans="1:9" x14ac:dyDescent="0.25">
      <c r="A42" s="56">
        <v>40</v>
      </c>
      <c r="B42" s="57">
        <f t="shared" si="0"/>
        <v>45383</v>
      </c>
      <c r="C42" s="58" t="str">
        <f t="shared" si="2"/>
        <v>Apr</v>
      </c>
      <c r="D42" s="58">
        <f t="shared" si="3"/>
        <v>2024</v>
      </c>
      <c r="E42" s="59"/>
      <c r="F42" s="59"/>
      <c r="G42" s="68"/>
      <c r="H42" s="60" t="str">
        <f t="shared" si="6"/>
        <v>Missing Data</v>
      </c>
      <c r="I42" s="60" t="str">
        <f t="shared" si="7"/>
        <v>Missing Data</v>
      </c>
    </row>
    <row r="43" spans="1:9" x14ac:dyDescent="0.25">
      <c r="A43" s="56">
        <v>41</v>
      </c>
      <c r="B43" s="57">
        <f t="shared" si="0"/>
        <v>45413</v>
      </c>
      <c r="C43" s="58" t="str">
        <f t="shared" si="2"/>
        <v>May</v>
      </c>
      <c r="D43" s="58">
        <f t="shared" si="3"/>
        <v>2024</v>
      </c>
      <c r="E43" s="59"/>
      <c r="F43" s="59"/>
      <c r="G43" s="68"/>
      <c r="H43" s="60" t="str">
        <f t="shared" si="6"/>
        <v>Missing Data</v>
      </c>
      <c r="I43" s="60" t="str">
        <f t="shared" si="7"/>
        <v>Missing Data</v>
      </c>
    </row>
    <row r="44" spans="1:9" x14ac:dyDescent="0.25">
      <c r="A44" s="56">
        <v>42</v>
      </c>
      <c r="B44" s="57">
        <f t="shared" si="0"/>
        <v>45444</v>
      </c>
      <c r="C44" s="58" t="str">
        <f t="shared" si="2"/>
        <v>Jun</v>
      </c>
      <c r="D44" s="58">
        <f t="shared" si="3"/>
        <v>2024</v>
      </c>
      <c r="E44" s="59"/>
      <c r="F44" s="59"/>
      <c r="G44" s="68"/>
      <c r="H44" s="60" t="str">
        <f t="shared" si="6"/>
        <v>Missing Data</v>
      </c>
      <c r="I44" s="60" t="str">
        <f t="shared" si="7"/>
        <v>Missing Data</v>
      </c>
    </row>
    <row r="45" spans="1:9" x14ac:dyDescent="0.25">
      <c r="A45" s="56">
        <v>43</v>
      </c>
      <c r="B45" s="57">
        <f t="shared" si="0"/>
        <v>45474</v>
      </c>
      <c r="C45" s="58" t="str">
        <f t="shared" si="2"/>
        <v>Jul</v>
      </c>
      <c r="D45" s="58">
        <f t="shared" si="3"/>
        <v>2024</v>
      </c>
      <c r="E45" s="59"/>
      <c r="F45" s="59"/>
      <c r="G45" s="68"/>
      <c r="H45" s="60" t="str">
        <f t="shared" si="6"/>
        <v>Missing Data</v>
      </c>
      <c r="I45" s="60" t="str">
        <f t="shared" si="7"/>
        <v>Missing Data</v>
      </c>
    </row>
    <row r="46" spans="1:9" x14ac:dyDescent="0.25">
      <c r="A46" s="56">
        <v>44</v>
      </c>
      <c r="B46" s="57">
        <f t="shared" si="0"/>
        <v>45505</v>
      </c>
      <c r="C46" s="58" t="str">
        <f t="shared" si="2"/>
        <v>Aug</v>
      </c>
      <c r="D46" s="58">
        <f t="shared" si="3"/>
        <v>2024</v>
      </c>
      <c r="E46" s="59"/>
      <c r="F46" s="59"/>
      <c r="G46" s="68"/>
      <c r="H46" s="60" t="str">
        <f t="shared" si="6"/>
        <v>Missing Data</v>
      </c>
      <c r="I46" s="60" t="str">
        <f t="shared" si="7"/>
        <v>Missing Data</v>
      </c>
    </row>
    <row r="47" spans="1:9" x14ac:dyDescent="0.25">
      <c r="A47" s="56">
        <v>45</v>
      </c>
      <c r="B47" s="57">
        <f t="shared" si="0"/>
        <v>45536</v>
      </c>
      <c r="C47" s="58" t="str">
        <f t="shared" si="2"/>
        <v>Sep</v>
      </c>
      <c r="D47" s="58">
        <f t="shared" si="3"/>
        <v>2024</v>
      </c>
      <c r="E47" s="59"/>
      <c r="F47" s="59"/>
      <c r="G47" s="68"/>
      <c r="H47" s="60" t="str">
        <f t="shared" si="6"/>
        <v>Missing Data</v>
      </c>
      <c r="I47" s="60" t="str">
        <f t="shared" si="7"/>
        <v>Missing Data</v>
      </c>
    </row>
    <row r="48" spans="1:9" x14ac:dyDescent="0.25">
      <c r="A48" s="56">
        <v>46</v>
      </c>
      <c r="B48" s="57">
        <f t="shared" si="0"/>
        <v>45566</v>
      </c>
      <c r="C48" s="58" t="str">
        <f t="shared" si="2"/>
        <v>Oct</v>
      </c>
      <c r="D48" s="58">
        <f t="shared" si="3"/>
        <v>2024</v>
      </c>
      <c r="E48" s="59"/>
      <c r="F48" s="59"/>
      <c r="G48" s="68"/>
      <c r="H48" s="60" t="str">
        <f t="shared" si="6"/>
        <v>Missing Data</v>
      </c>
      <c r="I48" s="60" t="str">
        <f t="shared" si="7"/>
        <v>Missing Data</v>
      </c>
    </row>
    <row r="49" spans="1:9" x14ac:dyDescent="0.25">
      <c r="A49" s="56">
        <v>47</v>
      </c>
      <c r="B49" s="57">
        <f t="shared" si="0"/>
        <v>45597</v>
      </c>
      <c r="C49" s="58" t="str">
        <f t="shared" si="2"/>
        <v>Nov</v>
      </c>
      <c r="D49" s="58">
        <f t="shared" si="3"/>
        <v>2024</v>
      </c>
      <c r="E49" s="59"/>
      <c r="F49" s="59"/>
      <c r="G49" s="68"/>
      <c r="H49" s="60" t="str">
        <f t="shared" si="6"/>
        <v>Missing Data</v>
      </c>
      <c r="I49" s="60" t="str">
        <f t="shared" si="7"/>
        <v>Missing Data</v>
      </c>
    </row>
    <row r="50" spans="1:9" x14ac:dyDescent="0.25">
      <c r="A50" s="56">
        <v>48</v>
      </c>
      <c r="B50" s="57">
        <f t="shared" si="0"/>
        <v>45627</v>
      </c>
      <c r="C50" s="58" t="str">
        <f t="shared" si="2"/>
        <v>Dec</v>
      </c>
      <c r="D50" s="58">
        <f t="shared" si="3"/>
        <v>2024</v>
      </c>
      <c r="E50" s="59"/>
      <c r="F50" s="59"/>
      <c r="G50" s="68"/>
      <c r="H50" s="60" t="str">
        <f t="shared" si="6"/>
        <v>Missing Data</v>
      </c>
      <c r="I50" s="60" t="str">
        <f t="shared" si="7"/>
        <v>Missing Data</v>
      </c>
    </row>
    <row r="51" spans="1:9" x14ac:dyDescent="0.25">
      <c r="A51" s="56">
        <v>49</v>
      </c>
      <c r="B51" s="57">
        <f t="shared" ref="B51:B62" si="8">DATE(Start_Year-1,A51,1)</f>
        <v>45658</v>
      </c>
      <c r="C51" s="58" t="str">
        <f t="shared" si="2"/>
        <v>Jan</v>
      </c>
      <c r="D51" s="58">
        <f t="shared" si="3"/>
        <v>2025</v>
      </c>
      <c r="E51" s="59"/>
      <c r="F51" s="59"/>
      <c r="G51" s="68"/>
      <c r="H51" s="60" t="str">
        <f t="shared" si="6"/>
        <v>Missing Data</v>
      </c>
      <c r="I51" s="60" t="str">
        <f t="shared" si="7"/>
        <v>Missing Data</v>
      </c>
    </row>
    <row r="52" spans="1:9" x14ac:dyDescent="0.25">
      <c r="A52" s="56">
        <v>50</v>
      </c>
      <c r="B52" s="57">
        <f t="shared" si="8"/>
        <v>45689</v>
      </c>
      <c r="C52" s="58" t="str">
        <f t="shared" si="2"/>
        <v>Feb</v>
      </c>
      <c r="D52" s="58">
        <f t="shared" si="3"/>
        <v>2025</v>
      </c>
      <c r="E52" s="59"/>
      <c r="F52" s="59"/>
      <c r="G52" s="68"/>
      <c r="H52" s="60" t="str">
        <f t="shared" si="6"/>
        <v>Missing Data</v>
      </c>
      <c r="I52" s="60" t="str">
        <f t="shared" si="7"/>
        <v>Missing Data</v>
      </c>
    </row>
    <row r="53" spans="1:9" x14ac:dyDescent="0.25">
      <c r="A53" s="56">
        <v>51</v>
      </c>
      <c r="B53" s="57">
        <f t="shared" si="8"/>
        <v>45717</v>
      </c>
      <c r="C53" s="58" t="str">
        <f t="shared" si="2"/>
        <v>Mar</v>
      </c>
      <c r="D53" s="58">
        <f t="shared" si="3"/>
        <v>2025</v>
      </c>
      <c r="E53" s="59"/>
      <c r="F53" s="59"/>
      <c r="G53" s="68"/>
      <c r="H53" s="60" t="str">
        <f t="shared" si="6"/>
        <v>Missing Data</v>
      </c>
      <c r="I53" s="60" t="str">
        <f t="shared" si="7"/>
        <v>Missing Data</v>
      </c>
    </row>
    <row r="54" spans="1:9" x14ac:dyDescent="0.25">
      <c r="A54" s="56">
        <v>52</v>
      </c>
      <c r="B54" s="57">
        <f t="shared" si="8"/>
        <v>45748</v>
      </c>
      <c r="C54" s="58" t="str">
        <f t="shared" si="2"/>
        <v>Apr</v>
      </c>
      <c r="D54" s="58">
        <f t="shared" si="3"/>
        <v>2025</v>
      </c>
      <c r="E54" s="59"/>
      <c r="F54" s="59"/>
      <c r="G54" s="68"/>
      <c r="H54" s="60" t="str">
        <f t="shared" si="6"/>
        <v>Missing Data</v>
      </c>
      <c r="I54" s="60" t="str">
        <f t="shared" si="7"/>
        <v>Missing Data</v>
      </c>
    </row>
    <row r="55" spans="1:9" x14ac:dyDescent="0.25">
      <c r="A55" s="56">
        <v>53</v>
      </c>
      <c r="B55" s="57">
        <f t="shared" si="8"/>
        <v>45778</v>
      </c>
      <c r="C55" s="58" t="str">
        <f t="shared" si="2"/>
        <v>May</v>
      </c>
      <c r="D55" s="58">
        <f t="shared" si="3"/>
        <v>2025</v>
      </c>
      <c r="E55" s="59"/>
      <c r="F55" s="59"/>
      <c r="G55" s="68"/>
      <c r="H55" s="60" t="str">
        <f t="shared" si="6"/>
        <v>Missing Data</v>
      </c>
      <c r="I55" s="60" t="str">
        <f t="shared" si="7"/>
        <v>Missing Data</v>
      </c>
    </row>
    <row r="56" spans="1:9" x14ac:dyDescent="0.25">
      <c r="A56" s="56">
        <v>54</v>
      </c>
      <c r="B56" s="57">
        <f t="shared" si="8"/>
        <v>45809</v>
      </c>
      <c r="C56" s="58" t="str">
        <f t="shared" si="2"/>
        <v>Jun</v>
      </c>
      <c r="D56" s="58">
        <f t="shared" si="3"/>
        <v>2025</v>
      </c>
      <c r="E56" s="59"/>
      <c r="F56" s="59"/>
      <c r="G56" s="68"/>
      <c r="H56" s="60" t="str">
        <f t="shared" si="6"/>
        <v>Missing Data</v>
      </c>
      <c r="I56" s="60" t="str">
        <f t="shared" si="7"/>
        <v>Missing Data</v>
      </c>
    </row>
    <row r="57" spans="1:9" x14ac:dyDescent="0.25">
      <c r="A57" s="56">
        <v>55</v>
      </c>
      <c r="B57" s="57">
        <f t="shared" si="8"/>
        <v>45839</v>
      </c>
      <c r="C57" s="58" t="str">
        <f t="shared" si="2"/>
        <v>Jul</v>
      </c>
      <c r="D57" s="58">
        <f t="shared" si="3"/>
        <v>2025</v>
      </c>
      <c r="E57" s="59"/>
      <c r="F57" s="59"/>
      <c r="G57" s="68"/>
      <c r="H57" s="60" t="str">
        <f t="shared" si="6"/>
        <v>Missing Data</v>
      </c>
      <c r="I57" s="60" t="str">
        <f t="shared" si="7"/>
        <v>Missing Data</v>
      </c>
    </row>
    <row r="58" spans="1:9" x14ac:dyDescent="0.25">
      <c r="A58" s="56">
        <v>56</v>
      </c>
      <c r="B58" s="57">
        <f t="shared" si="8"/>
        <v>45870</v>
      </c>
      <c r="C58" s="58" t="str">
        <f t="shared" si="2"/>
        <v>Aug</v>
      </c>
      <c r="D58" s="58">
        <f t="shared" si="3"/>
        <v>2025</v>
      </c>
      <c r="E58" s="59"/>
      <c r="F58" s="59"/>
      <c r="G58" s="68"/>
      <c r="H58" s="60" t="str">
        <f t="shared" si="6"/>
        <v>Missing Data</v>
      </c>
      <c r="I58" s="60" t="str">
        <f t="shared" si="7"/>
        <v>Missing Data</v>
      </c>
    </row>
    <row r="59" spans="1:9" x14ac:dyDescent="0.25">
      <c r="A59" s="56">
        <v>57</v>
      </c>
      <c r="B59" s="57">
        <f t="shared" si="8"/>
        <v>45901</v>
      </c>
      <c r="C59" s="58" t="str">
        <f t="shared" si="2"/>
        <v>Sep</v>
      </c>
      <c r="D59" s="58">
        <f t="shared" si="3"/>
        <v>2025</v>
      </c>
      <c r="E59" s="59"/>
      <c r="F59" s="59"/>
      <c r="G59" s="68"/>
      <c r="H59" s="60" t="str">
        <f t="shared" si="6"/>
        <v>Missing Data</v>
      </c>
      <c r="I59" s="60" t="str">
        <f t="shared" si="7"/>
        <v>Missing Data</v>
      </c>
    </row>
    <row r="60" spans="1:9" x14ac:dyDescent="0.25">
      <c r="A60" s="56">
        <v>58</v>
      </c>
      <c r="B60" s="57">
        <f t="shared" si="8"/>
        <v>45931</v>
      </c>
      <c r="C60" s="58" t="str">
        <f t="shared" si="2"/>
        <v>Oct</v>
      </c>
      <c r="D60" s="58">
        <f t="shared" si="3"/>
        <v>2025</v>
      </c>
      <c r="E60" s="59"/>
      <c r="F60" s="59"/>
      <c r="G60" s="68"/>
      <c r="H60" s="60" t="str">
        <f t="shared" si="6"/>
        <v>Missing Data</v>
      </c>
      <c r="I60" s="60" t="str">
        <f t="shared" si="7"/>
        <v>Missing Data</v>
      </c>
    </row>
    <row r="61" spans="1:9" x14ac:dyDescent="0.25">
      <c r="A61" s="56">
        <v>59</v>
      </c>
      <c r="B61" s="57">
        <f t="shared" si="8"/>
        <v>45962</v>
      </c>
      <c r="C61" s="58" t="str">
        <f t="shared" si="2"/>
        <v>Nov</v>
      </c>
      <c r="D61" s="58">
        <f t="shared" si="3"/>
        <v>2025</v>
      </c>
      <c r="E61" s="59"/>
      <c r="F61" s="59"/>
      <c r="G61" s="68"/>
      <c r="H61" s="60" t="str">
        <f t="shared" si="6"/>
        <v>Missing Data</v>
      </c>
      <c r="I61" s="60" t="str">
        <f t="shared" si="7"/>
        <v>Missing Data</v>
      </c>
    </row>
    <row r="62" spans="1:9" ht="13.5" thickBot="1" x14ac:dyDescent="0.3">
      <c r="A62" s="69">
        <v>60</v>
      </c>
      <c r="B62" s="70">
        <f t="shared" si="8"/>
        <v>45992</v>
      </c>
      <c r="C62" s="58" t="str">
        <f t="shared" si="2"/>
        <v>Dec</v>
      </c>
      <c r="D62" s="71">
        <f t="shared" si="3"/>
        <v>2025</v>
      </c>
      <c r="E62" s="72" t="s">
        <v>10</v>
      </c>
      <c r="F62" s="72" t="s">
        <v>10</v>
      </c>
      <c r="G62" s="73"/>
      <c r="H62" s="60" t="str">
        <f t="shared" si="6"/>
        <v>Missing Data</v>
      </c>
      <c r="I62" s="60" t="str">
        <f t="shared" si="7"/>
        <v>Missing Data</v>
      </c>
    </row>
    <row r="63" spans="1:9" ht="13.5" thickBot="1" x14ac:dyDescent="0.3">
      <c r="A63" s="195" t="s">
        <v>54</v>
      </c>
      <c r="B63" s="196"/>
      <c r="C63" s="196"/>
      <c r="D63" s="196"/>
      <c r="E63" s="196"/>
      <c r="F63" s="196"/>
      <c r="G63" s="196"/>
      <c r="H63" s="196"/>
      <c r="I63" s="197"/>
    </row>
  </sheetData>
  <mergeCells count="3">
    <mergeCell ref="K2:N2"/>
    <mergeCell ref="K7:N7"/>
    <mergeCell ref="A63:I6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66"/>
  <sheetViews>
    <sheetView zoomScale="140" zoomScaleNormal="140" workbookViewId="0">
      <pane xSplit="1" ySplit="2" topLeftCell="B3" activePane="bottomRight" state="frozen"/>
      <selection pane="topRight" activeCell="B1" sqref="B1"/>
      <selection pane="bottomLeft" activeCell="A3" sqref="A3"/>
      <selection pane="bottomRight" activeCell="H9" sqref="H9"/>
    </sheetView>
  </sheetViews>
  <sheetFormatPr defaultColWidth="9.140625" defaultRowHeight="12.75" x14ac:dyDescent="0.2"/>
  <cols>
    <col min="1" max="1" width="8.28515625" style="2" hidden="1" customWidth="1"/>
    <col min="2" max="2" width="10.7109375" style="3" customWidth="1"/>
    <col min="3" max="4" width="10.7109375" style="3" hidden="1" customWidth="1"/>
    <col min="5" max="8" width="10.7109375" style="84" customWidth="1"/>
    <col min="9" max="9" width="8.28515625" style="3" customWidth="1"/>
    <col min="10" max="16384" width="9.140625" style="3"/>
  </cols>
  <sheetData>
    <row r="1" spans="1:30" x14ac:dyDescent="0.2">
      <c r="I1" s="12"/>
    </row>
    <row r="2" spans="1:30" s="1" customFormat="1" ht="50.1" customHeight="1" x14ac:dyDescent="0.2">
      <c r="A2" s="6" t="s">
        <v>8</v>
      </c>
      <c r="B2" s="79" t="s">
        <v>57</v>
      </c>
      <c r="C2" s="79" t="s">
        <v>6</v>
      </c>
      <c r="D2" s="79" t="s">
        <v>5</v>
      </c>
      <c r="E2" s="83" t="s">
        <v>7</v>
      </c>
      <c r="F2" s="83" t="str">
        <f>"NYMEX: "&amp;EDC_NAME&amp;" Natural Gas Price $/MMBTU"</f>
        <v>NYMEX:  Natural Gas Price $/MMBTU</v>
      </c>
      <c r="G2" s="83" t="s">
        <v>59</v>
      </c>
      <c r="H2" s="83" t="str">
        <f>EDC_NAME&amp;" Natural Gas Price ($/MMBTU)"</f>
        <v xml:space="preserve"> Natural Gas Price ($/MMBTU)</v>
      </c>
      <c r="I2" s="16"/>
      <c r="J2" s="198" t="s">
        <v>58</v>
      </c>
      <c r="K2" s="199"/>
      <c r="L2" s="199"/>
      <c r="M2" s="199"/>
      <c r="N2" s="199"/>
      <c r="O2" s="199"/>
      <c r="P2" s="199"/>
      <c r="Q2" s="199"/>
      <c r="R2" s="199"/>
      <c r="S2" s="199"/>
      <c r="T2" s="199"/>
      <c r="U2" s="199"/>
      <c r="V2" s="199"/>
      <c r="W2" s="199"/>
      <c r="X2" s="199"/>
      <c r="Y2" s="199"/>
      <c r="Z2" s="199"/>
      <c r="AA2" s="199"/>
      <c r="AB2" s="199"/>
      <c r="AC2" s="199"/>
      <c r="AD2" s="200"/>
    </row>
    <row r="3" spans="1:30" x14ac:dyDescent="0.2">
      <c r="A3" s="7">
        <v>1</v>
      </c>
      <c r="B3" s="26">
        <f t="shared" ref="B3" si="0">DATE(Start_Year-1,A3,1)</f>
        <v>44197</v>
      </c>
      <c r="C3" s="46" t="str">
        <f>CHOOSE(MONTH(B3), "Jan", "Feb", "Mar", "Apr", "May", "Jun", "Jul", "Aug", "Sep", "Oct", "Nov", "Dec")</f>
        <v>Jan</v>
      </c>
      <c r="D3" s="27">
        <f>Start_Year-1</f>
        <v>2021</v>
      </c>
      <c r="E3" s="54"/>
      <c r="F3" s="49" t="str">
        <f t="shared" ref="F3:F34" si="1">IFERROR(E3+INDEX(NG_Zone_Adjust,MONTH(B3),2),"Data Missing")</f>
        <v>Data Missing</v>
      </c>
      <c r="G3" s="49" t="str">
        <f>IFERROR(IFERROR(INDEX(Gas_EIA,1,MATCH(D3,$J$4:$AD$4,FALSE)),0)*INDEX(NG_Load_Shape,MATCH($C3,Adjustments!$G$3:$G$14,0),1),"Data Missing")</f>
        <v>Data Missing</v>
      </c>
      <c r="H3" s="85" t="str">
        <f>F3</f>
        <v>Data Missing</v>
      </c>
      <c r="I3" s="12"/>
      <c r="J3" s="6">
        <v>1</v>
      </c>
      <c r="K3" s="6">
        <f>J3+1</f>
        <v>2</v>
      </c>
      <c r="L3" s="6">
        <f t="shared" ref="L3:AD3" si="2">K3+1</f>
        <v>3</v>
      </c>
      <c r="M3" s="6">
        <f t="shared" si="2"/>
        <v>4</v>
      </c>
      <c r="N3" s="6">
        <f t="shared" si="2"/>
        <v>5</v>
      </c>
      <c r="O3" s="6">
        <f t="shared" si="2"/>
        <v>6</v>
      </c>
      <c r="P3" s="6">
        <f t="shared" si="2"/>
        <v>7</v>
      </c>
      <c r="Q3" s="6">
        <f t="shared" si="2"/>
        <v>8</v>
      </c>
      <c r="R3" s="6">
        <f t="shared" si="2"/>
        <v>9</v>
      </c>
      <c r="S3" s="6">
        <f t="shared" si="2"/>
        <v>10</v>
      </c>
      <c r="T3" s="6">
        <f t="shared" si="2"/>
        <v>11</v>
      </c>
      <c r="U3" s="6">
        <f t="shared" si="2"/>
        <v>12</v>
      </c>
      <c r="V3" s="6">
        <f t="shared" si="2"/>
        <v>13</v>
      </c>
      <c r="W3" s="6">
        <f t="shared" si="2"/>
        <v>14</v>
      </c>
      <c r="X3" s="6">
        <f t="shared" si="2"/>
        <v>15</v>
      </c>
      <c r="Y3" s="6">
        <f t="shared" si="2"/>
        <v>16</v>
      </c>
      <c r="Z3" s="6">
        <f t="shared" si="2"/>
        <v>17</v>
      </c>
      <c r="AA3" s="6">
        <f t="shared" si="2"/>
        <v>18</v>
      </c>
      <c r="AB3" s="6">
        <f t="shared" si="2"/>
        <v>19</v>
      </c>
      <c r="AC3" s="6">
        <f t="shared" si="2"/>
        <v>20</v>
      </c>
      <c r="AD3" s="6">
        <f t="shared" si="2"/>
        <v>21</v>
      </c>
    </row>
    <row r="4" spans="1:30" x14ac:dyDescent="0.2">
      <c r="A4" s="7">
        <v>2</v>
      </c>
      <c r="B4" s="26">
        <f t="shared" ref="B4" si="3">DATE(Start_Year-1,A4,1)</f>
        <v>44228</v>
      </c>
      <c r="C4" s="46" t="str">
        <f>CHOOSE(MONTH(B4), "Jan", "Feb", "Mar", "Apr", "May", "Jun", "Jul", "Aug", "Sep", "Oct", "Nov", "Dec")</f>
        <v>Feb</v>
      </c>
      <c r="D4" s="27">
        <f>YEAR(B4)</f>
        <v>2021</v>
      </c>
      <c r="E4" s="54"/>
      <c r="F4" s="49" t="str">
        <f t="shared" si="1"/>
        <v>Data Missing</v>
      </c>
      <c r="G4" s="49" t="str">
        <f>IFERROR(IFERROR(INDEX(Gas_EIA,1,MATCH(D4,$J$4:$AD$4,FALSE)),0)*INDEX(NG_Load_Shape,MATCH($C4,Adjustments!$G$3:$G$14,0),1),"Data Missing")</f>
        <v>Data Missing</v>
      </c>
      <c r="H4" s="85" t="str">
        <f t="shared" ref="H4:H14" si="4">F4</f>
        <v>Data Missing</v>
      </c>
      <c r="I4" s="15" t="s">
        <v>5</v>
      </c>
      <c r="J4" s="6">
        <f>Start_Year</f>
        <v>2022</v>
      </c>
      <c r="K4" s="6">
        <f t="shared" ref="K4:T4" si="5">J4+1</f>
        <v>2023</v>
      </c>
      <c r="L4" s="6">
        <f t="shared" si="5"/>
        <v>2024</v>
      </c>
      <c r="M4" s="6">
        <f t="shared" si="5"/>
        <v>2025</v>
      </c>
      <c r="N4" s="6">
        <f t="shared" si="5"/>
        <v>2026</v>
      </c>
      <c r="O4" s="6">
        <f t="shared" si="5"/>
        <v>2027</v>
      </c>
      <c r="P4" s="6">
        <f t="shared" si="5"/>
        <v>2028</v>
      </c>
      <c r="Q4" s="6">
        <f t="shared" si="5"/>
        <v>2029</v>
      </c>
      <c r="R4" s="6">
        <f t="shared" si="5"/>
        <v>2030</v>
      </c>
      <c r="S4" s="6">
        <f t="shared" si="5"/>
        <v>2031</v>
      </c>
      <c r="T4" s="6">
        <f t="shared" si="5"/>
        <v>2032</v>
      </c>
      <c r="U4" s="6">
        <f>T4+1</f>
        <v>2033</v>
      </c>
      <c r="V4" s="6">
        <f t="shared" ref="V4:AD4" si="6">U4+1</f>
        <v>2034</v>
      </c>
      <c r="W4" s="6">
        <f t="shared" si="6"/>
        <v>2035</v>
      </c>
      <c r="X4" s="6">
        <f t="shared" si="6"/>
        <v>2036</v>
      </c>
      <c r="Y4" s="6">
        <f t="shared" si="6"/>
        <v>2037</v>
      </c>
      <c r="Z4" s="6">
        <f t="shared" si="6"/>
        <v>2038</v>
      </c>
      <c r="AA4" s="6">
        <f t="shared" si="6"/>
        <v>2039</v>
      </c>
      <c r="AB4" s="6">
        <f t="shared" si="6"/>
        <v>2040</v>
      </c>
      <c r="AC4" s="6">
        <f t="shared" si="6"/>
        <v>2041</v>
      </c>
      <c r="AD4" s="6">
        <f t="shared" si="6"/>
        <v>2042</v>
      </c>
    </row>
    <row r="5" spans="1:30" x14ac:dyDescent="0.2">
      <c r="A5" s="7">
        <v>3</v>
      </c>
      <c r="B5" s="26">
        <f t="shared" ref="B5:B68" si="7">DATE(Start_Year-1,A5,1)</f>
        <v>44256</v>
      </c>
      <c r="C5" s="46" t="str">
        <f t="shared" ref="C5:C68" si="8">CHOOSE(MONTH(B5), "Jan", "Feb", "Mar", "Apr", "May", "Jun", "Jul", "Aug", "Sep", "Oct", "Nov", "Dec")</f>
        <v>Mar</v>
      </c>
      <c r="D5" s="27">
        <f t="shared" ref="D5:D68" si="9">YEAR(B5)</f>
        <v>2021</v>
      </c>
      <c r="E5" s="54"/>
      <c r="F5" s="49" t="str">
        <f t="shared" si="1"/>
        <v>Data Missing</v>
      </c>
      <c r="G5" s="49" t="str">
        <f>IFERROR(IFERROR(INDEX(Gas_EIA,1,MATCH(D5,$J$4:$AD$4,FALSE)),0)*INDEX(NG_Load_Shape,MATCH($C5,Adjustments!$G$3:$G$14,0),1),"Data Missing")</f>
        <v>Data Missing</v>
      </c>
      <c r="H5" s="85" t="str">
        <f t="shared" si="4"/>
        <v>Data Missing</v>
      </c>
      <c r="I5" s="15" t="s">
        <v>69</v>
      </c>
      <c r="J5" s="54"/>
      <c r="K5" s="54"/>
      <c r="L5" s="54"/>
      <c r="M5" s="54"/>
      <c r="N5" s="54"/>
      <c r="O5" s="54"/>
      <c r="P5" s="54"/>
      <c r="Q5" s="54"/>
      <c r="R5" s="54"/>
      <c r="S5" s="54"/>
      <c r="T5" s="54"/>
      <c r="U5" s="54"/>
      <c r="V5" s="54"/>
      <c r="W5" s="54"/>
      <c r="X5" s="54"/>
      <c r="Y5" s="54"/>
      <c r="Z5" s="54"/>
      <c r="AA5" s="54"/>
      <c r="AB5" s="54"/>
      <c r="AC5" s="54"/>
      <c r="AD5" s="54"/>
    </row>
    <row r="6" spans="1:30" x14ac:dyDescent="0.2">
      <c r="A6" s="7">
        <v>4</v>
      </c>
      <c r="B6" s="26">
        <f t="shared" si="7"/>
        <v>44287</v>
      </c>
      <c r="C6" s="46" t="str">
        <f t="shared" si="8"/>
        <v>Apr</v>
      </c>
      <c r="D6" s="27">
        <f t="shared" si="9"/>
        <v>2021</v>
      </c>
      <c r="E6" s="54"/>
      <c r="F6" s="49" t="str">
        <f t="shared" si="1"/>
        <v>Data Missing</v>
      </c>
      <c r="G6" s="49" t="str">
        <f>IFERROR(IFERROR(INDEX(Gas_EIA,1,MATCH(D6,$J$4:$AD$4,FALSE)),0)*INDEX(NG_Load_Shape,MATCH($C6,Adjustments!$G$3:$G$14,0),1),"Data Missing")</f>
        <v>Data Missing</v>
      </c>
      <c r="H6" s="85" t="str">
        <f t="shared" si="4"/>
        <v>Data Missing</v>
      </c>
      <c r="I6" s="15" t="s">
        <v>70</v>
      </c>
      <c r="J6" s="49">
        <f t="shared" ref="J6:AD6" si="10">IFERROR(J$5*(1+Inflation)^J$3,"Data Missing")</f>
        <v>0</v>
      </c>
      <c r="K6" s="49">
        <f t="shared" si="10"/>
        <v>0</v>
      </c>
      <c r="L6" s="49">
        <f t="shared" si="10"/>
        <v>0</v>
      </c>
      <c r="M6" s="49">
        <f t="shared" si="10"/>
        <v>0</v>
      </c>
      <c r="N6" s="49">
        <f t="shared" si="10"/>
        <v>0</v>
      </c>
      <c r="O6" s="49">
        <f t="shared" si="10"/>
        <v>0</v>
      </c>
      <c r="P6" s="49">
        <f t="shared" si="10"/>
        <v>0</v>
      </c>
      <c r="Q6" s="49">
        <f t="shared" si="10"/>
        <v>0</v>
      </c>
      <c r="R6" s="49">
        <f t="shared" si="10"/>
        <v>0</v>
      </c>
      <c r="S6" s="49">
        <f t="shared" si="10"/>
        <v>0</v>
      </c>
      <c r="T6" s="49">
        <f t="shared" si="10"/>
        <v>0</v>
      </c>
      <c r="U6" s="49">
        <f t="shared" si="10"/>
        <v>0</v>
      </c>
      <c r="V6" s="49">
        <f t="shared" si="10"/>
        <v>0</v>
      </c>
      <c r="W6" s="49">
        <f t="shared" si="10"/>
        <v>0</v>
      </c>
      <c r="X6" s="49">
        <f t="shared" si="10"/>
        <v>0</v>
      </c>
      <c r="Y6" s="49">
        <f t="shared" si="10"/>
        <v>0</v>
      </c>
      <c r="Z6" s="49">
        <f t="shared" si="10"/>
        <v>0</v>
      </c>
      <c r="AA6" s="49">
        <f t="shared" si="10"/>
        <v>0</v>
      </c>
      <c r="AB6" s="49">
        <f t="shared" si="10"/>
        <v>0</v>
      </c>
      <c r="AC6" s="49">
        <f t="shared" si="10"/>
        <v>0</v>
      </c>
      <c r="AD6" s="49">
        <f t="shared" si="10"/>
        <v>0</v>
      </c>
    </row>
    <row r="7" spans="1:30" x14ac:dyDescent="0.2">
      <c r="A7" s="7">
        <v>5</v>
      </c>
      <c r="B7" s="26">
        <f t="shared" si="7"/>
        <v>44317</v>
      </c>
      <c r="C7" s="46" t="str">
        <f t="shared" si="8"/>
        <v>May</v>
      </c>
      <c r="D7" s="27">
        <f t="shared" si="9"/>
        <v>2021</v>
      </c>
      <c r="E7" s="54"/>
      <c r="F7" s="49" t="str">
        <f t="shared" si="1"/>
        <v>Data Missing</v>
      </c>
      <c r="G7" s="49" t="str">
        <f>IFERROR(IFERROR(INDEX(Gas_EIA,1,MATCH(D7,$J$4:$AD$4,FALSE)),0)*INDEX(NG_Load_Shape,MATCH($C7,Adjustments!$G$3:$G$14,0),1),"Data Missing")</f>
        <v>Data Missing</v>
      </c>
      <c r="H7" s="85" t="str">
        <f t="shared" si="4"/>
        <v>Data Missing</v>
      </c>
      <c r="I7" s="12"/>
    </row>
    <row r="8" spans="1:30" x14ac:dyDescent="0.2">
      <c r="A8" s="7">
        <v>6</v>
      </c>
      <c r="B8" s="26">
        <f t="shared" si="7"/>
        <v>44348</v>
      </c>
      <c r="C8" s="46" t="str">
        <f t="shared" si="8"/>
        <v>Jun</v>
      </c>
      <c r="D8" s="27">
        <f t="shared" si="9"/>
        <v>2021</v>
      </c>
      <c r="E8" s="54"/>
      <c r="F8" s="49" t="str">
        <f t="shared" si="1"/>
        <v>Data Missing</v>
      </c>
      <c r="G8" s="49" t="str">
        <f>IFERROR(IFERROR(INDEX(Gas_EIA,1,MATCH(D8,$J$4:$AD$4,FALSE)),0)*INDEX(NG_Load_Shape,MATCH($C8,Adjustments!$G$3:$G$14,0),1),"Data Missing")</f>
        <v>Data Missing</v>
      </c>
      <c r="H8" s="85" t="str">
        <f t="shared" si="4"/>
        <v>Data Missing</v>
      </c>
      <c r="I8" s="12"/>
    </row>
    <row r="9" spans="1:30" x14ac:dyDescent="0.2">
      <c r="A9" s="7">
        <v>7</v>
      </c>
      <c r="B9" s="26">
        <f t="shared" si="7"/>
        <v>44378</v>
      </c>
      <c r="C9" s="46" t="str">
        <f t="shared" si="8"/>
        <v>Jul</v>
      </c>
      <c r="D9" s="27">
        <f t="shared" si="9"/>
        <v>2021</v>
      </c>
      <c r="E9" s="54"/>
      <c r="F9" s="49" t="str">
        <f t="shared" si="1"/>
        <v>Data Missing</v>
      </c>
      <c r="G9" s="49" t="str">
        <f>IFERROR(IFERROR(INDEX(Gas_EIA,1,MATCH(D9,$J$4:$AD$4,FALSE)),0)*INDEX(NG_Load_Shape,MATCH($C9,Adjustments!$G$3:$G$14,0),1),"Data Missing")</f>
        <v>Data Missing</v>
      </c>
      <c r="H9" s="85" t="str">
        <f t="shared" si="4"/>
        <v>Data Missing</v>
      </c>
      <c r="I9" s="12"/>
    </row>
    <row r="10" spans="1:30" x14ac:dyDescent="0.2">
      <c r="A10" s="7">
        <v>8</v>
      </c>
      <c r="B10" s="26">
        <f t="shared" si="7"/>
        <v>44409</v>
      </c>
      <c r="C10" s="46" t="str">
        <f t="shared" si="8"/>
        <v>Aug</v>
      </c>
      <c r="D10" s="27">
        <f t="shared" si="9"/>
        <v>2021</v>
      </c>
      <c r="E10" s="54"/>
      <c r="F10" s="49" t="str">
        <f t="shared" si="1"/>
        <v>Data Missing</v>
      </c>
      <c r="G10" s="49" t="str">
        <f>IFERROR(IFERROR(INDEX(Gas_EIA,1,MATCH(D10,$J$4:$AD$4,FALSE)),0)*INDEX(NG_Load_Shape,MATCH($C10,Adjustments!$G$3:$G$14,0),1),"Data Missing")</f>
        <v>Data Missing</v>
      </c>
      <c r="H10" s="85" t="str">
        <f t="shared" si="4"/>
        <v>Data Missing</v>
      </c>
      <c r="I10" s="12"/>
      <c r="M10" s="13"/>
      <c r="N10" s="13"/>
      <c r="O10" s="13"/>
      <c r="P10" s="13"/>
      <c r="Q10" s="13"/>
      <c r="R10" s="13"/>
      <c r="S10" s="13"/>
      <c r="T10" s="13"/>
      <c r="U10" s="13"/>
    </row>
    <row r="11" spans="1:30" x14ac:dyDescent="0.2">
      <c r="A11" s="7">
        <v>9</v>
      </c>
      <c r="B11" s="26">
        <f t="shared" si="7"/>
        <v>44440</v>
      </c>
      <c r="C11" s="46" t="str">
        <f t="shared" si="8"/>
        <v>Sep</v>
      </c>
      <c r="D11" s="27">
        <f t="shared" si="9"/>
        <v>2021</v>
      </c>
      <c r="E11" s="54"/>
      <c r="F11" s="49" t="str">
        <f t="shared" si="1"/>
        <v>Data Missing</v>
      </c>
      <c r="G11" s="49" t="str">
        <f>IFERROR(IFERROR(INDEX(Gas_EIA,1,MATCH(D11,$J$4:$AD$4,FALSE)),0)*INDEX(NG_Load_Shape,MATCH($C11,Adjustments!$G$3:$G$14,0),1),"Data Missing")</f>
        <v>Data Missing</v>
      </c>
      <c r="H11" s="85" t="str">
        <f t="shared" si="4"/>
        <v>Data Missing</v>
      </c>
      <c r="I11" s="12"/>
      <c r="J11" s="4"/>
      <c r="K11" s="4"/>
      <c r="L11" s="4"/>
      <c r="M11" s="9"/>
      <c r="N11" s="9"/>
      <c r="O11" s="9"/>
      <c r="P11" s="9"/>
      <c r="Q11" s="9"/>
      <c r="R11" s="9"/>
      <c r="S11" s="9"/>
      <c r="T11" s="9"/>
      <c r="U11" s="14"/>
      <c r="V11" s="8"/>
      <c r="W11" s="8"/>
      <c r="X11" s="8"/>
      <c r="Y11" s="8"/>
      <c r="Z11" s="8"/>
      <c r="AA11" s="8"/>
      <c r="AB11" s="8"/>
      <c r="AC11" s="8"/>
      <c r="AD11" s="8"/>
    </row>
    <row r="12" spans="1:30" x14ac:dyDescent="0.2">
      <c r="A12" s="7">
        <v>10</v>
      </c>
      <c r="B12" s="26">
        <f t="shared" si="7"/>
        <v>44470</v>
      </c>
      <c r="C12" s="46" t="str">
        <f t="shared" si="8"/>
        <v>Oct</v>
      </c>
      <c r="D12" s="27">
        <f t="shared" si="9"/>
        <v>2021</v>
      </c>
      <c r="E12" s="54"/>
      <c r="F12" s="49" t="str">
        <f t="shared" si="1"/>
        <v>Data Missing</v>
      </c>
      <c r="G12" s="49" t="str">
        <f>IFERROR(IFERROR(INDEX(Gas_EIA,1,MATCH(D12,$J$4:$AD$4,FALSE)),0)*INDEX(NG_Load_Shape,MATCH($C12,Adjustments!$G$3:$G$14,0),1),"Data Missing")</f>
        <v>Data Missing</v>
      </c>
      <c r="H12" s="85" t="str">
        <f t="shared" si="4"/>
        <v>Data Missing</v>
      </c>
      <c r="I12" s="12"/>
      <c r="J12" s="4"/>
      <c r="K12" s="4"/>
      <c r="L12" s="4"/>
      <c r="M12" s="9"/>
      <c r="N12" s="9"/>
      <c r="O12" s="9"/>
      <c r="P12" s="9"/>
      <c r="Q12" s="9"/>
      <c r="R12" s="9"/>
      <c r="S12" s="9"/>
      <c r="T12" s="14"/>
      <c r="U12" s="14"/>
      <c r="V12" s="8"/>
      <c r="W12" s="8"/>
      <c r="X12" s="8"/>
      <c r="Y12" s="8"/>
      <c r="Z12" s="8"/>
      <c r="AA12" s="8"/>
      <c r="AB12" s="8"/>
      <c r="AC12" s="8"/>
      <c r="AD12" s="8"/>
    </row>
    <row r="13" spans="1:30" x14ac:dyDescent="0.2">
      <c r="A13" s="7">
        <v>11</v>
      </c>
      <c r="B13" s="26">
        <f t="shared" si="7"/>
        <v>44501</v>
      </c>
      <c r="C13" s="46" t="str">
        <f t="shared" si="8"/>
        <v>Nov</v>
      </c>
      <c r="D13" s="27">
        <f t="shared" si="9"/>
        <v>2021</v>
      </c>
      <c r="E13" s="54"/>
      <c r="F13" s="49" t="str">
        <f t="shared" si="1"/>
        <v>Data Missing</v>
      </c>
      <c r="G13" s="49" t="str">
        <f>IFERROR(IFERROR(INDEX(Gas_EIA,1,MATCH(D13,$J$4:$AD$4,FALSE)),0)*INDEX(NG_Load_Shape,MATCH($C13,Adjustments!$G$3:$G$14,0),1),"Data Missing")</f>
        <v>Data Missing</v>
      </c>
      <c r="H13" s="85" t="str">
        <f t="shared" si="4"/>
        <v>Data Missing</v>
      </c>
      <c r="I13" s="12"/>
      <c r="J13" s="4"/>
      <c r="K13" s="4"/>
      <c r="L13" s="4"/>
      <c r="M13" s="9"/>
      <c r="N13" s="9"/>
      <c r="O13" s="9"/>
      <c r="P13" s="9"/>
      <c r="Q13" s="9"/>
      <c r="R13" s="9"/>
      <c r="S13" s="9"/>
      <c r="T13" s="14"/>
      <c r="U13" s="14"/>
      <c r="V13" s="8"/>
      <c r="W13" s="8"/>
      <c r="X13" s="8"/>
      <c r="Y13" s="8"/>
      <c r="Z13" s="8"/>
      <c r="AA13" s="8"/>
      <c r="AB13" s="8"/>
      <c r="AC13" s="8"/>
      <c r="AD13" s="8"/>
    </row>
    <row r="14" spans="1:30" x14ac:dyDescent="0.2">
      <c r="A14" s="7">
        <v>12</v>
      </c>
      <c r="B14" s="26">
        <f t="shared" si="7"/>
        <v>44531</v>
      </c>
      <c r="C14" s="46" t="str">
        <f t="shared" si="8"/>
        <v>Dec</v>
      </c>
      <c r="D14" s="27">
        <f t="shared" si="9"/>
        <v>2021</v>
      </c>
      <c r="E14" s="54"/>
      <c r="F14" s="49" t="str">
        <f t="shared" si="1"/>
        <v>Data Missing</v>
      </c>
      <c r="G14" s="49" t="str">
        <f>IFERROR(IFERROR(INDEX(Gas_EIA,1,MATCH(D14,$J$4:$AD$4,FALSE)),0)*INDEX(NG_Load_Shape,MATCH($C14,Adjustments!$G$3:$G$14,0),1),"Data Missing")</f>
        <v>Data Missing</v>
      </c>
      <c r="H14" s="85" t="str">
        <f t="shared" si="4"/>
        <v>Data Missing</v>
      </c>
      <c r="I14" s="12"/>
      <c r="J14" s="4"/>
      <c r="K14" s="4"/>
      <c r="L14" s="4"/>
      <c r="M14" s="9"/>
      <c r="N14" s="9"/>
      <c r="O14" s="9"/>
      <c r="P14" s="9"/>
      <c r="Q14" s="9"/>
      <c r="R14" s="9"/>
      <c r="S14" s="9"/>
      <c r="T14" s="14"/>
      <c r="U14" s="14"/>
      <c r="V14" s="8"/>
      <c r="W14" s="8"/>
      <c r="X14" s="8"/>
      <c r="Y14" s="8"/>
      <c r="Z14" s="8"/>
      <c r="AA14" s="8"/>
      <c r="AB14" s="8"/>
      <c r="AC14" s="8"/>
      <c r="AD14" s="8"/>
    </row>
    <row r="15" spans="1:30" x14ac:dyDescent="0.2">
      <c r="A15" s="7">
        <v>13</v>
      </c>
      <c r="B15" s="26">
        <f t="shared" si="7"/>
        <v>44562</v>
      </c>
      <c r="C15" s="46" t="str">
        <f t="shared" si="8"/>
        <v>Jan</v>
      </c>
      <c r="D15" s="27">
        <f t="shared" si="9"/>
        <v>2022</v>
      </c>
      <c r="E15" s="54"/>
      <c r="F15" s="49" t="str">
        <f t="shared" si="1"/>
        <v>Data Missing</v>
      </c>
      <c r="G15" s="49" t="str">
        <f>IFERROR(IFERROR(INDEX(Gas_EIA,1,MATCH(D15,$J$4:$AD$4,FALSE)),0)*INDEX(NG_Load_Shape,MATCH($C15,Adjustments!$G$3:$G$14,0),1),"Data Missing")</f>
        <v>Data Missing</v>
      </c>
      <c r="H15" s="86" t="str">
        <f>F15</f>
        <v>Data Missing</v>
      </c>
      <c r="I15" s="12"/>
      <c r="M15" s="13"/>
      <c r="N15" s="13"/>
      <c r="O15" s="13"/>
      <c r="P15" s="13"/>
      <c r="Q15" s="13"/>
      <c r="R15" s="13"/>
      <c r="S15" s="13"/>
      <c r="T15" s="13"/>
      <c r="U15" s="13"/>
    </row>
    <row r="16" spans="1:30" x14ac:dyDescent="0.2">
      <c r="A16" s="7">
        <v>14</v>
      </c>
      <c r="B16" s="26">
        <f t="shared" si="7"/>
        <v>44593</v>
      </c>
      <c r="C16" s="46" t="str">
        <f t="shared" si="8"/>
        <v>Feb</v>
      </c>
      <c r="D16" s="27">
        <f t="shared" si="9"/>
        <v>2022</v>
      </c>
      <c r="E16" s="54"/>
      <c r="F16" s="49" t="str">
        <f t="shared" si="1"/>
        <v>Data Missing</v>
      </c>
      <c r="G16" s="49" t="str">
        <f>IFERROR(IFERROR(INDEX(Gas_EIA,1,MATCH(D16,$J$4:$AD$4,FALSE)),0)*INDEX(NG_Load_Shape,MATCH($C16,Adjustments!$G$3:$G$14,0),1),"Data Missing")</f>
        <v>Data Missing</v>
      </c>
      <c r="H16" s="86" t="str">
        <f t="shared" ref="H16:H62" si="11">F16</f>
        <v>Data Missing</v>
      </c>
      <c r="I16" s="12"/>
      <c r="M16" s="13"/>
      <c r="N16" s="13"/>
      <c r="O16" s="13"/>
      <c r="P16" s="13"/>
      <c r="Q16" s="13"/>
      <c r="R16" s="13"/>
      <c r="S16" s="13"/>
      <c r="T16" s="13"/>
      <c r="U16" s="13"/>
    </row>
    <row r="17" spans="1:21" x14ac:dyDescent="0.2">
      <c r="A17" s="7">
        <v>15</v>
      </c>
      <c r="B17" s="26">
        <f t="shared" si="7"/>
        <v>44621</v>
      </c>
      <c r="C17" s="46" t="str">
        <f t="shared" si="8"/>
        <v>Mar</v>
      </c>
      <c r="D17" s="27">
        <f t="shared" si="9"/>
        <v>2022</v>
      </c>
      <c r="E17" s="54"/>
      <c r="F17" s="49" t="str">
        <f t="shared" si="1"/>
        <v>Data Missing</v>
      </c>
      <c r="G17" s="49" t="str">
        <f>IFERROR(IFERROR(INDEX(Gas_EIA,1,MATCH(D17,$J$4:$AD$4,FALSE)),0)*INDEX(NG_Load_Shape,MATCH($C17,Adjustments!$G$3:$G$14,0),1),"Data Missing")</f>
        <v>Data Missing</v>
      </c>
      <c r="H17" s="86" t="str">
        <f t="shared" si="11"/>
        <v>Data Missing</v>
      </c>
      <c r="I17" s="12"/>
      <c r="M17" s="13"/>
      <c r="N17" s="13"/>
      <c r="O17" s="13"/>
      <c r="P17" s="13"/>
      <c r="Q17" s="13"/>
      <c r="R17" s="13"/>
      <c r="S17" s="13"/>
      <c r="T17" s="13"/>
      <c r="U17" s="13"/>
    </row>
    <row r="18" spans="1:21" x14ac:dyDescent="0.2">
      <c r="A18" s="7">
        <v>16</v>
      </c>
      <c r="B18" s="26">
        <f t="shared" si="7"/>
        <v>44652</v>
      </c>
      <c r="C18" s="46" t="str">
        <f t="shared" si="8"/>
        <v>Apr</v>
      </c>
      <c r="D18" s="27">
        <f t="shared" si="9"/>
        <v>2022</v>
      </c>
      <c r="E18" s="54"/>
      <c r="F18" s="49" t="str">
        <f t="shared" si="1"/>
        <v>Data Missing</v>
      </c>
      <c r="G18" s="49" t="str">
        <f>IFERROR(IFERROR(INDEX(Gas_EIA,1,MATCH(D18,$J$4:$AD$4,FALSE)),0)*INDEX(NG_Load_Shape,MATCH($C18,Adjustments!$G$3:$G$14,0),1),"Data Missing")</f>
        <v>Data Missing</v>
      </c>
      <c r="H18" s="86" t="str">
        <f t="shared" si="11"/>
        <v>Data Missing</v>
      </c>
      <c r="I18" s="12"/>
      <c r="M18" s="13"/>
      <c r="N18" s="13"/>
      <c r="O18" s="13"/>
      <c r="P18" s="13"/>
      <c r="Q18" s="13"/>
      <c r="R18" s="13"/>
      <c r="S18" s="13"/>
      <c r="T18" s="13"/>
      <c r="U18" s="13"/>
    </row>
    <row r="19" spans="1:21" x14ac:dyDescent="0.2">
      <c r="A19" s="7">
        <v>17</v>
      </c>
      <c r="B19" s="26">
        <f t="shared" si="7"/>
        <v>44682</v>
      </c>
      <c r="C19" s="46" t="str">
        <f t="shared" si="8"/>
        <v>May</v>
      </c>
      <c r="D19" s="27">
        <f t="shared" si="9"/>
        <v>2022</v>
      </c>
      <c r="E19" s="54"/>
      <c r="F19" s="49" t="str">
        <f t="shared" si="1"/>
        <v>Data Missing</v>
      </c>
      <c r="G19" s="49" t="str">
        <f>IFERROR(IFERROR(INDEX(Gas_EIA,1,MATCH(D19,$J$4:$AD$4,FALSE)),0)*INDEX(NG_Load_Shape,MATCH($C19,Adjustments!$G$3:$G$14,0),1),"Data Missing")</f>
        <v>Data Missing</v>
      </c>
      <c r="H19" s="86" t="str">
        <f t="shared" si="11"/>
        <v>Data Missing</v>
      </c>
      <c r="I19" s="12"/>
    </row>
    <row r="20" spans="1:21" x14ac:dyDescent="0.2">
      <c r="A20" s="7">
        <v>18</v>
      </c>
      <c r="B20" s="26">
        <f t="shared" si="7"/>
        <v>44713</v>
      </c>
      <c r="C20" s="46" t="str">
        <f t="shared" si="8"/>
        <v>Jun</v>
      </c>
      <c r="D20" s="27">
        <f t="shared" si="9"/>
        <v>2022</v>
      </c>
      <c r="E20" s="54"/>
      <c r="F20" s="49" t="str">
        <f t="shared" si="1"/>
        <v>Data Missing</v>
      </c>
      <c r="G20" s="49" t="str">
        <f>IFERROR(IFERROR(INDEX(Gas_EIA,1,MATCH(D20,$J$4:$AD$4,FALSE)),0)*INDEX(NG_Load_Shape,MATCH($C20,Adjustments!$G$3:$G$14,0),1),"Data Missing")</f>
        <v>Data Missing</v>
      </c>
      <c r="H20" s="86" t="str">
        <f t="shared" si="11"/>
        <v>Data Missing</v>
      </c>
      <c r="I20" s="12"/>
    </row>
    <row r="21" spans="1:21" x14ac:dyDescent="0.2">
      <c r="A21" s="7">
        <v>19</v>
      </c>
      <c r="B21" s="26">
        <f t="shared" si="7"/>
        <v>44743</v>
      </c>
      <c r="C21" s="46" t="str">
        <f t="shared" si="8"/>
        <v>Jul</v>
      </c>
      <c r="D21" s="27">
        <f t="shared" si="9"/>
        <v>2022</v>
      </c>
      <c r="E21" s="54"/>
      <c r="F21" s="49" t="str">
        <f t="shared" si="1"/>
        <v>Data Missing</v>
      </c>
      <c r="G21" s="49" t="str">
        <f>IFERROR(IFERROR(INDEX(Gas_EIA,1,MATCH(D21,$J$4:$AD$4,FALSE)),0)*INDEX(NG_Load_Shape,MATCH($C21,Adjustments!$G$3:$G$14,0),1),"Data Missing")</f>
        <v>Data Missing</v>
      </c>
      <c r="H21" s="86" t="str">
        <f t="shared" si="11"/>
        <v>Data Missing</v>
      </c>
      <c r="I21" s="12"/>
    </row>
    <row r="22" spans="1:21" x14ac:dyDescent="0.2">
      <c r="A22" s="7">
        <v>20</v>
      </c>
      <c r="B22" s="26">
        <f t="shared" si="7"/>
        <v>44774</v>
      </c>
      <c r="C22" s="46" t="str">
        <f t="shared" si="8"/>
        <v>Aug</v>
      </c>
      <c r="D22" s="27">
        <f t="shared" si="9"/>
        <v>2022</v>
      </c>
      <c r="E22" s="54"/>
      <c r="F22" s="49" t="str">
        <f t="shared" si="1"/>
        <v>Data Missing</v>
      </c>
      <c r="G22" s="49" t="str">
        <f>IFERROR(IFERROR(INDEX(Gas_EIA,1,MATCH(D22,$J$4:$AD$4,FALSE)),0)*INDEX(NG_Load_Shape,MATCH($C22,Adjustments!$G$3:$G$14,0),1),"Data Missing")</f>
        <v>Data Missing</v>
      </c>
      <c r="H22" s="86" t="str">
        <f t="shared" si="11"/>
        <v>Data Missing</v>
      </c>
      <c r="I22" s="12"/>
    </row>
    <row r="23" spans="1:21" x14ac:dyDescent="0.2">
      <c r="A23" s="7">
        <v>21</v>
      </c>
      <c r="B23" s="26">
        <f t="shared" si="7"/>
        <v>44805</v>
      </c>
      <c r="C23" s="46" t="str">
        <f t="shared" si="8"/>
        <v>Sep</v>
      </c>
      <c r="D23" s="27">
        <f t="shared" si="9"/>
        <v>2022</v>
      </c>
      <c r="E23" s="54"/>
      <c r="F23" s="49" t="str">
        <f t="shared" si="1"/>
        <v>Data Missing</v>
      </c>
      <c r="G23" s="49" t="str">
        <f>IFERROR(IFERROR(INDEX(Gas_EIA,1,MATCH(D23,$J$4:$AD$4,FALSE)),0)*INDEX(NG_Load_Shape,MATCH($C23,Adjustments!$G$3:$G$14,0),1),"Data Missing")</f>
        <v>Data Missing</v>
      </c>
      <c r="H23" s="86" t="str">
        <f t="shared" si="11"/>
        <v>Data Missing</v>
      </c>
      <c r="I23" s="12"/>
    </row>
    <row r="24" spans="1:21" x14ac:dyDescent="0.2">
      <c r="A24" s="7">
        <v>22</v>
      </c>
      <c r="B24" s="26">
        <f t="shared" si="7"/>
        <v>44835</v>
      </c>
      <c r="C24" s="46" t="str">
        <f t="shared" si="8"/>
        <v>Oct</v>
      </c>
      <c r="D24" s="27">
        <f t="shared" si="9"/>
        <v>2022</v>
      </c>
      <c r="E24" s="54"/>
      <c r="F24" s="49" t="str">
        <f t="shared" si="1"/>
        <v>Data Missing</v>
      </c>
      <c r="G24" s="49" t="str">
        <f>IFERROR(IFERROR(INDEX(Gas_EIA,1,MATCH(D24,$J$4:$AD$4,FALSE)),0)*INDEX(NG_Load_Shape,MATCH($C24,Adjustments!$G$3:$G$14,0),1),"Data Missing")</f>
        <v>Data Missing</v>
      </c>
      <c r="H24" s="86" t="str">
        <f t="shared" si="11"/>
        <v>Data Missing</v>
      </c>
      <c r="I24" s="12"/>
    </row>
    <row r="25" spans="1:21" x14ac:dyDescent="0.2">
      <c r="A25" s="7">
        <v>23</v>
      </c>
      <c r="B25" s="26">
        <f t="shared" si="7"/>
        <v>44866</v>
      </c>
      <c r="C25" s="46" t="str">
        <f t="shared" si="8"/>
        <v>Nov</v>
      </c>
      <c r="D25" s="27">
        <f t="shared" si="9"/>
        <v>2022</v>
      </c>
      <c r="E25" s="54"/>
      <c r="F25" s="49" t="str">
        <f t="shared" si="1"/>
        <v>Data Missing</v>
      </c>
      <c r="G25" s="49" t="str">
        <f>IFERROR(IFERROR(INDEX(Gas_EIA,1,MATCH(D25,$J$4:$AD$4,FALSE)),0)*INDEX(NG_Load_Shape,MATCH($C25,Adjustments!$G$3:$G$14,0),1),"Data Missing")</f>
        <v>Data Missing</v>
      </c>
      <c r="H25" s="86" t="str">
        <f t="shared" si="11"/>
        <v>Data Missing</v>
      </c>
      <c r="I25" s="12"/>
    </row>
    <row r="26" spans="1:21" x14ac:dyDescent="0.2">
      <c r="A26" s="7">
        <v>24</v>
      </c>
      <c r="B26" s="26">
        <f t="shared" si="7"/>
        <v>44896</v>
      </c>
      <c r="C26" s="46" t="str">
        <f t="shared" si="8"/>
        <v>Dec</v>
      </c>
      <c r="D26" s="27">
        <f t="shared" si="9"/>
        <v>2022</v>
      </c>
      <c r="E26" s="54"/>
      <c r="F26" s="49" t="str">
        <f t="shared" si="1"/>
        <v>Data Missing</v>
      </c>
      <c r="G26" s="49" t="str">
        <f>IFERROR(IFERROR(INDEX(Gas_EIA,1,MATCH(D26,$J$4:$AD$4,FALSE)),0)*INDEX(NG_Load_Shape,MATCH($C26,Adjustments!$G$3:$G$14,0),1),"Data Missing")</f>
        <v>Data Missing</v>
      </c>
      <c r="H26" s="86" t="str">
        <f t="shared" si="11"/>
        <v>Data Missing</v>
      </c>
      <c r="I26" s="12"/>
    </row>
    <row r="27" spans="1:21" x14ac:dyDescent="0.2">
      <c r="A27" s="7">
        <v>25</v>
      </c>
      <c r="B27" s="26">
        <f t="shared" si="7"/>
        <v>44927</v>
      </c>
      <c r="C27" s="46" t="str">
        <f t="shared" si="8"/>
        <v>Jan</v>
      </c>
      <c r="D27" s="27">
        <f t="shared" si="9"/>
        <v>2023</v>
      </c>
      <c r="E27" s="54"/>
      <c r="F27" s="49" t="str">
        <f t="shared" si="1"/>
        <v>Data Missing</v>
      </c>
      <c r="G27" s="49" t="str">
        <f>IFERROR(IFERROR(INDEX(Gas_EIA,1,MATCH(D27,$J$4:$AD$4,FALSE)),0)*INDEX(NG_Load_Shape,MATCH($C27,Adjustments!$G$3:$G$14,0),1),"Data Missing")</f>
        <v>Data Missing</v>
      </c>
      <c r="H27" s="86" t="str">
        <f t="shared" si="11"/>
        <v>Data Missing</v>
      </c>
      <c r="I27" s="12"/>
    </row>
    <row r="28" spans="1:21" x14ac:dyDescent="0.2">
      <c r="A28" s="7">
        <v>26</v>
      </c>
      <c r="B28" s="26">
        <f t="shared" si="7"/>
        <v>44958</v>
      </c>
      <c r="C28" s="46" t="str">
        <f t="shared" si="8"/>
        <v>Feb</v>
      </c>
      <c r="D28" s="27">
        <f t="shared" si="9"/>
        <v>2023</v>
      </c>
      <c r="E28" s="54"/>
      <c r="F28" s="49" t="str">
        <f t="shared" si="1"/>
        <v>Data Missing</v>
      </c>
      <c r="G28" s="49" t="str">
        <f>IFERROR(IFERROR(INDEX(Gas_EIA,1,MATCH(D28,$J$4:$AD$4,FALSE)),0)*INDEX(NG_Load_Shape,MATCH($C28,Adjustments!$G$3:$G$14,0),1),"Data Missing")</f>
        <v>Data Missing</v>
      </c>
      <c r="H28" s="86" t="str">
        <f t="shared" si="11"/>
        <v>Data Missing</v>
      </c>
      <c r="I28" s="12"/>
    </row>
    <row r="29" spans="1:21" x14ac:dyDescent="0.2">
      <c r="A29" s="7">
        <v>27</v>
      </c>
      <c r="B29" s="26">
        <f t="shared" si="7"/>
        <v>44986</v>
      </c>
      <c r="C29" s="46" t="str">
        <f t="shared" si="8"/>
        <v>Mar</v>
      </c>
      <c r="D29" s="27">
        <f t="shared" si="9"/>
        <v>2023</v>
      </c>
      <c r="E29" s="54"/>
      <c r="F29" s="49" t="str">
        <f t="shared" si="1"/>
        <v>Data Missing</v>
      </c>
      <c r="G29" s="49" t="str">
        <f>IFERROR(IFERROR(INDEX(Gas_EIA,1,MATCH(D29,$J$4:$AD$4,FALSE)),0)*INDEX(NG_Load_Shape,MATCH($C29,Adjustments!$G$3:$G$14,0),1),"Data Missing")</f>
        <v>Data Missing</v>
      </c>
      <c r="H29" s="86" t="str">
        <f t="shared" si="11"/>
        <v>Data Missing</v>
      </c>
      <c r="I29" s="12"/>
    </row>
    <row r="30" spans="1:21" x14ac:dyDescent="0.2">
      <c r="A30" s="7">
        <v>28</v>
      </c>
      <c r="B30" s="26">
        <f t="shared" si="7"/>
        <v>45017</v>
      </c>
      <c r="C30" s="46" t="str">
        <f t="shared" si="8"/>
        <v>Apr</v>
      </c>
      <c r="D30" s="27">
        <f t="shared" si="9"/>
        <v>2023</v>
      </c>
      <c r="E30" s="54"/>
      <c r="F30" s="49" t="str">
        <f t="shared" si="1"/>
        <v>Data Missing</v>
      </c>
      <c r="G30" s="49" t="str">
        <f>IFERROR(IFERROR(INDEX(Gas_EIA,1,MATCH(D30,$J$4:$AD$4,FALSE)),0)*INDEX(NG_Load_Shape,MATCH($C30,Adjustments!$G$3:$G$14,0),1),"Data Missing")</f>
        <v>Data Missing</v>
      </c>
      <c r="H30" s="86" t="str">
        <f t="shared" si="11"/>
        <v>Data Missing</v>
      </c>
      <c r="I30" s="12"/>
    </row>
    <row r="31" spans="1:21" x14ac:dyDescent="0.2">
      <c r="A31" s="7">
        <v>29</v>
      </c>
      <c r="B31" s="26">
        <f t="shared" si="7"/>
        <v>45047</v>
      </c>
      <c r="C31" s="46" t="str">
        <f t="shared" si="8"/>
        <v>May</v>
      </c>
      <c r="D31" s="27">
        <f t="shared" si="9"/>
        <v>2023</v>
      </c>
      <c r="E31" s="54"/>
      <c r="F31" s="49" t="str">
        <f t="shared" si="1"/>
        <v>Data Missing</v>
      </c>
      <c r="G31" s="49" t="str">
        <f>IFERROR(IFERROR(INDEX(Gas_EIA,1,MATCH(D31,$J$4:$AD$4,FALSE)),0)*INDEX(NG_Load_Shape,MATCH($C31,Adjustments!$G$3:$G$14,0),1),"Data Missing")</f>
        <v>Data Missing</v>
      </c>
      <c r="H31" s="86" t="str">
        <f t="shared" si="11"/>
        <v>Data Missing</v>
      </c>
      <c r="I31" s="12"/>
    </row>
    <row r="32" spans="1:21" x14ac:dyDescent="0.2">
      <c r="A32" s="7">
        <v>30</v>
      </c>
      <c r="B32" s="26">
        <f t="shared" si="7"/>
        <v>45078</v>
      </c>
      <c r="C32" s="46" t="str">
        <f t="shared" si="8"/>
        <v>Jun</v>
      </c>
      <c r="D32" s="27">
        <f t="shared" si="9"/>
        <v>2023</v>
      </c>
      <c r="E32" s="54"/>
      <c r="F32" s="49" t="str">
        <f t="shared" si="1"/>
        <v>Data Missing</v>
      </c>
      <c r="G32" s="49" t="str">
        <f>IFERROR(IFERROR(INDEX(Gas_EIA,1,MATCH(D32,$J$4:$AD$4,FALSE)),0)*INDEX(NG_Load_Shape,MATCH($C32,Adjustments!$G$3:$G$14,0),1),"Data Missing")</f>
        <v>Data Missing</v>
      </c>
      <c r="H32" s="86" t="str">
        <f t="shared" si="11"/>
        <v>Data Missing</v>
      </c>
      <c r="I32" s="12"/>
    </row>
    <row r="33" spans="1:9" x14ac:dyDescent="0.2">
      <c r="A33" s="7">
        <v>31</v>
      </c>
      <c r="B33" s="26">
        <f t="shared" si="7"/>
        <v>45108</v>
      </c>
      <c r="C33" s="46" t="str">
        <f t="shared" si="8"/>
        <v>Jul</v>
      </c>
      <c r="D33" s="27">
        <f t="shared" si="9"/>
        <v>2023</v>
      </c>
      <c r="E33" s="54"/>
      <c r="F33" s="49" t="str">
        <f t="shared" si="1"/>
        <v>Data Missing</v>
      </c>
      <c r="G33" s="49" t="str">
        <f>IFERROR(IFERROR(INDEX(Gas_EIA,1,MATCH(D33,$J$4:$AD$4,FALSE)),0)*INDEX(NG_Load_Shape,MATCH($C33,Adjustments!$G$3:$G$14,0),1),"Data Missing")</f>
        <v>Data Missing</v>
      </c>
      <c r="H33" s="86" t="str">
        <f t="shared" si="11"/>
        <v>Data Missing</v>
      </c>
      <c r="I33" s="12"/>
    </row>
    <row r="34" spans="1:9" x14ac:dyDescent="0.2">
      <c r="A34" s="7">
        <v>32</v>
      </c>
      <c r="B34" s="26">
        <f t="shared" si="7"/>
        <v>45139</v>
      </c>
      <c r="C34" s="46" t="str">
        <f t="shared" si="8"/>
        <v>Aug</v>
      </c>
      <c r="D34" s="27">
        <f t="shared" si="9"/>
        <v>2023</v>
      </c>
      <c r="E34" s="54"/>
      <c r="F34" s="49" t="str">
        <f t="shared" si="1"/>
        <v>Data Missing</v>
      </c>
      <c r="G34" s="49" t="str">
        <f>IFERROR(IFERROR(INDEX(Gas_EIA,1,MATCH(D34,$J$4:$AD$4,FALSE)),0)*INDEX(NG_Load_Shape,MATCH($C34,Adjustments!$G$3:$G$14,0),1),"Data Missing")</f>
        <v>Data Missing</v>
      </c>
      <c r="H34" s="86" t="str">
        <f t="shared" si="11"/>
        <v>Data Missing</v>
      </c>
      <c r="I34" s="12"/>
    </row>
    <row r="35" spans="1:9" x14ac:dyDescent="0.2">
      <c r="A35" s="7">
        <v>33</v>
      </c>
      <c r="B35" s="26">
        <f t="shared" si="7"/>
        <v>45170</v>
      </c>
      <c r="C35" s="46" t="str">
        <f t="shared" si="8"/>
        <v>Sep</v>
      </c>
      <c r="D35" s="27">
        <f t="shared" si="9"/>
        <v>2023</v>
      </c>
      <c r="E35" s="54"/>
      <c r="F35" s="49" t="str">
        <f t="shared" ref="F35:F66" si="12">IFERROR(E35+INDEX(NG_Zone_Adjust,MONTH(B35),2),"Data Missing")</f>
        <v>Data Missing</v>
      </c>
      <c r="G35" s="49" t="str">
        <f>IFERROR(IFERROR(INDEX(Gas_EIA,1,MATCH(D35,$J$4:$AD$4,FALSE)),0)*INDEX(NG_Load_Shape,MATCH($C35,Adjustments!$G$3:$G$14,0),1),"Data Missing")</f>
        <v>Data Missing</v>
      </c>
      <c r="H35" s="86" t="str">
        <f t="shared" si="11"/>
        <v>Data Missing</v>
      </c>
      <c r="I35" s="12"/>
    </row>
    <row r="36" spans="1:9" x14ac:dyDescent="0.2">
      <c r="A36" s="7">
        <v>34</v>
      </c>
      <c r="B36" s="26">
        <f t="shared" si="7"/>
        <v>45200</v>
      </c>
      <c r="C36" s="46" t="str">
        <f t="shared" si="8"/>
        <v>Oct</v>
      </c>
      <c r="D36" s="27">
        <f t="shared" si="9"/>
        <v>2023</v>
      </c>
      <c r="E36" s="54"/>
      <c r="F36" s="49" t="str">
        <f t="shared" si="12"/>
        <v>Data Missing</v>
      </c>
      <c r="G36" s="49" t="str">
        <f>IFERROR(IFERROR(INDEX(Gas_EIA,1,MATCH(D36,$J$4:$AD$4,FALSE)),0)*INDEX(NG_Load_Shape,MATCH($C36,Adjustments!$G$3:$G$14,0),1),"Data Missing")</f>
        <v>Data Missing</v>
      </c>
      <c r="H36" s="86" t="str">
        <f t="shared" si="11"/>
        <v>Data Missing</v>
      </c>
      <c r="I36" s="12"/>
    </row>
    <row r="37" spans="1:9" x14ac:dyDescent="0.2">
      <c r="A37" s="7">
        <v>35</v>
      </c>
      <c r="B37" s="26">
        <f t="shared" si="7"/>
        <v>45231</v>
      </c>
      <c r="C37" s="46" t="str">
        <f t="shared" si="8"/>
        <v>Nov</v>
      </c>
      <c r="D37" s="27">
        <f t="shared" si="9"/>
        <v>2023</v>
      </c>
      <c r="E37" s="54"/>
      <c r="F37" s="49" t="str">
        <f t="shared" si="12"/>
        <v>Data Missing</v>
      </c>
      <c r="G37" s="49" t="str">
        <f>IFERROR(IFERROR(INDEX(Gas_EIA,1,MATCH(D37,$J$4:$AD$4,FALSE)),0)*INDEX(NG_Load_Shape,MATCH($C37,Adjustments!$G$3:$G$14,0),1),"Data Missing")</f>
        <v>Data Missing</v>
      </c>
      <c r="H37" s="86" t="str">
        <f t="shared" si="11"/>
        <v>Data Missing</v>
      </c>
      <c r="I37" s="12"/>
    </row>
    <row r="38" spans="1:9" x14ac:dyDescent="0.2">
      <c r="A38" s="7">
        <v>36</v>
      </c>
      <c r="B38" s="26">
        <f t="shared" si="7"/>
        <v>45261</v>
      </c>
      <c r="C38" s="46" t="str">
        <f t="shared" si="8"/>
        <v>Dec</v>
      </c>
      <c r="D38" s="27">
        <f t="shared" si="9"/>
        <v>2023</v>
      </c>
      <c r="E38" s="54"/>
      <c r="F38" s="49" t="str">
        <f t="shared" si="12"/>
        <v>Data Missing</v>
      </c>
      <c r="G38" s="49" t="str">
        <f>IFERROR(IFERROR(INDEX(Gas_EIA,1,MATCH(D38,$J$4:$AD$4,FALSE)),0)*INDEX(NG_Load_Shape,MATCH($C38,Adjustments!$G$3:$G$14,0),1),"Data Missing")</f>
        <v>Data Missing</v>
      </c>
      <c r="H38" s="86" t="str">
        <f t="shared" si="11"/>
        <v>Data Missing</v>
      </c>
      <c r="I38" s="12"/>
    </row>
    <row r="39" spans="1:9" x14ac:dyDescent="0.2">
      <c r="A39" s="7">
        <v>37</v>
      </c>
      <c r="B39" s="26">
        <f t="shared" si="7"/>
        <v>45292</v>
      </c>
      <c r="C39" s="46" t="str">
        <f t="shared" si="8"/>
        <v>Jan</v>
      </c>
      <c r="D39" s="27">
        <f t="shared" si="9"/>
        <v>2024</v>
      </c>
      <c r="E39" s="54"/>
      <c r="F39" s="49" t="str">
        <f t="shared" si="12"/>
        <v>Data Missing</v>
      </c>
      <c r="G39" s="49" t="str">
        <f>IFERROR(IFERROR(INDEX(Gas_EIA,1,MATCH(D39,$J$4:$AD$4,FALSE)),0)*INDEX(NG_Load_Shape,MATCH($C39,Adjustments!$G$3:$G$14,0),1),"Data Missing")</f>
        <v>Data Missing</v>
      </c>
      <c r="H39" s="86" t="str">
        <f t="shared" si="11"/>
        <v>Data Missing</v>
      </c>
      <c r="I39" s="12"/>
    </row>
    <row r="40" spans="1:9" x14ac:dyDescent="0.2">
      <c r="A40" s="7">
        <v>38</v>
      </c>
      <c r="B40" s="26">
        <f t="shared" si="7"/>
        <v>45323</v>
      </c>
      <c r="C40" s="46" t="str">
        <f t="shared" si="8"/>
        <v>Feb</v>
      </c>
      <c r="D40" s="27">
        <f t="shared" si="9"/>
        <v>2024</v>
      </c>
      <c r="E40" s="54"/>
      <c r="F40" s="49" t="str">
        <f t="shared" si="12"/>
        <v>Data Missing</v>
      </c>
      <c r="G40" s="49" t="str">
        <f>IFERROR(IFERROR(INDEX(Gas_EIA,1,MATCH(D40,$J$4:$AD$4,FALSE)),0)*INDEX(NG_Load_Shape,MATCH($C40,Adjustments!$G$3:$G$14,0),1),"Data Missing")</f>
        <v>Data Missing</v>
      </c>
      <c r="H40" s="86" t="str">
        <f t="shared" si="11"/>
        <v>Data Missing</v>
      </c>
      <c r="I40" s="12"/>
    </row>
    <row r="41" spans="1:9" x14ac:dyDescent="0.2">
      <c r="A41" s="7">
        <v>39</v>
      </c>
      <c r="B41" s="26">
        <f t="shared" si="7"/>
        <v>45352</v>
      </c>
      <c r="C41" s="46" t="str">
        <f t="shared" si="8"/>
        <v>Mar</v>
      </c>
      <c r="D41" s="27">
        <f t="shared" si="9"/>
        <v>2024</v>
      </c>
      <c r="E41" s="54"/>
      <c r="F41" s="49" t="str">
        <f t="shared" si="12"/>
        <v>Data Missing</v>
      </c>
      <c r="G41" s="49" t="str">
        <f>IFERROR(IFERROR(INDEX(Gas_EIA,1,MATCH(D41,$J$4:$AD$4,FALSE)),0)*INDEX(NG_Load_Shape,MATCH($C41,Adjustments!$G$3:$G$14,0),1),"Data Missing")</f>
        <v>Data Missing</v>
      </c>
      <c r="H41" s="86" t="str">
        <f t="shared" si="11"/>
        <v>Data Missing</v>
      </c>
      <c r="I41" s="12"/>
    </row>
    <row r="42" spans="1:9" x14ac:dyDescent="0.2">
      <c r="A42" s="7">
        <v>40</v>
      </c>
      <c r="B42" s="26">
        <f t="shared" si="7"/>
        <v>45383</v>
      </c>
      <c r="C42" s="46" t="str">
        <f t="shared" si="8"/>
        <v>Apr</v>
      </c>
      <c r="D42" s="27">
        <f t="shared" si="9"/>
        <v>2024</v>
      </c>
      <c r="E42" s="54"/>
      <c r="F42" s="49" t="str">
        <f t="shared" si="12"/>
        <v>Data Missing</v>
      </c>
      <c r="G42" s="49" t="str">
        <f>IFERROR(IFERROR(INDEX(Gas_EIA,1,MATCH(D42,$J$4:$AD$4,FALSE)),0)*INDEX(NG_Load_Shape,MATCH($C42,Adjustments!$G$3:$G$14,0),1),"Data Missing")</f>
        <v>Data Missing</v>
      </c>
      <c r="H42" s="86" t="str">
        <f t="shared" si="11"/>
        <v>Data Missing</v>
      </c>
      <c r="I42" s="12"/>
    </row>
    <row r="43" spans="1:9" x14ac:dyDescent="0.2">
      <c r="A43" s="7">
        <v>41</v>
      </c>
      <c r="B43" s="26">
        <f t="shared" si="7"/>
        <v>45413</v>
      </c>
      <c r="C43" s="46" t="str">
        <f t="shared" si="8"/>
        <v>May</v>
      </c>
      <c r="D43" s="27">
        <f t="shared" si="9"/>
        <v>2024</v>
      </c>
      <c r="E43" s="54"/>
      <c r="F43" s="49" t="str">
        <f t="shared" si="12"/>
        <v>Data Missing</v>
      </c>
      <c r="G43" s="49" t="str">
        <f>IFERROR(IFERROR(INDEX(Gas_EIA,1,MATCH(D43,$J$4:$AD$4,FALSE)),0)*INDEX(NG_Load_Shape,MATCH($C43,Adjustments!$G$3:$G$14,0),1),"Data Missing")</f>
        <v>Data Missing</v>
      </c>
      <c r="H43" s="86" t="str">
        <f t="shared" si="11"/>
        <v>Data Missing</v>
      </c>
      <c r="I43" s="12"/>
    </row>
    <row r="44" spans="1:9" x14ac:dyDescent="0.2">
      <c r="A44" s="7">
        <v>42</v>
      </c>
      <c r="B44" s="26">
        <f t="shared" si="7"/>
        <v>45444</v>
      </c>
      <c r="C44" s="46" t="str">
        <f t="shared" si="8"/>
        <v>Jun</v>
      </c>
      <c r="D44" s="27">
        <f t="shared" si="9"/>
        <v>2024</v>
      </c>
      <c r="E44" s="54"/>
      <c r="F44" s="49" t="str">
        <f t="shared" si="12"/>
        <v>Data Missing</v>
      </c>
      <c r="G44" s="49" t="str">
        <f>IFERROR(IFERROR(INDEX(Gas_EIA,1,MATCH(D44,$J$4:$AD$4,FALSE)),0)*INDEX(NG_Load_Shape,MATCH($C44,Adjustments!$G$3:$G$14,0),1),"Data Missing")</f>
        <v>Data Missing</v>
      </c>
      <c r="H44" s="86" t="str">
        <f t="shared" si="11"/>
        <v>Data Missing</v>
      </c>
      <c r="I44" s="12"/>
    </row>
    <row r="45" spans="1:9" x14ac:dyDescent="0.2">
      <c r="A45" s="7">
        <v>43</v>
      </c>
      <c r="B45" s="26">
        <f t="shared" si="7"/>
        <v>45474</v>
      </c>
      <c r="C45" s="46" t="str">
        <f t="shared" si="8"/>
        <v>Jul</v>
      </c>
      <c r="D45" s="27">
        <f t="shared" si="9"/>
        <v>2024</v>
      </c>
      <c r="E45" s="54"/>
      <c r="F45" s="49" t="str">
        <f t="shared" si="12"/>
        <v>Data Missing</v>
      </c>
      <c r="G45" s="49" t="str">
        <f>IFERROR(IFERROR(INDEX(Gas_EIA,1,MATCH(D45,$J$4:$AD$4,FALSE)),0)*INDEX(NG_Load_Shape,MATCH($C45,Adjustments!$G$3:$G$14,0),1),"Data Missing")</f>
        <v>Data Missing</v>
      </c>
      <c r="H45" s="86" t="str">
        <f t="shared" si="11"/>
        <v>Data Missing</v>
      </c>
      <c r="I45" s="12"/>
    </row>
    <row r="46" spans="1:9" x14ac:dyDescent="0.2">
      <c r="A46" s="7">
        <v>44</v>
      </c>
      <c r="B46" s="26">
        <f t="shared" si="7"/>
        <v>45505</v>
      </c>
      <c r="C46" s="46" t="str">
        <f t="shared" si="8"/>
        <v>Aug</v>
      </c>
      <c r="D46" s="27">
        <f t="shared" si="9"/>
        <v>2024</v>
      </c>
      <c r="E46" s="54"/>
      <c r="F46" s="49" t="str">
        <f t="shared" si="12"/>
        <v>Data Missing</v>
      </c>
      <c r="G46" s="49" t="str">
        <f>IFERROR(IFERROR(INDEX(Gas_EIA,1,MATCH(D46,$J$4:$AD$4,FALSE)),0)*INDEX(NG_Load_Shape,MATCH($C46,Adjustments!$G$3:$G$14,0),1),"Data Missing")</f>
        <v>Data Missing</v>
      </c>
      <c r="H46" s="86" t="str">
        <f t="shared" si="11"/>
        <v>Data Missing</v>
      </c>
      <c r="I46" s="12"/>
    </row>
    <row r="47" spans="1:9" x14ac:dyDescent="0.2">
      <c r="A47" s="7">
        <v>45</v>
      </c>
      <c r="B47" s="26">
        <f t="shared" si="7"/>
        <v>45536</v>
      </c>
      <c r="C47" s="46" t="str">
        <f t="shared" si="8"/>
        <v>Sep</v>
      </c>
      <c r="D47" s="27">
        <f t="shared" si="9"/>
        <v>2024</v>
      </c>
      <c r="E47" s="54"/>
      <c r="F47" s="49" t="str">
        <f t="shared" si="12"/>
        <v>Data Missing</v>
      </c>
      <c r="G47" s="49" t="str">
        <f>IFERROR(IFERROR(INDEX(Gas_EIA,1,MATCH(D47,$J$4:$AD$4,FALSE)),0)*INDEX(NG_Load_Shape,MATCH($C47,Adjustments!$G$3:$G$14,0),1),"Data Missing")</f>
        <v>Data Missing</v>
      </c>
      <c r="H47" s="86" t="str">
        <f t="shared" si="11"/>
        <v>Data Missing</v>
      </c>
      <c r="I47" s="12"/>
    </row>
    <row r="48" spans="1:9" x14ac:dyDescent="0.2">
      <c r="A48" s="7">
        <v>46</v>
      </c>
      <c r="B48" s="26">
        <f t="shared" si="7"/>
        <v>45566</v>
      </c>
      <c r="C48" s="46" t="str">
        <f t="shared" si="8"/>
        <v>Oct</v>
      </c>
      <c r="D48" s="27">
        <f t="shared" si="9"/>
        <v>2024</v>
      </c>
      <c r="E48" s="54"/>
      <c r="F48" s="49" t="str">
        <f t="shared" si="12"/>
        <v>Data Missing</v>
      </c>
      <c r="G48" s="49" t="str">
        <f>IFERROR(IFERROR(INDEX(Gas_EIA,1,MATCH(D48,$J$4:$AD$4,FALSE)),0)*INDEX(NG_Load_Shape,MATCH($C48,Adjustments!$G$3:$G$14,0),1),"Data Missing")</f>
        <v>Data Missing</v>
      </c>
      <c r="H48" s="86" t="str">
        <f t="shared" si="11"/>
        <v>Data Missing</v>
      </c>
      <c r="I48" s="12"/>
    </row>
    <row r="49" spans="1:9" x14ac:dyDescent="0.2">
      <c r="A49" s="7">
        <v>47</v>
      </c>
      <c r="B49" s="26">
        <f t="shared" si="7"/>
        <v>45597</v>
      </c>
      <c r="C49" s="46" t="str">
        <f t="shared" si="8"/>
        <v>Nov</v>
      </c>
      <c r="D49" s="27">
        <f t="shared" si="9"/>
        <v>2024</v>
      </c>
      <c r="E49" s="54"/>
      <c r="F49" s="49" t="str">
        <f t="shared" si="12"/>
        <v>Data Missing</v>
      </c>
      <c r="G49" s="49" t="str">
        <f>IFERROR(IFERROR(INDEX(Gas_EIA,1,MATCH(D49,$J$4:$AD$4,FALSE)),0)*INDEX(NG_Load_Shape,MATCH($C49,Adjustments!$G$3:$G$14,0),1),"Data Missing")</f>
        <v>Data Missing</v>
      </c>
      <c r="H49" s="86" t="str">
        <f t="shared" si="11"/>
        <v>Data Missing</v>
      </c>
      <c r="I49" s="12"/>
    </row>
    <row r="50" spans="1:9" x14ac:dyDescent="0.2">
      <c r="A50" s="7">
        <v>48</v>
      </c>
      <c r="B50" s="26">
        <f t="shared" si="7"/>
        <v>45627</v>
      </c>
      <c r="C50" s="46" t="str">
        <f t="shared" si="8"/>
        <v>Dec</v>
      </c>
      <c r="D50" s="27">
        <f t="shared" si="9"/>
        <v>2024</v>
      </c>
      <c r="E50" s="54"/>
      <c r="F50" s="49" t="str">
        <f t="shared" si="12"/>
        <v>Data Missing</v>
      </c>
      <c r="G50" s="49" t="str">
        <f>IFERROR(IFERROR(INDEX(Gas_EIA,1,MATCH(D50,$J$4:$AD$4,FALSE)),0)*INDEX(NG_Load_Shape,MATCH($C50,Adjustments!$G$3:$G$14,0),1),"Data Missing")</f>
        <v>Data Missing</v>
      </c>
      <c r="H50" s="86" t="str">
        <f t="shared" si="11"/>
        <v>Data Missing</v>
      </c>
      <c r="I50" s="12"/>
    </row>
    <row r="51" spans="1:9" x14ac:dyDescent="0.2">
      <c r="A51" s="7">
        <v>49</v>
      </c>
      <c r="B51" s="26">
        <f t="shared" si="7"/>
        <v>45658</v>
      </c>
      <c r="C51" s="46" t="str">
        <f t="shared" si="8"/>
        <v>Jan</v>
      </c>
      <c r="D51" s="27">
        <f t="shared" si="9"/>
        <v>2025</v>
      </c>
      <c r="E51" s="54"/>
      <c r="F51" s="49" t="str">
        <f t="shared" si="12"/>
        <v>Data Missing</v>
      </c>
      <c r="G51" s="49" t="str">
        <f>IFERROR(IFERROR(INDEX(Gas_EIA,1,MATCH(D51,$J$4:$AD$4,FALSE)),0)*INDEX(NG_Load_Shape,MATCH($C51,Adjustments!$G$3:$G$14,0),1),"Data Missing")</f>
        <v>Data Missing</v>
      </c>
      <c r="H51" s="86" t="str">
        <f t="shared" si="11"/>
        <v>Data Missing</v>
      </c>
      <c r="I51" s="12"/>
    </row>
    <row r="52" spans="1:9" x14ac:dyDescent="0.2">
      <c r="A52" s="7">
        <v>50</v>
      </c>
      <c r="B52" s="26">
        <f t="shared" si="7"/>
        <v>45689</v>
      </c>
      <c r="C52" s="46" t="str">
        <f t="shared" si="8"/>
        <v>Feb</v>
      </c>
      <c r="D52" s="27">
        <f t="shared" si="9"/>
        <v>2025</v>
      </c>
      <c r="E52" s="54"/>
      <c r="F52" s="49" t="str">
        <f t="shared" si="12"/>
        <v>Data Missing</v>
      </c>
      <c r="G52" s="49" t="str">
        <f>IFERROR(IFERROR(INDEX(Gas_EIA,1,MATCH(D52,$J$4:$AD$4,FALSE)),0)*INDEX(NG_Load_Shape,MATCH($C52,Adjustments!$G$3:$G$14,0),1),"Data Missing")</f>
        <v>Data Missing</v>
      </c>
      <c r="H52" s="86" t="str">
        <f t="shared" si="11"/>
        <v>Data Missing</v>
      </c>
      <c r="I52" s="12"/>
    </row>
    <row r="53" spans="1:9" x14ac:dyDescent="0.2">
      <c r="A53" s="7">
        <v>51</v>
      </c>
      <c r="B53" s="26">
        <f t="shared" si="7"/>
        <v>45717</v>
      </c>
      <c r="C53" s="46" t="str">
        <f t="shared" si="8"/>
        <v>Mar</v>
      </c>
      <c r="D53" s="27">
        <f t="shared" si="9"/>
        <v>2025</v>
      </c>
      <c r="E53" s="54"/>
      <c r="F53" s="49" t="str">
        <f t="shared" si="12"/>
        <v>Data Missing</v>
      </c>
      <c r="G53" s="49" t="str">
        <f>IFERROR(IFERROR(INDEX(Gas_EIA,1,MATCH(D53,$J$4:$AD$4,FALSE)),0)*INDEX(NG_Load_Shape,MATCH($C53,Adjustments!$G$3:$G$14,0),1),"Data Missing")</f>
        <v>Data Missing</v>
      </c>
      <c r="H53" s="86" t="str">
        <f t="shared" si="11"/>
        <v>Data Missing</v>
      </c>
      <c r="I53" s="12"/>
    </row>
    <row r="54" spans="1:9" x14ac:dyDescent="0.2">
      <c r="A54" s="7">
        <v>52</v>
      </c>
      <c r="B54" s="26">
        <f t="shared" si="7"/>
        <v>45748</v>
      </c>
      <c r="C54" s="46" t="str">
        <f t="shared" si="8"/>
        <v>Apr</v>
      </c>
      <c r="D54" s="27">
        <f t="shared" si="9"/>
        <v>2025</v>
      </c>
      <c r="E54" s="54"/>
      <c r="F54" s="49" t="str">
        <f t="shared" si="12"/>
        <v>Data Missing</v>
      </c>
      <c r="G54" s="49" t="str">
        <f>IFERROR(IFERROR(INDEX(Gas_EIA,1,MATCH(D54,$J$4:$AD$4,FALSE)),0)*INDEX(NG_Load_Shape,MATCH($C54,Adjustments!$G$3:$G$14,0),1),"Data Missing")</f>
        <v>Data Missing</v>
      </c>
      <c r="H54" s="86" t="str">
        <f t="shared" si="11"/>
        <v>Data Missing</v>
      </c>
      <c r="I54" s="12"/>
    </row>
    <row r="55" spans="1:9" x14ac:dyDescent="0.2">
      <c r="A55" s="7">
        <v>53</v>
      </c>
      <c r="B55" s="26">
        <f t="shared" si="7"/>
        <v>45778</v>
      </c>
      <c r="C55" s="46" t="str">
        <f t="shared" si="8"/>
        <v>May</v>
      </c>
      <c r="D55" s="27">
        <f t="shared" si="9"/>
        <v>2025</v>
      </c>
      <c r="E55" s="54"/>
      <c r="F55" s="49" t="str">
        <f t="shared" si="12"/>
        <v>Data Missing</v>
      </c>
      <c r="G55" s="49" t="str">
        <f>IFERROR(IFERROR(INDEX(Gas_EIA,1,MATCH(D55,$J$4:$AD$4,FALSE)),0)*INDEX(NG_Load_Shape,MATCH($C55,Adjustments!$G$3:$G$14,0),1),"Data Missing")</f>
        <v>Data Missing</v>
      </c>
      <c r="H55" s="86" t="str">
        <f t="shared" si="11"/>
        <v>Data Missing</v>
      </c>
      <c r="I55" s="12"/>
    </row>
    <row r="56" spans="1:9" x14ac:dyDescent="0.2">
      <c r="A56" s="7">
        <v>54</v>
      </c>
      <c r="B56" s="26">
        <f t="shared" si="7"/>
        <v>45809</v>
      </c>
      <c r="C56" s="46" t="str">
        <f t="shared" si="8"/>
        <v>Jun</v>
      </c>
      <c r="D56" s="27">
        <f t="shared" si="9"/>
        <v>2025</v>
      </c>
      <c r="E56" s="54"/>
      <c r="F56" s="49" t="str">
        <f t="shared" si="12"/>
        <v>Data Missing</v>
      </c>
      <c r="G56" s="49" t="str">
        <f>IFERROR(IFERROR(INDEX(Gas_EIA,1,MATCH(D56,$J$4:$AD$4,FALSE)),0)*INDEX(NG_Load_Shape,MATCH($C56,Adjustments!$G$3:$G$14,0),1),"Data Missing")</f>
        <v>Data Missing</v>
      </c>
      <c r="H56" s="86" t="str">
        <f t="shared" si="11"/>
        <v>Data Missing</v>
      </c>
      <c r="I56" s="12"/>
    </row>
    <row r="57" spans="1:9" x14ac:dyDescent="0.2">
      <c r="A57" s="7">
        <v>55</v>
      </c>
      <c r="B57" s="26">
        <f t="shared" si="7"/>
        <v>45839</v>
      </c>
      <c r="C57" s="46" t="str">
        <f t="shared" si="8"/>
        <v>Jul</v>
      </c>
      <c r="D57" s="27">
        <f t="shared" si="9"/>
        <v>2025</v>
      </c>
      <c r="E57" s="54"/>
      <c r="F57" s="49" t="str">
        <f t="shared" si="12"/>
        <v>Data Missing</v>
      </c>
      <c r="G57" s="49" t="str">
        <f>IFERROR(IFERROR(INDEX(Gas_EIA,1,MATCH(D57,$J$4:$AD$4,FALSE)),0)*INDEX(NG_Load_Shape,MATCH($C57,Adjustments!$G$3:$G$14,0),1),"Data Missing")</f>
        <v>Data Missing</v>
      </c>
      <c r="H57" s="86" t="str">
        <f t="shared" si="11"/>
        <v>Data Missing</v>
      </c>
      <c r="I57" s="12"/>
    </row>
    <row r="58" spans="1:9" x14ac:dyDescent="0.2">
      <c r="A58" s="7">
        <v>56</v>
      </c>
      <c r="B58" s="26">
        <f t="shared" si="7"/>
        <v>45870</v>
      </c>
      <c r="C58" s="46" t="str">
        <f t="shared" si="8"/>
        <v>Aug</v>
      </c>
      <c r="D58" s="27">
        <f t="shared" si="9"/>
        <v>2025</v>
      </c>
      <c r="E58" s="54"/>
      <c r="F58" s="49" t="str">
        <f t="shared" si="12"/>
        <v>Data Missing</v>
      </c>
      <c r="G58" s="49" t="str">
        <f>IFERROR(IFERROR(INDEX(Gas_EIA,1,MATCH(D58,$J$4:$AD$4,FALSE)),0)*INDEX(NG_Load_Shape,MATCH($C58,Adjustments!$G$3:$G$14,0),1),"Data Missing")</f>
        <v>Data Missing</v>
      </c>
      <c r="H58" s="86" t="str">
        <f t="shared" si="11"/>
        <v>Data Missing</v>
      </c>
      <c r="I58" s="12"/>
    </row>
    <row r="59" spans="1:9" x14ac:dyDescent="0.2">
      <c r="A59" s="7">
        <v>57</v>
      </c>
      <c r="B59" s="26">
        <f t="shared" si="7"/>
        <v>45901</v>
      </c>
      <c r="C59" s="46" t="str">
        <f t="shared" si="8"/>
        <v>Sep</v>
      </c>
      <c r="D59" s="27">
        <f t="shared" si="9"/>
        <v>2025</v>
      </c>
      <c r="E59" s="54"/>
      <c r="F59" s="49" t="str">
        <f t="shared" si="12"/>
        <v>Data Missing</v>
      </c>
      <c r="G59" s="49" t="str">
        <f>IFERROR(IFERROR(INDEX(Gas_EIA,1,MATCH(D59,$J$4:$AD$4,FALSE)),0)*INDEX(NG_Load_Shape,MATCH($C59,Adjustments!$G$3:$G$14,0),1),"Data Missing")</f>
        <v>Data Missing</v>
      </c>
      <c r="H59" s="86" t="str">
        <f t="shared" si="11"/>
        <v>Data Missing</v>
      </c>
      <c r="I59" s="12"/>
    </row>
    <row r="60" spans="1:9" x14ac:dyDescent="0.2">
      <c r="A60" s="7">
        <v>58</v>
      </c>
      <c r="B60" s="26">
        <f t="shared" si="7"/>
        <v>45931</v>
      </c>
      <c r="C60" s="46" t="str">
        <f t="shared" si="8"/>
        <v>Oct</v>
      </c>
      <c r="D60" s="27">
        <f t="shared" si="9"/>
        <v>2025</v>
      </c>
      <c r="E60" s="54"/>
      <c r="F60" s="49" t="str">
        <f t="shared" si="12"/>
        <v>Data Missing</v>
      </c>
      <c r="G60" s="49" t="str">
        <f>IFERROR(IFERROR(INDEX(Gas_EIA,1,MATCH(D60,$J$4:$AD$4,FALSE)),0)*INDEX(NG_Load_Shape,MATCH($C60,Adjustments!$G$3:$G$14,0),1),"Data Missing")</f>
        <v>Data Missing</v>
      </c>
      <c r="H60" s="86" t="str">
        <f t="shared" si="11"/>
        <v>Data Missing</v>
      </c>
      <c r="I60" s="12"/>
    </row>
    <row r="61" spans="1:9" x14ac:dyDescent="0.2">
      <c r="A61" s="7">
        <v>59</v>
      </c>
      <c r="B61" s="26">
        <f t="shared" si="7"/>
        <v>45962</v>
      </c>
      <c r="C61" s="46" t="str">
        <f t="shared" si="8"/>
        <v>Nov</v>
      </c>
      <c r="D61" s="27">
        <f t="shared" si="9"/>
        <v>2025</v>
      </c>
      <c r="E61" s="54"/>
      <c r="F61" s="49" t="str">
        <f t="shared" si="12"/>
        <v>Data Missing</v>
      </c>
      <c r="G61" s="49" t="str">
        <f>IFERROR(IFERROR(INDEX(Gas_EIA,1,MATCH(D61,$J$4:$AD$4,FALSE)),0)*INDEX(NG_Load_Shape,MATCH($C61,Adjustments!$G$3:$G$14,0),1),"Data Missing")</f>
        <v>Data Missing</v>
      </c>
      <c r="H61" s="86" t="str">
        <f t="shared" si="11"/>
        <v>Data Missing</v>
      </c>
      <c r="I61" s="12"/>
    </row>
    <row r="62" spans="1:9" x14ac:dyDescent="0.2">
      <c r="A62" s="7">
        <v>60</v>
      </c>
      <c r="B62" s="26">
        <f t="shared" si="7"/>
        <v>45992</v>
      </c>
      <c r="C62" s="46" t="str">
        <f t="shared" si="8"/>
        <v>Dec</v>
      </c>
      <c r="D62" s="27">
        <f t="shared" si="9"/>
        <v>2025</v>
      </c>
      <c r="E62" s="54"/>
      <c r="F62" s="49" t="str">
        <f t="shared" si="12"/>
        <v>Data Missing</v>
      </c>
      <c r="G62" s="49" t="str">
        <f>IFERROR(IFERROR(INDEX(Gas_EIA,1,MATCH(D62,$J$4:$AD$4,FALSE)),0)*INDEX(NG_Load_Shape,MATCH($C62,Adjustments!$G$3:$G$14,0),1),"Data Missing")</f>
        <v>Data Missing</v>
      </c>
      <c r="H62" s="86" t="str">
        <f t="shared" si="11"/>
        <v>Data Missing</v>
      </c>
      <c r="I62" s="12"/>
    </row>
    <row r="63" spans="1:9" x14ac:dyDescent="0.2">
      <c r="A63" s="7">
        <v>61</v>
      </c>
      <c r="B63" s="26">
        <f t="shared" si="7"/>
        <v>46023</v>
      </c>
      <c r="C63" s="46" t="str">
        <f t="shared" si="8"/>
        <v>Jan</v>
      </c>
      <c r="D63" s="27">
        <f t="shared" si="9"/>
        <v>2026</v>
      </c>
      <c r="E63" s="54"/>
      <c r="F63" s="49" t="str">
        <f t="shared" si="12"/>
        <v>Data Missing</v>
      </c>
      <c r="G63" s="49" t="str">
        <f>IFERROR(IFERROR(INDEX(Gas_EIA,1,MATCH(D63,$J$4:$AD$4,FALSE)),0)*INDEX(NG_Load_Shape,MATCH($C63,Adjustments!$G$3:$G$14,0),1),"Data Missing")</f>
        <v>Data Missing</v>
      </c>
      <c r="H63" s="42" t="str">
        <f t="shared" ref="H63:H94" si="13">IFERROR(F63+((G63-F63)*((D63-Start_Year-3)/7)),"Data Missing")</f>
        <v>Data Missing</v>
      </c>
      <c r="I63" s="12"/>
    </row>
    <row r="64" spans="1:9" x14ac:dyDescent="0.2">
      <c r="A64" s="7">
        <v>62</v>
      </c>
      <c r="B64" s="26">
        <f t="shared" si="7"/>
        <v>46054</v>
      </c>
      <c r="C64" s="46" t="str">
        <f t="shared" si="8"/>
        <v>Feb</v>
      </c>
      <c r="D64" s="27">
        <f t="shared" si="9"/>
        <v>2026</v>
      </c>
      <c r="E64" s="54"/>
      <c r="F64" s="49" t="str">
        <f t="shared" si="12"/>
        <v>Data Missing</v>
      </c>
      <c r="G64" s="49" t="str">
        <f>IFERROR(IFERROR(INDEX(Gas_EIA,1,MATCH(D64,$J$4:$AD$4,FALSE)),0)*INDEX(NG_Load_Shape,MATCH($C64,Adjustments!$G$3:$G$14,0),1),"Data Missing")</f>
        <v>Data Missing</v>
      </c>
      <c r="H64" s="42" t="str">
        <f t="shared" si="13"/>
        <v>Data Missing</v>
      </c>
      <c r="I64" s="12"/>
    </row>
    <row r="65" spans="1:9" x14ac:dyDescent="0.2">
      <c r="A65" s="7">
        <v>63</v>
      </c>
      <c r="B65" s="26">
        <f t="shared" si="7"/>
        <v>46082</v>
      </c>
      <c r="C65" s="46" t="str">
        <f t="shared" si="8"/>
        <v>Mar</v>
      </c>
      <c r="D65" s="27">
        <f t="shared" si="9"/>
        <v>2026</v>
      </c>
      <c r="E65" s="54"/>
      <c r="F65" s="49" t="str">
        <f t="shared" si="12"/>
        <v>Data Missing</v>
      </c>
      <c r="G65" s="49" t="str">
        <f>IFERROR(IFERROR(INDEX(Gas_EIA,1,MATCH(D65,$J$4:$AD$4,FALSE)),0)*INDEX(NG_Load_Shape,MATCH($C65,Adjustments!$G$3:$G$14,0),1),"Data Missing")</f>
        <v>Data Missing</v>
      </c>
      <c r="H65" s="42" t="str">
        <f t="shared" si="13"/>
        <v>Data Missing</v>
      </c>
      <c r="I65" s="12"/>
    </row>
    <row r="66" spans="1:9" x14ac:dyDescent="0.2">
      <c r="A66" s="7">
        <v>64</v>
      </c>
      <c r="B66" s="26">
        <f t="shared" si="7"/>
        <v>46113</v>
      </c>
      <c r="C66" s="46" t="str">
        <f t="shared" si="8"/>
        <v>Apr</v>
      </c>
      <c r="D66" s="27">
        <f t="shared" si="9"/>
        <v>2026</v>
      </c>
      <c r="E66" s="54"/>
      <c r="F66" s="49" t="str">
        <f t="shared" si="12"/>
        <v>Data Missing</v>
      </c>
      <c r="G66" s="49" t="str">
        <f>IFERROR(IFERROR(INDEX(Gas_EIA,1,MATCH(D66,$J$4:$AD$4,FALSE)),0)*INDEX(NG_Load_Shape,MATCH($C66,Adjustments!$G$3:$G$14,0),1),"Data Missing")</f>
        <v>Data Missing</v>
      </c>
      <c r="H66" s="42" t="str">
        <f t="shared" si="13"/>
        <v>Data Missing</v>
      </c>
      <c r="I66" s="12"/>
    </row>
    <row r="67" spans="1:9" x14ac:dyDescent="0.2">
      <c r="A67" s="7">
        <v>65</v>
      </c>
      <c r="B67" s="26">
        <f t="shared" si="7"/>
        <v>46143</v>
      </c>
      <c r="C67" s="46" t="str">
        <f t="shared" si="8"/>
        <v>May</v>
      </c>
      <c r="D67" s="27">
        <f t="shared" si="9"/>
        <v>2026</v>
      </c>
      <c r="E67" s="54"/>
      <c r="F67" s="49" t="str">
        <f t="shared" ref="F67:F98" si="14">IFERROR(E67+INDEX(NG_Zone_Adjust,MONTH(B67),2),"Data Missing")</f>
        <v>Data Missing</v>
      </c>
      <c r="G67" s="49" t="str">
        <f>IFERROR(IFERROR(INDEX(Gas_EIA,1,MATCH(D67,$J$4:$AD$4,FALSE)),0)*INDEX(NG_Load_Shape,MATCH($C67,Adjustments!$G$3:$G$14,0),1),"Data Missing")</f>
        <v>Data Missing</v>
      </c>
      <c r="H67" s="42" t="str">
        <f t="shared" si="13"/>
        <v>Data Missing</v>
      </c>
      <c r="I67" s="12"/>
    </row>
    <row r="68" spans="1:9" x14ac:dyDescent="0.2">
      <c r="A68" s="7">
        <v>66</v>
      </c>
      <c r="B68" s="26">
        <f t="shared" si="7"/>
        <v>46174</v>
      </c>
      <c r="C68" s="46" t="str">
        <f t="shared" si="8"/>
        <v>Jun</v>
      </c>
      <c r="D68" s="27">
        <f t="shared" si="9"/>
        <v>2026</v>
      </c>
      <c r="E68" s="54"/>
      <c r="F68" s="49" t="str">
        <f t="shared" si="14"/>
        <v>Data Missing</v>
      </c>
      <c r="G68" s="49" t="str">
        <f>IFERROR(IFERROR(INDEX(Gas_EIA,1,MATCH(D68,$J$4:$AD$4,FALSE)),0)*INDEX(NG_Load_Shape,MATCH($C68,Adjustments!$G$3:$G$14,0),1),"Data Missing")</f>
        <v>Data Missing</v>
      </c>
      <c r="H68" s="42" t="str">
        <f t="shared" si="13"/>
        <v>Data Missing</v>
      </c>
      <c r="I68" s="12"/>
    </row>
    <row r="69" spans="1:9" x14ac:dyDescent="0.2">
      <c r="A69" s="7">
        <v>67</v>
      </c>
      <c r="B69" s="26">
        <f t="shared" ref="B69:B132" si="15">DATE(Start_Year-1,A69,1)</f>
        <v>46204</v>
      </c>
      <c r="C69" s="46" t="str">
        <f t="shared" ref="C69:C132" si="16">CHOOSE(MONTH(B69), "Jan", "Feb", "Mar", "Apr", "May", "Jun", "Jul", "Aug", "Sep", "Oct", "Nov", "Dec")</f>
        <v>Jul</v>
      </c>
      <c r="D69" s="27">
        <f t="shared" ref="D69:D132" si="17">YEAR(B69)</f>
        <v>2026</v>
      </c>
      <c r="E69" s="54"/>
      <c r="F69" s="49" t="str">
        <f t="shared" si="14"/>
        <v>Data Missing</v>
      </c>
      <c r="G69" s="49" t="str">
        <f>IFERROR(IFERROR(INDEX(Gas_EIA,1,MATCH(D69,$J$4:$AD$4,FALSE)),0)*INDEX(NG_Load_Shape,MATCH($C69,Adjustments!$G$3:$G$14,0),1),"Data Missing")</f>
        <v>Data Missing</v>
      </c>
      <c r="H69" s="42" t="str">
        <f t="shared" si="13"/>
        <v>Data Missing</v>
      </c>
      <c r="I69" s="12"/>
    </row>
    <row r="70" spans="1:9" x14ac:dyDescent="0.2">
      <c r="A70" s="7">
        <v>68</v>
      </c>
      <c r="B70" s="26">
        <f t="shared" si="15"/>
        <v>46235</v>
      </c>
      <c r="C70" s="46" t="str">
        <f t="shared" si="16"/>
        <v>Aug</v>
      </c>
      <c r="D70" s="27">
        <f t="shared" si="17"/>
        <v>2026</v>
      </c>
      <c r="E70" s="54"/>
      <c r="F70" s="49" t="str">
        <f t="shared" si="14"/>
        <v>Data Missing</v>
      </c>
      <c r="G70" s="49" t="str">
        <f>IFERROR(IFERROR(INDEX(Gas_EIA,1,MATCH(D70,$J$4:$AD$4,FALSE)),0)*INDEX(NG_Load_Shape,MATCH($C70,Adjustments!$G$3:$G$14,0),1),"Data Missing")</f>
        <v>Data Missing</v>
      </c>
      <c r="H70" s="42" t="str">
        <f t="shared" si="13"/>
        <v>Data Missing</v>
      </c>
      <c r="I70" s="12"/>
    </row>
    <row r="71" spans="1:9" x14ac:dyDescent="0.2">
      <c r="A71" s="7">
        <v>69</v>
      </c>
      <c r="B71" s="26">
        <f t="shared" si="15"/>
        <v>46266</v>
      </c>
      <c r="C71" s="46" t="str">
        <f t="shared" si="16"/>
        <v>Sep</v>
      </c>
      <c r="D71" s="27">
        <f t="shared" si="17"/>
        <v>2026</v>
      </c>
      <c r="E71" s="54"/>
      <c r="F71" s="49" t="str">
        <f t="shared" si="14"/>
        <v>Data Missing</v>
      </c>
      <c r="G71" s="49" t="str">
        <f>IFERROR(IFERROR(INDEX(Gas_EIA,1,MATCH(D71,$J$4:$AD$4,FALSE)),0)*INDEX(NG_Load_Shape,MATCH($C71,Adjustments!$G$3:$G$14,0),1),"Data Missing")</f>
        <v>Data Missing</v>
      </c>
      <c r="H71" s="42" t="str">
        <f t="shared" si="13"/>
        <v>Data Missing</v>
      </c>
      <c r="I71" s="12"/>
    </row>
    <row r="72" spans="1:9" x14ac:dyDescent="0.2">
      <c r="A72" s="7">
        <v>70</v>
      </c>
      <c r="B72" s="26">
        <f t="shared" si="15"/>
        <v>46296</v>
      </c>
      <c r="C72" s="46" t="str">
        <f t="shared" si="16"/>
        <v>Oct</v>
      </c>
      <c r="D72" s="27">
        <f t="shared" si="17"/>
        <v>2026</v>
      </c>
      <c r="E72" s="54"/>
      <c r="F72" s="49" t="str">
        <f t="shared" si="14"/>
        <v>Data Missing</v>
      </c>
      <c r="G72" s="49" t="str">
        <f>IFERROR(IFERROR(INDEX(Gas_EIA,1,MATCH(D72,$J$4:$AD$4,FALSE)),0)*INDEX(NG_Load_Shape,MATCH($C72,Adjustments!$G$3:$G$14,0),1),"Data Missing")</f>
        <v>Data Missing</v>
      </c>
      <c r="H72" s="42" t="str">
        <f t="shared" si="13"/>
        <v>Data Missing</v>
      </c>
      <c r="I72" s="12"/>
    </row>
    <row r="73" spans="1:9" x14ac:dyDescent="0.2">
      <c r="A73" s="7">
        <v>71</v>
      </c>
      <c r="B73" s="26">
        <f t="shared" si="15"/>
        <v>46327</v>
      </c>
      <c r="C73" s="46" t="str">
        <f t="shared" si="16"/>
        <v>Nov</v>
      </c>
      <c r="D73" s="27">
        <f t="shared" si="17"/>
        <v>2026</v>
      </c>
      <c r="E73" s="54"/>
      <c r="F73" s="49" t="str">
        <f t="shared" si="14"/>
        <v>Data Missing</v>
      </c>
      <c r="G73" s="49" t="str">
        <f>IFERROR(IFERROR(INDEX(Gas_EIA,1,MATCH(D73,$J$4:$AD$4,FALSE)),0)*INDEX(NG_Load_Shape,MATCH($C73,Adjustments!$G$3:$G$14,0),1),"Data Missing")</f>
        <v>Data Missing</v>
      </c>
      <c r="H73" s="42" t="str">
        <f t="shared" si="13"/>
        <v>Data Missing</v>
      </c>
      <c r="I73" s="12"/>
    </row>
    <row r="74" spans="1:9" x14ac:dyDescent="0.2">
      <c r="A74" s="7">
        <v>72</v>
      </c>
      <c r="B74" s="26">
        <f t="shared" si="15"/>
        <v>46357</v>
      </c>
      <c r="C74" s="46" t="str">
        <f t="shared" si="16"/>
        <v>Dec</v>
      </c>
      <c r="D74" s="27">
        <f t="shared" si="17"/>
        <v>2026</v>
      </c>
      <c r="E74" s="54"/>
      <c r="F74" s="49" t="str">
        <f t="shared" si="14"/>
        <v>Data Missing</v>
      </c>
      <c r="G74" s="49" t="str">
        <f>IFERROR(IFERROR(INDEX(Gas_EIA,1,MATCH(D74,$J$4:$AD$4,FALSE)),0)*INDEX(NG_Load_Shape,MATCH($C74,Adjustments!$G$3:$G$14,0),1),"Data Missing")</f>
        <v>Data Missing</v>
      </c>
      <c r="H74" s="42" t="str">
        <f t="shared" si="13"/>
        <v>Data Missing</v>
      </c>
      <c r="I74" s="12"/>
    </row>
    <row r="75" spans="1:9" x14ac:dyDescent="0.2">
      <c r="A75" s="7">
        <v>73</v>
      </c>
      <c r="B75" s="26">
        <f t="shared" si="15"/>
        <v>46388</v>
      </c>
      <c r="C75" s="46" t="str">
        <f t="shared" si="16"/>
        <v>Jan</v>
      </c>
      <c r="D75" s="27">
        <f t="shared" si="17"/>
        <v>2027</v>
      </c>
      <c r="E75" s="54"/>
      <c r="F75" s="49" t="str">
        <f t="shared" si="14"/>
        <v>Data Missing</v>
      </c>
      <c r="G75" s="49" t="str">
        <f>IFERROR(IFERROR(INDEX(Gas_EIA,1,MATCH(D75,$J$4:$AD$4,FALSE)),0)*INDEX(NG_Load_Shape,MATCH($C75,Adjustments!$G$3:$G$14,0),1),"Data Missing")</f>
        <v>Data Missing</v>
      </c>
      <c r="H75" s="42" t="str">
        <f t="shared" si="13"/>
        <v>Data Missing</v>
      </c>
      <c r="I75" s="12"/>
    </row>
    <row r="76" spans="1:9" x14ac:dyDescent="0.2">
      <c r="A76" s="7">
        <v>74</v>
      </c>
      <c r="B76" s="26">
        <f t="shared" si="15"/>
        <v>46419</v>
      </c>
      <c r="C76" s="46" t="str">
        <f t="shared" si="16"/>
        <v>Feb</v>
      </c>
      <c r="D76" s="27">
        <f t="shared" si="17"/>
        <v>2027</v>
      </c>
      <c r="E76" s="54"/>
      <c r="F76" s="49" t="str">
        <f t="shared" si="14"/>
        <v>Data Missing</v>
      </c>
      <c r="G76" s="49" t="str">
        <f>IFERROR(IFERROR(INDEX(Gas_EIA,1,MATCH(D76,$J$4:$AD$4,FALSE)),0)*INDEX(NG_Load_Shape,MATCH($C76,Adjustments!$G$3:$G$14,0),1),"Data Missing")</f>
        <v>Data Missing</v>
      </c>
      <c r="H76" s="42" t="str">
        <f t="shared" si="13"/>
        <v>Data Missing</v>
      </c>
      <c r="I76" s="12"/>
    </row>
    <row r="77" spans="1:9" x14ac:dyDescent="0.2">
      <c r="A77" s="7">
        <v>75</v>
      </c>
      <c r="B77" s="26">
        <f t="shared" si="15"/>
        <v>46447</v>
      </c>
      <c r="C77" s="46" t="str">
        <f t="shared" si="16"/>
        <v>Mar</v>
      </c>
      <c r="D77" s="27">
        <f t="shared" si="17"/>
        <v>2027</v>
      </c>
      <c r="E77" s="54"/>
      <c r="F77" s="49" t="str">
        <f t="shared" si="14"/>
        <v>Data Missing</v>
      </c>
      <c r="G77" s="49" t="str">
        <f>IFERROR(IFERROR(INDEX(Gas_EIA,1,MATCH(D77,$J$4:$AD$4,FALSE)),0)*INDEX(NG_Load_Shape,MATCH($C77,Adjustments!$G$3:$G$14,0),1),"Data Missing")</f>
        <v>Data Missing</v>
      </c>
      <c r="H77" s="42" t="str">
        <f t="shared" si="13"/>
        <v>Data Missing</v>
      </c>
      <c r="I77" s="12"/>
    </row>
    <row r="78" spans="1:9" x14ac:dyDescent="0.2">
      <c r="A78" s="7">
        <v>76</v>
      </c>
      <c r="B78" s="26">
        <f t="shared" si="15"/>
        <v>46478</v>
      </c>
      <c r="C78" s="46" t="str">
        <f t="shared" si="16"/>
        <v>Apr</v>
      </c>
      <c r="D78" s="27">
        <f t="shared" si="17"/>
        <v>2027</v>
      </c>
      <c r="E78" s="54"/>
      <c r="F78" s="49" t="str">
        <f t="shared" si="14"/>
        <v>Data Missing</v>
      </c>
      <c r="G78" s="49" t="str">
        <f>IFERROR(IFERROR(INDEX(Gas_EIA,1,MATCH(D78,$J$4:$AD$4,FALSE)),0)*INDEX(NG_Load_Shape,MATCH($C78,Adjustments!$G$3:$G$14,0),1),"Data Missing")</f>
        <v>Data Missing</v>
      </c>
      <c r="H78" s="42" t="str">
        <f t="shared" si="13"/>
        <v>Data Missing</v>
      </c>
      <c r="I78" s="12"/>
    </row>
    <row r="79" spans="1:9" x14ac:dyDescent="0.2">
      <c r="A79" s="7">
        <v>77</v>
      </c>
      <c r="B79" s="26">
        <f t="shared" si="15"/>
        <v>46508</v>
      </c>
      <c r="C79" s="46" t="str">
        <f t="shared" si="16"/>
        <v>May</v>
      </c>
      <c r="D79" s="27">
        <f t="shared" si="17"/>
        <v>2027</v>
      </c>
      <c r="E79" s="54"/>
      <c r="F79" s="49" t="str">
        <f t="shared" si="14"/>
        <v>Data Missing</v>
      </c>
      <c r="G79" s="49" t="str">
        <f>IFERROR(IFERROR(INDEX(Gas_EIA,1,MATCH(D79,$J$4:$AD$4,FALSE)),0)*INDEX(NG_Load_Shape,MATCH($C79,Adjustments!$G$3:$G$14,0),1),"Data Missing")</f>
        <v>Data Missing</v>
      </c>
      <c r="H79" s="42" t="str">
        <f t="shared" si="13"/>
        <v>Data Missing</v>
      </c>
      <c r="I79" s="12"/>
    </row>
    <row r="80" spans="1:9" x14ac:dyDescent="0.2">
      <c r="A80" s="7">
        <v>78</v>
      </c>
      <c r="B80" s="26">
        <f t="shared" si="15"/>
        <v>46539</v>
      </c>
      <c r="C80" s="46" t="str">
        <f t="shared" si="16"/>
        <v>Jun</v>
      </c>
      <c r="D80" s="27">
        <f t="shared" si="17"/>
        <v>2027</v>
      </c>
      <c r="E80" s="54"/>
      <c r="F80" s="49" t="str">
        <f t="shared" si="14"/>
        <v>Data Missing</v>
      </c>
      <c r="G80" s="49" t="str">
        <f>IFERROR(IFERROR(INDEX(Gas_EIA,1,MATCH(D80,$J$4:$AD$4,FALSE)),0)*INDEX(NG_Load_Shape,MATCH($C80,Adjustments!$G$3:$G$14,0),1),"Data Missing")</f>
        <v>Data Missing</v>
      </c>
      <c r="H80" s="42" t="str">
        <f t="shared" si="13"/>
        <v>Data Missing</v>
      </c>
      <c r="I80" s="12"/>
    </row>
    <row r="81" spans="1:9" x14ac:dyDescent="0.2">
      <c r="A81" s="7">
        <v>79</v>
      </c>
      <c r="B81" s="26">
        <f t="shared" si="15"/>
        <v>46569</v>
      </c>
      <c r="C81" s="46" t="str">
        <f t="shared" si="16"/>
        <v>Jul</v>
      </c>
      <c r="D81" s="27">
        <f t="shared" si="17"/>
        <v>2027</v>
      </c>
      <c r="E81" s="54"/>
      <c r="F81" s="49" t="str">
        <f t="shared" si="14"/>
        <v>Data Missing</v>
      </c>
      <c r="G81" s="49" t="str">
        <f>IFERROR(IFERROR(INDEX(Gas_EIA,1,MATCH(D81,$J$4:$AD$4,FALSE)),0)*INDEX(NG_Load_Shape,MATCH($C81,Adjustments!$G$3:$G$14,0),1),"Data Missing")</f>
        <v>Data Missing</v>
      </c>
      <c r="H81" s="42" t="str">
        <f t="shared" si="13"/>
        <v>Data Missing</v>
      </c>
      <c r="I81" s="12"/>
    </row>
    <row r="82" spans="1:9" x14ac:dyDescent="0.2">
      <c r="A82" s="7">
        <v>80</v>
      </c>
      <c r="B82" s="26">
        <f t="shared" si="15"/>
        <v>46600</v>
      </c>
      <c r="C82" s="46" t="str">
        <f t="shared" si="16"/>
        <v>Aug</v>
      </c>
      <c r="D82" s="27">
        <f t="shared" si="17"/>
        <v>2027</v>
      </c>
      <c r="E82" s="54"/>
      <c r="F82" s="49" t="str">
        <f t="shared" si="14"/>
        <v>Data Missing</v>
      </c>
      <c r="G82" s="49" t="str">
        <f>IFERROR(IFERROR(INDEX(Gas_EIA,1,MATCH(D82,$J$4:$AD$4,FALSE)),0)*INDEX(NG_Load_Shape,MATCH($C82,Adjustments!$G$3:$G$14,0),1),"Data Missing")</f>
        <v>Data Missing</v>
      </c>
      <c r="H82" s="42" t="str">
        <f t="shared" si="13"/>
        <v>Data Missing</v>
      </c>
      <c r="I82" s="12"/>
    </row>
    <row r="83" spans="1:9" x14ac:dyDescent="0.2">
      <c r="A83" s="7">
        <v>81</v>
      </c>
      <c r="B83" s="26">
        <f t="shared" si="15"/>
        <v>46631</v>
      </c>
      <c r="C83" s="46" t="str">
        <f t="shared" si="16"/>
        <v>Sep</v>
      </c>
      <c r="D83" s="27">
        <f t="shared" si="17"/>
        <v>2027</v>
      </c>
      <c r="E83" s="54"/>
      <c r="F83" s="49" t="str">
        <f t="shared" si="14"/>
        <v>Data Missing</v>
      </c>
      <c r="G83" s="49" t="str">
        <f>IFERROR(IFERROR(INDEX(Gas_EIA,1,MATCH(D83,$J$4:$AD$4,FALSE)),0)*INDEX(NG_Load_Shape,MATCH($C83,Adjustments!$G$3:$G$14,0),1),"Data Missing")</f>
        <v>Data Missing</v>
      </c>
      <c r="H83" s="42" t="str">
        <f t="shared" si="13"/>
        <v>Data Missing</v>
      </c>
      <c r="I83" s="12"/>
    </row>
    <row r="84" spans="1:9" x14ac:dyDescent="0.2">
      <c r="A84" s="7">
        <v>82</v>
      </c>
      <c r="B84" s="26">
        <f t="shared" si="15"/>
        <v>46661</v>
      </c>
      <c r="C84" s="46" t="str">
        <f t="shared" si="16"/>
        <v>Oct</v>
      </c>
      <c r="D84" s="27">
        <f t="shared" si="17"/>
        <v>2027</v>
      </c>
      <c r="E84" s="54"/>
      <c r="F84" s="49" t="str">
        <f t="shared" si="14"/>
        <v>Data Missing</v>
      </c>
      <c r="G84" s="49" t="str">
        <f>IFERROR(IFERROR(INDEX(Gas_EIA,1,MATCH(D84,$J$4:$AD$4,FALSE)),0)*INDEX(NG_Load_Shape,MATCH($C84,Adjustments!$G$3:$G$14,0),1),"Data Missing")</f>
        <v>Data Missing</v>
      </c>
      <c r="H84" s="42" t="str">
        <f t="shared" si="13"/>
        <v>Data Missing</v>
      </c>
      <c r="I84" s="12"/>
    </row>
    <row r="85" spans="1:9" x14ac:dyDescent="0.2">
      <c r="A85" s="7">
        <v>83</v>
      </c>
      <c r="B85" s="26">
        <f t="shared" si="15"/>
        <v>46692</v>
      </c>
      <c r="C85" s="46" t="str">
        <f t="shared" si="16"/>
        <v>Nov</v>
      </c>
      <c r="D85" s="27">
        <f t="shared" si="17"/>
        <v>2027</v>
      </c>
      <c r="E85" s="54"/>
      <c r="F85" s="49" t="str">
        <f t="shared" si="14"/>
        <v>Data Missing</v>
      </c>
      <c r="G85" s="49" t="str">
        <f>IFERROR(IFERROR(INDEX(Gas_EIA,1,MATCH(D85,$J$4:$AD$4,FALSE)),0)*INDEX(NG_Load_Shape,MATCH($C85,Adjustments!$G$3:$G$14,0),1),"Data Missing")</f>
        <v>Data Missing</v>
      </c>
      <c r="H85" s="42" t="str">
        <f t="shared" si="13"/>
        <v>Data Missing</v>
      </c>
      <c r="I85" s="12"/>
    </row>
    <row r="86" spans="1:9" x14ac:dyDescent="0.2">
      <c r="A86" s="7">
        <v>84</v>
      </c>
      <c r="B86" s="26">
        <f t="shared" si="15"/>
        <v>46722</v>
      </c>
      <c r="C86" s="46" t="str">
        <f t="shared" si="16"/>
        <v>Dec</v>
      </c>
      <c r="D86" s="27">
        <f t="shared" si="17"/>
        <v>2027</v>
      </c>
      <c r="E86" s="54"/>
      <c r="F86" s="49" t="str">
        <f t="shared" si="14"/>
        <v>Data Missing</v>
      </c>
      <c r="G86" s="49" t="str">
        <f>IFERROR(IFERROR(INDEX(Gas_EIA,1,MATCH(D86,$J$4:$AD$4,FALSE)),0)*INDEX(NG_Load_Shape,MATCH($C86,Adjustments!$G$3:$G$14,0),1),"Data Missing")</f>
        <v>Data Missing</v>
      </c>
      <c r="H86" s="42" t="str">
        <f t="shared" si="13"/>
        <v>Data Missing</v>
      </c>
      <c r="I86" s="12"/>
    </row>
    <row r="87" spans="1:9" x14ac:dyDescent="0.2">
      <c r="A87" s="7">
        <v>85</v>
      </c>
      <c r="B87" s="26">
        <f t="shared" si="15"/>
        <v>46753</v>
      </c>
      <c r="C87" s="46" t="str">
        <f t="shared" si="16"/>
        <v>Jan</v>
      </c>
      <c r="D87" s="27">
        <f t="shared" si="17"/>
        <v>2028</v>
      </c>
      <c r="E87" s="54"/>
      <c r="F87" s="49" t="str">
        <f t="shared" si="14"/>
        <v>Data Missing</v>
      </c>
      <c r="G87" s="49" t="str">
        <f>IFERROR(IFERROR(INDEX(Gas_EIA,1,MATCH(D87,$J$4:$AD$4,FALSE)),0)*INDEX(NG_Load_Shape,MATCH($C87,Adjustments!$G$3:$G$14,0),1),"Data Missing")</f>
        <v>Data Missing</v>
      </c>
      <c r="H87" s="42" t="str">
        <f t="shared" si="13"/>
        <v>Data Missing</v>
      </c>
      <c r="I87" s="12"/>
    </row>
    <row r="88" spans="1:9" x14ac:dyDescent="0.2">
      <c r="A88" s="7">
        <v>86</v>
      </c>
      <c r="B88" s="26">
        <f t="shared" si="15"/>
        <v>46784</v>
      </c>
      <c r="C88" s="46" t="str">
        <f t="shared" si="16"/>
        <v>Feb</v>
      </c>
      <c r="D88" s="27">
        <f t="shared" si="17"/>
        <v>2028</v>
      </c>
      <c r="E88" s="54"/>
      <c r="F88" s="49" t="str">
        <f t="shared" si="14"/>
        <v>Data Missing</v>
      </c>
      <c r="G88" s="49" t="str">
        <f>IFERROR(IFERROR(INDEX(Gas_EIA,1,MATCH(D88,$J$4:$AD$4,FALSE)),0)*INDEX(NG_Load_Shape,MATCH($C88,Adjustments!$G$3:$G$14,0),1),"Data Missing")</f>
        <v>Data Missing</v>
      </c>
      <c r="H88" s="42" t="str">
        <f t="shared" si="13"/>
        <v>Data Missing</v>
      </c>
      <c r="I88" s="12"/>
    </row>
    <row r="89" spans="1:9" x14ac:dyDescent="0.2">
      <c r="A89" s="7">
        <v>87</v>
      </c>
      <c r="B89" s="26">
        <f t="shared" si="15"/>
        <v>46813</v>
      </c>
      <c r="C89" s="46" t="str">
        <f t="shared" si="16"/>
        <v>Mar</v>
      </c>
      <c r="D89" s="27">
        <f t="shared" si="17"/>
        <v>2028</v>
      </c>
      <c r="E89" s="54"/>
      <c r="F89" s="49" t="str">
        <f t="shared" si="14"/>
        <v>Data Missing</v>
      </c>
      <c r="G89" s="49" t="str">
        <f>IFERROR(IFERROR(INDEX(Gas_EIA,1,MATCH(D89,$J$4:$AD$4,FALSE)),0)*INDEX(NG_Load_Shape,MATCH($C89,Adjustments!$G$3:$G$14,0),1),"Data Missing")</f>
        <v>Data Missing</v>
      </c>
      <c r="H89" s="42" t="str">
        <f t="shared" si="13"/>
        <v>Data Missing</v>
      </c>
      <c r="I89" s="12"/>
    </row>
    <row r="90" spans="1:9" x14ac:dyDescent="0.2">
      <c r="A90" s="7">
        <v>88</v>
      </c>
      <c r="B90" s="26">
        <f t="shared" si="15"/>
        <v>46844</v>
      </c>
      <c r="C90" s="46" t="str">
        <f t="shared" si="16"/>
        <v>Apr</v>
      </c>
      <c r="D90" s="27">
        <f t="shared" si="17"/>
        <v>2028</v>
      </c>
      <c r="E90" s="54"/>
      <c r="F90" s="49" t="str">
        <f t="shared" si="14"/>
        <v>Data Missing</v>
      </c>
      <c r="G90" s="49" t="str">
        <f>IFERROR(IFERROR(INDEX(Gas_EIA,1,MATCH(D90,$J$4:$AD$4,FALSE)),0)*INDEX(NG_Load_Shape,MATCH($C90,Adjustments!$G$3:$G$14,0),1),"Data Missing")</f>
        <v>Data Missing</v>
      </c>
      <c r="H90" s="42" t="str">
        <f t="shared" si="13"/>
        <v>Data Missing</v>
      </c>
      <c r="I90" s="12"/>
    </row>
    <row r="91" spans="1:9" x14ac:dyDescent="0.2">
      <c r="A91" s="7">
        <v>89</v>
      </c>
      <c r="B91" s="26">
        <f t="shared" si="15"/>
        <v>46874</v>
      </c>
      <c r="C91" s="46" t="str">
        <f t="shared" si="16"/>
        <v>May</v>
      </c>
      <c r="D91" s="27">
        <f t="shared" si="17"/>
        <v>2028</v>
      </c>
      <c r="E91" s="54"/>
      <c r="F91" s="49" t="str">
        <f t="shared" si="14"/>
        <v>Data Missing</v>
      </c>
      <c r="G91" s="49" t="str">
        <f>IFERROR(IFERROR(INDEX(Gas_EIA,1,MATCH(D91,$J$4:$AD$4,FALSE)),0)*INDEX(NG_Load_Shape,MATCH($C91,Adjustments!$G$3:$G$14,0),1),"Data Missing")</f>
        <v>Data Missing</v>
      </c>
      <c r="H91" s="42" t="str">
        <f t="shared" si="13"/>
        <v>Data Missing</v>
      </c>
      <c r="I91" s="12"/>
    </row>
    <row r="92" spans="1:9" x14ac:dyDescent="0.2">
      <c r="A92" s="7">
        <v>90</v>
      </c>
      <c r="B92" s="26">
        <f t="shared" si="15"/>
        <v>46905</v>
      </c>
      <c r="C92" s="46" t="str">
        <f t="shared" si="16"/>
        <v>Jun</v>
      </c>
      <c r="D92" s="27">
        <f t="shared" si="17"/>
        <v>2028</v>
      </c>
      <c r="E92" s="54"/>
      <c r="F92" s="49" t="str">
        <f t="shared" si="14"/>
        <v>Data Missing</v>
      </c>
      <c r="G92" s="49" t="str">
        <f>IFERROR(IFERROR(INDEX(Gas_EIA,1,MATCH(D92,$J$4:$AD$4,FALSE)),0)*INDEX(NG_Load_Shape,MATCH($C92,Adjustments!$G$3:$G$14,0),1),"Data Missing")</f>
        <v>Data Missing</v>
      </c>
      <c r="H92" s="42" t="str">
        <f t="shared" si="13"/>
        <v>Data Missing</v>
      </c>
      <c r="I92" s="12"/>
    </row>
    <row r="93" spans="1:9" x14ac:dyDescent="0.2">
      <c r="A93" s="7">
        <v>91</v>
      </c>
      <c r="B93" s="26">
        <f t="shared" si="15"/>
        <v>46935</v>
      </c>
      <c r="C93" s="46" t="str">
        <f t="shared" si="16"/>
        <v>Jul</v>
      </c>
      <c r="D93" s="27">
        <f t="shared" si="17"/>
        <v>2028</v>
      </c>
      <c r="E93" s="54"/>
      <c r="F93" s="49" t="str">
        <f t="shared" si="14"/>
        <v>Data Missing</v>
      </c>
      <c r="G93" s="49" t="str">
        <f>IFERROR(IFERROR(INDEX(Gas_EIA,1,MATCH(D93,$J$4:$AD$4,FALSE)),0)*INDEX(NG_Load_Shape,MATCH($C93,Adjustments!$G$3:$G$14,0),1),"Data Missing")</f>
        <v>Data Missing</v>
      </c>
      <c r="H93" s="42" t="str">
        <f t="shared" si="13"/>
        <v>Data Missing</v>
      </c>
      <c r="I93" s="12"/>
    </row>
    <row r="94" spans="1:9" x14ac:dyDescent="0.2">
      <c r="A94" s="7">
        <v>92</v>
      </c>
      <c r="B94" s="26">
        <f t="shared" si="15"/>
        <v>46966</v>
      </c>
      <c r="C94" s="46" t="str">
        <f t="shared" si="16"/>
        <v>Aug</v>
      </c>
      <c r="D94" s="27">
        <f t="shared" si="17"/>
        <v>2028</v>
      </c>
      <c r="E94" s="54"/>
      <c r="F94" s="49" t="str">
        <f t="shared" si="14"/>
        <v>Data Missing</v>
      </c>
      <c r="G94" s="49" t="str">
        <f>IFERROR(IFERROR(INDEX(Gas_EIA,1,MATCH(D94,$J$4:$AD$4,FALSE)),0)*INDEX(NG_Load_Shape,MATCH($C94,Adjustments!$G$3:$G$14,0),1),"Data Missing")</f>
        <v>Data Missing</v>
      </c>
      <c r="H94" s="42" t="str">
        <f t="shared" si="13"/>
        <v>Data Missing</v>
      </c>
      <c r="I94" s="12"/>
    </row>
    <row r="95" spans="1:9" x14ac:dyDescent="0.2">
      <c r="A95" s="7">
        <v>93</v>
      </c>
      <c r="B95" s="26">
        <f t="shared" si="15"/>
        <v>46997</v>
      </c>
      <c r="C95" s="46" t="str">
        <f t="shared" si="16"/>
        <v>Sep</v>
      </c>
      <c r="D95" s="27">
        <f t="shared" si="17"/>
        <v>2028</v>
      </c>
      <c r="E95" s="54"/>
      <c r="F95" s="49" t="str">
        <f t="shared" si="14"/>
        <v>Data Missing</v>
      </c>
      <c r="G95" s="49" t="str">
        <f>IFERROR(IFERROR(INDEX(Gas_EIA,1,MATCH(D95,$J$4:$AD$4,FALSE)),0)*INDEX(NG_Load_Shape,MATCH($C95,Adjustments!$G$3:$G$14,0),1),"Data Missing")</f>
        <v>Data Missing</v>
      </c>
      <c r="H95" s="42" t="str">
        <f t="shared" ref="H95:H126" si="18">IFERROR(F95+((G95-F95)*((D95-Start_Year-3)/7)),"Data Missing")</f>
        <v>Data Missing</v>
      </c>
      <c r="I95" s="12"/>
    </row>
    <row r="96" spans="1:9" x14ac:dyDescent="0.2">
      <c r="A96" s="7">
        <v>94</v>
      </c>
      <c r="B96" s="26">
        <f t="shared" si="15"/>
        <v>47027</v>
      </c>
      <c r="C96" s="46" t="str">
        <f t="shared" si="16"/>
        <v>Oct</v>
      </c>
      <c r="D96" s="27">
        <f t="shared" si="17"/>
        <v>2028</v>
      </c>
      <c r="E96" s="54"/>
      <c r="F96" s="49" t="str">
        <f t="shared" si="14"/>
        <v>Data Missing</v>
      </c>
      <c r="G96" s="49" t="str">
        <f>IFERROR(IFERROR(INDEX(Gas_EIA,1,MATCH(D96,$J$4:$AD$4,FALSE)),0)*INDEX(NG_Load_Shape,MATCH($C96,Adjustments!$G$3:$G$14,0),1),"Data Missing")</f>
        <v>Data Missing</v>
      </c>
      <c r="H96" s="42" t="str">
        <f t="shared" si="18"/>
        <v>Data Missing</v>
      </c>
      <c r="I96" s="12"/>
    </row>
    <row r="97" spans="1:9" x14ac:dyDescent="0.2">
      <c r="A97" s="7">
        <v>95</v>
      </c>
      <c r="B97" s="26">
        <f t="shared" si="15"/>
        <v>47058</v>
      </c>
      <c r="C97" s="46" t="str">
        <f t="shared" si="16"/>
        <v>Nov</v>
      </c>
      <c r="D97" s="27">
        <f t="shared" si="17"/>
        <v>2028</v>
      </c>
      <c r="E97" s="54"/>
      <c r="F97" s="49" t="str">
        <f t="shared" si="14"/>
        <v>Data Missing</v>
      </c>
      <c r="G97" s="49" t="str">
        <f>IFERROR(IFERROR(INDEX(Gas_EIA,1,MATCH(D97,$J$4:$AD$4,FALSE)),0)*INDEX(NG_Load_Shape,MATCH($C97,Adjustments!$G$3:$G$14,0),1),"Data Missing")</f>
        <v>Data Missing</v>
      </c>
      <c r="H97" s="42" t="str">
        <f t="shared" si="18"/>
        <v>Data Missing</v>
      </c>
      <c r="I97" s="12"/>
    </row>
    <row r="98" spans="1:9" x14ac:dyDescent="0.2">
      <c r="A98" s="7">
        <v>96</v>
      </c>
      <c r="B98" s="26">
        <f t="shared" si="15"/>
        <v>47088</v>
      </c>
      <c r="C98" s="46" t="str">
        <f t="shared" si="16"/>
        <v>Dec</v>
      </c>
      <c r="D98" s="27">
        <f t="shared" si="17"/>
        <v>2028</v>
      </c>
      <c r="E98" s="54"/>
      <c r="F98" s="49" t="str">
        <f t="shared" si="14"/>
        <v>Data Missing</v>
      </c>
      <c r="G98" s="49" t="str">
        <f>IFERROR(IFERROR(INDEX(Gas_EIA,1,MATCH(D98,$J$4:$AD$4,FALSE)),0)*INDEX(NG_Load_Shape,MATCH($C98,Adjustments!$G$3:$G$14,0),1),"Data Missing")</f>
        <v>Data Missing</v>
      </c>
      <c r="H98" s="42" t="str">
        <f t="shared" si="18"/>
        <v>Data Missing</v>
      </c>
      <c r="I98" s="12"/>
    </row>
    <row r="99" spans="1:9" x14ac:dyDescent="0.2">
      <c r="A99" s="7">
        <v>97</v>
      </c>
      <c r="B99" s="26">
        <f t="shared" si="15"/>
        <v>47119</v>
      </c>
      <c r="C99" s="46" t="str">
        <f t="shared" si="16"/>
        <v>Jan</v>
      </c>
      <c r="D99" s="27">
        <f t="shared" si="17"/>
        <v>2029</v>
      </c>
      <c r="E99" s="54"/>
      <c r="F99" s="49" t="str">
        <f t="shared" ref="F99:F130" si="19">IFERROR(E99+INDEX(NG_Zone_Adjust,MONTH(B99),2),"Data Missing")</f>
        <v>Data Missing</v>
      </c>
      <c r="G99" s="49" t="str">
        <f>IFERROR(IFERROR(INDEX(Gas_EIA,1,MATCH(D99,$J$4:$AD$4,FALSE)),0)*INDEX(NG_Load_Shape,MATCH($C99,Adjustments!$G$3:$G$14,0),1),"Data Missing")</f>
        <v>Data Missing</v>
      </c>
      <c r="H99" s="42" t="str">
        <f t="shared" si="18"/>
        <v>Data Missing</v>
      </c>
      <c r="I99" s="12"/>
    </row>
    <row r="100" spans="1:9" x14ac:dyDescent="0.2">
      <c r="A100" s="7">
        <v>98</v>
      </c>
      <c r="B100" s="26">
        <f t="shared" si="15"/>
        <v>47150</v>
      </c>
      <c r="C100" s="46" t="str">
        <f t="shared" si="16"/>
        <v>Feb</v>
      </c>
      <c r="D100" s="27">
        <f t="shared" si="17"/>
        <v>2029</v>
      </c>
      <c r="E100" s="54"/>
      <c r="F100" s="49" t="str">
        <f t="shared" si="19"/>
        <v>Data Missing</v>
      </c>
      <c r="G100" s="49" t="str">
        <f>IFERROR(IFERROR(INDEX(Gas_EIA,1,MATCH(D100,$J$4:$AD$4,FALSE)),0)*INDEX(NG_Load_Shape,MATCH($C100,Adjustments!$G$3:$G$14,0),1),"Data Missing")</f>
        <v>Data Missing</v>
      </c>
      <c r="H100" s="42" t="str">
        <f t="shared" si="18"/>
        <v>Data Missing</v>
      </c>
      <c r="I100" s="12"/>
    </row>
    <row r="101" spans="1:9" x14ac:dyDescent="0.2">
      <c r="A101" s="7">
        <v>99</v>
      </c>
      <c r="B101" s="26">
        <f t="shared" si="15"/>
        <v>47178</v>
      </c>
      <c r="C101" s="46" t="str">
        <f t="shared" si="16"/>
        <v>Mar</v>
      </c>
      <c r="D101" s="27">
        <f t="shared" si="17"/>
        <v>2029</v>
      </c>
      <c r="E101" s="54"/>
      <c r="F101" s="49" t="str">
        <f t="shared" si="19"/>
        <v>Data Missing</v>
      </c>
      <c r="G101" s="49" t="str">
        <f>IFERROR(IFERROR(INDEX(Gas_EIA,1,MATCH(D101,$J$4:$AD$4,FALSE)),0)*INDEX(NG_Load_Shape,MATCH($C101,Adjustments!$G$3:$G$14,0),1),"Data Missing")</f>
        <v>Data Missing</v>
      </c>
      <c r="H101" s="42" t="str">
        <f t="shared" si="18"/>
        <v>Data Missing</v>
      </c>
      <c r="I101" s="12"/>
    </row>
    <row r="102" spans="1:9" x14ac:dyDescent="0.2">
      <c r="A102" s="7">
        <v>100</v>
      </c>
      <c r="B102" s="26">
        <f t="shared" si="15"/>
        <v>47209</v>
      </c>
      <c r="C102" s="46" t="str">
        <f t="shared" si="16"/>
        <v>Apr</v>
      </c>
      <c r="D102" s="27">
        <f t="shared" si="17"/>
        <v>2029</v>
      </c>
      <c r="E102" s="54"/>
      <c r="F102" s="49" t="str">
        <f t="shared" si="19"/>
        <v>Data Missing</v>
      </c>
      <c r="G102" s="49" t="str">
        <f>IFERROR(IFERROR(INDEX(Gas_EIA,1,MATCH(D102,$J$4:$AD$4,FALSE)),0)*INDEX(NG_Load_Shape,MATCH($C102,Adjustments!$G$3:$G$14,0),1),"Data Missing")</f>
        <v>Data Missing</v>
      </c>
      <c r="H102" s="42" t="str">
        <f t="shared" si="18"/>
        <v>Data Missing</v>
      </c>
      <c r="I102" s="12"/>
    </row>
    <row r="103" spans="1:9" x14ac:dyDescent="0.2">
      <c r="A103" s="7">
        <v>101</v>
      </c>
      <c r="B103" s="26">
        <f t="shared" si="15"/>
        <v>47239</v>
      </c>
      <c r="C103" s="46" t="str">
        <f t="shared" si="16"/>
        <v>May</v>
      </c>
      <c r="D103" s="27">
        <f t="shared" si="17"/>
        <v>2029</v>
      </c>
      <c r="E103" s="54"/>
      <c r="F103" s="49" t="str">
        <f t="shared" si="19"/>
        <v>Data Missing</v>
      </c>
      <c r="G103" s="49" t="str">
        <f>IFERROR(IFERROR(INDEX(Gas_EIA,1,MATCH(D103,$J$4:$AD$4,FALSE)),0)*INDEX(NG_Load_Shape,MATCH($C103,Adjustments!$G$3:$G$14,0),1),"Data Missing")</f>
        <v>Data Missing</v>
      </c>
      <c r="H103" s="42" t="str">
        <f t="shared" si="18"/>
        <v>Data Missing</v>
      </c>
      <c r="I103" s="12"/>
    </row>
    <row r="104" spans="1:9" x14ac:dyDescent="0.2">
      <c r="A104" s="7">
        <v>102</v>
      </c>
      <c r="B104" s="26">
        <f t="shared" si="15"/>
        <v>47270</v>
      </c>
      <c r="C104" s="46" t="str">
        <f t="shared" si="16"/>
        <v>Jun</v>
      </c>
      <c r="D104" s="27">
        <f t="shared" si="17"/>
        <v>2029</v>
      </c>
      <c r="E104" s="54"/>
      <c r="F104" s="49" t="str">
        <f t="shared" si="19"/>
        <v>Data Missing</v>
      </c>
      <c r="G104" s="49" t="str">
        <f>IFERROR(IFERROR(INDEX(Gas_EIA,1,MATCH(D104,$J$4:$AD$4,FALSE)),0)*INDEX(NG_Load_Shape,MATCH($C104,Adjustments!$G$3:$G$14,0),1),"Data Missing")</f>
        <v>Data Missing</v>
      </c>
      <c r="H104" s="42" t="str">
        <f t="shared" si="18"/>
        <v>Data Missing</v>
      </c>
      <c r="I104" s="12"/>
    </row>
    <row r="105" spans="1:9" x14ac:dyDescent="0.2">
      <c r="A105" s="7">
        <v>103</v>
      </c>
      <c r="B105" s="26">
        <f t="shared" si="15"/>
        <v>47300</v>
      </c>
      <c r="C105" s="46" t="str">
        <f t="shared" si="16"/>
        <v>Jul</v>
      </c>
      <c r="D105" s="27">
        <f t="shared" si="17"/>
        <v>2029</v>
      </c>
      <c r="E105" s="54"/>
      <c r="F105" s="49" t="str">
        <f t="shared" si="19"/>
        <v>Data Missing</v>
      </c>
      <c r="G105" s="49" t="str">
        <f>IFERROR(IFERROR(INDEX(Gas_EIA,1,MATCH(D105,$J$4:$AD$4,FALSE)),0)*INDEX(NG_Load_Shape,MATCH($C105,Adjustments!$G$3:$G$14,0),1),"Data Missing")</f>
        <v>Data Missing</v>
      </c>
      <c r="H105" s="42" t="str">
        <f t="shared" si="18"/>
        <v>Data Missing</v>
      </c>
      <c r="I105" s="12"/>
    </row>
    <row r="106" spans="1:9" x14ac:dyDescent="0.2">
      <c r="A106" s="7">
        <v>104</v>
      </c>
      <c r="B106" s="26">
        <f t="shared" si="15"/>
        <v>47331</v>
      </c>
      <c r="C106" s="46" t="str">
        <f t="shared" si="16"/>
        <v>Aug</v>
      </c>
      <c r="D106" s="27">
        <f t="shared" si="17"/>
        <v>2029</v>
      </c>
      <c r="E106" s="54"/>
      <c r="F106" s="49" t="str">
        <f t="shared" si="19"/>
        <v>Data Missing</v>
      </c>
      <c r="G106" s="49" t="str">
        <f>IFERROR(IFERROR(INDEX(Gas_EIA,1,MATCH(D106,$J$4:$AD$4,FALSE)),0)*INDEX(NG_Load_Shape,MATCH($C106,Adjustments!$G$3:$G$14,0),1),"Data Missing")</f>
        <v>Data Missing</v>
      </c>
      <c r="H106" s="42" t="str">
        <f t="shared" si="18"/>
        <v>Data Missing</v>
      </c>
      <c r="I106" s="12"/>
    </row>
    <row r="107" spans="1:9" x14ac:dyDescent="0.2">
      <c r="A107" s="7">
        <v>105</v>
      </c>
      <c r="B107" s="26">
        <f t="shared" si="15"/>
        <v>47362</v>
      </c>
      <c r="C107" s="46" t="str">
        <f t="shared" si="16"/>
        <v>Sep</v>
      </c>
      <c r="D107" s="27">
        <f t="shared" si="17"/>
        <v>2029</v>
      </c>
      <c r="E107" s="54"/>
      <c r="F107" s="49" t="str">
        <f t="shared" si="19"/>
        <v>Data Missing</v>
      </c>
      <c r="G107" s="49" t="str">
        <f>IFERROR(IFERROR(INDEX(Gas_EIA,1,MATCH(D107,$J$4:$AD$4,FALSE)),0)*INDEX(NG_Load_Shape,MATCH($C107,Adjustments!$G$3:$G$14,0),1),"Data Missing")</f>
        <v>Data Missing</v>
      </c>
      <c r="H107" s="42" t="str">
        <f t="shared" si="18"/>
        <v>Data Missing</v>
      </c>
      <c r="I107" s="12"/>
    </row>
    <row r="108" spans="1:9" x14ac:dyDescent="0.2">
      <c r="A108" s="7">
        <v>106</v>
      </c>
      <c r="B108" s="26">
        <f t="shared" si="15"/>
        <v>47392</v>
      </c>
      <c r="C108" s="46" t="str">
        <f t="shared" si="16"/>
        <v>Oct</v>
      </c>
      <c r="D108" s="27">
        <f t="shared" si="17"/>
        <v>2029</v>
      </c>
      <c r="E108" s="54"/>
      <c r="F108" s="49" t="str">
        <f t="shared" si="19"/>
        <v>Data Missing</v>
      </c>
      <c r="G108" s="49" t="str">
        <f>IFERROR(IFERROR(INDEX(Gas_EIA,1,MATCH(D108,$J$4:$AD$4,FALSE)),0)*INDEX(NG_Load_Shape,MATCH($C108,Adjustments!$G$3:$G$14,0),1),"Data Missing")</f>
        <v>Data Missing</v>
      </c>
      <c r="H108" s="42" t="str">
        <f t="shared" si="18"/>
        <v>Data Missing</v>
      </c>
      <c r="I108" s="12"/>
    </row>
    <row r="109" spans="1:9" x14ac:dyDescent="0.2">
      <c r="A109" s="7">
        <v>107</v>
      </c>
      <c r="B109" s="26">
        <f t="shared" si="15"/>
        <v>47423</v>
      </c>
      <c r="C109" s="46" t="str">
        <f t="shared" si="16"/>
        <v>Nov</v>
      </c>
      <c r="D109" s="27">
        <f t="shared" si="17"/>
        <v>2029</v>
      </c>
      <c r="E109" s="54"/>
      <c r="F109" s="49" t="str">
        <f t="shared" si="19"/>
        <v>Data Missing</v>
      </c>
      <c r="G109" s="49" t="str">
        <f>IFERROR(IFERROR(INDEX(Gas_EIA,1,MATCH(D109,$J$4:$AD$4,FALSE)),0)*INDEX(NG_Load_Shape,MATCH($C109,Adjustments!$G$3:$G$14,0),1),"Data Missing")</f>
        <v>Data Missing</v>
      </c>
      <c r="H109" s="42" t="str">
        <f t="shared" si="18"/>
        <v>Data Missing</v>
      </c>
      <c r="I109" s="12"/>
    </row>
    <row r="110" spans="1:9" x14ac:dyDescent="0.2">
      <c r="A110" s="7">
        <v>108</v>
      </c>
      <c r="B110" s="26">
        <f t="shared" si="15"/>
        <v>47453</v>
      </c>
      <c r="C110" s="46" t="str">
        <f t="shared" si="16"/>
        <v>Dec</v>
      </c>
      <c r="D110" s="27">
        <f t="shared" si="17"/>
        <v>2029</v>
      </c>
      <c r="E110" s="54"/>
      <c r="F110" s="49" t="str">
        <f t="shared" si="19"/>
        <v>Data Missing</v>
      </c>
      <c r="G110" s="49" t="str">
        <f>IFERROR(IFERROR(INDEX(Gas_EIA,1,MATCH(D110,$J$4:$AD$4,FALSE)),0)*INDEX(NG_Load_Shape,MATCH($C110,Adjustments!$G$3:$G$14,0),1),"Data Missing")</f>
        <v>Data Missing</v>
      </c>
      <c r="H110" s="42" t="str">
        <f t="shared" si="18"/>
        <v>Data Missing</v>
      </c>
      <c r="I110" s="12"/>
    </row>
    <row r="111" spans="1:9" x14ac:dyDescent="0.2">
      <c r="A111" s="7">
        <v>109</v>
      </c>
      <c r="B111" s="26">
        <f t="shared" si="15"/>
        <v>47484</v>
      </c>
      <c r="C111" s="46" t="str">
        <f t="shared" si="16"/>
        <v>Jan</v>
      </c>
      <c r="D111" s="27">
        <f t="shared" si="17"/>
        <v>2030</v>
      </c>
      <c r="E111" s="54"/>
      <c r="F111" s="49" t="str">
        <f t="shared" si="19"/>
        <v>Data Missing</v>
      </c>
      <c r="G111" s="49" t="str">
        <f>IFERROR(IFERROR(INDEX(Gas_EIA,1,MATCH(D111,$J$4:$AD$4,FALSE)),0)*INDEX(NG_Load_Shape,MATCH($C111,Adjustments!$G$3:$G$14,0),1),"Data Missing")</f>
        <v>Data Missing</v>
      </c>
      <c r="H111" s="42" t="str">
        <f t="shared" si="18"/>
        <v>Data Missing</v>
      </c>
      <c r="I111" s="12"/>
    </row>
    <row r="112" spans="1:9" x14ac:dyDescent="0.2">
      <c r="A112" s="7">
        <v>110</v>
      </c>
      <c r="B112" s="26">
        <f t="shared" si="15"/>
        <v>47515</v>
      </c>
      <c r="C112" s="46" t="str">
        <f t="shared" si="16"/>
        <v>Feb</v>
      </c>
      <c r="D112" s="27">
        <f t="shared" si="17"/>
        <v>2030</v>
      </c>
      <c r="E112" s="54"/>
      <c r="F112" s="49" t="str">
        <f t="shared" si="19"/>
        <v>Data Missing</v>
      </c>
      <c r="G112" s="49" t="str">
        <f>IFERROR(IFERROR(INDEX(Gas_EIA,1,MATCH(D112,$J$4:$AD$4,FALSE)),0)*INDEX(NG_Load_Shape,MATCH($C112,Adjustments!$G$3:$G$14,0),1),"Data Missing")</f>
        <v>Data Missing</v>
      </c>
      <c r="H112" s="42" t="str">
        <f t="shared" si="18"/>
        <v>Data Missing</v>
      </c>
      <c r="I112" s="12"/>
    </row>
    <row r="113" spans="1:9" x14ac:dyDescent="0.2">
      <c r="A113" s="7">
        <v>111</v>
      </c>
      <c r="B113" s="26">
        <f t="shared" si="15"/>
        <v>47543</v>
      </c>
      <c r="C113" s="46" t="str">
        <f t="shared" si="16"/>
        <v>Mar</v>
      </c>
      <c r="D113" s="27">
        <f t="shared" si="17"/>
        <v>2030</v>
      </c>
      <c r="E113" s="54"/>
      <c r="F113" s="49" t="str">
        <f t="shared" si="19"/>
        <v>Data Missing</v>
      </c>
      <c r="G113" s="49" t="str">
        <f>IFERROR(IFERROR(INDEX(Gas_EIA,1,MATCH(D113,$J$4:$AD$4,FALSE)),0)*INDEX(NG_Load_Shape,MATCH($C113,Adjustments!$G$3:$G$14,0),1),"Data Missing")</f>
        <v>Data Missing</v>
      </c>
      <c r="H113" s="42" t="str">
        <f t="shared" si="18"/>
        <v>Data Missing</v>
      </c>
      <c r="I113" s="12"/>
    </row>
    <row r="114" spans="1:9" x14ac:dyDescent="0.2">
      <c r="A114" s="7">
        <v>112</v>
      </c>
      <c r="B114" s="26">
        <f t="shared" si="15"/>
        <v>47574</v>
      </c>
      <c r="C114" s="46" t="str">
        <f t="shared" si="16"/>
        <v>Apr</v>
      </c>
      <c r="D114" s="27">
        <f t="shared" si="17"/>
        <v>2030</v>
      </c>
      <c r="E114" s="54"/>
      <c r="F114" s="49" t="str">
        <f t="shared" si="19"/>
        <v>Data Missing</v>
      </c>
      <c r="G114" s="49" t="str">
        <f>IFERROR(IFERROR(INDEX(Gas_EIA,1,MATCH(D114,$J$4:$AD$4,FALSE)),0)*INDEX(NG_Load_Shape,MATCH($C114,Adjustments!$G$3:$G$14,0),1),"Data Missing")</f>
        <v>Data Missing</v>
      </c>
      <c r="H114" s="42" t="str">
        <f t="shared" si="18"/>
        <v>Data Missing</v>
      </c>
      <c r="I114" s="12"/>
    </row>
    <row r="115" spans="1:9" x14ac:dyDescent="0.2">
      <c r="A115" s="7">
        <v>113</v>
      </c>
      <c r="B115" s="26">
        <f t="shared" si="15"/>
        <v>47604</v>
      </c>
      <c r="C115" s="46" t="str">
        <f t="shared" si="16"/>
        <v>May</v>
      </c>
      <c r="D115" s="27">
        <f t="shared" si="17"/>
        <v>2030</v>
      </c>
      <c r="E115" s="54"/>
      <c r="F115" s="49" t="str">
        <f t="shared" si="19"/>
        <v>Data Missing</v>
      </c>
      <c r="G115" s="49" t="str">
        <f>IFERROR(IFERROR(INDEX(Gas_EIA,1,MATCH(D115,$J$4:$AD$4,FALSE)),0)*INDEX(NG_Load_Shape,MATCH($C115,Adjustments!$G$3:$G$14,0),1),"Data Missing")</f>
        <v>Data Missing</v>
      </c>
      <c r="H115" s="42" t="str">
        <f t="shared" si="18"/>
        <v>Data Missing</v>
      </c>
      <c r="I115" s="12"/>
    </row>
    <row r="116" spans="1:9" x14ac:dyDescent="0.2">
      <c r="A116" s="7">
        <v>114</v>
      </c>
      <c r="B116" s="26">
        <f t="shared" si="15"/>
        <v>47635</v>
      </c>
      <c r="C116" s="46" t="str">
        <f t="shared" si="16"/>
        <v>Jun</v>
      </c>
      <c r="D116" s="27">
        <f t="shared" si="17"/>
        <v>2030</v>
      </c>
      <c r="E116" s="54"/>
      <c r="F116" s="49" t="str">
        <f t="shared" si="19"/>
        <v>Data Missing</v>
      </c>
      <c r="G116" s="49" t="str">
        <f>IFERROR(IFERROR(INDEX(Gas_EIA,1,MATCH(D116,$J$4:$AD$4,FALSE)),0)*INDEX(NG_Load_Shape,MATCH($C116,Adjustments!$G$3:$G$14,0),1),"Data Missing")</f>
        <v>Data Missing</v>
      </c>
      <c r="H116" s="42" t="str">
        <f t="shared" si="18"/>
        <v>Data Missing</v>
      </c>
      <c r="I116" s="12"/>
    </row>
    <row r="117" spans="1:9" x14ac:dyDescent="0.2">
      <c r="A117" s="7">
        <v>115</v>
      </c>
      <c r="B117" s="26">
        <f t="shared" si="15"/>
        <v>47665</v>
      </c>
      <c r="C117" s="46" t="str">
        <f t="shared" si="16"/>
        <v>Jul</v>
      </c>
      <c r="D117" s="27">
        <f t="shared" si="17"/>
        <v>2030</v>
      </c>
      <c r="E117" s="54"/>
      <c r="F117" s="49" t="str">
        <f t="shared" si="19"/>
        <v>Data Missing</v>
      </c>
      <c r="G117" s="49" t="str">
        <f>IFERROR(IFERROR(INDEX(Gas_EIA,1,MATCH(D117,$J$4:$AD$4,FALSE)),0)*INDEX(NG_Load_Shape,MATCH($C117,Adjustments!$G$3:$G$14,0),1),"Data Missing")</f>
        <v>Data Missing</v>
      </c>
      <c r="H117" s="42" t="str">
        <f t="shared" si="18"/>
        <v>Data Missing</v>
      </c>
      <c r="I117" s="12"/>
    </row>
    <row r="118" spans="1:9" x14ac:dyDescent="0.2">
      <c r="A118" s="7">
        <v>116</v>
      </c>
      <c r="B118" s="26">
        <f t="shared" si="15"/>
        <v>47696</v>
      </c>
      <c r="C118" s="46" t="str">
        <f t="shared" si="16"/>
        <v>Aug</v>
      </c>
      <c r="D118" s="27">
        <f t="shared" si="17"/>
        <v>2030</v>
      </c>
      <c r="E118" s="54"/>
      <c r="F118" s="49" t="str">
        <f t="shared" si="19"/>
        <v>Data Missing</v>
      </c>
      <c r="G118" s="49" t="str">
        <f>IFERROR(IFERROR(INDEX(Gas_EIA,1,MATCH(D118,$J$4:$AD$4,FALSE)),0)*INDEX(NG_Load_Shape,MATCH($C118,Adjustments!$G$3:$G$14,0),1),"Data Missing")</f>
        <v>Data Missing</v>
      </c>
      <c r="H118" s="42" t="str">
        <f t="shared" si="18"/>
        <v>Data Missing</v>
      </c>
      <c r="I118" s="12"/>
    </row>
    <row r="119" spans="1:9" x14ac:dyDescent="0.2">
      <c r="A119" s="7">
        <v>117</v>
      </c>
      <c r="B119" s="26">
        <f t="shared" si="15"/>
        <v>47727</v>
      </c>
      <c r="C119" s="46" t="str">
        <f t="shared" si="16"/>
        <v>Sep</v>
      </c>
      <c r="D119" s="27">
        <f t="shared" si="17"/>
        <v>2030</v>
      </c>
      <c r="E119" s="54"/>
      <c r="F119" s="49" t="str">
        <f t="shared" si="19"/>
        <v>Data Missing</v>
      </c>
      <c r="G119" s="49" t="str">
        <f>IFERROR(IFERROR(INDEX(Gas_EIA,1,MATCH(D119,$J$4:$AD$4,FALSE)),0)*INDEX(NG_Load_Shape,MATCH($C119,Adjustments!$G$3:$G$14,0),1),"Data Missing")</f>
        <v>Data Missing</v>
      </c>
      <c r="H119" s="42" t="str">
        <f t="shared" si="18"/>
        <v>Data Missing</v>
      </c>
      <c r="I119" s="12"/>
    </row>
    <row r="120" spans="1:9" x14ac:dyDescent="0.2">
      <c r="A120" s="7">
        <v>118</v>
      </c>
      <c r="B120" s="26">
        <f t="shared" si="15"/>
        <v>47757</v>
      </c>
      <c r="C120" s="46" t="str">
        <f t="shared" si="16"/>
        <v>Oct</v>
      </c>
      <c r="D120" s="27">
        <f t="shared" si="17"/>
        <v>2030</v>
      </c>
      <c r="E120" s="54"/>
      <c r="F120" s="49" t="str">
        <f t="shared" si="19"/>
        <v>Data Missing</v>
      </c>
      <c r="G120" s="49" t="str">
        <f>IFERROR(IFERROR(INDEX(Gas_EIA,1,MATCH(D120,$J$4:$AD$4,FALSE)),0)*INDEX(NG_Load_Shape,MATCH($C120,Adjustments!$G$3:$G$14,0),1),"Data Missing")</f>
        <v>Data Missing</v>
      </c>
      <c r="H120" s="42" t="str">
        <f t="shared" si="18"/>
        <v>Data Missing</v>
      </c>
      <c r="I120" s="12"/>
    </row>
    <row r="121" spans="1:9" x14ac:dyDescent="0.2">
      <c r="A121" s="7">
        <v>119</v>
      </c>
      <c r="B121" s="26">
        <f t="shared" si="15"/>
        <v>47788</v>
      </c>
      <c r="C121" s="46" t="str">
        <f t="shared" si="16"/>
        <v>Nov</v>
      </c>
      <c r="D121" s="27">
        <f t="shared" si="17"/>
        <v>2030</v>
      </c>
      <c r="E121" s="54"/>
      <c r="F121" s="49" t="str">
        <f t="shared" si="19"/>
        <v>Data Missing</v>
      </c>
      <c r="G121" s="49" t="str">
        <f>IFERROR(IFERROR(INDEX(Gas_EIA,1,MATCH(D121,$J$4:$AD$4,FALSE)),0)*INDEX(NG_Load_Shape,MATCH($C121,Adjustments!$G$3:$G$14,0),1),"Data Missing")</f>
        <v>Data Missing</v>
      </c>
      <c r="H121" s="42" t="str">
        <f t="shared" si="18"/>
        <v>Data Missing</v>
      </c>
      <c r="I121" s="12"/>
    </row>
    <row r="122" spans="1:9" x14ac:dyDescent="0.2">
      <c r="A122" s="7">
        <v>120</v>
      </c>
      <c r="B122" s="26">
        <f t="shared" si="15"/>
        <v>47818</v>
      </c>
      <c r="C122" s="46" t="str">
        <f t="shared" si="16"/>
        <v>Dec</v>
      </c>
      <c r="D122" s="27">
        <f t="shared" si="17"/>
        <v>2030</v>
      </c>
      <c r="E122" s="54"/>
      <c r="F122" s="49" t="str">
        <f t="shared" si="19"/>
        <v>Data Missing</v>
      </c>
      <c r="G122" s="49" t="str">
        <f>IFERROR(IFERROR(INDEX(Gas_EIA,1,MATCH(D122,$J$4:$AD$4,FALSE)),0)*INDEX(NG_Load_Shape,MATCH($C122,Adjustments!$G$3:$G$14,0),1),"Data Missing")</f>
        <v>Data Missing</v>
      </c>
      <c r="H122" s="42" t="str">
        <f t="shared" si="18"/>
        <v>Data Missing</v>
      </c>
      <c r="I122" s="12"/>
    </row>
    <row r="123" spans="1:9" x14ac:dyDescent="0.2">
      <c r="A123" s="7">
        <v>121</v>
      </c>
      <c r="B123" s="26">
        <f t="shared" si="15"/>
        <v>47849</v>
      </c>
      <c r="C123" s="46" t="str">
        <f t="shared" si="16"/>
        <v>Jan</v>
      </c>
      <c r="D123" s="27">
        <f t="shared" si="17"/>
        <v>2031</v>
      </c>
      <c r="E123" s="54"/>
      <c r="F123" s="49" t="str">
        <f t="shared" si="19"/>
        <v>Data Missing</v>
      </c>
      <c r="G123" s="49" t="str">
        <f>IFERROR(IFERROR(INDEX(Gas_EIA,1,MATCH(D123,$J$4:$AD$4,FALSE)),0)*INDEX(NG_Load_Shape,MATCH($C123,Adjustments!$G$3:$G$14,0),1),"Data Missing")</f>
        <v>Data Missing</v>
      </c>
      <c r="H123" s="42" t="str">
        <f t="shared" si="18"/>
        <v>Data Missing</v>
      </c>
      <c r="I123" s="12"/>
    </row>
    <row r="124" spans="1:9" x14ac:dyDescent="0.2">
      <c r="A124" s="7">
        <v>122</v>
      </c>
      <c r="B124" s="26">
        <f t="shared" si="15"/>
        <v>47880</v>
      </c>
      <c r="C124" s="46" t="str">
        <f t="shared" si="16"/>
        <v>Feb</v>
      </c>
      <c r="D124" s="27">
        <f t="shared" si="17"/>
        <v>2031</v>
      </c>
      <c r="E124" s="54"/>
      <c r="F124" s="49" t="str">
        <f t="shared" si="19"/>
        <v>Data Missing</v>
      </c>
      <c r="G124" s="49" t="str">
        <f>IFERROR(IFERROR(INDEX(Gas_EIA,1,MATCH(D124,$J$4:$AD$4,FALSE)),0)*INDEX(NG_Load_Shape,MATCH($C124,Adjustments!$G$3:$G$14,0),1),"Data Missing")</f>
        <v>Data Missing</v>
      </c>
      <c r="H124" s="42" t="str">
        <f t="shared" si="18"/>
        <v>Data Missing</v>
      </c>
      <c r="I124" s="12"/>
    </row>
    <row r="125" spans="1:9" x14ac:dyDescent="0.2">
      <c r="A125" s="7">
        <v>123</v>
      </c>
      <c r="B125" s="26">
        <f t="shared" si="15"/>
        <v>47908</v>
      </c>
      <c r="C125" s="46" t="str">
        <f t="shared" si="16"/>
        <v>Mar</v>
      </c>
      <c r="D125" s="27">
        <f t="shared" si="17"/>
        <v>2031</v>
      </c>
      <c r="E125" s="54"/>
      <c r="F125" s="49" t="str">
        <f t="shared" si="19"/>
        <v>Data Missing</v>
      </c>
      <c r="G125" s="49" t="str">
        <f>IFERROR(IFERROR(INDEX(Gas_EIA,1,MATCH(D125,$J$4:$AD$4,FALSE)),0)*INDEX(NG_Load_Shape,MATCH($C125,Adjustments!$G$3:$G$14,0),1),"Data Missing")</f>
        <v>Data Missing</v>
      </c>
      <c r="H125" s="42" t="str">
        <f t="shared" si="18"/>
        <v>Data Missing</v>
      </c>
      <c r="I125" s="12"/>
    </row>
    <row r="126" spans="1:9" x14ac:dyDescent="0.2">
      <c r="A126" s="7">
        <v>124</v>
      </c>
      <c r="B126" s="26">
        <f t="shared" si="15"/>
        <v>47939</v>
      </c>
      <c r="C126" s="46" t="str">
        <f t="shared" si="16"/>
        <v>Apr</v>
      </c>
      <c r="D126" s="27">
        <f t="shared" si="17"/>
        <v>2031</v>
      </c>
      <c r="E126" s="54"/>
      <c r="F126" s="49" t="str">
        <f t="shared" si="19"/>
        <v>Data Missing</v>
      </c>
      <c r="G126" s="49" t="str">
        <f>IFERROR(IFERROR(INDEX(Gas_EIA,1,MATCH(D126,$J$4:$AD$4,FALSE)),0)*INDEX(NG_Load_Shape,MATCH($C126,Adjustments!$G$3:$G$14,0),1),"Data Missing")</f>
        <v>Data Missing</v>
      </c>
      <c r="H126" s="42" t="str">
        <f t="shared" si="18"/>
        <v>Data Missing</v>
      </c>
      <c r="I126" s="12"/>
    </row>
    <row r="127" spans="1:9" x14ac:dyDescent="0.2">
      <c r="A127" s="7">
        <v>125</v>
      </c>
      <c r="B127" s="26">
        <f t="shared" si="15"/>
        <v>47969</v>
      </c>
      <c r="C127" s="46" t="str">
        <f t="shared" si="16"/>
        <v>May</v>
      </c>
      <c r="D127" s="27">
        <f t="shared" si="17"/>
        <v>2031</v>
      </c>
      <c r="E127" s="54"/>
      <c r="F127" s="49" t="str">
        <f t="shared" si="19"/>
        <v>Data Missing</v>
      </c>
      <c r="G127" s="49" t="str">
        <f>IFERROR(IFERROR(INDEX(Gas_EIA,1,MATCH(D127,$J$4:$AD$4,FALSE)),0)*INDEX(NG_Load_Shape,MATCH($C127,Adjustments!$G$3:$G$14,0),1),"Data Missing")</f>
        <v>Data Missing</v>
      </c>
      <c r="H127" s="42" t="str">
        <f t="shared" ref="H127:H146" si="20">IFERROR(F127+((G127-F127)*((D127-Start_Year-3)/7)),"Data Missing")</f>
        <v>Data Missing</v>
      </c>
      <c r="I127" s="12"/>
    </row>
    <row r="128" spans="1:9" x14ac:dyDescent="0.2">
      <c r="A128" s="7">
        <v>126</v>
      </c>
      <c r="B128" s="26">
        <f t="shared" si="15"/>
        <v>48000</v>
      </c>
      <c r="C128" s="46" t="str">
        <f t="shared" si="16"/>
        <v>Jun</v>
      </c>
      <c r="D128" s="27">
        <f t="shared" si="17"/>
        <v>2031</v>
      </c>
      <c r="E128" s="54"/>
      <c r="F128" s="49" t="str">
        <f t="shared" si="19"/>
        <v>Data Missing</v>
      </c>
      <c r="G128" s="49" t="str">
        <f>IFERROR(IFERROR(INDEX(Gas_EIA,1,MATCH(D128,$J$4:$AD$4,FALSE)),0)*INDEX(NG_Load_Shape,MATCH($C128,Adjustments!$G$3:$G$14,0),1),"Data Missing")</f>
        <v>Data Missing</v>
      </c>
      <c r="H128" s="42" t="str">
        <f t="shared" si="20"/>
        <v>Data Missing</v>
      </c>
      <c r="I128" s="12"/>
    </row>
    <row r="129" spans="1:9" x14ac:dyDescent="0.2">
      <c r="A129" s="7">
        <v>127</v>
      </c>
      <c r="B129" s="26">
        <f t="shared" si="15"/>
        <v>48030</v>
      </c>
      <c r="C129" s="46" t="str">
        <f t="shared" si="16"/>
        <v>Jul</v>
      </c>
      <c r="D129" s="27">
        <f t="shared" si="17"/>
        <v>2031</v>
      </c>
      <c r="E129" s="54"/>
      <c r="F129" s="49" t="str">
        <f t="shared" si="19"/>
        <v>Data Missing</v>
      </c>
      <c r="G129" s="49" t="str">
        <f>IFERROR(IFERROR(INDEX(Gas_EIA,1,MATCH(D129,$J$4:$AD$4,FALSE)),0)*INDEX(NG_Load_Shape,MATCH($C129,Adjustments!$G$3:$G$14,0),1),"Data Missing")</f>
        <v>Data Missing</v>
      </c>
      <c r="H129" s="42" t="str">
        <f t="shared" si="20"/>
        <v>Data Missing</v>
      </c>
      <c r="I129" s="12"/>
    </row>
    <row r="130" spans="1:9" x14ac:dyDescent="0.2">
      <c r="A130" s="7">
        <v>128</v>
      </c>
      <c r="B130" s="26">
        <f t="shared" si="15"/>
        <v>48061</v>
      </c>
      <c r="C130" s="46" t="str">
        <f t="shared" si="16"/>
        <v>Aug</v>
      </c>
      <c r="D130" s="27">
        <f t="shared" si="17"/>
        <v>2031</v>
      </c>
      <c r="E130" s="54"/>
      <c r="F130" s="49" t="str">
        <f t="shared" si="19"/>
        <v>Data Missing</v>
      </c>
      <c r="G130" s="49" t="str">
        <f>IFERROR(IFERROR(INDEX(Gas_EIA,1,MATCH(D130,$J$4:$AD$4,FALSE)),0)*INDEX(NG_Load_Shape,MATCH($C130,Adjustments!$G$3:$G$14,0),1),"Data Missing")</f>
        <v>Data Missing</v>
      </c>
      <c r="H130" s="42" t="str">
        <f t="shared" si="20"/>
        <v>Data Missing</v>
      </c>
      <c r="I130" s="12"/>
    </row>
    <row r="131" spans="1:9" x14ac:dyDescent="0.2">
      <c r="A131" s="7">
        <v>129</v>
      </c>
      <c r="B131" s="26">
        <f t="shared" si="15"/>
        <v>48092</v>
      </c>
      <c r="C131" s="46" t="str">
        <f t="shared" si="16"/>
        <v>Sep</v>
      </c>
      <c r="D131" s="27">
        <f t="shared" si="17"/>
        <v>2031</v>
      </c>
      <c r="E131" s="54"/>
      <c r="F131" s="49" t="str">
        <f t="shared" ref="F131:F146" si="21">IFERROR(E131+INDEX(NG_Zone_Adjust,MONTH(B131),2),"Data Missing")</f>
        <v>Data Missing</v>
      </c>
      <c r="G131" s="49" t="str">
        <f>IFERROR(IFERROR(INDEX(Gas_EIA,1,MATCH(D131,$J$4:$AD$4,FALSE)),0)*INDEX(NG_Load_Shape,MATCH($C131,Adjustments!$G$3:$G$14,0),1),"Data Missing")</f>
        <v>Data Missing</v>
      </c>
      <c r="H131" s="42" t="str">
        <f t="shared" si="20"/>
        <v>Data Missing</v>
      </c>
      <c r="I131" s="12"/>
    </row>
    <row r="132" spans="1:9" x14ac:dyDescent="0.2">
      <c r="A132" s="7">
        <v>130</v>
      </c>
      <c r="B132" s="26">
        <f t="shared" si="15"/>
        <v>48122</v>
      </c>
      <c r="C132" s="46" t="str">
        <f t="shared" si="16"/>
        <v>Oct</v>
      </c>
      <c r="D132" s="27">
        <f t="shared" si="17"/>
        <v>2031</v>
      </c>
      <c r="E132" s="54"/>
      <c r="F132" s="49" t="str">
        <f t="shared" si="21"/>
        <v>Data Missing</v>
      </c>
      <c r="G132" s="49" t="str">
        <f>IFERROR(IFERROR(INDEX(Gas_EIA,1,MATCH(D132,$J$4:$AD$4,FALSE)),0)*INDEX(NG_Load_Shape,MATCH($C132,Adjustments!$G$3:$G$14,0),1),"Data Missing")</f>
        <v>Data Missing</v>
      </c>
      <c r="H132" s="42" t="str">
        <f t="shared" si="20"/>
        <v>Data Missing</v>
      </c>
      <c r="I132" s="12"/>
    </row>
    <row r="133" spans="1:9" x14ac:dyDescent="0.2">
      <c r="A133" s="7">
        <v>131</v>
      </c>
      <c r="B133" s="26">
        <f t="shared" ref="B133:B196" si="22">DATE(Start_Year-1,A133,1)</f>
        <v>48153</v>
      </c>
      <c r="C133" s="46" t="str">
        <f t="shared" ref="C133:C196" si="23">CHOOSE(MONTH(B133), "Jan", "Feb", "Mar", "Apr", "May", "Jun", "Jul", "Aug", "Sep", "Oct", "Nov", "Dec")</f>
        <v>Nov</v>
      </c>
      <c r="D133" s="27">
        <f t="shared" ref="D133:D196" si="24">YEAR(B133)</f>
        <v>2031</v>
      </c>
      <c r="E133" s="54"/>
      <c r="F133" s="49" t="str">
        <f t="shared" si="21"/>
        <v>Data Missing</v>
      </c>
      <c r="G133" s="49" t="str">
        <f>IFERROR(IFERROR(INDEX(Gas_EIA,1,MATCH(D133,$J$4:$AD$4,FALSE)),0)*INDEX(NG_Load_Shape,MATCH($C133,Adjustments!$G$3:$G$14,0),1),"Data Missing")</f>
        <v>Data Missing</v>
      </c>
      <c r="H133" s="42" t="str">
        <f t="shared" si="20"/>
        <v>Data Missing</v>
      </c>
      <c r="I133" s="12"/>
    </row>
    <row r="134" spans="1:9" x14ac:dyDescent="0.2">
      <c r="A134" s="7">
        <v>132</v>
      </c>
      <c r="B134" s="26">
        <f t="shared" si="22"/>
        <v>48183</v>
      </c>
      <c r="C134" s="46" t="str">
        <f t="shared" si="23"/>
        <v>Dec</v>
      </c>
      <c r="D134" s="27">
        <f t="shared" si="24"/>
        <v>2031</v>
      </c>
      <c r="E134" s="54"/>
      <c r="F134" s="49" t="str">
        <f t="shared" si="21"/>
        <v>Data Missing</v>
      </c>
      <c r="G134" s="49" t="str">
        <f>IFERROR(IFERROR(INDEX(Gas_EIA,1,MATCH(D134,$J$4:$AD$4,FALSE)),0)*INDEX(NG_Load_Shape,MATCH($C134,Adjustments!$G$3:$G$14,0),1),"Data Missing")</f>
        <v>Data Missing</v>
      </c>
      <c r="H134" s="42" t="str">
        <f t="shared" si="20"/>
        <v>Data Missing</v>
      </c>
      <c r="I134" s="12"/>
    </row>
    <row r="135" spans="1:9" x14ac:dyDescent="0.2">
      <c r="A135" s="7">
        <v>133</v>
      </c>
      <c r="B135" s="26">
        <f t="shared" si="22"/>
        <v>48214</v>
      </c>
      <c r="C135" s="46" t="str">
        <f t="shared" si="23"/>
        <v>Jan</v>
      </c>
      <c r="D135" s="27">
        <f t="shared" si="24"/>
        <v>2032</v>
      </c>
      <c r="E135" s="54"/>
      <c r="F135" s="49" t="str">
        <f t="shared" si="21"/>
        <v>Data Missing</v>
      </c>
      <c r="G135" s="49" t="str">
        <f>IFERROR(IFERROR(INDEX(Gas_EIA,1,MATCH(D135,$J$4:$AD$4,FALSE)),0)*INDEX(NG_Load_Shape,MATCH($C135,Adjustments!$G$3:$G$14,0),1),"Data Missing")</f>
        <v>Data Missing</v>
      </c>
      <c r="H135" s="42" t="str">
        <f t="shared" si="20"/>
        <v>Data Missing</v>
      </c>
      <c r="I135" s="12"/>
    </row>
    <row r="136" spans="1:9" x14ac:dyDescent="0.2">
      <c r="A136" s="7">
        <v>134</v>
      </c>
      <c r="B136" s="26">
        <f t="shared" si="22"/>
        <v>48245</v>
      </c>
      <c r="C136" s="46" t="str">
        <f t="shared" si="23"/>
        <v>Feb</v>
      </c>
      <c r="D136" s="27">
        <f t="shared" si="24"/>
        <v>2032</v>
      </c>
      <c r="E136" s="54"/>
      <c r="F136" s="49" t="str">
        <f t="shared" si="21"/>
        <v>Data Missing</v>
      </c>
      <c r="G136" s="49" t="str">
        <f>IFERROR(IFERROR(INDEX(Gas_EIA,1,MATCH(D136,$J$4:$AD$4,FALSE)),0)*INDEX(NG_Load_Shape,MATCH($C136,Adjustments!$G$3:$G$14,0),1),"Data Missing")</f>
        <v>Data Missing</v>
      </c>
      <c r="H136" s="42" t="str">
        <f t="shared" si="20"/>
        <v>Data Missing</v>
      </c>
      <c r="I136" s="12"/>
    </row>
    <row r="137" spans="1:9" x14ac:dyDescent="0.2">
      <c r="A137" s="7">
        <v>135</v>
      </c>
      <c r="B137" s="26">
        <f t="shared" si="22"/>
        <v>48274</v>
      </c>
      <c r="C137" s="46" t="str">
        <f t="shared" si="23"/>
        <v>Mar</v>
      </c>
      <c r="D137" s="27">
        <f t="shared" si="24"/>
        <v>2032</v>
      </c>
      <c r="E137" s="54"/>
      <c r="F137" s="49" t="str">
        <f t="shared" si="21"/>
        <v>Data Missing</v>
      </c>
      <c r="G137" s="49" t="str">
        <f>IFERROR(IFERROR(INDEX(Gas_EIA,1,MATCH(D137,$J$4:$AD$4,FALSE)),0)*INDEX(NG_Load_Shape,MATCH($C137,Adjustments!$G$3:$G$14,0),1),"Data Missing")</f>
        <v>Data Missing</v>
      </c>
      <c r="H137" s="42" t="str">
        <f t="shared" si="20"/>
        <v>Data Missing</v>
      </c>
      <c r="I137" s="12"/>
    </row>
    <row r="138" spans="1:9" x14ac:dyDescent="0.2">
      <c r="A138" s="7">
        <v>136</v>
      </c>
      <c r="B138" s="26">
        <f t="shared" si="22"/>
        <v>48305</v>
      </c>
      <c r="C138" s="46" t="str">
        <f t="shared" si="23"/>
        <v>Apr</v>
      </c>
      <c r="D138" s="27">
        <f t="shared" si="24"/>
        <v>2032</v>
      </c>
      <c r="E138" s="54"/>
      <c r="F138" s="49" t="str">
        <f t="shared" si="21"/>
        <v>Data Missing</v>
      </c>
      <c r="G138" s="49" t="str">
        <f>IFERROR(IFERROR(INDEX(Gas_EIA,1,MATCH(D138,$J$4:$AD$4,FALSE)),0)*INDEX(NG_Load_Shape,MATCH($C138,Adjustments!$G$3:$G$14,0),1),"Data Missing")</f>
        <v>Data Missing</v>
      </c>
      <c r="H138" s="42" t="str">
        <f t="shared" si="20"/>
        <v>Data Missing</v>
      </c>
      <c r="I138" s="12"/>
    </row>
    <row r="139" spans="1:9" x14ac:dyDescent="0.2">
      <c r="A139" s="7">
        <v>137</v>
      </c>
      <c r="B139" s="26">
        <f t="shared" si="22"/>
        <v>48335</v>
      </c>
      <c r="C139" s="46" t="str">
        <f t="shared" si="23"/>
        <v>May</v>
      </c>
      <c r="D139" s="27">
        <f t="shared" si="24"/>
        <v>2032</v>
      </c>
      <c r="E139" s="54"/>
      <c r="F139" s="49" t="str">
        <f t="shared" si="21"/>
        <v>Data Missing</v>
      </c>
      <c r="G139" s="49" t="str">
        <f>IFERROR(IFERROR(INDEX(Gas_EIA,1,MATCH(D139,$J$4:$AD$4,FALSE)),0)*INDEX(NG_Load_Shape,MATCH($C139,Adjustments!$G$3:$G$14,0),1),"Data Missing")</f>
        <v>Data Missing</v>
      </c>
      <c r="H139" s="42" t="str">
        <f t="shared" si="20"/>
        <v>Data Missing</v>
      </c>
      <c r="I139" s="12"/>
    </row>
    <row r="140" spans="1:9" x14ac:dyDescent="0.2">
      <c r="A140" s="7">
        <v>138</v>
      </c>
      <c r="B140" s="26">
        <f t="shared" si="22"/>
        <v>48366</v>
      </c>
      <c r="C140" s="46" t="str">
        <f t="shared" si="23"/>
        <v>Jun</v>
      </c>
      <c r="D140" s="27">
        <f t="shared" si="24"/>
        <v>2032</v>
      </c>
      <c r="E140" s="54"/>
      <c r="F140" s="49" t="str">
        <f t="shared" si="21"/>
        <v>Data Missing</v>
      </c>
      <c r="G140" s="49" t="str">
        <f>IFERROR(IFERROR(INDEX(Gas_EIA,1,MATCH(D140,$J$4:$AD$4,FALSE)),0)*INDEX(NG_Load_Shape,MATCH($C140,Adjustments!$G$3:$G$14,0),1),"Data Missing")</f>
        <v>Data Missing</v>
      </c>
      <c r="H140" s="42" t="str">
        <f t="shared" si="20"/>
        <v>Data Missing</v>
      </c>
      <c r="I140" s="12"/>
    </row>
    <row r="141" spans="1:9" x14ac:dyDescent="0.2">
      <c r="A141" s="7">
        <v>139</v>
      </c>
      <c r="B141" s="26">
        <f t="shared" si="22"/>
        <v>48396</v>
      </c>
      <c r="C141" s="46" t="str">
        <f t="shared" si="23"/>
        <v>Jul</v>
      </c>
      <c r="D141" s="27">
        <f t="shared" si="24"/>
        <v>2032</v>
      </c>
      <c r="E141" s="54"/>
      <c r="F141" s="49" t="str">
        <f t="shared" si="21"/>
        <v>Data Missing</v>
      </c>
      <c r="G141" s="49" t="str">
        <f>IFERROR(IFERROR(INDEX(Gas_EIA,1,MATCH(D141,$J$4:$AD$4,FALSE)),0)*INDEX(NG_Load_Shape,MATCH($C141,Adjustments!$G$3:$G$14,0),1),"Data Missing")</f>
        <v>Data Missing</v>
      </c>
      <c r="H141" s="42" t="str">
        <f t="shared" si="20"/>
        <v>Data Missing</v>
      </c>
      <c r="I141" s="12"/>
    </row>
    <row r="142" spans="1:9" x14ac:dyDescent="0.2">
      <c r="A142" s="7">
        <v>140</v>
      </c>
      <c r="B142" s="26">
        <f t="shared" si="22"/>
        <v>48427</v>
      </c>
      <c r="C142" s="46" t="str">
        <f t="shared" si="23"/>
        <v>Aug</v>
      </c>
      <c r="D142" s="27">
        <f t="shared" si="24"/>
        <v>2032</v>
      </c>
      <c r="E142" s="54"/>
      <c r="F142" s="49" t="str">
        <f t="shared" si="21"/>
        <v>Data Missing</v>
      </c>
      <c r="G142" s="49" t="str">
        <f>IFERROR(IFERROR(INDEX(Gas_EIA,1,MATCH(D142,$J$4:$AD$4,FALSE)),0)*INDEX(NG_Load_Shape,MATCH($C142,Adjustments!$G$3:$G$14,0),1),"Data Missing")</f>
        <v>Data Missing</v>
      </c>
      <c r="H142" s="42" t="str">
        <f t="shared" si="20"/>
        <v>Data Missing</v>
      </c>
      <c r="I142" s="12"/>
    </row>
    <row r="143" spans="1:9" x14ac:dyDescent="0.2">
      <c r="A143" s="7">
        <v>141</v>
      </c>
      <c r="B143" s="26">
        <f t="shared" si="22"/>
        <v>48458</v>
      </c>
      <c r="C143" s="46" t="str">
        <f t="shared" si="23"/>
        <v>Sep</v>
      </c>
      <c r="D143" s="27">
        <f t="shared" si="24"/>
        <v>2032</v>
      </c>
      <c r="E143" s="54"/>
      <c r="F143" s="49" t="str">
        <f t="shared" si="21"/>
        <v>Data Missing</v>
      </c>
      <c r="G143" s="49" t="str">
        <f>IFERROR(IFERROR(INDEX(Gas_EIA,1,MATCH(D143,$J$4:$AD$4,FALSE)),0)*INDEX(NG_Load_Shape,MATCH($C143,Adjustments!$G$3:$G$14,0),1),"Data Missing")</f>
        <v>Data Missing</v>
      </c>
      <c r="H143" s="42" t="str">
        <f t="shared" si="20"/>
        <v>Data Missing</v>
      </c>
      <c r="I143" s="12"/>
    </row>
    <row r="144" spans="1:9" x14ac:dyDescent="0.2">
      <c r="A144" s="7">
        <v>142</v>
      </c>
      <c r="B144" s="26">
        <f t="shared" si="22"/>
        <v>48488</v>
      </c>
      <c r="C144" s="46" t="str">
        <f t="shared" si="23"/>
        <v>Oct</v>
      </c>
      <c r="D144" s="27">
        <f t="shared" si="24"/>
        <v>2032</v>
      </c>
      <c r="E144" s="54"/>
      <c r="F144" s="49" t="str">
        <f t="shared" si="21"/>
        <v>Data Missing</v>
      </c>
      <c r="G144" s="49" t="str">
        <f>IFERROR(IFERROR(INDEX(Gas_EIA,1,MATCH(D144,$J$4:$AD$4,FALSE)),0)*INDEX(NG_Load_Shape,MATCH($C144,Adjustments!$G$3:$G$14,0),1),"Data Missing")</f>
        <v>Data Missing</v>
      </c>
      <c r="H144" s="42" t="str">
        <f t="shared" si="20"/>
        <v>Data Missing</v>
      </c>
      <c r="I144" s="12"/>
    </row>
    <row r="145" spans="1:9" x14ac:dyDescent="0.2">
      <c r="A145" s="7">
        <v>143</v>
      </c>
      <c r="B145" s="26">
        <f t="shared" si="22"/>
        <v>48519</v>
      </c>
      <c r="C145" s="46" t="str">
        <f t="shared" si="23"/>
        <v>Nov</v>
      </c>
      <c r="D145" s="27">
        <f t="shared" si="24"/>
        <v>2032</v>
      </c>
      <c r="E145" s="54"/>
      <c r="F145" s="49" t="str">
        <f t="shared" si="21"/>
        <v>Data Missing</v>
      </c>
      <c r="G145" s="49" t="str">
        <f>IFERROR(IFERROR(INDEX(Gas_EIA,1,MATCH(D145,$J$4:$AD$4,FALSE)),0)*INDEX(NG_Load_Shape,MATCH($C145,Adjustments!$G$3:$G$14,0),1),"Data Missing")</f>
        <v>Data Missing</v>
      </c>
      <c r="H145" s="42" t="str">
        <f t="shared" si="20"/>
        <v>Data Missing</v>
      </c>
      <c r="I145" s="12"/>
    </row>
    <row r="146" spans="1:9" x14ac:dyDescent="0.2">
      <c r="A146" s="7">
        <v>144</v>
      </c>
      <c r="B146" s="26">
        <f t="shared" si="22"/>
        <v>48549</v>
      </c>
      <c r="C146" s="46" t="str">
        <f t="shared" si="23"/>
        <v>Dec</v>
      </c>
      <c r="D146" s="27">
        <f t="shared" si="24"/>
        <v>2032</v>
      </c>
      <c r="E146" s="54" t="s">
        <v>10</v>
      </c>
      <c r="F146" s="49" t="str">
        <f t="shared" si="21"/>
        <v>Data Missing</v>
      </c>
      <c r="G146" s="49" t="str">
        <f>IFERROR(IFERROR(INDEX(Gas_EIA,1,MATCH(D146,$J$4:$AD$4,FALSE)),0)*INDEX(NG_Load_Shape,MATCH($C146,Adjustments!$G$3:$G$14,0),1),"Data Missing")</f>
        <v>Data Missing</v>
      </c>
      <c r="H146" s="42" t="str">
        <f t="shared" si="20"/>
        <v>Data Missing</v>
      </c>
      <c r="I146" s="12"/>
    </row>
    <row r="147" spans="1:9" x14ac:dyDescent="0.2">
      <c r="A147" s="7">
        <v>145</v>
      </c>
      <c r="B147" s="26">
        <f t="shared" si="22"/>
        <v>48580</v>
      </c>
      <c r="C147" s="46" t="str">
        <f t="shared" si="23"/>
        <v>Jan</v>
      </c>
      <c r="D147" s="27">
        <f t="shared" si="24"/>
        <v>2033</v>
      </c>
      <c r="E147" s="87" t="s">
        <v>10</v>
      </c>
      <c r="F147" s="88" t="s">
        <v>10</v>
      </c>
      <c r="G147" s="49" t="str">
        <f>IFERROR(IFERROR(INDEX(Gas_EIA,1,MATCH(D147,$J$4:$AD$4,FALSE)),0)*INDEX(NG_Load_Shape,MATCH($C147,Adjustments!$G$3:$G$14,0),1),"Data Missing")</f>
        <v>Data Missing</v>
      </c>
      <c r="H147" s="44" t="str">
        <f>G147</f>
        <v>Data Missing</v>
      </c>
      <c r="I147" s="12"/>
    </row>
    <row r="148" spans="1:9" x14ac:dyDescent="0.2">
      <c r="A148" s="7">
        <v>146</v>
      </c>
      <c r="B148" s="26">
        <f t="shared" si="22"/>
        <v>48611</v>
      </c>
      <c r="C148" s="46" t="str">
        <f t="shared" si="23"/>
        <v>Feb</v>
      </c>
      <c r="D148" s="27">
        <f t="shared" si="24"/>
        <v>2033</v>
      </c>
      <c r="E148" s="89"/>
      <c r="F148" s="90"/>
      <c r="G148" s="49" t="str">
        <f>IFERROR(IFERROR(INDEX(Gas_EIA,1,MATCH(D148,$J$4:$AD$4,FALSE)),0)*INDEX(NG_Load_Shape,MATCH($C148,Adjustments!$G$3:$G$14,0),1),"Data Missing")</f>
        <v>Data Missing</v>
      </c>
      <c r="H148" s="44" t="str">
        <f t="shared" ref="H148:H211" si="25">G148</f>
        <v>Data Missing</v>
      </c>
      <c r="I148" s="12"/>
    </row>
    <row r="149" spans="1:9" x14ac:dyDescent="0.2">
      <c r="A149" s="7">
        <v>147</v>
      </c>
      <c r="B149" s="26">
        <f t="shared" si="22"/>
        <v>48639</v>
      </c>
      <c r="C149" s="46" t="str">
        <f t="shared" si="23"/>
        <v>Mar</v>
      </c>
      <c r="D149" s="27">
        <f t="shared" si="24"/>
        <v>2033</v>
      </c>
      <c r="E149" s="89"/>
      <c r="F149" s="90"/>
      <c r="G149" s="49" t="str">
        <f>IFERROR(IFERROR(INDEX(Gas_EIA,1,MATCH(D149,$J$4:$AD$4,FALSE)),0)*INDEX(NG_Load_Shape,MATCH($C149,Adjustments!$G$3:$G$14,0),1),"Data Missing")</f>
        <v>Data Missing</v>
      </c>
      <c r="H149" s="44" t="str">
        <f t="shared" si="25"/>
        <v>Data Missing</v>
      </c>
      <c r="I149" s="12"/>
    </row>
    <row r="150" spans="1:9" x14ac:dyDescent="0.2">
      <c r="A150" s="7">
        <v>148</v>
      </c>
      <c r="B150" s="26">
        <f t="shared" si="22"/>
        <v>48670</v>
      </c>
      <c r="C150" s="46" t="str">
        <f t="shared" si="23"/>
        <v>Apr</v>
      </c>
      <c r="D150" s="27">
        <f t="shared" si="24"/>
        <v>2033</v>
      </c>
      <c r="E150" s="89"/>
      <c r="F150" s="90"/>
      <c r="G150" s="49" t="str">
        <f>IFERROR(IFERROR(INDEX(Gas_EIA,1,MATCH(D150,$J$4:$AD$4,FALSE)),0)*INDEX(NG_Load_Shape,MATCH($C150,Adjustments!$G$3:$G$14,0),1),"Data Missing")</f>
        <v>Data Missing</v>
      </c>
      <c r="H150" s="44" t="str">
        <f t="shared" si="25"/>
        <v>Data Missing</v>
      </c>
      <c r="I150" s="12"/>
    </row>
    <row r="151" spans="1:9" x14ac:dyDescent="0.2">
      <c r="A151" s="7">
        <v>149</v>
      </c>
      <c r="B151" s="26">
        <f t="shared" si="22"/>
        <v>48700</v>
      </c>
      <c r="C151" s="46" t="str">
        <f t="shared" si="23"/>
        <v>May</v>
      </c>
      <c r="D151" s="27">
        <f t="shared" si="24"/>
        <v>2033</v>
      </c>
      <c r="E151" s="89"/>
      <c r="F151" s="90"/>
      <c r="G151" s="49" t="str">
        <f>IFERROR(IFERROR(INDEX(Gas_EIA,1,MATCH(D151,$J$4:$AD$4,FALSE)),0)*INDEX(NG_Load_Shape,MATCH($C151,Adjustments!$G$3:$G$14,0),1),"Data Missing")</f>
        <v>Data Missing</v>
      </c>
      <c r="H151" s="44" t="str">
        <f t="shared" si="25"/>
        <v>Data Missing</v>
      </c>
      <c r="I151" s="12"/>
    </row>
    <row r="152" spans="1:9" x14ac:dyDescent="0.2">
      <c r="A152" s="7">
        <v>150</v>
      </c>
      <c r="B152" s="26">
        <f t="shared" si="22"/>
        <v>48731</v>
      </c>
      <c r="C152" s="46" t="str">
        <f t="shared" si="23"/>
        <v>Jun</v>
      </c>
      <c r="D152" s="27">
        <f t="shared" si="24"/>
        <v>2033</v>
      </c>
      <c r="E152" s="91"/>
      <c r="F152" s="90"/>
      <c r="G152" s="49" t="str">
        <f>IFERROR(IFERROR(INDEX(Gas_EIA,1,MATCH(D152,$J$4:$AD$4,FALSE)),0)*INDEX(NG_Load_Shape,MATCH($C152,Adjustments!$G$3:$G$14,0),1),"Data Missing")</f>
        <v>Data Missing</v>
      </c>
      <c r="H152" s="44" t="str">
        <f t="shared" si="25"/>
        <v>Data Missing</v>
      </c>
      <c r="I152" s="12"/>
    </row>
    <row r="153" spans="1:9" x14ac:dyDescent="0.2">
      <c r="A153" s="7">
        <v>151</v>
      </c>
      <c r="B153" s="26">
        <f t="shared" si="22"/>
        <v>48761</v>
      </c>
      <c r="C153" s="46" t="str">
        <f t="shared" si="23"/>
        <v>Jul</v>
      </c>
      <c r="D153" s="27">
        <f t="shared" si="24"/>
        <v>2033</v>
      </c>
      <c r="E153" s="91"/>
      <c r="F153" s="90"/>
      <c r="G153" s="49" t="str">
        <f>IFERROR(IFERROR(INDEX(Gas_EIA,1,MATCH(D153,$J$4:$AD$4,FALSE)),0)*INDEX(NG_Load_Shape,MATCH($C153,Adjustments!$G$3:$G$14,0),1),"Data Missing")</f>
        <v>Data Missing</v>
      </c>
      <c r="H153" s="44" t="str">
        <f t="shared" si="25"/>
        <v>Data Missing</v>
      </c>
      <c r="I153" s="12"/>
    </row>
    <row r="154" spans="1:9" x14ac:dyDescent="0.2">
      <c r="A154" s="7">
        <v>152</v>
      </c>
      <c r="B154" s="26">
        <f t="shared" si="22"/>
        <v>48792</v>
      </c>
      <c r="C154" s="46" t="str">
        <f t="shared" si="23"/>
        <v>Aug</v>
      </c>
      <c r="D154" s="27">
        <f t="shared" si="24"/>
        <v>2033</v>
      </c>
      <c r="E154" s="91"/>
      <c r="F154" s="90"/>
      <c r="G154" s="49" t="str">
        <f>IFERROR(IFERROR(INDEX(Gas_EIA,1,MATCH(D154,$J$4:$AD$4,FALSE)),0)*INDEX(NG_Load_Shape,MATCH($C154,Adjustments!$G$3:$G$14,0),1),"Data Missing")</f>
        <v>Data Missing</v>
      </c>
      <c r="H154" s="44" t="str">
        <f t="shared" si="25"/>
        <v>Data Missing</v>
      </c>
      <c r="I154" s="12"/>
    </row>
    <row r="155" spans="1:9" x14ac:dyDescent="0.2">
      <c r="A155" s="7">
        <v>153</v>
      </c>
      <c r="B155" s="26">
        <f t="shared" si="22"/>
        <v>48823</v>
      </c>
      <c r="C155" s="46" t="str">
        <f t="shared" si="23"/>
        <v>Sep</v>
      </c>
      <c r="D155" s="27">
        <f t="shared" si="24"/>
        <v>2033</v>
      </c>
      <c r="E155" s="91"/>
      <c r="F155" s="90"/>
      <c r="G155" s="49" t="str">
        <f>IFERROR(IFERROR(INDEX(Gas_EIA,1,MATCH(D155,$J$4:$AD$4,FALSE)),0)*INDEX(NG_Load_Shape,MATCH($C155,Adjustments!$G$3:$G$14,0),1),"Data Missing")</f>
        <v>Data Missing</v>
      </c>
      <c r="H155" s="44" t="str">
        <f t="shared" si="25"/>
        <v>Data Missing</v>
      </c>
      <c r="I155" s="12"/>
    </row>
    <row r="156" spans="1:9" x14ac:dyDescent="0.2">
      <c r="A156" s="7">
        <v>154</v>
      </c>
      <c r="B156" s="26">
        <f t="shared" si="22"/>
        <v>48853</v>
      </c>
      <c r="C156" s="46" t="str">
        <f t="shared" si="23"/>
        <v>Oct</v>
      </c>
      <c r="D156" s="27">
        <f t="shared" si="24"/>
        <v>2033</v>
      </c>
      <c r="E156" s="91"/>
      <c r="F156" s="90"/>
      <c r="G156" s="49" t="str">
        <f>IFERROR(IFERROR(INDEX(Gas_EIA,1,MATCH(D156,$J$4:$AD$4,FALSE)),0)*INDEX(NG_Load_Shape,MATCH($C156,Adjustments!$G$3:$G$14,0),1),"Data Missing")</f>
        <v>Data Missing</v>
      </c>
      <c r="H156" s="44" t="str">
        <f t="shared" si="25"/>
        <v>Data Missing</v>
      </c>
      <c r="I156" s="12"/>
    </row>
    <row r="157" spans="1:9" x14ac:dyDescent="0.2">
      <c r="A157" s="7">
        <v>155</v>
      </c>
      <c r="B157" s="26">
        <f t="shared" si="22"/>
        <v>48884</v>
      </c>
      <c r="C157" s="46" t="str">
        <f t="shared" si="23"/>
        <v>Nov</v>
      </c>
      <c r="D157" s="27">
        <f t="shared" si="24"/>
        <v>2033</v>
      </c>
      <c r="E157" s="91"/>
      <c r="F157" s="90"/>
      <c r="G157" s="49" t="str">
        <f>IFERROR(IFERROR(INDEX(Gas_EIA,1,MATCH(D157,$J$4:$AD$4,FALSE)),0)*INDEX(NG_Load_Shape,MATCH($C157,Adjustments!$G$3:$G$14,0),1),"Data Missing")</f>
        <v>Data Missing</v>
      </c>
      <c r="H157" s="44" t="str">
        <f t="shared" si="25"/>
        <v>Data Missing</v>
      </c>
      <c r="I157" s="12"/>
    </row>
    <row r="158" spans="1:9" x14ac:dyDescent="0.2">
      <c r="A158" s="7">
        <v>156</v>
      </c>
      <c r="B158" s="26">
        <f t="shared" si="22"/>
        <v>48914</v>
      </c>
      <c r="C158" s="46" t="str">
        <f t="shared" si="23"/>
        <v>Dec</v>
      </c>
      <c r="D158" s="27">
        <f t="shared" si="24"/>
        <v>2033</v>
      </c>
      <c r="E158" s="91"/>
      <c r="F158" s="90"/>
      <c r="G158" s="49" t="str">
        <f>IFERROR(IFERROR(INDEX(Gas_EIA,1,MATCH(D158,$J$4:$AD$4,FALSE)),0)*INDEX(NG_Load_Shape,MATCH($C158,Adjustments!$G$3:$G$14,0),1),"Data Missing")</f>
        <v>Data Missing</v>
      </c>
      <c r="H158" s="44" t="str">
        <f t="shared" si="25"/>
        <v>Data Missing</v>
      </c>
      <c r="I158" s="12"/>
    </row>
    <row r="159" spans="1:9" x14ac:dyDescent="0.2">
      <c r="A159" s="7">
        <v>157</v>
      </c>
      <c r="B159" s="26">
        <f t="shared" si="22"/>
        <v>48945</v>
      </c>
      <c r="C159" s="46" t="str">
        <f t="shared" si="23"/>
        <v>Jan</v>
      </c>
      <c r="D159" s="27">
        <f t="shared" si="24"/>
        <v>2034</v>
      </c>
      <c r="E159" s="91"/>
      <c r="F159" s="90"/>
      <c r="G159" s="49" t="str">
        <f>IFERROR(IFERROR(INDEX(Gas_EIA,1,MATCH(D159,$J$4:$AD$4,FALSE)),0)*INDEX(NG_Load_Shape,MATCH($C159,Adjustments!$G$3:$G$14,0),1),"Data Missing")</f>
        <v>Data Missing</v>
      </c>
      <c r="H159" s="44" t="str">
        <f t="shared" si="25"/>
        <v>Data Missing</v>
      </c>
      <c r="I159" s="12"/>
    </row>
    <row r="160" spans="1:9" x14ac:dyDescent="0.2">
      <c r="A160" s="7">
        <v>158</v>
      </c>
      <c r="B160" s="26">
        <f t="shared" si="22"/>
        <v>48976</v>
      </c>
      <c r="C160" s="46" t="str">
        <f t="shared" si="23"/>
        <v>Feb</v>
      </c>
      <c r="D160" s="27">
        <f t="shared" si="24"/>
        <v>2034</v>
      </c>
      <c r="E160" s="91"/>
      <c r="F160" s="90"/>
      <c r="G160" s="49" t="str">
        <f>IFERROR(IFERROR(INDEX(Gas_EIA,1,MATCH(D160,$J$4:$AD$4,FALSE)),0)*INDEX(NG_Load_Shape,MATCH($C160,Adjustments!$G$3:$G$14,0),1),"Data Missing")</f>
        <v>Data Missing</v>
      </c>
      <c r="H160" s="44" t="str">
        <f t="shared" si="25"/>
        <v>Data Missing</v>
      </c>
      <c r="I160" s="12"/>
    </row>
    <row r="161" spans="1:9" x14ac:dyDescent="0.2">
      <c r="A161" s="7">
        <v>159</v>
      </c>
      <c r="B161" s="26">
        <f t="shared" si="22"/>
        <v>49004</v>
      </c>
      <c r="C161" s="46" t="str">
        <f t="shared" si="23"/>
        <v>Mar</v>
      </c>
      <c r="D161" s="27">
        <f t="shared" si="24"/>
        <v>2034</v>
      </c>
      <c r="E161" s="91"/>
      <c r="F161" s="90"/>
      <c r="G161" s="49" t="str">
        <f>IFERROR(IFERROR(INDEX(Gas_EIA,1,MATCH(D161,$J$4:$AD$4,FALSE)),0)*INDEX(NG_Load_Shape,MATCH($C161,Adjustments!$G$3:$G$14,0),1),"Data Missing")</f>
        <v>Data Missing</v>
      </c>
      <c r="H161" s="44" t="str">
        <f t="shared" si="25"/>
        <v>Data Missing</v>
      </c>
      <c r="I161" s="12"/>
    </row>
    <row r="162" spans="1:9" x14ac:dyDescent="0.2">
      <c r="A162" s="7">
        <v>160</v>
      </c>
      <c r="B162" s="26">
        <f t="shared" si="22"/>
        <v>49035</v>
      </c>
      <c r="C162" s="46" t="str">
        <f t="shared" si="23"/>
        <v>Apr</v>
      </c>
      <c r="D162" s="27">
        <f t="shared" si="24"/>
        <v>2034</v>
      </c>
      <c r="E162" s="91"/>
      <c r="F162" s="90"/>
      <c r="G162" s="49" t="str">
        <f>IFERROR(IFERROR(INDEX(Gas_EIA,1,MATCH(D162,$J$4:$AD$4,FALSE)),0)*INDEX(NG_Load_Shape,MATCH($C162,Adjustments!$G$3:$G$14,0),1),"Data Missing")</f>
        <v>Data Missing</v>
      </c>
      <c r="H162" s="44" t="str">
        <f t="shared" si="25"/>
        <v>Data Missing</v>
      </c>
      <c r="I162" s="12"/>
    </row>
    <row r="163" spans="1:9" x14ac:dyDescent="0.2">
      <c r="A163" s="7">
        <v>161</v>
      </c>
      <c r="B163" s="26">
        <f t="shared" si="22"/>
        <v>49065</v>
      </c>
      <c r="C163" s="46" t="str">
        <f t="shared" si="23"/>
        <v>May</v>
      </c>
      <c r="D163" s="27">
        <f t="shared" si="24"/>
        <v>2034</v>
      </c>
      <c r="E163" s="91"/>
      <c r="F163" s="90"/>
      <c r="G163" s="49" t="str">
        <f>IFERROR(IFERROR(INDEX(Gas_EIA,1,MATCH(D163,$J$4:$AD$4,FALSE)),0)*INDEX(NG_Load_Shape,MATCH($C163,Adjustments!$G$3:$G$14,0),1),"Data Missing")</f>
        <v>Data Missing</v>
      </c>
      <c r="H163" s="44" t="str">
        <f t="shared" si="25"/>
        <v>Data Missing</v>
      </c>
      <c r="I163" s="12"/>
    </row>
    <row r="164" spans="1:9" x14ac:dyDescent="0.2">
      <c r="A164" s="7">
        <v>162</v>
      </c>
      <c r="B164" s="26">
        <f t="shared" si="22"/>
        <v>49096</v>
      </c>
      <c r="C164" s="46" t="str">
        <f t="shared" si="23"/>
        <v>Jun</v>
      </c>
      <c r="D164" s="27">
        <f t="shared" si="24"/>
        <v>2034</v>
      </c>
      <c r="E164" s="91"/>
      <c r="F164" s="90"/>
      <c r="G164" s="49" t="str">
        <f>IFERROR(IFERROR(INDEX(Gas_EIA,1,MATCH(D164,$J$4:$AD$4,FALSE)),0)*INDEX(NG_Load_Shape,MATCH($C164,Adjustments!$G$3:$G$14,0),1),"Data Missing")</f>
        <v>Data Missing</v>
      </c>
      <c r="H164" s="44" t="str">
        <f t="shared" si="25"/>
        <v>Data Missing</v>
      </c>
      <c r="I164" s="12"/>
    </row>
    <row r="165" spans="1:9" x14ac:dyDescent="0.2">
      <c r="A165" s="7">
        <v>163</v>
      </c>
      <c r="B165" s="26">
        <f t="shared" si="22"/>
        <v>49126</v>
      </c>
      <c r="C165" s="46" t="str">
        <f t="shared" si="23"/>
        <v>Jul</v>
      </c>
      <c r="D165" s="27">
        <f t="shared" si="24"/>
        <v>2034</v>
      </c>
      <c r="E165" s="91"/>
      <c r="F165" s="90"/>
      <c r="G165" s="49" t="str">
        <f>IFERROR(IFERROR(INDEX(Gas_EIA,1,MATCH(D165,$J$4:$AD$4,FALSE)),0)*INDEX(NG_Load_Shape,MATCH($C165,Adjustments!$G$3:$G$14,0),1),"Data Missing")</f>
        <v>Data Missing</v>
      </c>
      <c r="H165" s="44" t="str">
        <f t="shared" si="25"/>
        <v>Data Missing</v>
      </c>
      <c r="I165" s="12"/>
    </row>
    <row r="166" spans="1:9" x14ac:dyDescent="0.2">
      <c r="A166" s="7">
        <v>164</v>
      </c>
      <c r="B166" s="26">
        <f t="shared" si="22"/>
        <v>49157</v>
      </c>
      <c r="C166" s="46" t="str">
        <f t="shared" si="23"/>
        <v>Aug</v>
      </c>
      <c r="D166" s="27">
        <f t="shared" si="24"/>
        <v>2034</v>
      </c>
      <c r="E166" s="91"/>
      <c r="F166" s="90"/>
      <c r="G166" s="49" t="str">
        <f>IFERROR(IFERROR(INDEX(Gas_EIA,1,MATCH(D166,$J$4:$AD$4,FALSE)),0)*INDEX(NG_Load_Shape,MATCH($C166,Adjustments!$G$3:$G$14,0),1),"Data Missing")</f>
        <v>Data Missing</v>
      </c>
      <c r="H166" s="44" t="str">
        <f t="shared" si="25"/>
        <v>Data Missing</v>
      </c>
      <c r="I166" s="12"/>
    </row>
    <row r="167" spans="1:9" x14ac:dyDescent="0.2">
      <c r="A167" s="7">
        <v>165</v>
      </c>
      <c r="B167" s="26">
        <f t="shared" si="22"/>
        <v>49188</v>
      </c>
      <c r="C167" s="46" t="str">
        <f t="shared" si="23"/>
        <v>Sep</v>
      </c>
      <c r="D167" s="27">
        <f t="shared" si="24"/>
        <v>2034</v>
      </c>
      <c r="E167" s="91"/>
      <c r="F167" s="90"/>
      <c r="G167" s="49" t="str">
        <f>IFERROR(IFERROR(INDEX(Gas_EIA,1,MATCH(D167,$J$4:$AD$4,FALSE)),0)*INDEX(NG_Load_Shape,MATCH($C167,Adjustments!$G$3:$G$14,0),1),"Data Missing")</f>
        <v>Data Missing</v>
      </c>
      <c r="H167" s="44" t="str">
        <f t="shared" si="25"/>
        <v>Data Missing</v>
      </c>
      <c r="I167" s="12"/>
    </row>
    <row r="168" spans="1:9" x14ac:dyDescent="0.2">
      <c r="A168" s="7">
        <v>166</v>
      </c>
      <c r="B168" s="26">
        <f t="shared" si="22"/>
        <v>49218</v>
      </c>
      <c r="C168" s="46" t="str">
        <f t="shared" si="23"/>
        <v>Oct</v>
      </c>
      <c r="D168" s="27">
        <f t="shared" si="24"/>
        <v>2034</v>
      </c>
      <c r="E168" s="91"/>
      <c r="F168" s="90"/>
      <c r="G168" s="49" t="str">
        <f>IFERROR(IFERROR(INDEX(Gas_EIA,1,MATCH(D168,$J$4:$AD$4,FALSE)),0)*INDEX(NG_Load_Shape,MATCH($C168,Adjustments!$G$3:$G$14,0),1),"Data Missing")</f>
        <v>Data Missing</v>
      </c>
      <c r="H168" s="44" t="str">
        <f t="shared" si="25"/>
        <v>Data Missing</v>
      </c>
      <c r="I168" s="12"/>
    </row>
    <row r="169" spans="1:9" x14ac:dyDescent="0.2">
      <c r="A169" s="7">
        <v>167</v>
      </c>
      <c r="B169" s="26">
        <f t="shared" si="22"/>
        <v>49249</v>
      </c>
      <c r="C169" s="46" t="str">
        <f t="shared" si="23"/>
        <v>Nov</v>
      </c>
      <c r="D169" s="27">
        <f t="shared" si="24"/>
        <v>2034</v>
      </c>
      <c r="E169" s="91"/>
      <c r="F169" s="90"/>
      <c r="G169" s="49" t="str">
        <f>IFERROR(IFERROR(INDEX(Gas_EIA,1,MATCH(D169,$J$4:$AD$4,FALSE)),0)*INDEX(NG_Load_Shape,MATCH($C169,Adjustments!$G$3:$G$14,0),1),"Data Missing")</f>
        <v>Data Missing</v>
      </c>
      <c r="H169" s="44" t="str">
        <f t="shared" si="25"/>
        <v>Data Missing</v>
      </c>
      <c r="I169" s="12"/>
    </row>
    <row r="170" spans="1:9" x14ac:dyDescent="0.2">
      <c r="A170" s="7">
        <v>168</v>
      </c>
      <c r="B170" s="26">
        <f t="shared" si="22"/>
        <v>49279</v>
      </c>
      <c r="C170" s="46" t="str">
        <f t="shared" si="23"/>
        <v>Dec</v>
      </c>
      <c r="D170" s="27">
        <f t="shared" si="24"/>
        <v>2034</v>
      </c>
      <c r="E170" s="91"/>
      <c r="F170" s="90"/>
      <c r="G170" s="49" t="str">
        <f>IFERROR(IFERROR(INDEX(Gas_EIA,1,MATCH(D170,$J$4:$AD$4,FALSE)),0)*INDEX(NG_Load_Shape,MATCH($C170,Adjustments!$G$3:$G$14,0),1),"Data Missing")</f>
        <v>Data Missing</v>
      </c>
      <c r="H170" s="44" t="str">
        <f t="shared" si="25"/>
        <v>Data Missing</v>
      </c>
      <c r="I170" s="12"/>
    </row>
    <row r="171" spans="1:9" x14ac:dyDescent="0.2">
      <c r="A171" s="7">
        <v>169</v>
      </c>
      <c r="B171" s="26">
        <f t="shared" si="22"/>
        <v>49310</v>
      </c>
      <c r="C171" s="46" t="str">
        <f t="shared" si="23"/>
        <v>Jan</v>
      </c>
      <c r="D171" s="27">
        <f t="shared" si="24"/>
        <v>2035</v>
      </c>
      <c r="E171" s="91"/>
      <c r="F171" s="90"/>
      <c r="G171" s="49" t="str">
        <f>IFERROR(IFERROR(INDEX(Gas_EIA,1,MATCH(D171,$J$4:$AD$4,FALSE)),0)*INDEX(NG_Load_Shape,MATCH($C171,Adjustments!$G$3:$G$14,0),1),"Data Missing")</f>
        <v>Data Missing</v>
      </c>
      <c r="H171" s="44" t="str">
        <f t="shared" si="25"/>
        <v>Data Missing</v>
      </c>
      <c r="I171" s="12"/>
    </row>
    <row r="172" spans="1:9" x14ac:dyDescent="0.2">
      <c r="A172" s="7">
        <v>170</v>
      </c>
      <c r="B172" s="26">
        <f t="shared" si="22"/>
        <v>49341</v>
      </c>
      <c r="C172" s="46" t="str">
        <f t="shared" si="23"/>
        <v>Feb</v>
      </c>
      <c r="D172" s="27">
        <f t="shared" si="24"/>
        <v>2035</v>
      </c>
      <c r="E172" s="91"/>
      <c r="F172" s="90"/>
      <c r="G172" s="49" t="str">
        <f>IFERROR(IFERROR(INDEX(Gas_EIA,1,MATCH(D172,$J$4:$AD$4,FALSE)),0)*INDEX(NG_Load_Shape,MATCH($C172,Adjustments!$G$3:$G$14,0),1),"Data Missing")</f>
        <v>Data Missing</v>
      </c>
      <c r="H172" s="44" t="str">
        <f t="shared" si="25"/>
        <v>Data Missing</v>
      </c>
      <c r="I172" s="12"/>
    </row>
    <row r="173" spans="1:9" x14ac:dyDescent="0.2">
      <c r="A173" s="7">
        <v>171</v>
      </c>
      <c r="B173" s="26">
        <f t="shared" si="22"/>
        <v>49369</v>
      </c>
      <c r="C173" s="46" t="str">
        <f t="shared" si="23"/>
        <v>Mar</v>
      </c>
      <c r="D173" s="27">
        <f t="shared" si="24"/>
        <v>2035</v>
      </c>
      <c r="E173" s="91"/>
      <c r="F173" s="90"/>
      <c r="G173" s="49" t="str">
        <f>IFERROR(IFERROR(INDEX(Gas_EIA,1,MATCH(D173,$J$4:$AD$4,FALSE)),0)*INDEX(NG_Load_Shape,MATCH($C173,Adjustments!$G$3:$G$14,0),1),"Data Missing")</f>
        <v>Data Missing</v>
      </c>
      <c r="H173" s="44" t="str">
        <f t="shared" si="25"/>
        <v>Data Missing</v>
      </c>
      <c r="I173" s="12"/>
    </row>
    <row r="174" spans="1:9" x14ac:dyDescent="0.2">
      <c r="A174" s="7">
        <v>172</v>
      </c>
      <c r="B174" s="26">
        <f t="shared" si="22"/>
        <v>49400</v>
      </c>
      <c r="C174" s="46" t="str">
        <f t="shared" si="23"/>
        <v>Apr</v>
      </c>
      <c r="D174" s="27">
        <f t="shared" si="24"/>
        <v>2035</v>
      </c>
      <c r="E174" s="91"/>
      <c r="F174" s="90"/>
      <c r="G174" s="49" t="str">
        <f>IFERROR(IFERROR(INDEX(Gas_EIA,1,MATCH(D174,$J$4:$AD$4,FALSE)),0)*INDEX(NG_Load_Shape,MATCH($C174,Adjustments!$G$3:$G$14,0),1),"Data Missing")</f>
        <v>Data Missing</v>
      </c>
      <c r="H174" s="44" t="str">
        <f t="shared" si="25"/>
        <v>Data Missing</v>
      </c>
      <c r="I174" s="12"/>
    </row>
    <row r="175" spans="1:9" x14ac:dyDescent="0.2">
      <c r="A175" s="7">
        <v>173</v>
      </c>
      <c r="B175" s="26">
        <f t="shared" si="22"/>
        <v>49430</v>
      </c>
      <c r="C175" s="46" t="str">
        <f t="shared" si="23"/>
        <v>May</v>
      </c>
      <c r="D175" s="27">
        <f t="shared" si="24"/>
        <v>2035</v>
      </c>
      <c r="E175" s="91"/>
      <c r="F175" s="90"/>
      <c r="G175" s="49" t="str">
        <f>IFERROR(IFERROR(INDEX(Gas_EIA,1,MATCH(D175,$J$4:$AD$4,FALSE)),0)*INDEX(NG_Load_Shape,MATCH($C175,Adjustments!$G$3:$G$14,0),1),"Data Missing")</f>
        <v>Data Missing</v>
      </c>
      <c r="H175" s="44" t="str">
        <f t="shared" si="25"/>
        <v>Data Missing</v>
      </c>
      <c r="I175" s="12"/>
    </row>
    <row r="176" spans="1:9" x14ac:dyDescent="0.2">
      <c r="A176" s="7">
        <v>174</v>
      </c>
      <c r="B176" s="26">
        <f t="shared" si="22"/>
        <v>49461</v>
      </c>
      <c r="C176" s="46" t="str">
        <f t="shared" si="23"/>
        <v>Jun</v>
      </c>
      <c r="D176" s="27">
        <f t="shared" si="24"/>
        <v>2035</v>
      </c>
      <c r="E176" s="91"/>
      <c r="F176" s="90"/>
      <c r="G176" s="49" t="str">
        <f>IFERROR(IFERROR(INDEX(Gas_EIA,1,MATCH(D176,$J$4:$AD$4,FALSE)),0)*INDEX(NG_Load_Shape,MATCH($C176,Adjustments!$G$3:$G$14,0),1),"Data Missing")</f>
        <v>Data Missing</v>
      </c>
      <c r="H176" s="44" t="str">
        <f t="shared" si="25"/>
        <v>Data Missing</v>
      </c>
      <c r="I176" s="12"/>
    </row>
    <row r="177" spans="1:9" x14ac:dyDescent="0.2">
      <c r="A177" s="7">
        <v>175</v>
      </c>
      <c r="B177" s="26">
        <f t="shared" si="22"/>
        <v>49491</v>
      </c>
      <c r="C177" s="46" t="str">
        <f t="shared" si="23"/>
        <v>Jul</v>
      </c>
      <c r="D177" s="27">
        <f t="shared" si="24"/>
        <v>2035</v>
      </c>
      <c r="E177" s="91"/>
      <c r="F177" s="90"/>
      <c r="G177" s="49" t="str">
        <f>IFERROR(IFERROR(INDEX(Gas_EIA,1,MATCH(D177,$J$4:$AD$4,FALSE)),0)*INDEX(NG_Load_Shape,MATCH($C177,Adjustments!$G$3:$G$14,0),1),"Data Missing")</f>
        <v>Data Missing</v>
      </c>
      <c r="H177" s="44" t="str">
        <f t="shared" si="25"/>
        <v>Data Missing</v>
      </c>
      <c r="I177" s="12"/>
    </row>
    <row r="178" spans="1:9" x14ac:dyDescent="0.2">
      <c r="A178" s="7">
        <v>176</v>
      </c>
      <c r="B178" s="26">
        <f t="shared" si="22"/>
        <v>49522</v>
      </c>
      <c r="C178" s="46" t="str">
        <f t="shared" si="23"/>
        <v>Aug</v>
      </c>
      <c r="D178" s="27">
        <f t="shared" si="24"/>
        <v>2035</v>
      </c>
      <c r="E178" s="91"/>
      <c r="F178" s="90"/>
      <c r="G178" s="49" t="str">
        <f>IFERROR(IFERROR(INDEX(Gas_EIA,1,MATCH(D178,$J$4:$AD$4,FALSE)),0)*INDEX(NG_Load_Shape,MATCH($C178,Adjustments!$G$3:$G$14,0),1),"Data Missing")</f>
        <v>Data Missing</v>
      </c>
      <c r="H178" s="44" t="str">
        <f t="shared" si="25"/>
        <v>Data Missing</v>
      </c>
      <c r="I178" s="12"/>
    </row>
    <row r="179" spans="1:9" x14ac:dyDescent="0.2">
      <c r="A179" s="7">
        <v>177</v>
      </c>
      <c r="B179" s="26">
        <f t="shared" si="22"/>
        <v>49553</v>
      </c>
      <c r="C179" s="46" t="str">
        <f t="shared" si="23"/>
        <v>Sep</v>
      </c>
      <c r="D179" s="27">
        <f t="shared" si="24"/>
        <v>2035</v>
      </c>
      <c r="E179" s="91"/>
      <c r="F179" s="90"/>
      <c r="G179" s="49" t="str">
        <f>IFERROR(IFERROR(INDEX(Gas_EIA,1,MATCH(D179,$J$4:$AD$4,FALSE)),0)*INDEX(NG_Load_Shape,MATCH($C179,Adjustments!$G$3:$G$14,0),1),"Data Missing")</f>
        <v>Data Missing</v>
      </c>
      <c r="H179" s="44" t="str">
        <f t="shared" si="25"/>
        <v>Data Missing</v>
      </c>
      <c r="I179" s="12"/>
    </row>
    <row r="180" spans="1:9" x14ac:dyDescent="0.2">
      <c r="A180" s="7">
        <v>178</v>
      </c>
      <c r="B180" s="26">
        <f t="shared" si="22"/>
        <v>49583</v>
      </c>
      <c r="C180" s="46" t="str">
        <f t="shared" si="23"/>
        <v>Oct</v>
      </c>
      <c r="D180" s="27">
        <f t="shared" si="24"/>
        <v>2035</v>
      </c>
      <c r="E180" s="91"/>
      <c r="F180" s="90"/>
      <c r="G180" s="49" t="str">
        <f>IFERROR(IFERROR(INDEX(Gas_EIA,1,MATCH(D180,$J$4:$AD$4,FALSE)),0)*INDEX(NG_Load_Shape,MATCH($C180,Adjustments!$G$3:$G$14,0),1),"Data Missing")</f>
        <v>Data Missing</v>
      </c>
      <c r="H180" s="44" t="str">
        <f t="shared" si="25"/>
        <v>Data Missing</v>
      </c>
      <c r="I180" s="12"/>
    </row>
    <row r="181" spans="1:9" x14ac:dyDescent="0.2">
      <c r="A181" s="7">
        <v>179</v>
      </c>
      <c r="B181" s="26">
        <f t="shared" si="22"/>
        <v>49614</v>
      </c>
      <c r="C181" s="46" t="str">
        <f t="shared" si="23"/>
        <v>Nov</v>
      </c>
      <c r="D181" s="27">
        <f t="shared" si="24"/>
        <v>2035</v>
      </c>
      <c r="E181" s="91"/>
      <c r="F181" s="90"/>
      <c r="G181" s="49" t="str">
        <f>IFERROR(IFERROR(INDEX(Gas_EIA,1,MATCH(D181,$J$4:$AD$4,FALSE)),0)*INDEX(NG_Load_Shape,MATCH($C181,Adjustments!$G$3:$G$14,0),1),"Data Missing")</f>
        <v>Data Missing</v>
      </c>
      <c r="H181" s="44" t="str">
        <f t="shared" si="25"/>
        <v>Data Missing</v>
      </c>
      <c r="I181" s="12"/>
    </row>
    <row r="182" spans="1:9" x14ac:dyDescent="0.2">
      <c r="A182" s="7">
        <v>180</v>
      </c>
      <c r="B182" s="26">
        <f t="shared" si="22"/>
        <v>49644</v>
      </c>
      <c r="C182" s="46" t="str">
        <f t="shared" si="23"/>
        <v>Dec</v>
      </c>
      <c r="D182" s="27">
        <f t="shared" si="24"/>
        <v>2035</v>
      </c>
      <c r="E182" s="91"/>
      <c r="F182" s="90"/>
      <c r="G182" s="49" t="str">
        <f>IFERROR(IFERROR(INDEX(Gas_EIA,1,MATCH(D182,$J$4:$AD$4,FALSE)),0)*INDEX(NG_Load_Shape,MATCH($C182,Adjustments!$G$3:$G$14,0),1),"Data Missing")</f>
        <v>Data Missing</v>
      </c>
      <c r="H182" s="44" t="str">
        <f t="shared" si="25"/>
        <v>Data Missing</v>
      </c>
      <c r="I182" s="12"/>
    </row>
    <row r="183" spans="1:9" x14ac:dyDescent="0.2">
      <c r="A183" s="7">
        <v>181</v>
      </c>
      <c r="B183" s="26">
        <f t="shared" si="22"/>
        <v>49675</v>
      </c>
      <c r="C183" s="46" t="str">
        <f t="shared" si="23"/>
        <v>Jan</v>
      </c>
      <c r="D183" s="27">
        <f t="shared" si="24"/>
        <v>2036</v>
      </c>
      <c r="E183" s="91"/>
      <c r="F183" s="90"/>
      <c r="G183" s="49" t="str">
        <f>IFERROR(IFERROR(INDEX(Gas_EIA,1,MATCH(D183,$J$4:$AD$4,FALSE)),0)*INDEX(NG_Load_Shape,MATCH($C183,Adjustments!$G$3:$G$14,0),1),"Data Missing")</f>
        <v>Data Missing</v>
      </c>
      <c r="H183" s="44" t="str">
        <f t="shared" si="25"/>
        <v>Data Missing</v>
      </c>
      <c r="I183" s="12"/>
    </row>
    <row r="184" spans="1:9" x14ac:dyDescent="0.2">
      <c r="A184" s="7">
        <v>182</v>
      </c>
      <c r="B184" s="26">
        <f t="shared" si="22"/>
        <v>49706</v>
      </c>
      <c r="C184" s="46" t="str">
        <f t="shared" si="23"/>
        <v>Feb</v>
      </c>
      <c r="D184" s="27">
        <f t="shared" si="24"/>
        <v>2036</v>
      </c>
      <c r="E184" s="91"/>
      <c r="F184" s="90"/>
      <c r="G184" s="49" t="str">
        <f>IFERROR(IFERROR(INDEX(Gas_EIA,1,MATCH(D184,$J$4:$AD$4,FALSE)),0)*INDEX(NG_Load_Shape,MATCH($C184,Adjustments!$G$3:$G$14,0),1),"Data Missing")</f>
        <v>Data Missing</v>
      </c>
      <c r="H184" s="44" t="str">
        <f t="shared" si="25"/>
        <v>Data Missing</v>
      </c>
      <c r="I184" s="12"/>
    </row>
    <row r="185" spans="1:9" x14ac:dyDescent="0.2">
      <c r="A185" s="7">
        <v>183</v>
      </c>
      <c r="B185" s="26">
        <f t="shared" si="22"/>
        <v>49735</v>
      </c>
      <c r="C185" s="46" t="str">
        <f t="shared" si="23"/>
        <v>Mar</v>
      </c>
      <c r="D185" s="27">
        <f t="shared" si="24"/>
        <v>2036</v>
      </c>
      <c r="E185" s="91"/>
      <c r="F185" s="90"/>
      <c r="G185" s="49" t="str">
        <f>IFERROR(IFERROR(INDEX(Gas_EIA,1,MATCH(D185,$J$4:$AD$4,FALSE)),0)*INDEX(NG_Load_Shape,MATCH($C185,Adjustments!$G$3:$G$14,0),1),"Data Missing")</f>
        <v>Data Missing</v>
      </c>
      <c r="H185" s="44" t="str">
        <f t="shared" si="25"/>
        <v>Data Missing</v>
      </c>
      <c r="I185" s="12"/>
    </row>
    <row r="186" spans="1:9" x14ac:dyDescent="0.2">
      <c r="A186" s="7">
        <v>184</v>
      </c>
      <c r="B186" s="26">
        <f t="shared" si="22"/>
        <v>49766</v>
      </c>
      <c r="C186" s="46" t="str">
        <f t="shared" si="23"/>
        <v>Apr</v>
      </c>
      <c r="D186" s="27">
        <f t="shared" si="24"/>
        <v>2036</v>
      </c>
      <c r="E186" s="91"/>
      <c r="F186" s="90"/>
      <c r="G186" s="49" t="str">
        <f>IFERROR(IFERROR(INDEX(Gas_EIA,1,MATCH(D186,$J$4:$AD$4,FALSE)),0)*INDEX(NG_Load_Shape,MATCH($C186,Adjustments!$G$3:$G$14,0),1),"Data Missing")</f>
        <v>Data Missing</v>
      </c>
      <c r="H186" s="44" t="str">
        <f t="shared" si="25"/>
        <v>Data Missing</v>
      </c>
      <c r="I186" s="12"/>
    </row>
    <row r="187" spans="1:9" x14ac:dyDescent="0.2">
      <c r="A187" s="7">
        <v>185</v>
      </c>
      <c r="B187" s="26">
        <f t="shared" si="22"/>
        <v>49796</v>
      </c>
      <c r="C187" s="46" t="str">
        <f t="shared" si="23"/>
        <v>May</v>
      </c>
      <c r="D187" s="27">
        <f t="shared" si="24"/>
        <v>2036</v>
      </c>
      <c r="E187" s="91"/>
      <c r="F187" s="90"/>
      <c r="G187" s="49" t="str">
        <f>IFERROR(IFERROR(INDEX(Gas_EIA,1,MATCH(D187,$J$4:$AD$4,FALSE)),0)*INDEX(NG_Load_Shape,MATCH($C187,Adjustments!$G$3:$G$14,0),1),"Data Missing")</f>
        <v>Data Missing</v>
      </c>
      <c r="H187" s="44" t="str">
        <f t="shared" si="25"/>
        <v>Data Missing</v>
      </c>
      <c r="I187" s="12"/>
    </row>
    <row r="188" spans="1:9" x14ac:dyDescent="0.2">
      <c r="A188" s="7">
        <v>186</v>
      </c>
      <c r="B188" s="26">
        <f t="shared" si="22"/>
        <v>49827</v>
      </c>
      <c r="C188" s="46" t="str">
        <f t="shared" si="23"/>
        <v>Jun</v>
      </c>
      <c r="D188" s="27">
        <f t="shared" si="24"/>
        <v>2036</v>
      </c>
      <c r="E188" s="91"/>
      <c r="F188" s="90"/>
      <c r="G188" s="49" t="str">
        <f>IFERROR(IFERROR(INDEX(Gas_EIA,1,MATCH(D188,$J$4:$AD$4,FALSE)),0)*INDEX(NG_Load_Shape,MATCH($C188,Adjustments!$G$3:$G$14,0),1),"Data Missing")</f>
        <v>Data Missing</v>
      </c>
      <c r="H188" s="44" t="str">
        <f t="shared" si="25"/>
        <v>Data Missing</v>
      </c>
      <c r="I188" s="12"/>
    </row>
    <row r="189" spans="1:9" x14ac:dyDescent="0.2">
      <c r="A189" s="7">
        <v>187</v>
      </c>
      <c r="B189" s="26">
        <f t="shared" si="22"/>
        <v>49857</v>
      </c>
      <c r="C189" s="46" t="str">
        <f t="shared" si="23"/>
        <v>Jul</v>
      </c>
      <c r="D189" s="27">
        <f t="shared" si="24"/>
        <v>2036</v>
      </c>
      <c r="E189" s="91"/>
      <c r="F189" s="90"/>
      <c r="G189" s="49" t="str">
        <f>IFERROR(IFERROR(INDEX(Gas_EIA,1,MATCH(D189,$J$4:$AD$4,FALSE)),0)*INDEX(NG_Load_Shape,MATCH($C189,Adjustments!$G$3:$G$14,0),1),"Data Missing")</f>
        <v>Data Missing</v>
      </c>
      <c r="H189" s="44" t="str">
        <f t="shared" si="25"/>
        <v>Data Missing</v>
      </c>
      <c r="I189" s="12"/>
    </row>
    <row r="190" spans="1:9" x14ac:dyDescent="0.2">
      <c r="A190" s="7">
        <v>188</v>
      </c>
      <c r="B190" s="26">
        <f t="shared" si="22"/>
        <v>49888</v>
      </c>
      <c r="C190" s="46" t="str">
        <f t="shared" si="23"/>
        <v>Aug</v>
      </c>
      <c r="D190" s="27">
        <f t="shared" si="24"/>
        <v>2036</v>
      </c>
      <c r="E190" s="91"/>
      <c r="F190" s="90"/>
      <c r="G190" s="49" t="str">
        <f>IFERROR(IFERROR(INDEX(Gas_EIA,1,MATCH(D190,$J$4:$AD$4,FALSE)),0)*INDEX(NG_Load_Shape,MATCH($C190,Adjustments!$G$3:$G$14,0),1),"Data Missing")</f>
        <v>Data Missing</v>
      </c>
      <c r="H190" s="44" t="str">
        <f t="shared" si="25"/>
        <v>Data Missing</v>
      </c>
      <c r="I190" s="12"/>
    </row>
    <row r="191" spans="1:9" x14ac:dyDescent="0.2">
      <c r="A191" s="7">
        <v>189</v>
      </c>
      <c r="B191" s="26">
        <f t="shared" si="22"/>
        <v>49919</v>
      </c>
      <c r="C191" s="46" t="str">
        <f t="shared" si="23"/>
        <v>Sep</v>
      </c>
      <c r="D191" s="27">
        <f t="shared" si="24"/>
        <v>2036</v>
      </c>
      <c r="E191" s="91"/>
      <c r="F191" s="90"/>
      <c r="G191" s="49" t="str">
        <f>IFERROR(IFERROR(INDEX(Gas_EIA,1,MATCH(D191,$J$4:$AD$4,FALSE)),0)*INDEX(NG_Load_Shape,MATCH($C191,Adjustments!$G$3:$G$14,0),1),"Data Missing")</f>
        <v>Data Missing</v>
      </c>
      <c r="H191" s="44" t="str">
        <f t="shared" si="25"/>
        <v>Data Missing</v>
      </c>
      <c r="I191" s="12"/>
    </row>
    <row r="192" spans="1:9" x14ac:dyDescent="0.2">
      <c r="A192" s="7">
        <v>190</v>
      </c>
      <c r="B192" s="26">
        <f t="shared" si="22"/>
        <v>49949</v>
      </c>
      <c r="C192" s="46" t="str">
        <f t="shared" si="23"/>
        <v>Oct</v>
      </c>
      <c r="D192" s="27">
        <f t="shared" si="24"/>
        <v>2036</v>
      </c>
      <c r="E192" s="91"/>
      <c r="F192" s="90"/>
      <c r="G192" s="49" t="str">
        <f>IFERROR(IFERROR(INDEX(Gas_EIA,1,MATCH(D192,$J$4:$AD$4,FALSE)),0)*INDEX(NG_Load_Shape,MATCH($C192,Adjustments!$G$3:$G$14,0),1),"Data Missing")</f>
        <v>Data Missing</v>
      </c>
      <c r="H192" s="44" t="str">
        <f t="shared" si="25"/>
        <v>Data Missing</v>
      </c>
      <c r="I192" s="12"/>
    </row>
    <row r="193" spans="1:9" x14ac:dyDescent="0.2">
      <c r="A193" s="7">
        <v>191</v>
      </c>
      <c r="B193" s="26">
        <f t="shared" si="22"/>
        <v>49980</v>
      </c>
      <c r="C193" s="46" t="str">
        <f t="shared" si="23"/>
        <v>Nov</v>
      </c>
      <c r="D193" s="27">
        <f t="shared" si="24"/>
        <v>2036</v>
      </c>
      <c r="E193" s="91"/>
      <c r="F193" s="90"/>
      <c r="G193" s="49" t="str">
        <f>IFERROR(IFERROR(INDEX(Gas_EIA,1,MATCH(D193,$J$4:$AD$4,FALSE)),0)*INDEX(NG_Load_Shape,MATCH($C193,Adjustments!$G$3:$G$14,0),1),"Data Missing")</f>
        <v>Data Missing</v>
      </c>
      <c r="H193" s="44" t="str">
        <f t="shared" si="25"/>
        <v>Data Missing</v>
      </c>
      <c r="I193" s="12"/>
    </row>
    <row r="194" spans="1:9" x14ac:dyDescent="0.2">
      <c r="A194" s="7">
        <v>192</v>
      </c>
      <c r="B194" s="26">
        <f t="shared" si="22"/>
        <v>50010</v>
      </c>
      <c r="C194" s="46" t="str">
        <f t="shared" si="23"/>
        <v>Dec</v>
      </c>
      <c r="D194" s="27">
        <f t="shared" si="24"/>
        <v>2036</v>
      </c>
      <c r="E194" s="91"/>
      <c r="F194" s="90"/>
      <c r="G194" s="49" t="str">
        <f>IFERROR(IFERROR(INDEX(Gas_EIA,1,MATCH(D194,$J$4:$AD$4,FALSE)),0)*INDEX(NG_Load_Shape,MATCH($C194,Adjustments!$G$3:$G$14,0),1),"Data Missing")</f>
        <v>Data Missing</v>
      </c>
      <c r="H194" s="44" t="str">
        <f t="shared" si="25"/>
        <v>Data Missing</v>
      </c>
      <c r="I194" s="12"/>
    </row>
    <row r="195" spans="1:9" x14ac:dyDescent="0.2">
      <c r="A195" s="7">
        <v>193</v>
      </c>
      <c r="B195" s="26">
        <f t="shared" si="22"/>
        <v>50041</v>
      </c>
      <c r="C195" s="46" t="str">
        <f t="shared" si="23"/>
        <v>Jan</v>
      </c>
      <c r="D195" s="27">
        <f t="shared" si="24"/>
        <v>2037</v>
      </c>
      <c r="E195" s="91"/>
      <c r="F195" s="90"/>
      <c r="G195" s="49" t="str">
        <f>IFERROR(IFERROR(INDEX(Gas_EIA,1,MATCH(D195,$J$4:$AD$4,FALSE)),0)*INDEX(NG_Load_Shape,MATCH($C195,Adjustments!$G$3:$G$14,0),1),"Data Missing")</f>
        <v>Data Missing</v>
      </c>
      <c r="H195" s="44" t="str">
        <f t="shared" si="25"/>
        <v>Data Missing</v>
      </c>
      <c r="I195" s="12"/>
    </row>
    <row r="196" spans="1:9" x14ac:dyDescent="0.2">
      <c r="A196" s="7">
        <v>194</v>
      </c>
      <c r="B196" s="26">
        <f t="shared" si="22"/>
        <v>50072</v>
      </c>
      <c r="C196" s="46" t="str">
        <f t="shared" si="23"/>
        <v>Feb</v>
      </c>
      <c r="D196" s="27">
        <f t="shared" si="24"/>
        <v>2037</v>
      </c>
      <c r="E196" s="91"/>
      <c r="F196" s="90"/>
      <c r="G196" s="49" t="str">
        <f>IFERROR(IFERROR(INDEX(Gas_EIA,1,MATCH(D196,$J$4:$AD$4,FALSE)),0)*INDEX(NG_Load_Shape,MATCH($C196,Adjustments!$G$3:$G$14,0),1),"Data Missing")</f>
        <v>Data Missing</v>
      </c>
      <c r="H196" s="44" t="str">
        <f t="shared" si="25"/>
        <v>Data Missing</v>
      </c>
      <c r="I196" s="12"/>
    </row>
    <row r="197" spans="1:9" x14ac:dyDescent="0.2">
      <c r="A197" s="7">
        <v>195</v>
      </c>
      <c r="B197" s="26">
        <f t="shared" ref="B197:B260" si="26">DATE(Start_Year-1,A197,1)</f>
        <v>50100</v>
      </c>
      <c r="C197" s="46" t="str">
        <f t="shared" ref="C197:C260" si="27">CHOOSE(MONTH(B197), "Jan", "Feb", "Mar", "Apr", "May", "Jun", "Jul", "Aug", "Sep", "Oct", "Nov", "Dec")</f>
        <v>Mar</v>
      </c>
      <c r="D197" s="27">
        <f t="shared" ref="D197:D260" si="28">YEAR(B197)</f>
        <v>2037</v>
      </c>
      <c r="E197" s="91"/>
      <c r="F197" s="90"/>
      <c r="G197" s="49" t="str">
        <f>IFERROR(IFERROR(INDEX(Gas_EIA,1,MATCH(D197,$J$4:$AD$4,FALSE)),0)*INDEX(NG_Load_Shape,MATCH($C197,Adjustments!$G$3:$G$14,0),1),"Data Missing")</f>
        <v>Data Missing</v>
      </c>
      <c r="H197" s="44" t="str">
        <f t="shared" si="25"/>
        <v>Data Missing</v>
      </c>
      <c r="I197" s="12"/>
    </row>
    <row r="198" spans="1:9" x14ac:dyDescent="0.2">
      <c r="A198" s="7">
        <v>196</v>
      </c>
      <c r="B198" s="26">
        <f t="shared" si="26"/>
        <v>50131</v>
      </c>
      <c r="C198" s="46" t="str">
        <f t="shared" si="27"/>
        <v>Apr</v>
      </c>
      <c r="D198" s="27">
        <f t="shared" si="28"/>
        <v>2037</v>
      </c>
      <c r="E198" s="91"/>
      <c r="F198" s="90"/>
      <c r="G198" s="49" t="str">
        <f>IFERROR(IFERROR(INDEX(Gas_EIA,1,MATCH(D198,$J$4:$AD$4,FALSE)),0)*INDEX(NG_Load_Shape,MATCH($C198,Adjustments!$G$3:$G$14,0),1),"Data Missing")</f>
        <v>Data Missing</v>
      </c>
      <c r="H198" s="44" t="str">
        <f t="shared" si="25"/>
        <v>Data Missing</v>
      </c>
      <c r="I198" s="12"/>
    </row>
    <row r="199" spans="1:9" x14ac:dyDescent="0.2">
      <c r="A199" s="7">
        <v>197</v>
      </c>
      <c r="B199" s="26">
        <f t="shared" si="26"/>
        <v>50161</v>
      </c>
      <c r="C199" s="46" t="str">
        <f t="shared" si="27"/>
        <v>May</v>
      </c>
      <c r="D199" s="27">
        <f t="shared" si="28"/>
        <v>2037</v>
      </c>
      <c r="E199" s="91"/>
      <c r="F199" s="90"/>
      <c r="G199" s="49" t="str">
        <f>IFERROR(IFERROR(INDEX(Gas_EIA,1,MATCH(D199,$J$4:$AD$4,FALSE)),0)*INDEX(NG_Load_Shape,MATCH($C199,Adjustments!$G$3:$G$14,0),1),"Data Missing")</f>
        <v>Data Missing</v>
      </c>
      <c r="H199" s="44" t="str">
        <f t="shared" si="25"/>
        <v>Data Missing</v>
      </c>
      <c r="I199" s="12"/>
    </row>
    <row r="200" spans="1:9" x14ac:dyDescent="0.2">
      <c r="A200" s="7">
        <v>198</v>
      </c>
      <c r="B200" s="26">
        <f t="shared" si="26"/>
        <v>50192</v>
      </c>
      <c r="C200" s="46" t="str">
        <f t="shared" si="27"/>
        <v>Jun</v>
      </c>
      <c r="D200" s="27">
        <f t="shared" si="28"/>
        <v>2037</v>
      </c>
      <c r="E200" s="91"/>
      <c r="F200" s="90"/>
      <c r="G200" s="49" t="str">
        <f>IFERROR(IFERROR(INDEX(Gas_EIA,1,MATCH(D200,$J$4:$AD$4,FALSE)),0)*INDEX(NG_Load_Shape,MATCH($C200,Adjustments!$G$3:$G$14,0),1),"Data Missing")</f>
        <v>Data Missing</v>
      </c>
      <c r="H200" s="44" t="str">
        <f t="shared" si="25"/>
        <v>Data Missing</v>
      </c>
      <c r="I200" s="12"/>
    </row>
    <row r="201" spans="1:9" x14ac:dyDescent="0.2">
      <c r="A201" s="7">
        <v>199</v>
      </c>
      <c r="B201" s="26">
        <f t="shared" si="26"/>
        <v>50222</v>
      </c>
      <c r="C201" s="46" t="str">
        <f t="shared" si="27"/>
        <v>Jul</v>
      </c>
      <c r="D201" s="27">
        <f t="shared" si="28"/>
        <v>2037</v>
      </c>
      <c r="E201" s="91"/>
      <c r="F201" s="90"/>
      <c r="G201" s="49" t="str">
        <f>IFERROR(IFERROR(INDEX(Gas_EIA,1,MATCH(D201,$J$4:$AD$4,FALSE)),0)*INDEX(NG_Load_Shape,MATCH($C201,Adjustments!$G$3:$G$14,0),1),"Data Missing")</f>
        <v>Data Missing</v>
      </c>
      <c r="H201" s="44" t="str">
        <f t="shared" si="25"/>
        <v>Data Missing</v>
      </c>
      <c r="I201" s="12"/>
    </row>
    <row r="202" spans="1:9" x14ac:dyDescent="0.2">
      <c r="A202" s="7">
        <v>200</v>
      </c>
      <c r="B202" s="26">
        <f t="shared" si="26"/>
        <v>50253</v>
      </c>
      <c r="C202" s="46" t="str">
        <f t="shared" si="27"/>
        <v>Aug</v>
      </c>
      <c r="D202" s="27">
        <f t="shared" si="28"/>
        <v>2037</v>
      </c>
      <c r="E202" s="91"/>
      <c r="F202" s="90"/>
      <c r="G202" s="49" t="str">
        <f>IFERROR(IFERROR(INDEX(Gas_EIA,1,MATCH(D202,$J$4:$AD$4,FALSE)),0)*INDEX(NG_Load_Shape,MATCH($C202,Adjustments!$G$3:$G$14,0),1),"Data Missing")</f>
        <v>Data Missing</v>
      </c>
      <c r="H202" s="44" t="str">
        <f t="shared" si="25"/>
        <v>Data Missing</v>
      </c>
      <c r="I202" s="12"/>
    </row>
    <row r="203" spans="1:9" x14ac:dyDescent="0.2">
      <c r="A203" s="7">
        <v>201</v>
      </c>
      <c r="B203" s="26">
        <f t="shared" si="26"/>
        <v>50284</v>
      </c>
      <c r="C203" s="46" t="str">
        <f t="shared" si="27"/>
        <v>Sep</v>
      </c>
      <c r="D203" s="27">
        <f t="shared" si="28"/>
        <v>2037</v>
      </c>
      <c r="E203" s="91"/>
      <c r="F203" s="90"/>
      <c r="G203" s="49" t="str">
        <f>IFERROR(IFERROR(INDEX(Gas_EIA,1,MATCH(D203,$J$4:$AD$4,FALSE)),0)*INDEX(NG_Load_Shape,MATCH($C203,Adjustments!$G$3:$G$14,0),1),"Data Missing")</f>
        <v>Data Missing</v>
      </c>
      <c r="H203" s="44" t="str">
        <f t="shared" si="25"/>
        <v>Data Missing</v>
      </c>
      <c r="I203" s="12"/>
    </row>
    <row r="204" spans="1:9" x14ac:dyDescent="0.2">
      <c r="A204" s="7">
        <v>202</v>
      </c>
      <c r="B204" s="26">
        <f t="shared" si="26"/>
        <v>50314</v>
      </c>
      <c r="C204" s="46" t="str">
        <f t="shared" si="27"/>
        <v>Oct</v>
      </c>
      <c r="D204" s="27">
        <f t="shared" si="28"/>
        <v>2037</v>
      </c>
      <c r="E204" s="91"/>
      <c r="F204" s="90"/>
      <c r="G204" s="49" t="str">
        <f>IFERROR(IFERROR(INDEX(Gas_EIA,1,MATCH(D204,$J$4:$AD$4,FALSE)),0)*INDEX(NG_Load_Shape,MATCH($C204,Adjustments!$G$3:$G$14,0),1),"Data Missing")</f>
        <v>Data Missing</v>
      </c>
      <c r="H204" s="44" t="str">
        <f t="shared" si="25"/>
        <v>Data Missing</v>
      </c>
      <c r="I204" s="12"/>
    </row>
    <row r="205" spans="1:9" x14ac:dyDescent="0.2">
      <c r="A205" s="7">
        <v>203</v>
      </c>
      <c r="B205" s="26">
        <f t="shared" si="26"/>
        <v>50345</v>
      </c>
      <c r="C205" s="46" t="str">
        <f t="shared" si="27"/>
        <v>Nov</v>
      </c>
      <c r="D205" s="27">
        <f t="shared" si="28"/>
        <v>2037</v>
      </c>
      <c r="E205" s="91"/>
      <c r="F205" s="90"/>
      <c r="G205" s="49" t="str">
        <f>IFERROR(IFERROR(INDEX(Gas_EIA,1,MATCH(D205,$J$4:$AD$4,FALSE)),0)*INDEX(NG_Load_Shape,MATCH($C205,Adjustments!$G$3:$G$14,0),1),"Data Missing")</f>
        <v>Data Missing</v>
      </c>
      <c r="H205" s="44" t="str">
        <f t="shared" si="25"/>
        <v>Data Missing</v>
      </c>
      <c r="I205" s="12"/>
    </row>
    <row r="206" spans="1:9" x14ac:dyDescent="0.2">
      <c r="A206" s="7">
        <v>204</v>
      </c>
      <c r="B206" s="26">
        <f t="shared" si="26"/>
        <v>50375</v>
      </c>
      <c r="C206" s="46" t="str">
        <f t="shared" si="27"/>
        <v>Dec</v>
      </c>
      <c r="D206" s="27">
        <f t="shared" si="28"/>
        <v>2037</v>
      </c>
      <c r="E206" s="91"/>
      <c r="F206" s="90"/>
      <c r="G206" s="49" t="str">
        <f>IFERROR(IFERROR(INDEX(Gas_EIA,1,MATCH(D206,$J$4:$AD$4,FALSE)),0)*INDEX(NG_Load_Shape,MATCH($C206,Adjustments!$G$3:$G$14,0),1),"Data Missing")</f>
        <v>Data Missing</v>
      </c>
      <c r="H206" s="44" t="str">
        <f t="shared" si="25"/>
        <v>Data Missing</v>
      </c>
      <c r="I206" s="12"/>
    </row>
    <row r="207" spans="1:9" x14ac:dyDescent="0.2">
      <c r="A207" s="7">
        <v>205</v>
      </c>
      <c r="B207" s="26">
        <f t="shared" si="26"/>
        <v>50406</v>
      </c>
      <c r="C207" s="46" t="str">
        <f t="shared" si="27"/>
        <v>Jan</v>
      </c>
      <c r="D207" s="27">
        <f t="shared" si="28"/>
        <v>2038</v>
      </c>
      <c r="E207" s="91"/>
      <c r="F207" s="90"/>
      <c r="G207" s="49" t="str">
        <f>IFERROR(IFERROR(INDEX(Gas_EIA,1,MATCH(D207,$J$4:$AD$4,FALSE)),0)*INDEX(NG_Load_Shape,MATCH($C207,Adjustments!$G$3:$G$14,0),1),"Data Missing")</f>
        <v>Data Missing</v>
      </c>
      <c r="H207" s="44" t="str">
        <f t="shared" si="25"/>
        <v>Data Missing</v>
      </c>
      <c r="I207" s="12"/>
    </row>
    <row r="208" spans="1:9" x14ac:dyDescent="0.2">
      <c r="A208" s="7">
        <v>206</v>
      </c>
      <c r="B208" s="26">
        <f t="shared" si="26"/>
        <v>50437</v>
      </c>
      <c r="C208" s="46" t="str">
        <f t="shared" si="27"/>
        <v>Feb</v>
      </c>
      <c r="D208" s="27">
        <f t="shared" si="28"/>
        <v>2038</v>
      </c>
      <c r="E208" s="91"/>
      <c r="F208" s="90"/>
      <c r="G208" s="49" t="str">
        <f>IFERROR(IFERROR(INDEX(Gas_EIA,1,MATCH(D208,$J$4:$AD$4,FALSE)),0)*INDEX(NG_Load_Shape,MATCH($C208,Adjustments!$G$3:$G$14,0),1),"Data Missing")</f>
        <v>Data Missing</v>
      </c>
      <c r="H208" s="44" t="str">
        <f t="shared" si="25"/>
        <v>Data Missing</v>
      </c>
      <c r="I208" s="12"/>
    </row>
    <row r="209" spans="1:9" x14ac:dyDescent="0.2">
      <c r="A209" s="7">
        <v>207</v>
      </c>
      <c r="B209" s="26">
        <f t="shared" si="26"/>
        <v>50465</v>
      </c>
      <c r="C209" s="46" t="str">
        <f t="shared" si="27"/>
        <v>Mar</v>
      </c>
      <c r="D209" s="27">
        <f t="shared" si="28"/>
        <v>2038</v>
      </c>
      <c r="E209" s="91"/>
      <c r="F209" s="90"/>
      <c r="G209" s="49" t="str">
        <f>IFERROR(IFERROR(INDEX(Gas_EIA,1,MATCH(D209,$J$4:$AD$4,FALSE)),0)*INDEX(NG_Load_Shape,MATCH($C209,Adjustments!$G$3:$G$14,0),1),"Data Missing")</f>
        <v>Data Missing</v>
      </c>
      <c r="H209" s="44" t="str">
        <f t="shared" si="25"/>
        <v>Data Missing</v>
      </c>
      <c r="I209" s="12"/>
    </row>
    <row r="210" spans="1:9" x14ac:dyDescent="0.2">
      <c r="A210" s="7">
        <v>208</v>
      </c>
      <c r="B210" s="26">
        <f t="shared" si="26"/>
        <v>50496</v>
      </c>
      <c r="C210" s="46" t="str">
        <f t="shared" si="27"/>
        <v>Apr</v>
      </c>
      <c r="D210" s="27">
        <f t="shared" si="28"/>
        <v>2038</v>
      </c>
      <c r="E210" s="91"/>
      <c r="F210" s="90"/>
      <c r="G210" s="49" t="str">
        <f>IFERROR(IFERROR(INDEX(Gas_EIA,1,MATCH(D210,$J$4:$AD$4,FALSE)),0)*INDEX(NG_Load_Shape,MATCH($C210,Adjustments!$G$3:$G$14,0),1),"Data Missing")</f>
        <v>Data Missing</v>
      </c>
      <c r="H210" s="44" t="str">
        <f t="shared" si="25"/>
        <v>Data Missing</v>
      </c>
      <c r="I210" s="12"/>
    </row>
    <row r="211" spans="1:9" x14ac:dyDescent="0.2">
      <c r="A211" s="7">
        <v>209</v>
      </c>
      <c r="B211" s="26">
        <f t="shared" si="26"/>
        <v>50526</v>
      </c>
      <c r="C211" s="46" t="str">
        <f t="shared" si="27"/>
        <v>May</v>
      </c>
      <c r="D211" s="27">
        <f t="shared" si="28"/>
        <v>2038</v>
      </c>
      <c r="E211" s="91"/>
      <c r="F211" s="90"/>
      <c r="G211" s="49" t="str">
        <f>IFERROR(IFERROR(INDEX(Gas_EIA,1,MATCH(D211,$J$4:$AD$4,FALSE)),0)*INDEX(NG_Load_Shape,MATCH($C211,Adjustments!$G$3:$G$14,0),1),"Data Missing")</f>
        <v>Data Missing</v>
      </c>
      <c r="H211" s="44" t="str">
        <f t="shared" si="25"/>
        <v>Data Missing</v>
      </c>
      <c r="I211" s="12"/>
    </row>
    <row r="212" spans="1:9" x14ac:dyDescent="0.2">
      <c r="A212" s="7">
        <v>210</v>
      </c>
      <c r="B212" s="26">
        <f t="shared" si="26"/>
        <v>50557</v>
      </c>
      <c r="C212" s="46" t="str">
        <f t="shared" si="27"/>
        <v>Jun</v>
      </c>
      <c r="D212" s="27">
        <f t="shared" si="28"/>
        <v>2038</v>
      </c>
      <c r="E212" s="91"/>
      <c r="F212" s="90"/>
      <c r="G212" s="49" t="str">
        <f>IFERROR(IFERROR(INDEX(Gas_EIA,1,MATCH(D212,$J$4:$AD$4,FALSE)),0)*INDEX(NG_Load_Shape,MATCH($C212,Adjustments!$G$3:$G$14,0),1),"Data Missing")</f>
        <v>Data Missing</v>
      </c>
      <c r="H212" s="44" t="str">
        <f t="shared" ref="H212:H266" si="29">G212</f>
        <v>Data Missing</v>
      </c>
      <c r="I212" s="12"/>
    </row>
    <row r="213" spans="1:9" x14ac:dyDescent="0.2">
      <c r="A213" s="7">
        <v>211</v>
      </c>
      <c r="B213" s="26">
        <f t="shared" si="26"/>
        <v>50587</v>
      </c>
      <c r="C213" s="46" t="str">
        <f t="shared" si="27"/>
        <v>Jul</v>
      </c>
      <c r="D213" s="27">
        <f t="shared" si="28"/>
        <v>2038</v>
      </c>
      <c r="E213" s="91"/>
      <c r="F213" s="90"/>
      <c r="G213" s="49" t="str">
        <f>IFERROR(IFERROR(INDEX(Gas_EIA,1,MATCH(D213,$J$4:$AD$4,FALSE)),0)*INDEX(NG_Load_Shape,MATCH($C213,Adjustments!$G$3:$G$14,0),1),"Data Missing")</f>
        <v>Data Missing</v>
      </c>
      <c r="H213" s="44" t="str">
        <f t="shared" si="29"/>
        <v>Data Missing</v>
      </c>
      <c r="I213" s="12"/>
    </row>
    <row r="214" spans="1:9" x14ac:dyDescent="0.2">
      <c r="A214" s="7">
        <v>212</v>
      </c>
      <c r="B214" s="26">
        <f t="shared" si="26"/>
        <v>50618</v>
      </c>
      <c r="C214" s="46" t="str">
        <f t="shared" si="27"/>
        <v>Aug</v>
      </c>
      <c r="D214" s="27">
        <f t="shared" si="28"/>
        <v>2038</v>
      </c>
      <c r="E214" s="91"/>
      <c r="F214" s="90"/>
      <c r="G214" s="49" t="str">
        <f>IFERROR(IFERROR(INDEX(Gas_EIA,1,MATCH(D214,$J$4:$AD$4,FALSE)),0)*INDEX(NG_Load_Shape,MATCH($C214,Adjustments!$G$3:$G$14,0),1),"Data Missing")</f>
        <v>Data Missing</v>
      </c>
      <c r="H214" s="44" t="str">
        <f t="shared" si="29"/>
        <v>Data Missing</v>
      </c>
      <c r="I214" s="12"/>
    </row>
    <row r="215" spans="1:9" x14ac:dyDescent="0.2">
      <c r="A215" s="7">
        <v>213</v>
      </c>
      <c r="B215" s="26">
        <f t="shared" si="26"/>
        <v>50649</v>
      </c>
      <c r="C215" s="46" t="str">
        <f t="shared" si="27"/>
        <v>Sep</v>
      </c>
      <c r="D215" s="27">
        <f t="shared" si="28"/>
        <v>2038</v>
      </c>
      <c r="E215" s="91"/>
      <c r="F215" s="90"/>
      <c r="G215" s="49" t="str">
        <f>IFERROR(IFERROR(INDEX(Gas_EIA,1,MATCH(D215,$J$4:$AD$4,FALSE)),0)*INDEX(NG_Load_Shape,MATCH($C215,Adjustments!$G$3:$G$14,0),1),"Data Missing")</f>
        <v>Data Missing</v>
      </c>
      <c r="H215" s="44" t="str">
        <f t="shared" si="29"/>
        <v>Data Missing</v>
      </c>
      <c r="I215" s="12"/>
    </row>
    <row r="216" spans="1:9" x14ac:dyDescent="0.2">
      <c r="A216" s="7">
        <v>214</v>
      </c>
      <c r="B216" s="26">
        <f t="shared" si="26"/>
        <v>50679</v>
      </c>
      <c r="C216" s="46" t="str">
        <f t="shared" si="27"/>
        <v>Oct</v>
      </c>
      <c r="D216" s="27">
        <f t="shared" si="28"/>
        <v>2038</v>
      </c>
      <c r="E216" s="91"/>
      <c r="F216" s="90"/>
      <c r="G216" s="49" t="str">
        <f>IFERROR(IFERROR(INDEX(Gas_EIA,1,MATCH(D216,$J$4:$AD$4,FALSE)),0)*INDEX(NG_Load_Shape,MATCH($C216,Adjustments!$G$3:$G$14,0),1),"Data Missing")</f>
        <v>Data Missing</v>
      </c>
      <c r="H216" s="44" t="str">
        <f t="shared" si="29"/>
        <v>Data Missing</v>
      </c>
      <c r="I216" s="12"/>
    </row>
    <row r="217" spans="1:9" x14ac:dyDescent="0.2">
      <c r="A217" s="7">
        <v>215</v>
      </c>
      <c r="B217" s="26">
        <f t="shared" si="26"/>
        <v>50710</v>
      </c>
      <c r="C217" s="46" t="str">
        <f t="shared" si="27"/>
        <v>Nov</v>
      </c>
      <c r="D217" s="27">
        <f t="shared" si="28"/>
        <v>2038</v>
      </c>
      <c r="E217" s="91"/>
      <c r="F217" s="90"/>
      <c r="G217" s="49" t="str">
        <f>IFERROR(IFERROR(INDEX(Gas_EIA,1,MATCH(D217,$J$4:$AD$4,FALSE)),0)*INDEX(NG_Load_Shape,MATCH($C217,Adjustments!$G$3:$G$14,0),1),"Data Missing")</f>
        <v>Data Missing</v>
      </c>
      <c r="H217" s="44" t="str">
        <f t="shared" si="29"/>
        <v>Data Missing</v>
      </c>
      <c r="I217" s="12"/>
    </row>
    <row r="218" spans="1:9" x14ac:dyDescent="0.2">
      <c r="A218" s="7">
        <v>216</v>
      </c>
      <c r="B218" s="26">
        <f t="shared" si="26"/>
        <v>50740</v>
      </c>
      <c r="C218" s="46" t="str">
        <f t="shared" si="27"/>
        <v>Dec</v>
      </c>
      <c r="D218" s="27">
        <f t="shared" si="28"/>
        <v>2038</v>
      </c>
      <c r="E218" s="91"/>
      <c r="F218" s="90"/>
      <c r="G218" s="49" t="str">
        <f>IFERROR(IFERROR(INDEX(Gas_EIA,1,MATCH(D218,$J$4:$AD$4,FALSE)),0)*INDEX(NG_Load_Shape,MATCH($C218,Adjustments!$G$3:$G$14,0),1),"Data Missing")</f>
        <v>Data Missing</v>
      </c>
      <c r="H218" s="44" t="str">
        <f t="shared" si="29"/>
        <v>Data Missing</v>
      </c>
      <c r="I218" s="12"/>
    </row>
    <row r="219" spans="1:9" x14ac:dyDescent="0.2">
      <c r="A219" s="7">
        <v>217</v>
      </c>
      <c r="B219" s="26">
        <f t="shared" si="26"/>
        <v>50771</v>
      </c>
      <c r="C219" s="46" t="str">
        <f t="shared" si="27"/>
        <v>Jan</v>
      </c>
      <c r="D219" s="27">
        <f t="shared" si="28"/>
        <v>2039</v>
      </c>
      <c r="E219" s="91"/>
      <c r="F219" s="90"/>
      <c r="G219" s="49" t="str">
        <f>IFERROR(IFERROR(INDEX(Gas_EIA,1,MATCH(D219,$J$4:$AD$4,FALSE)),0)*INDEX(NG_Load_Shape,MATCH($C219,Adjustments!$G$3:$G$14,0),1),"Data Missing")</f>
        <v>Data Missing</v>
      </c>
      <c r="H219" s="44" t="str">
        <f t="shared" si="29"/>
        <v>Data Missing</v>
      </c>
      <c r="I219" s="12"/>
    </row>
    <row r="220" spans="1:9" x14ac:dyDescent="0.2">
      <c r="A220" s="7">
        <v>218</v>
      </c>
      <c r="B220" s="26">
        <f t="shared" si="26"/>
        <v>50802</v>
      </c>
      <c r="C220" s="46" t="str">
        <f t="shared" si="27"/>
        <v>Feb</v>
      </c>
      <c r="D220" s="27">
        <f t="shared" si="28"/>
        <v>2039</v>
      </c>
      <c r="E220" s="91"/>
      <c r="F220" s="90"/>
      <c r="G220" s="49" t="str">
        <f>IFERROR(IFERROR(INDEX(Gas_EIA,1,MATCH(D220,$J$4:$AD$4,FALSE)),0)*INDEX(NG_Load_Shape,MATCH($C220,Adjustments!$G$3:$G$14,0),1),"Data Missing")</f>
        <v>Data Missing</v>
      </c>
      <c r="H220" s="44" t="str">
        <f t="shared" si="29"/>
        <v>Data Missing</v>
      </c>
      <c r="I220" s="12"/>
    </row>
    <row r="221" spans="1:9" x14ac:dyDescent="0.2">
      <c r="A221" s="7">
        <v>219</v>
      </c>
      <c r="B221" s="26">
        <f t="shared" si="26"/>
        <v>50830</v>
      </c>
      <c r="C221" s="46" t="str">
        <f t="shared" si="27"/>
        <v>Mar</v>
      </c>
      <c r="D221" s="27">
        <f t="shared" si="28"/>
        <v>2039</v>
      </c>
      <c r="E221" s="91"/>
      <c r="F221" s="90"/>
      <c r="G221" s="49" t="str">
        <f>IFERROR(IFERROR(INDEX(Gas_EIA,1,MATCH(D221,$J$4:$AD$4,FALSE)),0)*INDEX(NG_Load_Shape,MATCH($C221,Adjustments!$G$3:$G$14,0),1),"Data Missing")</f>
        <v>Data Missing</v>
      </c>
      <c r="H221" s="44" t="str">
        <f t="shared" si="29"/>
        <v>Data Missing</v>
      </c>
      <c r="I221" s="12"/>
    </row>
    <row r="222" spans="1:9" x14ac:dyDescent="0.2">
      <c r="A222" s="7">
        <v>220</v>
      </c>
      <c r="B222" s="26">
        <f t="shared" si="26"/>
        <v>50861</v>
      </c>
      <c r="C222" s="46" t="str">
        <f t="shared" si="27"/>
        <v>Apr</v>
      </c>
      <c r="D222" s="27">
        <f t="shared" si="28"/>
        <v>2039</v>
      </c>
      <c r="E222" s="91"/>
      <c r="F222" s="90"/>
      <c r="G222" s="49" t="str">
        <f>IFERROR(IFERROR(INDEX(Gas_EIA,1,MATCH(D222,$J$4:$AD$4,FALSE)),0)*INDEX(NG_Load_Shape,MATCH($C222,Adjustments!$G$3:$G$14,0),1),"Data Missing")</f>
        <v>Data Missing</v>
      </c>
      <c r="H222" s="44" t="str">
        <f t="shared" si="29"/>
        <v>Data Missing</v>
      </c>
      <c r="I222" s="12"/>
    </row>
    <row r="223" spans="1:9" x14ac:dyDescent="0.2">
      <c r="A223" s="7">
        <v>221</v>
      </c>
      <c r="B223" s="26">
        <f t="shared" si="26"/>
        <v>50891</v>
      </c>
      <c r="C223" s="46" t="str">
        <f t="shared" si="27"/>
        <v>May</v>
      </c>
      <c r="D223" s="27">
        <f t="shared" si="28"/>
        <v>2039</v>
      </c>
      <c r="E223" s="91"/>
      <c r="F223" s="90"/>
      <c r="G223" s="49" t="str">
        <f>IFERROR(IFERROR(INDEX(Gas_EIA,1,MATCH(D223,$J$4:$AD$4,FALSE)),0)*INDEX(NG_Load_Shape,MATCH($C223,Adjustments!$G$3:$G$14,0),1),"Data Missing")</f>
        <v>Data Missing</v>
      </c>
      <c r="H223" s="44" t="str">
        <f t="shared" si="29"/>
        <v>Data Missing</v>
      </c>
      <c r="I223" s="12"/>
    </row>
    <row r="224" spans="1:9" x14ac:dyDescent="0.2">
      <c r="A224" s="7">
        <v>222</v>
      </c>
      <c r="B224" s="26">
        <f t="shared" si="26"/>
        <v>50922</v>
      </c>
      <c r="C224" s="46" t="str">
        <f t="shared" si="27"/>
        <v>Jun</v>
      </c>
      <c r="D224" s="27">
        <f t="shared" si="28"/>
        <v>2039</v>
      </c>
      <c r="E224" s="91"/>
      <c r="F224" s="90"/>
      <c r="G224" s="49" t="str">
        <f>IFERROR(IFERROR(INDEX(Gas_EIA,1,MATCH(D224,$J$4:$AD$4,FALSE)),0)*INDEX(NG_Load_Shape,MATCH($C224,Adjustments!$G$3:$G$14,0),1),"Data Missing")</f>
        <v>Data Missing</v>
      </c>
      <c r="H224" s="44" t="str">
        <f t="shared" si="29"/>
        <v>Data Missing</v>
      </c>
      <c r="I224" s="12"/>
    </row>
    <row r="225" spans="1:9" x14ac:dyDescent="0.2">
      <c r="A225" s="7">
        <v>223</v>
      </c>
      <c r="B225" s="26">
        <f t="shared" si="26"/>
        <v>50952</v>
      </c>
      <c r="C225" s="46" t="str">
        <f t="shared" si="27"/>
        <v>Jul</v>
      </c>
      <c r="D225" s="27">
        <f t="shared" si="28"/>
        <v>2039</v>
      </c>
      <c r="E225" s="91"/>
      <c r="F225" s="90"/>
      <c r="G225" s="49" t="str">
        <f>IFERROR(IFERROR(INDEX(Gas_EIA,1,MATCH(D225,$J$4:$AD$4,FALSE)),0)*INDEX(NG_Load_Shape,MATCH($C225,Adjustments!$G$3:$G$14,0),1),"Data Missing")</f>
        <v>Data Missing</v>
      </c>
      <c r="H225" s="44" t="str">
        <f t="shared" si="29"/>
        <v>Data Missing</v>
      </c>
      <c r="I225" s="12"/>
    </row>
    <row r="226" spans="1:9" x14ac:dyDescent="0.2">
      <c r="A226" s="7">
        <v>224</v>
      </c>
      <c r="B226" s="26">
        <f t="shared" si="26"/>
        <v>50983</v>
      </c>
      <c r="C226" s="46" t="str">
        <f t="shared" si="27"/>
        <v>Aug</v>
      </c>
      <c r="D226" s="27">
        <f t="shared" si="28"/>
        <v>2039</v>
      </c>
      <c r="E226" s="91"/>
      <c r="F226" s="90"/>
      <c r="G226" s="49" t="str">
        <f>IFERROR(IFERROR(INDEX(Gas_EIA,1,MATCH(D226,$J$4:$AD$4,FALSE)),0)*INDEX(NG_Load_Shape,MATCH($C226,Adjustments!$G$3:$G$14,0),1),"Data Missing")</f>
        <v>Data Missing</v>
      </c>
      <c r="H226" s="44" t="str">
        <f t="shared" si="29"/>
        <v>Data Missing</v>
      </c>
      <c r="I226" s="12"/>
    </row>
    <row r="227" spans="1:9" x14ac:dyDescent="0.2">
      <c r="A227" s="7">
        <v>225</v>
      </c>
      <c r="B227" s="26">
        <f t="shared" si="26"/>
        <v>51014</v>
      </c>
      <c r="C227" s="46" t="str">
        <f t="shared" si="27"/>
        <v>Sep</v>
      </c>
      <c r="D227" s="27">
        <f t="shared" si="28"/>
        <v>2039</v>
      </c>
      <c r="E227" s="91"/>
      <c r="F227" s="90"/>
      <c r="G227" s="49" t="str">
        <f>IFERROR(IFERROR(INDEX(Gas_EIA,1,MATCH(D227,$J$4:$AD$4,FALSE)),0)*INDEX(NG_Load_Shape,MATCH($C227,Adjustments!$G$3:$G$14,0),1),"Data Missing")</f>
        <v>Data Missing</v>
      </c>
      <c r="H227" s="44" t="str">
        <f t="shared" si="29"/>
        <v>Data Missing</v>
      </c>
      <c r="I227" s="12"/>
    </row>
    <row r="228" spans="1:9" x14ac:dyDescent="0.2">
      <c r="A228" s="7">
        <v>226</v>
      </c>
      <c r="B228" s="26">
        <f t="shared" si="26"/>
        <v>51044</v>
      </c>
      <c r="C228" s="46" t="str">
        <f t="shared" si="27"/>
        <v>Oct</v>
      </c>
      <c r="D228" s="27">
        <f t="shared" si="28"/>
        <v>2039</v>
      </c>
      <c r="E228" s="91"/>
      <c r="F228" s="90"/>
      <c r="G228" s="49" t="str">
        <f>IFERROR(IFERROR(INDEX(Gas_EIA,1,MATCH(D228,$J$4:$AD$4,FALSE)),0)*INDEX(NG_Load_Shape,MATCH($C228,Adjustments!$G$3:$G$14,0),1),"Data Missing")</f>
        <v>Data Missing</v>
      </c>
      <c r="H228" s="44" t="str">
        <f t="shared" si="29"/>
        <v>Data Missing</v>
      </c>
      <c r="I228" s="12"/>
    </row>
    <row r="229" spans="1:9" x14ac:dyDescent="0.2">
      <c r="A229" s="7">
        <v>227</v>
      </c>
      <c r="B229" s="26">
        <f t="shared" si="26"/>
        <v>51075</v>
      </c>
      <c r="C229" s="46" t="str">
        <f t="shared" si="27"/>
        <v>Nov</v>
      </c>
      <c r="D229" s="27">
        <f t="shared" si="28"/>
        <v>2039</v>
      </c>
      <c r="E229" s="91"/>
      <c r="F229" s="90"/>
      <c r="G229" s="49" t="str">
        <f>IFERROR(IFERROR(INDEX(Gas_EIA,1,MATCH(D229,$J$4:$AD$4,FALSE)),0)*INDEX(NG_Load_Shape,MATCH($C229,Adjustments!$G$3:$G$14,0),1),"Data Missing")</f>
        <v>Data Missing</v>
      </c>
      <c r="H229" s="44" t="str">
        <f t="shared" si="29"/>
        <v>Data Missing</v>
      </c>
      <c r="I229" s="12"/>
    </row>
    <row r="230" spans="1:9" x14ac:dyDescent="0.2">
      <c r="A230" s="7">
        <v>228</v>
      </c>
      <c r="B230" s="26">
        <f t="shared" si="26"/>
        <v>51105</v>
      </c>
      <c r="C230" s="46" t="str">
        <f t="shared" si="27"/>
        <v>Dec</v>
      </c>
      <c r="D230" s="27">
        <f t="shared" si="28"/>
        <v>2039</v>
      </c>
      <c r="E230" s="91"/>
      <c r="F230" s="90"/>
      <c r="G230" s="49" t="str">
        <f>IFERROR(IFERROR(INDEX(Gas_EIA,1,MATCH(D230,$J$4:$AD$4,FALSE)),0)*INDEX(NG_Load_Shape,MATCH($C230,Adjustments!$G$3:$G$14,0),1),"Data Missing")</f>
        <v>Data Missing</v>
      </c>
      <c r="H230" s="44" t="str">
        <f t="shared" si="29"/>
        <v>Data Missing</v>
      </c>
      <c r="I230" s="12"/>
    </row>
    <row r="231" spans="1:9" x14ac:dyDescent="0.2">
      <c r="A231" s="7">
        <v>229</v>
      </c>
      <c r="B231" s="26">
        <f t="shared" si="26"/>
        <v>51136</v>
      </c>
      <c r="C231" s="46" t="str">
        <f t="shared" si="27"/>
        <v>Jan</v>
      </c>
      <c r="D231" s="27">
        <f t="shared" si="28"/>
        <v>2040</v>
      </c>
      <c r="E231" s="91"/>
      <c r="F231" s="90"/>
      <c r="G231" s="49" t="str">
        <f>IFERROR(IFERROR(INDEX(Gas_EIA,1,MATCH(D231,$J$4:$AD$4,FALSE)),0)*INDEX(NG_Load_Shape,MATCH($C231,Adjustments!$G$3:$G$14,0),1),"Data Missing")</f>
        <v>Data Missing</v>
      </c>
      <c r="H231" s="44" t="str">
        <f t="shared" si="29"/>
        <v>Data Missing</v>
      </c>
      <c r="I231" s="12"/>
    </row>
    <row r="232" spans="1:9" x14ac:dyDescent="0.2">
      <c r="A232" s="7">
        <v>230</v>
      </c>
      <c r="B232" s="26">
        <f t="shared" si="26"/>
        <v>51167</v>
      </c>
      <c r="C232" s="46" t="str">
        <f t="shared" si="27"/>
        <v>Feb</v>
      </c>
      <c r="D232" s="27">
        <f t="shared" si="28"/>
        <v>2040</v>
      </c>
      <c r="E232" s="91"/>
      <c r="F232" s="90"/>
      <c r="G232" s="49" t="str">
        <f>IFERROR(IFERROR(INDEX(Gas_EIA,1,MATCH(D232,$J$4:$AD$4,FALSE)),0)*INDEX(NG_Load_Shape,MATCH($C232,Adjustments!$G$3:$G$14,0),1),"Data Missing")</f>
        <v>Data Missing</v>
      </c>
      <c r="H232" s="44" t="str">
        <f t="shared" si="29"/>
        <v>Data Missing</v>
      </c>
      <c r="I232" s="12"/>
    </row>
    <row r="233" spans="1:9" x14ac:dyDescent="0.2">
      <c r="A233" s="7">
        <v>231</v>
      </c>
      <c r="B233" s="26">
        <f t="shared" si="26"/>
        <v>51196</v>
      </c>
      <c r="C233" s="46" t="str">
        <f t="shared" si="27"/>
        <v>Mar</v>
      </c>
      <c r="D233" s="27">
        <f t="shared" si="28"/>
        <v>2040</v>
      </c>
      <c r="E233" s="91"/>
      <c r="F233" s="90"/>
      <c r="G233" s="49" t="str">
        <f>IFERROR(IFERROR(INDEX(Gas_EIA,1,MATCH(D233,$J$4:$AD$4,FALSE)),0)*INDEX(NG_Load_Shape,MATCH($C233,Adjustments!$G$3:$G$14,0),1),"Data Missing")</f>
        <v>Data Missing</v>
      </c>
      <c r="H233" s="44" t="str">
        <f t="shared" si="29"/>
        <v>Data Missing</v>
      </c>
      <c r="I233" s="12"/>
    </row>
    <row r="234" spans="1:9" x14ac:dyDescent="0.2">
      <c r="A234" s="7">
        <v>232</v>
      </c>
      <c r="B234" s="26">
        <f t="shared" si="26"/>
        <v>51227</v>
      </c>
      <c r="C234" s="46" t="str">
        <f t="shared" si="27"/>
        <v>Apr</v>
      </c>
      <c r="D234" s="27">
        <f t="shared" si="28"/>
        <v>2040</v>
      </c>
      <c r="E234" s="91"/>
      <c r="F234" s="90"/>
      <c r="G234" s="49" t="str">
        <f>IFERROR(IFERROR(INDEX(Gas_EIA,1,MATCH(D234,$J$4:$AD$4,FALSE)),0)*INDEX(NG_Load_Shape,MATCH($C234,Adjustments!$G$3:$G$14,0),1),"Data Missing")</f>
        <v>Data Missing</v>
      </c>
      <c r="H234" s="44" t="str">
        <f t="shared" si="29"/>
        <v>Data Missing</v>
      </c>
      <c r="I234" s="12"/>
    </row>
    <row r="235" spans="1:9" x14ac:dyDescent="0.2">
      <c r="A235" s="7">
        <v>233</v>
      </c>
      <c r="B235" s="26">
        <f t="shared" si="26"/>
        <v>51257</v>
      </c>
      <c r="C235" s="46" t="str">
        <f t="shared" si="27"/>
        <v>May</v>
      </c>
      <c r="D235" s="27">
        <f t="shared" si="28"/>
        <v>2040</v>
      </c>
      <c r="E235" s="91"/>
      <c r="F235" s="90"/>
      <c r="G235" s="49" t="str">
        <f>IFERROR(IFERROR(INDEX(Gas_EIA,1,MATCH(D235,$J$4:$AD$4,FALSE)),0)*INDEX(NG_Load_Shape,MATCH($C235,Adjustments!$G$3:$G$14,0),1),"Data Missing")</f>
        <v>Data Missing</v>
      </c>
      <c r="H235" s="44" t="str">
        <f t="shared" si="29"/>
        <v>Data Missing</v>
      </c>
      <c r="I235" s="12"/>
    </row>
    <row r="236" spans="1:9" x14ac:dyDescent="0.2">
      <c r="A236" s="7">
        <v>234</v>
      </c>
      <c r="B236" s="26">
        <f t="shared" si="26"/>
        <v>51288</v>
      </c>
      <c r="C236" s="46" t="str">
        <f t="shared" si="27"/>
        <v>Jun</v>
      </c>
      <c r="D236" s="27">
        <f t="shared" si="28"/>
        <v>2040</v>
      </c>
      <c r="E236" s="91"/>
      <c r="F236" s="90"/>
      <c r="G236" s="49" t="str">
        <f>IFERROR(IFERROR(INDEX(Gas_EIA,1,MATCH(D236,$J$4:$AD$4,FALSE)),0)*INDEX(NG_Load_Shape,MATCH($C236,Adjustments!$G$3:$G$14,0),1),"Data Missing")</f>
        <v>Data Missing</v>
      </c>
      <c r="H236" s="44" t="str">
        <f t="shared" si="29"/>
        <v>Data Missing</v>
      </c>
      <c r="I236" s="12"/>
    </row>
    <row r="237" spans="1:9" x14ac:dyDescent="0.2">
      <c r="A237" s="7">
        <v>235</v>
      </c>
      <c r="B237" s="26">
        <f t="shared" si="26"/>
        <v>51318</v>
      </c>
      <c r="C237" s="46" t="str">
        <f t="shared" si="27"/>
        <v>Jul</v>
      </c>
      <c r="D237" s="27">
        <f t="shared" si="28"/>
        <v>2040</v>
      </c>
      <c r="E237" s="91"/>
      <c r="F237" s="90"/>
      <c r="G237" s="49" t="str">
        <f>IFERROR(IFERROR(INDEX(Gas_EIA,1,MATCH(D237,$J$4:$AD$4,FALSE)),0)*INDEX(NG_Load_Shape,MATCH($C237,Adjustments!$G$3:$G$14,0),1),"Data Missing")</f>
        <v>Data Missing</v>
      </c>
      <c r="H237" s="44" t="str">
        <f t="shared" si="29"/>
        <v>Data Missing</v>
      </c>
      <c r="I237" s="12"/>
    </row>
    <row r="238" spans="1:9" x14ac:dyDescent="0.2">
      <c r="A238" s="7">
        <v>236</v>
      </c>
      <c r="B238" s="26">
        <f t="shared" si="26"/>
        <v>51349</v>
      </c>
      <c r="C238" s="46" t="str">
        <f t="shared" si="27"/>
        <v>Aug</v>
      </c>
      <c r="D238" s="27">
        <f t="shared" si="28"/>
        <v>2040</v>
      </c>
      <c r="E238" s="91"/>
      <c r="F238" s="90"/>
      <c r="G238" s="49" t="str">
        <f>IFERROR(IFERROR(INDEX(Gas_EIA,1,MATCH(D238,$J$4:$AD$4,FALSE)),0)*INDEX(NG_Load_Shape,MATCH($C238,Adjustments!$G$3:$G$14,0),1),"Data Missing")</f>
        <v>Data Missing</v>
      </c>
      <c r="H238" s="44" t="str">
        <f t="shared" si="29"/>
        <v>Data Missing</v>
      </c>
      <c r="I238" s="12"/>
    </row>
    <row r="239" spans="1:9" x14ac:dyDescent="0.2">
      <c r="A239" s="7">
        <v>237</v>
      </c>
      <c r="B239" s="26">
        <f t="shared" si="26"/>
        <v>51380</v>
      </c>
      <c r="C239" s="46" t="str">
        <f t="shared" si="27"/>
        <v>Sep</v>
      </c>
      <c r="D239" s="27">
        <f t="shared" si="28"/>
        <v>2040</v>
      </c>
      <c r="E239" s="91"/>
      <c r="F239" s="90"/>
      <c r="G239" s="49" t="str">
        <f>IFERROR(IFERROR(INDEX(Gas_EIA,1,MATCH(D239,$J$4:$AD$4,FALSE)),0)*INDEX(NG_Load_Shape,MATCH($C239,Adjustments!$G$3:$G$14,0),1),"Data Missing")</f>
        <v>Data Missing</v>
      </c>
      <c r="H239" s="44" t="str">
        <f t="shared" si="29"/>
        <v>Data Missing</v>
      </c>
      <c r="I239" s="12"/>
    </row>
    <row r="240" spans="1:9" x14ac:dyDescent="0.2">
      <c r="A240" s="7">
        <v>238</v>
      </c>
      <c r="B240" s="26">
        <f t="shared" si="26"/>
        <v>51410</v>
      </c>
      <c r="C240" s="46" t="str">
        <f t="shared" si="27"/>
        <v>Oct</v>
      </c>
      <c r="D240" s="27">
        <f t="shared" si="28"/>
        <v>2040</v>
      </c>
      <c r="E240" s="91"/>
      <c r="F240" s="90"/>
      <c r="G240" s="49" t="str">
        <f>IFERROR(IFERROR(INDEX(Gas_EIA,1,MATCH(D240,$J$4:$AD$4,FALSE)),0)*INDEX(NG_Load_Shape,MATCH($C240,Adjustments!$G$3:$G$14,0),1),"Data Missing")</f>
        <v>Data Missing</v>
      </c>
      <c r="H240" s="44" t="str">
        <f t="shared" si="29"/>
        <v>Data Missing</v>
      </c>
      <c r="I240" s="12"/>
    </row>
    <row r="241" spans="1:9" x14ac:dyDescent="0.2">
      <c r="A241" s="7">
        <v>239</v>
      </c>
      <c r="B241" s="26">
        <f t="shared" si="26"/>
        <v>51441</v>
      </c>
      <c r="C241" s="46" t="str">
        <f t="shared" si="27"/>
        <v>Nov</v>
      </c>
      <c r="D241" s="27">
        <f t="shared" si="28"/>
        <v>2040</v>
      </c>
      <c r="E241" s="91"/>
      <c r="F241" s="90"/>
      <c r="G241" s="49" t="str">
        <f>IFERROR(IFERROR(INDEX(Gas_EIA,1,MATCH(D241,$J$4:$AD$4,FALSE)),0)*INDEX(NG_Load_Shape,MATCH($C241,Adjustments!$G$3:$G$14,0),1),"Data Missing")</f>
        <v>Data Missing</v>
      </c>
      <c r="H241" s="44" t="str">
        <f t="shared" si="29"/>
        <v>Data Missing</v>
      </c>
      <c r="I241" s="12"/>
    </row>
    <row r="242" spans="1:9" x14ac:dyDescent="0.2">
      <c r="A242" s="7">
        <v>240</v>
      </c>
      <c r="B242" s="26">
        <f t="shared" si="26"/>
        <v>51471</v>
      </c>
      <c r="C242" s="46" t="str">
        <f t="shared" si="27"/>
        <v>Dec</v>
      </c>
      <c r="D242" s="27">
        <f t="shared" si="28"/>
        <v>2040</v>
      </c>
      <c r="E242" s="91"/>
      <c r="F242" s="90"/>
      <c r="G242" s="49" t="str">
        <f>IFERROR(IFERROR(INDEX(Gas_EIA,1,MATCH(D242,$J$4:$AD$4,FALSE)),0)*INDEX(NG_Load_Shape,MATCH($C242,Adjustments!$G$3:$G$14,0),1),"Data Missing")</f>
        <v>Data Missing</v>
      </c>
      <c r="H242" s="44" t="str">
        <f t="shared" si="29"/>
        <v>Data Missing</v>
      </c>
      <c r="I242" s="12"/>
    </row>
    <row r="243" spans="1:9" x14ac:dyDescent="0.2">
      <c r="A243" s="7">
        <v>241</v>
      </c>
      <c r="B243" s="26">
        <f t="shared" si="26"/>
        <v>51502</v>
      </c>
      <c r="C243" s="46" t="str">
        <f t="shared" si="27"/>
        <v>Jan</v>
      </c>
      <c r="D243" s="27">
        <f t="shared" si="28"/>
        <v>2041</v>
      </c>
      <c r="E243" s="91"/>
      <c r="F243" s="90"/>
      <c r="G243" s="49" t="str">
        <f>IFERROR(IFERROR(INDEX(Gas_EIA,1,MATCH(D243,$J$4:$AD$4,FALSE)),0)*INDEX(NG_Load_Shape,MATCH($C243,Adjustments!$G$3:$G$14,0),1),"Data Missing")</f>
        <v>Data Missing</v>
      </c>
      <c r="H243" s="44" t="str">
        <f t="shared" si="29"/>
        <v>Data Missing</v>
      </c>
      <c r="I243" s="12"/>
    </row>
    <row r="244" spans="1:9" x14ac:dyDescent="0.2">
      <c r="A244" s="7">
        <v>242</v>
      </c>
      <c r="B244" s="26">
        <f t="shared" si="26"/>
        <v>51533</v>
      </c>
      <c r="C244" s="46" t="str">
        <f t="shared" si="27"/>
        <v>Feb</v>
      </c>
      <c r="D244" s="27">
        <f t="shared" si="28"/>
        <v>2041</v>
      </c>
      <c r="E244" s="91"/>
      <c r="F244" s="90"/>
      <c r="G244" s="49" t="str">
        <f>IFERROR(IFERROR(INDEX(Gas_EIA,1,MATCH(D244,$J$4:$AD$4,FALSE)),0)*INDEX(NG_Load_Shape,MATCH($C244,Adjustments!$G$3:$G$14,0),1),"Data Missing")</f>
        <v>Data Missing</v>
      </c>
      <c r="H244" s="44" t="str">
        <f t="shared" si="29"/>
        <v>Data Missing</v>
      </c>
      <c r="I244" s="12"/>
    </row>
    <row r="245" spans="1:9" x14ac:dyDescent="0.2">
      <c r="A245" s="7">
        <v>243</v>
      </c>
      <c r="B245" s="26">
        <f t="shared" si="26"/>
        <v>51561</v>
      </c>
      <c r="C245" s="46" t="str">
        <f t="shared" si="27"/>
        <v>Mar</v>
      </c>
      <c r="D245" s="27">
        <f t="shared" si="28"/>
        <v>2041</v>
      </c>
      <c r="E245" s="91"/>
      <c r="F245" s="90"/>
      <c r="G245" s="49" t="str">
        <f>IFERROR(IFERROR(INDEX(Gas_EIA,1,MATCH(D245,$J$4:$AD$4,FALSE)),0)*INDEX(NG_Load_Shape,MATCH($C245,Adjustments!$G$3:$G$14,0),1),"Data Missing")</f>
        <v>Data Missing</v>
      </c>
      <c r="H245" s="44" t="str">
        <f t="shared" si="29"/>
        <v>Data Missing</v>
      </c>
      <c r="I245" s="12"/>
    </row>
    <row r="246" spans="1:9" x14ac:dyDescent="0.2">
      <c r="A246" s="7">
        <v>244</v>
      </c>
      <c r="B246" s="26">
        <f t="shared" si="26"/>
        <v>51592</v>
      </c>
      <c r="C246" s="46" t="str">
        <f t="shared" si="27"/>
        <v>Apr</v>
      </c>
      <c r="D246" s="27">
        <f t="shared" si="28"/>
        <v>2041</v>
      </c>
      <c r="E246" s="91"/>
      <c r="F246" s="90"/>
      <c r="G246" s="49" t="str">
        <f>IFERROR(IFERROR(INDEX(Gas_EIA,1,MATCH(D246,$J$4:$AD$4,FALSE)),0)*INDEX(NG_Load_Shape,MATCH($C246,Adjustments!$G$3:$G$14,0),1),"Data Missing")</f>
        <v>Data Missing</v>
      </c>
      <c r="H246" s="44" t="str">
        <f t="shared" si="29"/>
        <v>Data Missing</v>
      </c>
      <c r="I246" s="12"/>
    </row>
    <row r="247" spans="1:9" x14ac:dyDescent="0.2">
      <c r="A247" s="7">
        <v>245</v>
      </c>
      <c r="B247" s="26">
        <f t="shared" si="26"/>
        <v>51622</v>
      </c>
      <c r="C247" s="46" t="str">
        <f t="shared" si="27"/>
        <v>May</v>
      </c>
      <c r="D247" s="27">
        <f t="shared" si="28"/>
        <v>2041</v>
      </c>
      <c r="E247" s="91"/>
      <c r="F247" s="90"/>
      <c r="G247" s="49" t="str">
        <f>IFERROR(IFERROR(INDEX(Gas_EIA,1,MATCH(D247,$J$4:$AD$4,FALSE)),0)*INDEX(NG_Load_Shape,MATCH($C247,Adjustments!$G$3:$G$14,0),1),"Data Missing")</f>
        <v>Data Missing</v>
      </c>
      <c r="H247" s="44" t="str">
        <f t="shared" si="29"/>
        <v>Data Missing</v>
      </c>
      <c r="I247" s="12"/>
    </row>
    <row r="248" spans="1:9" x14ac:dyDescent="0.2">
      <c r="A248" s="7">
        <v>246</v>
      </c>
      <c r="B248" s="26">
        <f t="shared" si="26"/>
        <v>51653</v>
      </c>
      <c r="C248" s="46" t="str">
        <f t="shared" si="27"/>
        <v>Jun</v>
      </c>
      <c r="D248" s="27">
        <f t="shared" si="28"/>
        <v>2041</v>
      </c>
      <c r="E248" s="91"/>
      <c r="F248" s="90"/>
      <c r="G248" s="49" t="str">
        <f>IFERROR(IFERROR(INDEX(Gas_EIA,1,MATCH(D248,$J$4:$AD$4,FALSE)),0)*INDEX(NG_Load_Shape,MATCH($C248,Adjustments!$G$3:$G$14,0),1),"Data Missing")</f>
        <v>Data Missing</v>
      </c>
      <c r="H248" s="44" t="str">
        <f t="shared" si="29"/>
        <v>Data Missing</v>
      </c>
      <c r="I248" s="12"/>
    </row>
    <row r="249" spans="1:9" x14ac:dyDescent="0.2">
      <c r="A249" s="7">
        <v>247</v>
      </c>
      <c r="B249" s="26">
        <f t="shared" si="26"/>
        <v>51683</v>
      </c>
      <c r="C249" s="46" t="str">
        <f t="shared" si="27"/>
        <v>Jul</v>
      </c>
      <c r="D249" s="27">
        <f t="shared" si="28"/>
        <v>2041</v>
      </c>
      <c r="E249" s="91"/>
      <c r="F249" s="90"/>
      <c r="G249" s="49" t="str">
        <f>IFERROR(IFERROR(INDEX(Gas_EIA,1,MATCH(D249,$J$4:$AD$4,FALSE)),0)*INDEX(NG_Load_Shape,MATCH($C249,Adjustments!$G$3:$G$14,0),1),"Data Missing")</f>
        <v>Data Missing</v>
      </c>
      <c r="H249" s="44" t="str">
        <f t="shared" si="29"/>
        <v>Data Missing</v>
      </c>
      <c r="I249" s="12"/>
    </row>
    <row r="250" spans="1:9" x14ac:dyDescent="0.2">
      <c r="A250" s="7">
        <v>248</v>
      </c>
      <c r="B250" s="26">
        <f t="shared" si="26"/>
        <v>51714</v>
      </c>
      <c r="C250" s="46" t="str">
        <f t="shared" si="27"/>
        <v>Aug</v>
      </c>
      <c r="D250" s="27">
        <f t="shared" si="28"/>
        <v>2041</v>
      </c>
      <c r="E250" s="91"/>
      <c r="F250" s="90"/>
      <c r="G250" s="49" t="str">
        <f>IFERROR(IFERROR(INDEX(Gas_EIA,1,MATCH(D250,$J$4:$AD$4,FALSE)),0)*INDEX(NG_Load_Shape,MATCH($C250,Adjustments!$G$3:$G$14,0),1),"Data Missing")</f>
        <v>Data Missing</v>
      </c>
      <c r="H250" s="44" t="str">
        <f t="shared" si="29"/>
        <v>Data Missing</v>
      </c>
      <c r="I250" s="12"/>
    </row>
    <row r="251" spans="1:9" x14ac:dyDescent="0.2">
      <c r="A251" s="7">
        <v>249</v>
      </c>
      <c r="B251" s="26">
        <f t="shared" si="26"/>
        <v>51745</v>
      </c>
      <c r="C251" s="46" t="str">
        <f t="shared" si="27"/>
        <v>Sep</v>
      </c>
      <c r="D251" s="27">
        <f t="shared" si="28"/>
        <v>2041</v>
      </c>
      <c r="E251" s="91"/>
      <c r="F251" s="90"/>
      <c r="G251" s="49" t="str">
        <f>IFERROR(IFERROR(INDEX(Gas_EIA,1,MATCH(D251,$J$4:$AD$4,FALSE)),0)*INDEX(NG_Load_Shape,MATCH($C251,Adjustments!$G$3:$G$14,0),1),"Data Missing")</f>
        <v>Data Missing</v>
      </c>
      <c r="H251" s="44" t="str">
        <f t="shared" si="29"/>
        <v>Data Missing</v>
      </c>
      <c r="I251" s="12"/>
    </row>
    <row r="252" spans="1:9" x14ac:dyDescent="0.2">
      <c r="A252" s="7">
        <v>250</v>
      </c>
      <c r="B252" s="26">
        <f t="shared" si="26"/>
        <v>51775</v>
      </c>
      <c r="C252" s="46" t="str">
        <f t="shared" si="27"/>
        <v>Oct</v>
      </c>
      <c r="D252" s="27">
        <f t="shared" si="28"/>
        <v>2041</v>
      </c>
      <c r="E252" s="91"/>
      <c r="F252" s="90"/>
      <c r="G252" s="49" t="str">
        <f>IFERROR(IFERROR(INDEX(Gas_EIA,1,MATCH(D252,$J$4:$AD$4,FALSE)),0)*INDEX(NG_Load_Shape,MATCH($C252,Adjustments!$G$3:$G$14,0),1),"Data Missing")</f>
        <v>Data Missing</v>
      </c>
      <c r="H252" s="44" t="str">
        <f t="shared" si="29"/>
        <v>Data Missing</v>
      </c>
      <c r="I252" s="12"/>
    </row>
    <row r="253" spans="1:9" x14ac:dyDescent="0.2">
      <c r="A253" s="7">
        <v>251</v>
      </c>
      <c r="B253" s="26">
        <f t="shared" si="26"/>
        <v>51806</v>
      </c>
      <c r="C253" s="46" t="str">
        <f t="shared" si="27"/>
        <v>Nov</v>
      </c>
      <c r="D253" s="27">
        <f t="shared" si="28"/>
        <v>2041</v>
      </c>
      <c r="E253" s="91"/>
      <c r="F253" s="90"/>
      <c r="G253" s="49" t="str">
        <f>IFERROR(IFERROR(INDEX(Gas_EIA,1,MATCH(D253,$J$4:$AD$4,FALSE)),0)*INDEX(NG_Load_Shape,MATCH($C253,Adjustments!$G$3:$G$14,0),1),"Data Missing")</f>
        <v>Data Missing</v>
      </c>
      <c r="H253" s="44" t="str">
        <f t="shared" si="29"/>
        <v>Data Missing</v>
      </c>
      <c r="I253" s="12"/>
    </row>
    <row r="254" spans="1:9" x14ac:dyDescent="0.2">
      <c r="A254" s="7">
        <v>252</v>
      </c>
      <c r="B254" s="26">
        <f t="shared" si="26"/>
        <v>51836</v>
      </c>
      <c r="C254" s="46" t="str">
        <f t="shared" si="27"/>
        <v>Dec</v>
      </c>
      <c r="D254" s="27">
        <f t="shared" si="28"/>
        <v>2041</v>
      </c>
      <c r="E254" s="91"/>
      <c r="F254" s="90"/>
      <c r="G254" s="49" t="str">
        <f>IFERROR(IFERROR(INDEX(Gas_EIA,1,MATCH(D254,$J$4:$AD$4,FALSE)),0)*INDEX(NG_Load_Shape,MATCH($C254,Adjustments!$G$3:$G$14,0),1),"Data Missing")</f>
        <v>Data Missing</v>
      </c>
      <c r="H254" s="44" t="str">
        <f t="shared" si="29"/>
        <v>Data Missing</v>
      </c>
      <c r="I254" s="12"/>
    </row>
    <row r="255" spans="1:9" x14ac:dyDescent="0.2">
      <c r="A255" s="7">
        <v>253</v>
      </c>
      <c r="B255" s="26">
        <f t="shared" si="26"/>
        <v>51867</v>
      </c>
      <c r="C255" s="46" t="str">
        <f t="shared" si="27"/>
        <v>Jan</v>
      </c>
      <c r="D255" s="27">
        <f t="shared" si="28"/>
        <v>2042</v>
      </c>
      <c r="E255" s="91"/>
      <c r="F255" s="90"/>
      <c r="G255" s="49" t="str">
        <f>IFERROR(IFERROR(INDEX(Gas_EIA,1,MATCH(D255,$J$4:$AD$4,FALSE)),0)*INDEX(NG_Load_Shape,MATCH($C255,Adjustments!$G$3:$G$14,0),1),"Data Missing")</f>
        <v>Data Missing</v>
      </c>
      <c r="H255" s="44" t="str">
        <f t="shared" si="29"/>
        <v>Data Missing</v>
      </c>
      <c r="I255" s="12"/>
    </row>
    <row r="256" spans="1:9" x14ac:dyDescent="0.2">
      <c r="A256" s="7">
        <v>254</v>
      </c>
      <c r="B256" s="26">
        <f t="shared" si="26"/>
        <v>51898</v>
      </c>
      <c r="C256" s="46" t="str">
        <f t="shared" si="27"/>
        <v>Feb</v>
      </c>
      <c r="D256" s="27">
        <f t="shared" si="28"/>
        <v>2042</v>
      </c>
      <c r="E256" s="91"/>
      <c r="F256" s="90"/>
      <c r="G256" s="49" t="str">
        <f>IFERROR(IFERROR(INDEX(Gas_EIA,1,MATCH(D256,$J$4:$AD$4,FALSE)),0)*INDEX(NG_Load_Shape,MATCH($C256,Adjustments!$G$3:$G$14,0),1),"Data Missing")</f>
        <v>Data Missing</v>
      </c>
      <c r="H256" s="44" t="str">
        <f t="shared" si="29"/>
        <v>Data Missing</v>
      </c>
      <c r="I256" s="12"/>
    </row>
    <row r="257" spans="1:9" x14ac:dyDescent="0.2">
      <c r="A257" s="7">
        <v>255</v>
      </c>
      <c r="B257" s="26">
        <f t="shared" si="26"/>
        <v>51926</v>
      </c>
      <c r="C257" s="46" t="str">
        <f t="shared" si="27"/>
        <v>Mar</v>
      </c>
      <c r="D257" s="27">
        <f t="shared" si="28"/>
        <v>2042</v>
      </c>
      <c r="E257" s="91"/>
      <c r="F257" s="90"/>
      <c r="G257" s="49" t="str">
        <f>IFERROR(IFERROR(INDEX(Gas_EIA,1,MATCH(D257,$J$4:$AD$4,FALSE)),0)*INDEX(NG_Load_Shape,MATCH($C257,Adjustments!$G$3:$G$14,0),1),"Data Missing")</f>
        <v>Data Missing</v>
      </c>
      <c r="H257" s="44" t="str">
        <f t="shared" si="29"/>
        <v>Data Missing</v>
      </c>
      <c r="I257" s="12"/>
    </row>
    <row r="258" spans="1:9" x14ac:dyDescent="0.2">
      <c r="A258" s="7">
        <v>256</v>
      </c>
      <c r="B258" s="26">
        <f t="shared" si="26"/>
        <v>51957</v>
      </c>
      <c r="C258" s="46" t="str">
        <f t="shared" si="27"/>
        <v>Apr</v>
      </c>
      <c r="D258" s="27">
        <f t="shared" si="28"/>
        <v>2042</v>
      </c>
      <c r="E258" s="91"/>
      <c r="F258" s="90"/>
      <c r="G258" s="49" t="str">
        <f>IFERROR(IFERROR(INDEX(Gas_EIA,1,MATCH(D258,$J$4:$AD$4,FALSE)),0)*INDEX(NG_Load_Shape,MATCH($C258,Adjustments!$G$3:$G$14,0),1),"Data Missing")</f>
        <v>Data Missing</v>
      </c>
      <c r="H258" s="44" t="str">
        <f t="shared" si="29"/>
        <v>Data Missing</v>
      </c>
      <c r="I258" s="12"/>
    </row>
    <row r="259" spans="1:9" x14ac:dyDescent="0.2">
      <c r="A259" s="7">
        <v>257</v>
      </c>
      <c r="B259" s="26">
        <f t="shared" si="26"/>
        <v>51987</v>
      </c>
      <c r="C259" s="46" t="str">
        <f t="shared" si="27"/>
        <v>May</v>
      </c>
      <c r="D259" s="27">
        <f t="shared" si="28"/>
        <v>2042</v>
      </c>
      <c r="E259" s="91"/>
      <c r="F259" s="90"/>
      <c r="G259" s="49" t="str">
        <f>IFERROR(IFERROR(INDEX(Gas_EIA,1,MATCH(D259,$J$4:$AD$4,FALSE)),0)*INDEX(NG_Load_Shape,MATCH($C259,Adjustments!$G$3:$G$14,0),1),"Data Missing")</f>
        <v>Data Missing</v>
      </c>
      <c r="H259" s="44" t="str">
        <f t="shared" si="29"/>
        <v>Data Missing</v>
      </c>
      <c r="I259" s="12"/>
    </row>
    <row r="260" spans="1:9" x14ac:dyDescent="0.2">
      <c r="A260" s="7">
        <v>258</v>
      </c>
      <c r="B260" s="26">
        <f t="shared" si="26"/>
        <v>52018</v>
      </c>
      <c r="C260" s="46" t="str">
        <f t="shared" si="27"/>
        <v>Jun</v>
      </c>
      <c r="D260" s="27">
        <f t="shared" si="28"/>
        <v>2042</v>
      </c>
      <c r="E260" s="91"/>
      <c r="F260" s="90"/>
      <c r="G260" s="49" t="str">
        <f>IFERROR(IFERROR(INDEX(Gas_EIA,1,MATCH(D260,$J$4:$AD$4,FALSE)),0)*INDEX(NG_Load_Shape,MATCH($C260,Adjustments!$G$3:$G$14,0),1),"Data Missing")</f>
        <v>Data Missing</v>
      </c>
      <c r="H260" s="44" t="str">
        <f t="shared" si="29"/>
        <v>Data Missing</v>
      </c>
      <c r="I260" s="12"/>
    </row>
    <row r="261" spans="1:9" x14ac:dyDescent="0.2">
      <c r="A261" s="7">
        <v>259</v>
      </c>
      <c r="B261" s="26">
        <f t="shared" ref="B261:B266" si="30">DATE(Start_Year-1,A261,1)</f>
        <v>52048</v>
      </c>
      <c r="C261" s="46" t="str">
        <f t="shared" ref="C261:C266" si="31">CHOOSE(MONTH(B261), "Jan", "Feb", "Mar", "Apr", "May", "Jun", "Jul", "Aug", "Sep", "Oct", "Nov", "Dec")</f>
        <v>Jul</v>
      </c>
      <c r="D261" s="27">
        <f t="shared" ref="D261:D266" si="32">YEAR(B261)</f>
        <v>2042</v>
      </c>
      <c r="E261" s="91"/>
      <c r="F261" s="90"/>
      <c r="G261" s="49" t="str">
        <f>IFERROR(IFERROR(INDEX(Gas_EIA,1,MATCH(D261,$J$4:$AD$4,FALSE)),0)*INDEX(NG_Load_Shape,MATCH($C261,Adjustments!$G$3:$G$14,0),1),"Data Missing")</f>
        <v>Data Missing</v>
      </c>
      <c r="H261" s="44" t="str">
        <f t="shared" si="29"/>
        <v>Data Missing</v>
      </c>
      <c r="I261" s="12"/>
    </row>
    <row r="262" spans="1:9" x14ac:dyDescent="0.2">
      <c r="A262" s="7">
        <v>260</v>
      </c>
      <c r="B262" s="26">
        <f t="shared" si="30"/>
        <v>52079</v>
      </c>
      <c r="C262" s="46" t="str">
        <f t="shared" si="31"/>
        <v>Aug</v>
      </c>
      <c r="D262" s="27">
        <f t="shared" si="32"/>
        <v>2042</v>
      </c>
      <c r="E262" s="91"/>
      <c r="F262" s="90"/>
      <c r="G262" s="49" t="str">
        <f>IFERROR(IFERROR(INDEX(Gas_EIA,1,MATCH(D262,$J$4:$AD$4,FALSE)),0)*INDEX(NG_Load_Shape,MATCH($C262,Adjustments!$G$3:$G$14,0),1),"Data Missing")</f>
        <v>Data Missing</v>
      </c>
      <c r="H262" s="44" t="str">
        <f t="shared" si="29"/>
        <v>Data Missing</v>
      </c>
      <c r="I262" s="12"/>
    </row>
    <row r="263" spans="1:9" x14ac:dyDescent="0.2">
      <c r="A263" s="7">
        <v>261</v>
      </c>
      <c r="B263" s="26">
        <f t="shared" si="30"/>
        <v>52110</v>
      </c>
      <c r="C263" s="46" t="str">
        <f t="shared" si="31"/>
        <v>Sep</v>
      </c>
      <c r="D263" s="27">
        <f t="shared" si="32"/>
        <v>2042</v>
      </c>
      <c r="E263" s="91"/>
      <c r="F263" s="90"/>
      <c r="G263" s="49" t="str">
        <f>IFERROR(IFERROR(INDEX(Gas_EIA,1,MATCH(D263,$J$4:$AD$4,FALSE)),0)*INDEX(NG_Load_Shape,MATCH($C263,Adjustments!$G$3:$G$14,0),1),"Data Missing")</f>
        <v>Data Missing</v>
      </c>
      <c r="H263" s="44" t="str">
        <f t="shared" si="29"/>
        <v>Data Missing</v>
      </c>
      <c r="I263" s="12"/>
    </row>
    <row r="264" spans="1:9" x14ac:dyDescent="0.2">
      <c r="A264" s="7">
        <v>262</v>
      </c>
      <c r="B264" s="26">
        <f t="shared" si="30"/>
        <v>52140</v>
      </c>
      <c r="C264" s="46" t="str">
        <f t="shared" si="31"/>
        <v>Oct</v>
      </c>
      <c r="D264" s="27">
        <f t="shared" si="32"/>
        <v>2042</v>
      </c>
      <c r="E264" s="91"/>
      <c r="F264" s="90"/>
      <c r="G264" s="49" t="str">
        <f>IFERROR(IFERROR(INDEX(Gas_EIA,1,MATCH(D264,$J$4:$AD$4,FALSE)),0)*INDEX(NG_Load_Shape,MATCH($C264,Adjustments!$G$3:$G$14,0),1),"Data Missing")</f>
        <v>Data Missing</v>
      </c>
      <c r="H264" s="44" t="str">
        <f t="shared" si="29"/>
        <v>Data Missing</v>
      </c>
      <c r="I264" s="12"/>
    </row>
    <row r="265" spans="1:9" x14ac:dyDescent="0.2">
      <c r="A265" s="7">
        <v>263</v>
      </c>
      <c r="B265" s="26">
        <f t="shared" si="30"/>
        <v>52171</v>
      </c>
      <c r="C265" s="46" t="str">
        <f t="shared" si="31"/>
        <v>Nov</v>
      </c>
      <c r="D265" s="27">
        <f t="shared" si="32"/>
        <v>2042</v>
      </c>
      <c r="E265" s="91"/>
      <c r="F265" s="90"/>
      <c r="G265" s="49" t="str">
        <f>IFERROR(IFERROR(INDEX(Gas_EIA,1,MATCH(D265,$J$4:$AD$4,FALSE)),0)*INDEX(NG_Load_Shape,MATCH($C265,Adjustments!$G$3:$G$14,0),1),"Data Missing")</f>
        <v>Data Missing</v>
      </c>
      <c r="H265" s="44" t="str">
        <f t="shared" si="29"/>
        <v>Data Missing</v>
      </c>
      <c r="I265" s="12"/>
    </row>
    <row r="266" spans="1:9" x14ac:dyDescent="0.2">
      <c r="A266" s="7">
        <v>264</v>
      </c>
      <c r="B266" s="26">
        <f t="shared" si="30"/>
        <v>52201</v>
      </c>
      <c r="C266" s="46" t="str">
        <f t="shared" si="31"/>
        <v>Dec</v>
      </c>
      <c r="D266" s="27">
        <f t="shared" si="32"/>
        <v>2042</v>
      </c>
      <c r="E266" s="92"/>
      <c r="F266" s="93"/>
      <c r="G266" s="49" t="str">
        <f>IFERROR(IFERROR(INDEX(Gas_EIA,1,MATCH(D266,$J$4:$AD$4,FALSE)),0)*INDEX(NG_Load_Shape,MATCH($C266,Adjustments!$G$3:$G$14,0),1),"Data Missing")</f>
        <v>Data Missing</v>
      </c>
      <c r="H266" s="44" t="str">
        <f t="shared" si="29"/>
        <v>Data Missing</v>
      </c>
      <c r="I266" s="12"/>
    </row>
  </sheetData>
  <mergeCells count="1">
    <mergeCell ref="J2:A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266"/>
  <sheetViews>
    <sheetView zoomScaleNormal="100" workbookViewId="0">
      <pane xSplit="1" ySplit="2" topLeftCell="B3" activePane="bottomRight" state="frozen"/>
      <selection pane="topRight" activeCell="B1" sqref="B1"/>
      <selection pane="bottomLeft" activeCell="A3" sqref="A3"/>
      <selection pane="bottomRight" activeCell="F3" sqref="F3"/>
    </sheetView>
  </sheetViews>
  <sheetFormatPr defaultRowHeight="15" x14ac:dyDescent="0.25"/>
  <cols>
    <col min="1" max="1" width="8.28515625" style="38" hidden="1" customWidth="1"/>
    <col min="2" max="2" width="12.7109375" style="38" customWidth="1"/>
    <col min="3" max="4" width="12.7109375" style="38" hidden="1" customWidth="1"/>
    <col min="5" max="5" width="12.7109375" style="38" customWidth="1"/>
    <col min="6" max="7" width="12.7109375" style="48" customWidth="1"/>
    <col min="8" max="8" width="3.28515625" style="48" customWidth="1"/>
    <col min="9" max="10" width="12.7109375" style="48" customWidth="1"/>
    <col min="11" max="11" width="3.28515625" style="48" customWidth="1"/>
    <col min="12" max="13" width="12.7109375" style="48" customWidth="1"/>
    <col min="14" max="14" width="3.28515625" style="48" customWidth="1"/>
    <col min="15" max="16" width="12.7109375" style="48" customWidth="1"/>
    <col min="17" max="16384" width="9.140625" style="38"/>
  </cols>
  <sheetData>
    <row r="2" spans="1:16" ht="38.25" x14ac:dyDescent="0.25">
      <c r="A2" s="6" t="s">
        <v>8</v>
      </c>
      <c r="B2" s="6" t="s">
        <v>57</v>
      </c>
      <c r="C2" s="6" t="s">
        <v>6</v>
      </c>
      <c r="D2" s="6" t="s">
        <v>5</v>
      </c>
      <c r="E2" s="6" t="s">
        <v>62</v>
      </c>
      <c r="F2" s="47" t="str">
        <f>EDC_NAME&amp;" Zone Adjusted On-Peak ($/MWh)"</f>
        <v xml:space="preserve"> Zone Adjusted On-Peak ($/MWh)</v>
      </c>
      <c r="G2" s="47" t="str">
        <f>EDC_NAME&amp;" Zone Adjusted Off-Peak ($/MWh)"</f>
        <v xml:space="preserve"> Zone Adjusted Off-Peak ($/MWh)</v>
      </c>
      <c r="H2" s="47"/>
      <c r="I2" s="47" t="str">
        <f>EDC_NAME&amp;" Zone NG Converted On-Peak ($/MWh)"</f>
        <v xml:space="preserve"> Zone NG Converted On-Peak ($/MWh)</v>
      </c>
      <c r="J2" s="47" t="str">
        <f>EDC_NAME&amp;" Zone NG Converted Off-Peak ($/MWh)"</f>
        <v xml:space="preserve"> Zone NG Converted Off-Peak ($/MWh)</v>
      </c>
      <c r="L2" s="47" t="str">
        <f>EDC_NAME&amp;" Zone Spark Spread On-Peak ($/MWh)"</f>
        <v xml:space="preserve"> Zone Spark Spread On-Peak ($/MWh)</v>
      </c>
      <c r="M2" s="47" t="str">
        <f>EDC_NAME&amp;" Zone Spark Spread Off-Peak ($/MWh)"</f>
        <v xml:space="preserve"> Zone Spark Spread Off-Peak ($/MWh)</v>
      </c>
      <c r="O2" s="47" t="str">
        <f>EDC_NAME&amp;" Zone  On-Peak ($/MWh)"</f>
        <v xml:space="preserve"> Zone  On-Peak ($/MWh)</v>
      </c>
      <c r="P2" s="47" t="str">
        <f>EDC_NAME&amp;" Zone  Off-Peak ($/MWh)"</f>
        <v xml:space="preserve"> Zone  Off-Peak ($/MWh)</v>
      </c>
    </row>
    <row r="3" spans="1:16" x14ac:dyDescent="0.25">
      <c r="A3" s="7">
        <v>1</v>
      </c>
      <c r="B3" s="46">
        <f t="shared" ref="B3:B10" si="0">DATE(Start_Year-1,A3,1)</f>
        <v>44197</v>
      </c>
      <c r="C3" s="27" t="str">
        <f>CHOOSE(MONTH(B3), "Jan", "Feb", "Mar", "Apr", "May", "Jun", "Jul", "Aug", "Sep", "Oct", "Nov", "Dec")</f>
        <v>Jan</v>
      </c>
      <c r="D3" s="27">
        <f>YEAR(B3)</f>
        <v>2021</v>
      </c>
      <c r="E3" s="27" t="str">
        <f>INDEX(Seasons,MATCH($C3,'General Inputs'!$B$21:$B$32,0),1)</f>
        <v>Winter</v>
      </c>
      <c r="F3" s="49" t="str">
        <f>'Elec Futures'!H3</f>
        <v>N/A</v>
      </c>
      <c r="G3" s="49" t="str">
        <f>'Elec Futures'!I3</f>
        <v>N/A</v>
      </c>
      <c r="H3" s="50"/>
      <c r="I3" s="49" t="str">
        <f>IFERROR('NG Futures'!$H3*HR_Low_Plant/1000,"Data Missing")</f>
        <v>Data Missing</v>
      </c>
      <c r="J3" s="49" t="str">
        <f>IFERROR('NG Futures'!$H3*HR_High_Plant/1000,"Data Missing")</f>
        <v>Data Missing</v>
      </c>
      <c r="K3" s="50"/>
      <c r="L3" s="49" t="str">
        <f>"n/a"</f>
        <v>n/a</v>
      </c>
      <c r="M3" s="49" t="str">
        <f t="shared" ref="M3:M14" si="1">"n/a"</f>
        <v>n/a</v>
      </c>
      <c r="N3" s="50"/>
      <c r="O3" s="51" t="str">
        <f>F3</f>
        <v>N/A</v>
      </c>
      <c r="P3" s="51" t="str">
        <f t="shared" ref="P3" si="2">G3</f>
        <v>N/A</v>
      </c>
    </row>
    <row r="4" spans="1:16" x14ac:dyDescent="0.25">
      <c r="A4" s="7">
        <v>2</v>
      </c>
      <c r="B4" s="46">
        <f t="shared" si="0"/>
        <v>44228</v>
      </c>
      <c r="C4" s="27" t="str">
        <f t="shared" ref="C4:C67" si="3">CHOOSE(MONTH(B4), "Jan", "Feb", "Mar", "Apr", "May", "Jun", "Jul", "Aug", "Sep", "Oct", "Nov", "Dec")</f>
        <v>Feb</v>
      </c>
      <c r="D4" s="27">
        <f t="shared" ref="D4:D67" si="4">YEAR(B4)</f>
        <v>2021</v>
      </c>
      <c r="E4" s="27" t="str">
        <f>INDEX(Seasons,MATCH($C4,'General Inputs'!$B$21:$B$32,0),1)</f>
        <v>Winter</v>
      </c>
      <c r="F4" s="49" t="str">
        <f>'Elec Futures'!H4</f>
        <v>N/A</v>
      </c>
      <c r="G4" s="49" t="str">
        <f>'Elec Futures'!I4</f>
        <v>N/A</v>
      </c>
      <c r="H4" s="52"/>
      <c r="I4" s="49" t="str">
        <f>IFERROR('NG Futures'!$H4*HR_Low_Plant/1000,"Data Missing")</f>
        <v>Data Missing</v>
      </c>
      <c r="J4" s="49" t="str">
        <f>IFERROR('NG Futures'!$H4*HR_High_Plant/1000,"Data Missing")</f>
        <v>Data Missing</v>
      </c>
      <c r="K4" s="52"/>
      <c r="L4" s="49" t="str">
        <f t="shared" ref="L4:L14" si="5">"n/a"</f>
        <v>n/a</v>
      </c>
      <c r="M4" s="49" t="str">
        <f t="shared" si="1"/>
        <v>n/a</v>
      </c>
      <c r="N4" s="52"/>
      <c r="O4" s="51" t="str">
        <f t="shared" ref="O4:O62" si="6">F4</f>
        <v>N/A</v>
      </c>
      <c r="P4" s="51" t="str">
        <f t="shared" ref="P4:P62" si="7">G4</f>
        <v>N/A</v>
      </c>
    </row>
    <row r="5" spans="1:16" x14ac:dyDescent="0.25">
      <c r="A5" s="7">
        <v>3</v>
      </c>
      <c r="B5" s="46">
        <f t="shared" si="0"/>
        <v>44256</v>
      </c>
      <c r="C5" s="27" t="str">
        <f t="shared" si="3"/>
        <v>Mar</v>
      </c>
      <c r="D5" s="27">
        <f t="shared" si="4"/>
        <v>2021</v>
      </c>
      <c r="E5" s="27" t="str">
        <f>INDEX(Seasons,MATCH($C5,'General Inputs'!$B$21:$B$32,0),1)</f>
        <v>Shoulder</v>
      </c>
      <c r="F5" s="49" t="str">
        <f>'Elec Futures'!H5</f>
        <v>N/A</v>
      </c>
      <c r="G5" s="49" t="str">
        <f>'Elec Futures'!I5</f>
        <v>N/A</v>
      </c>
      <c r="H5" s="52"/>
      <c r="I5" s="49" t="str">
        <f>IFERROR('NG Futures'!$H5*HR_Low_Plant/1000,"Data Missing")</f>
        <v>Data Missing</v>
      </c>
      <c r="J5" s="49" t="str">
        <f>IFERROR('NG Futures'!$H5*HR_High_Plant/1000,"Data Missing")</f>
        <v>Data Missing</v>
      </c>
      <c r="K5" s="52"/>
      <c r="L5" s="49" t="str">
        <f t="shared" si="5"/>
        <v>n/a</v>
      </c>
      <c r="M5" s="49" t="str">
        <f t="shared" si="1"/>
        <v>n/a</v>
      </c>
      <c r="N5" s="52"/>
      <c r="O5" s="51" t="str">
        <f t="shared" si="6"/>
        <v>N/A</v>
      </c>
      <c r="P5" s="51" t="str">
        <f t="shared" si="7"/>
        <v>N/A</v>
      </c>
    </row>
    <row r="6" spans="1:16" x14ac:dyDescent="0.25">
      <c r="A6" s="7">
        <v>4</v>
      </c>
      <c r="B6" s="46">
        <f t="shared" si="0"/>
        <v>44287</v>
      </c>
      <c r="C6" s="27" t="str">
        <f t="shared" si="3"/>
        <v>Apr</v>
      </c>
      <c r="D6" s="27">
        <f t="shared" si="4"/>
        <v>2021</v>
      </c>
      <c r="E6" s="27" t="str">
        <f>INDEX(Seasons,MATCH($C6,'General Inputs'!$B$21:$B$32,0),1)</f>
        <v>Shoulder</v>
      </c>
      <c r="F6" s="49" t="str">
        <f>'Elec Futures'!H6</f>
        <v>N/A</v>
      </c>
      <c r="G6" s="49" t="str">
        <f>'Elec Futures'!I6</f>
        <v>N/A</v>
      </c>
      <c r="H6" s="52"/>
      <c r="I6" s="49" t="str">
        <f>IFERROR('NG Futures'!$H6*HR_Low_Plant/1000,"Data Missing")</f>
        <v>Data Missing</v>
      </c>
      <c r="J6" s="49" t="str">
        <f>IFERROR('NG Futures'!$H6*HR_High_Plant/1000,"Data Missing")</f>
        <v>Data Missing</v>
      </c>
      <c r="K6" s="52"/>
      <c r="L6" s="49" t="str">
        <f t="shared" si="5"/>
        <v>n/a</v>
      </c>
      <c r="M6" s="49" t="str">
        <f t="shared" si="1"/>
        <v>n/a</v>
      </c>
      <c r="N6" s="52"/>
      <c r="O6" s="51" t="str">
        <f t="shared" si="6"/>
        <v>N/A</v>
      </c>
      <c r="P6" s="51" t="str">
        <f t="shared" si="7"/>
        <v>N/A</v>
      </c>
    </row>
    <row r="7" spans="1:16" x14ac:dyDescent="0.25">
      <c r="A7" s="7">
        <v>5</v>
      </c>
      <c r="B7" s="46">
        <f t="shared" si="0"/>
        <v>44317</v>
      </c>
      <c r="C7" s="27" t="str">
        <f t="shared" si="3"/>
        <v>May</v>
      </c>
      <c r="D7" s="27">
        <f t="shared" si="4"/>
        <v>2021</v>
      </c>
      <c r="E7" s="27" t="str">
        <f>INDEX(Seasons,MATCH($C7,'General Inputs'!$B$21:$B$32,0),1)</f>
        <v>Summer</v>
      </c>
      <c r="F7" s="49" t="str">
        <f>'Elec Futures'!H7</f>
        <v>N/A</v>
      </c>
      <c r="G7" s="49" t="str">
        <f>'Elec Futures'!I7</f>
        <v>N/A</v>
      </c>
      <c r="H7" s="52"/>
      <c r="I7" s="49" t="str">
        <f>IFERROR('NG Futures'!$H7*HR_Low_Plant/1000,"Data Missing")</f>
        <v>Data Missing</v>
      </c>
      <c r="J7" s="49" t="str">
        <f>IFERROR('NG Futures'!$H7*HR_High_Plant/1000,"Data Missing")</f>
        <v>Data Missing</v>
      </c>
      <c r="K7" s="52"/>
      <c r="L7" s="49" t="str">
        <f t="shared" si="5"/>
        <v>n/a</v>
      </c>
      <c r="M7" s="49" t="str">
        <f t="shared" si="1"/>
        <v>n/a</v>
      </c>
      <c r="N7" s="52"/>
      <c r="O7" s="51" t="str">
        <f t="shared" si="6"/>
        <v>N/A</v>
      </c>
      <c r="P7" s="51" t="str">
        <f t="shared" si="7"/>
        <v>N/A</v>
      </c>
    </row>
    <row r="8" spans="1:16" x14ac:dyDescent="0.25">
      <c r="A8" s="7">
        <v>6</v>
      </c>
      <c r="B8" s="46">
        <f t="shared" si="0"/>
        <v>44348</v>
      </c>
      <c r="C8" s="27" t="str">
        <f t="shared" si="3"/>
        <v>Jun</v>
      </c>
      <c r="D8" s="27">
        <f t="shared" si="4"/>
        <v>2021</v>
      </c>
      <c r="E8" s="27" t="str">
        <f>INDEX(Seasons,MATCH($C8,'General Inputs'!$B$21:$B$32,0),1)</f>
        <v>Summer</v>
      </c>
      <c r="F8" s="49" t="str">
        <f>'Elec Futures'!H8</f>
        <v>N/A</v>
      </c>
      <c r="G8" s="49" t="str">
        <f>'Elec Futures'!I8</f>
        <v>N/A</v>
      </c>
      <c r="H8" s="52"/>
      <c r="I8" s="49" t="str">
        <f>IFERROR('NG Futures'!$H8*HR_Low_Plant/1000,"Data Missing")</f>
        <v>Data Missing</v>
      </c>
      <c r="J8" s="49" t="str">
        <f>IFERROR('NG Futures'!$H8*HR_High_Plant/1000,"Data Missing")</f>
        <v>Data Missing</v>
      </c>
      <c r="K8" s="52"/>
      <c r="L8" s="49" t="str">
        <f t="shared" si="5"/>
        <v>n/a</v>
      </c>
      <c r="M8" s="49" t="str">
        <f t="shared" si="1"/>
        <v>n/a</v>
      </c>
      <c r="N8" s="52"/>
      <c r="O8" s="51" t="str">
        <f t="shared" si="6"/>
        <v>N/A</v>
      </c>
      <c r="P8" s="51" t="str">
        <f t="shared" si="7"/>
        <v>N/A</v>
      </c>
    </row>
    <row r="9" spans="1:16" x14ac:dyDescent="0.25">
      <c r="A9" s="7">
        <v>7</v>
      </c>
      <c r="B9" s="46">
        <f t="shared" si="0"/>
        <v>44378</v>
      </c>
      <c r="C9" s="27" t="str">
        <f t="shared" si="3"/>
        <v>Jul</v>
      </c>
      <c r="D9" s="27">
        <f t="shared" si="4"/>
        <v>2021</v>
      </c>
      <c r="E9" s="27" t="str">
        <f>INDEX(Seasons,MATCH($C9,'General Inputs'!$B$21:$B$32,0),1)</f>
        <v>Summer</v>
      </c>
      <c r="F9" s="49" t="str">
        <f>'Elec Futures'!H9</f>
        <v>N/A</v>
      </c>
      <c r="G9" s="49" t="str">
        <f>'Elec Futures'!I9</f>
        <v>N/A</v>
      </c>
      <c r="H9" s="52"/>
      <c r="I9" s="49" t="str">
        <f>IFERROR('NG Futures'!$H9*HR_Low_Plant/1000,"Data Missing")</f>
        <v>Data Missing</v>
      </c>
      <c r="J9" s="49" t="str">
        <f>IFERROR('NG Futures'!$H9*HR_High_Plant/1000,"Data Missing")</f>
        <v>Data Missing</v>
      </c>
      <c r="K9" s="52"/>
      <c r="L9" s="49" t="str">
        <f t="shared" si="5"/>
        <v>n/a</v>
      </c>
      <c r="M9" s="49" t="str">
        <f t="shared" si="1"/>
        <v>n/a</v>
      </c>
      <c r="N9" s="52"/>
      <c r="O9" s="51" t="str">
        <f t="shared" si="6"/>
        <v>N/A</v>
      </c>
      <c r="P9" s="51" t="str">
        <f t="shared" si="7"/>
        <v>N/A</v>
      </c>
    </row>
    <row r="10" spans="1:16" x14ac:dyDescent="0.25">
      <c r="A10" s="7">
        <v>8</v>
      </c>
      <c r="B10" s="46">
        <f t="shared" si="0"/>
        <v>44409</v>
      </c>
      <c r="C10" s="27" t="str">
        <f t="shared" si="3"/>
        <v>Aug</v>
      </c>
      <c r="D10" s="27">
        <f t="shared" si="4"/>
        <v>2021</v>
      </c>
      <c r="E10" s="27" t="str">
        <f>INDEX(Seasons,MATCH($C10,'General Inputs'!$B$21:$B$32,0),1)</f>
        <v>Summer</v>
      </c>
      <c r="F10" s="49" t="str">
        <f>'Elec Futures'!H10</f>
        <v>N/A</v>
      </c>
      <c r="G10" s="49" t="str">
        <f>'Elec Futures'!I10</f>
        <v>N/A</v>
      </c>
      <c r="H10" s="52"/>
      <c r="I10" s="49" t="str">
        <f>IFERROR('NG Futures'!$H10*HR_Low_Plant/1000,"Data Missing")</f>
        <v>Data Missing</v>
      </c>
      <c r="J10" s="49" t="str">
        <f>IFERROR('NG Futures'!$H10*HR_High_Plant/1000,"Data Missing")</f>
        <v>Data Missing</v>
      </c>
      <c r="K10" s="52"/>
      <c r="L10" s="49" t="str">
        <f t="shared" si="5"/>
        <v>n/a</v>
      </c>
      <c r="M10" s="49" t="str">
        <f t="shared" si="1"/>
        <v>n/a</v>
      </c>
      <c r="N10" s="52"/>
      <c r="O10" s="51" t="str">
        <f t="shared" si="6"/>
        <v>N/A</v>
      </c>
      <c r="P10" s="51" t="str">
        <f t="shared" si="7"/>
        <v>N/A</v>
      </c>
    </row>
    <row r="11" spans="1:16" x14ac:dyDescent="0.25">
      <c r="A11" s="7">
        <v>9</v>
      </c>
      <c r="B11" s="46">
        <f t="shared" ref="B11:B74" si="8">DATE(Start_Year-1,A11,1)</f>
        <v>44440</v>
      </c>
      <c r="C11" s="27" t="str">
        <f t="shared" si="3"/>
        <v>Sep</v>
      </c>
      <c r="D11" s="27">
        <f t="shared" si="4"/>
        <v>2021</v>
      </c>
      <c r="E11" s="27" t="str">
        <f>INDEX(Seasons,MATCH($C11,'General Inputs'!$B$21:$B$32,0),1)</f>
        <v>Summer</v>
      </c>
      <c r="F11" s="49" t="str">
        <f>'Elec Futures'!H11</f>
        <v>N/A</v>
      </c>
      <c r="G11" s="49" t="str">
        <f>'Elec Futures'!I11</f>
        <v>N/A</v>
      </c>
      <c r="H11" s="52"/>
      <c r="I11" s="49" t="str">
        <f>IFERROR('NG Futures'!$H11*HR_Low_Plant/1000,"Data Missing")</f>
        <v>Data Missing</v>
      </c>
      <c r="J11" s="49" t="str">
        <f>IFERROR('NG Futures'!$H11*HR_High_Plant/1000,"Data Missing")</f>
        <v>Data Missing</v>
      </c>
      <c r="K11" s="52"/>
      <c r="L11" s="49" t="str">
        <f t="shared" si="5"/>
        <v>n/a</v>
      </c>
      <c r="M11" s="49" t="str">
        <f t="shared" si="1"/>
        <v>n/a</v>
      </c>
      <c r="N11" s="52"/>
      <c r="O11" s="51" t="str">
        <f t="shared" si="6"/>
        <v>N/A</v>
      </c>
      <c r="P11" s="51" t="str">
        <f t="shared" si="7"/>
        <v>N/A</v>
      </c>
    </row>
    <row r="12" spans="1:16" x14ac:dyDescent="0.25">
      <c r="A12" s="7">
        <v>10</v>
      </c>
      <c r="B12" s="46">
        <f t="shared" si="8"/>
        <v>44470</v>
      </c>
      <c r="C12" s="27" t="str">
        <f t="shared" si="3"/>
        <v>Oct</v>
      </c>
      <c r="D12" s="27">
        <f t="shared" si="4"/>
        <v>2021</v>
      </c>
      <c r="E12" s="27" t="str">
        <f>INDEX(Seasons,MATCH($C12,'General Inputs'!$B$21:$B$32,0),1)</f>
        <v>Shoulder</v>
      </c>
      <c r="F12" s="49" t="str">
        <f>'Elec Futures'!H12</f>
        <v>N/A</v>
      </c>
      <c r="G12" s="49" t="str">
        <f>'Elec Futures'!I12</f>
        <v>N/A</v>
      </c>
      <c r="H12" s="52"/>
      <c r="I12" s="49" t="str">
        <f>IFERROR('NG Futures'!$H12*HR_Low_Plant/1000,"Data Missing")</f>
        <v>Data Missing</v>
      </c>
      <c r="J12" s="49" t="str">
        <f>IFERROR('NG Futures'!$H12*HR_High_Plant/1000,"Data Missing")</f>
        <v>Data Missing</v>
      </c>
      <c r="K12" s="52"/>
      <c r="L12" s="49" t="str">
        <f t="shared" si="5"/>
        <v>n/a</v>
      </c>
      <c r="M12" s="49" t="str">
        <f t="shared" si="1"/>
        <v>n/a</v>
      </c>
      <c r="N12" s="52"/>
      <c r="O12" s="51" t="str">
        <f t="shared" si="6"/>
        <v>N/A</v>
      </c>
      <c r="P12" s="51" t="str">
        <f t="shared" si="7"/>
        <v>N/A</v>
      </c>
    </row>
    <row r="13" spans="1:16" x14ac:dyDescent="0.25">
      <c r="A13" s="7">
        <v>11</v>
      </c>
      <c r="B13" s="46">
        <f t="shared" si="8"/>
        <v>44501</v>
      </c>
      <c r="C13" s="27" t="str">
        <f t="shared" si="3"/>
        <v>Nov</v>
      </c>
      <c r="D13" s="27">
        <f t="shared" si="4"/>
        <v>2021</v>
      </c>
      <c r="E13" s="27" t="str">
        <f>INDEX(Seasons,MATCH($C13,'General Inputs'!$B$21:$B$32,0),1)</f>
        <v>Shoulder</v>
      </c>
      <c r="F13" s="49" t="str">
        <f>'Elec Futures'!H13</f>
        <v>N/A</v>
      </c>
      <c r="G13" s="49" t="str">
        <f>'Elec Futures'!I13</f>
        <v>N/A</v>
      </c>
      <c r="H13" s="52"/>
      <c r="I13" s="49" t="str">
        <f>IFERROR('NG Futures'!$H13*HR_Low_Plant/1000,"Data Missing")</f>
        <v>Data Missing</v>
      </c>
      <c r="J13" s="49" t="str">
        <f>IFERROR('NG Futures'!$H13*HR_High_Plant/1000,"Data Missing")</f>
        <v>Data Missing</v>
      </c>
      <c r="K13" s="52"/>
      <c r="L13" s="49" t="str">
        <f t="shared" si="5"/>
        <v>n/a</v>
      </c>
      <c r="M13" s="49" t="str">
        <f t="shared" si="1"/>
        <v>n/a</v>
      </c>
      <c r="N13" s="52"/>
      <c r="O13" s="51" t="str">
        <f t="shared" si="6"/>
        <v>N/A</v>
      </c>
      <c r="P13" s="51" t="str">
        <f t="shared" si="7"/>
        <v>N/A</v>
      </c>
    </row>
    <row r="14" spans="1:16" x14ac:dyDescent="0.25">
      <c r="A14" s="7">
        <v>12</v>
      </c>
      <c r="B14" s="46">
        <f t="shared" si="8"/>
        <v>44531</v>
      </c>
      <c r="C14" s="27" t="str">
        <f t="shared" si="3"/>
        <v>Dec</v>
      </c>
      <c r="D14" s="27">
        <f t="shared" si="4"/>
        <v>2021</v>
      </c>
      <c r="E14" s="27" t="str">
        <f>INDEX(Seasons,MATCH($C14,'General Inputs'!$B$21:$B$32,0),1)</f>
        <v>Winter</v>
      </c>
      <c r="F14" s="49" t="str">
        <f>'Elec Futures'!H14</f>
        <v>N/A</v>
      </c>
      <c r="G14" s="49" t="str">
        <f>'Elec Futures'!I14</f>
        <v>N/A</v>
      </c>
      <c r="H14" s="52"/>
      <c r="I14" s="49" t="str">
        <f>IFERROR('NG Futures'!$H14*HR_Low_Plant/1000,"Data Missing")</f>
        <v>Data Missing</v>
      </c>
      <c r="J14" s="49" t="str">
        <f>IFERROR('NG Futures'!$H14*HR_High_Plant/1000,"Data Missing")</f>
        <v>Data Missing</v>
      </c>
      <c r="K14" s="52"/>
      <c r="L14" s="49" t="str">
        <f t="shared" si="5"/>
        <v>n/a</v>
      </c>
      <c r="M14" s="49" t="str">
        <f t="shared" si="1"/>
        <v>n/a</v>
      </c>
      <c r="N14" s="52"/>
      <c r="O14" s="51" t="str">
        <f t="shared" si="6"/>
        <v>N/A</v>
      </c>
      <c r="P14" s="51" t="str">
        <f t="shared" si="7"/>
        <v>N/A</v>
      </c>
    </row>
    <row r="15" spans="1:16" x14ac:dyDescent="0.25">
      <c r="A15" s="7">
        <v>13</v>
      </c>
      <c r="B15" s="46">
        <f t="shared" si="8"/>
        <v>44562</v>
      </c>
      <c r="C15" s="27" t="str">
        <f t="shared" si="3"/>
        <v>Jan</v>
      </c>
      <c r="D15" s="27">
        <f t="shared" si="4"/>
        <v>2022</v>
      </c>
      <c r="E15" s="27" t="str">
        <f>INDEX(Seasons,MATCH($C15,'General Inputs'!$B$21:$B$32,0),1)</f>
        <v>Winter</v>
      </c>
      <c r="F15" s="49" t="str">
        <f>'Elec Futures'!H15</f>
        <v>Missing Data</v>
      </c>
      <c r="G15" s="49" t="str">
        <f>'Elec Futures'!I15</f>
        <v>Missing Data</v>
      </c>
      <c r="H15" s="52"/>
      <c r="I15" s="49" t="str">
        <f>IFERROR('NG Futures'!$H15*HR_Low_Plant/1000,"Data Missing")</f>
        <v>Data Missing</v>
      </c>
      <c r="J15" s="49" t="str">
        <f>IFERROR('NG Futures'!$H15*HR_High_Plant/1000,"Data Missing")</f>
        <v>Data Missing</v>
      </c>
      <c r="K15" s="52"/>
      <c r="L15" s="49" t="str">
        <f>IFERROR(F15-I15,"Data Missing")</f>
        <v>Data Missing</v>
      </c>
      <c r="M15" s="49" t="str">
        <f>IFERROR(G15-J15,"Data Missing")</f>
        <v>Data Missing</v>
      </c>
      <c r="N15" s="52"/>
      <c r="O15" s="40" t="str">
        <f t="shared" si="6"/>
        <v>Missing Data</v>
      </c>
      <c r="P15" s="40" t="str">
        <f t="shared" si="7"/>
        <v>Missing Data</v>
      </c>
    </row>
    <row r="16" spans="1:16" x14ac:dyDescent="0.25">
      <c r="A16" s="7">
        <v>14</v>
      </c>
      <c r="B16" s="46">
        <f t="shared" si="8"/>
        <v>44593</v>
      </c>
      <c r="C16" s="27" t="str">
        <f t="shared" si="3"/>
        <v>Feb</v>
      </c>
      <c r="D16" s="27">
        <f t="shared" si="4"/>
        <v>2022</v>
      </c>
      <c r="E16" s="27" t="str">
        <f>INDEX(Seasons,MATCH($C16,'General Inputs'!$B$21:$B$32,0),1)</f>
        <v>Winter</v>
      </c>
      <c r="F16" s="49" t="str">
        <f>'Elec Futures'!H16</f>
        <v>Missing Data</v>
      </c>
      <c r="G16" s="49" t="str">
        <f>'Elec Futures'!I16</f>
        <v>Missing Data</v>
      </c>
      <c r="H16" s="52"/>
      <c r="I16" s="49" t="str">
        <f>IFERROR('NG Futures'!$H16*HR_Low_Plant/1000,"Data Missing")</f>
        <v>Data Missing</v>
      </c>
      <c r="J16" s="49" t="str">
        <f>IFERROR('NG Futures'!$H16*HR_High_Plant/1000,"Data Missing")</f>
        <v>Data Missing</v>
      </c>
      <c r="K16" s="52"/>
      <c r="L16" s="49" t="str">
        <f t="shared" ref="L16:L62" si="9">IFERROR(F16-I16,"Data Missing")</f>
        <v>Data Missing</v>
      </c>
      <c r="M16" s="49" t="str">
        <f t="shared" ref="M16:M62" si="10">IFERROR(G16-J16,"Data Missing")</f>
        <v>Data Missing</v>
      </c>
      <c r="N16" s="52"/>
      <c r="O16" s="40" t="str">
        <f t="shared" si="6"/>
        <v>Missing Data</v>
      </c>
      <c r="P16" s="40" t="str">
        <f t="shared" si="7"/>
        <v>Missing Data</v>
      </c>
    </row>
    <row r="17" spans="1:16" x14ac:dyDescent="0.25">
      <c r="A17" s="7">
        <v>15</v>
      </c>
      <c r="B17" s="46">
        <f t="shared" si="8"/>
        <v>44621</v>
      </c>
      <c r="C17" s="27" t="str">
        <f t="shared" si="3"/>
        <v>Mar</v>
      </c>
      <c r="D17" s="27">
        <f t="shared" si="4"/>
        <v>2022</v>
      </c>
      <c r="E17" s="27" t="str">
        <f>INDEX(Seasons,MATCH($C17,'General Inputs'!$B$21:$B$32,0),1)</f>
        <v>Shoulder</v>
      </c>
      <c r="F17" s="49" t="str">
        <f>'Elec Futures'!H17</f>
        <v>Missing Data</v>
      </c>
      <c r="G17" s="49" t="str">
        <f>'Elec Futures'!I17</f>
        <v>Missing Data</v>
      </c>
      <c r="H17" s="52"/>
      <c r="I17" s="49" t="str">
        <f>IFERROR('NG Futures'!$H17*HR_Low_Plant/1000,"Data Missing")</f>
        <v>Data Missing</v>
      </c>
      <c r="J17" s="49" t="str">
        <f>IFERROR('NG Futures'!$H17*HR_High_Plant/1000,"Data Missing")</f>
        <v>Data Missing</v>
      </c>
      <c r="K17" s="52"/>
      <c r="L17" s="49" t="str">
        <f t="shared" si="9"/>
        <v>Data Missing</v>
      </c>
      <c r="M17" s="49" t="str">
        <f t="shared" si="10"/>
        <v>Data Missing</v>
      </c>
      <c r="N17" s="52"/>
      <c r="O17" s="40" t="str">
        <f t="shared" si="6"/>
        <v>Missing Data</v>
      </c>
      <c r="P17" s="40" t="str">
        <f t="shared" si="7"/>
        <v>Missing Data</v>
      </c>
    </row>
    <row r="18" spans="1:16" x14ac:dyDescent="0.25">
      <c r="A18" s="7">
        <v>16</v>
      </c>
      <c r="B18" s="46">
        <f t="shared" si="8"/>
        <v>44652</v>
      </c>
      <c r="C18" s="27" t="str">
        <f t="shared" si="3"/>
        <v>Apr</v>
      </c>
      <c r="D18" s="27">
        <f t="shared" si="4"/>
        <v>2022</v>
      </c>
      <c r="E18" s="27" t="str">
        <f>INDEX(Seasons,MATCH($C18,'General Inputs'!$B$21:$B$32,0),1)</f>
        <v>Shoulder</v>
      </c>
      <c r="F18" s="49" t="str">
        <f>'Elec Futures'!H18</f>
        <v>Missing Data</v>
      </c>
      <c r="G18" s="49" t="str">
        <f>'Elec Futures'!I18</f>
        <v>Missing Data</v>
      </c>
      <c r="H18" s="52"/>
      <c r="I18" s="49" t="str">
        <f>IFERROR('NG Futures'!$H18*HR_Low_Plant/1000,"Data Missing")</f>
        <v>Data Missing</v>
      </c>
      <c r="J18" s="49" t="str">
        <f>IFERROR('NG Futures'!$H18*HR_High_Plant/1000,"Data Missing")</f>
        <v>Data Missing</v>
      </c>
      <c r="K18" s="52"/>
      <c r="L18" s="49" t="str">
        <f t="shared" si="9"/>
        <v>Data Missing</v>
      </c>
      <c r="M18" s="49" t="str">
        <f t="shared" si="10"/>
        <v>Data Missing</v>
      </c>
      <c r="N18" s="52"/>
      <c r="O18" s="40" t="str">
        <f t="shared" si="6"/>
        <v>Missing Data</v>
      </c>
      <c r="P18" s="40" t="str">
        <f t="shared" si="7"/>
        <v>Missing Data</v>
      </c>
    </row>
    <row r="19" spans="1:16" x14ac:dyDescent="0.25">
      <c r="A19" s="7">
        <v>17</v>
      </c>
      <c r="B19" s="46">
        <f t="shared" si="8"/>
        <v>44682</v>
      </c>
      <c r="C19" s="27" t="str">
        <f t="shared" si="3"/>
        <v>May</v>
      </c>
      <c r="D19" s="27">
        <f t="shared" si="4"/>
        <v>2022</v>
      </c>
      <c r="E19" s="27" t="str">
        <f>INDEX(Seasons,MATCH($C19,'General Inputs'!$B$21:$B$32,0),1)</f>
        <v>Summer</v>
      </c>
      <c r="F19" s="49" t="str">
        <f>'Elec Futures'!H19</f>
        <v>Missing Data</v>
      </c>
      <c r="G19" s="49" t="str">
        <f>'Elec Futures'!I19</f>
        <v>Missing Data</v>
      </c>
      <c r="H19" s="52"/>
      <c r="I19" s="49" t="str">
        <f>IFERROR('NG Futures'!$H19*HR_Low_Plant/1000,"Data Missing")</f>
        <v>Data Missing</v>
      </c>
      <c r="J19" s="49" t="str">
        <f>IFERROR('NG Futures'!$H19*HR_High_Plant/1000,"Data Missing")</f>
        <v>Data Missing</v>
      </c>
      <c r="K19" s="52"/>
      <c r="L19" s="49" t="str">
        <f t="shared" si="9"/>
        <v>Data Missing</v>
      </c>
      <c r="M19" s="49" t="str">
        <f t="shared" si="10"/>
        <v>Data Missing</v>
      </c>
      <c r="N19" s="52"/>
      <c r="O19" s="40" t="str">
        <f t="shared" si="6"/>
        <v>Missing Data</v>
      </c>
      <c r="P19" s="40" t="str">
        <f t="shared" si="7"/>
        <v>Missing Data</v>
      </c>
    </row>
    <row r="20" spans="1:16" x14ac:dyDescent="0.25">
      <c r="A20" s="7">
        <v>18</v>
      </c>
      <c r="B20" s="46">
        <f t="shared" si="8"/>
        <v>44713</v>
      </c>
      <c r="C20" s="27" t="str">
        <f t="shared" si="3"/>
        <v>Jun</v>
      </c>
      <c r="D20" s="27">
        <f t="shared" si="4"/>
        <v>2022</v>
      </c>
      <c r="E20" s="27" t="str">
        <f>INDEX(Seasons,MATCH($C20,'General Inputs'!$B$21:$B$32,0),1)</f>
        <v>Summer</v>
      </c>
      <c r="F20" s="49" t="str">
        <f>'Elec Futures'!H20</f>
        <v>Missing Data</v>
      </c>
      <c r="G20" s="49" t="str">
        <f>'Elec Futures'!I20</f>
        <v>Missing Data</v>
      </c>
      <c r="H20" s="52"/>
      <c r="I20" s="49" t="str">
        <f>IFERROR('NG Futures'!$H20*HR_Low_Plant/1000,"Data Missing")</f>
        <v>Data Missing</v>
      </c>
      <c r="J20" s="49" t="str">
        <f>IFERROR('NG Futures'!$H20*HR_High_Plant/1000,"Data Missing")</f>
        <v>Data Missing</v>
      </c>
      <c r="K20" s="52"/>
      <c r="L20" s="49" t="str">
        <f t="shared" si="9"/>
        <v>Data Missing</v>
      </c>
      <c r="M20" s="49" t="str">
        <f t="shared" si="10"/>
        <v>Data Missing</v>
      </c>
      <c r="N20" s="52"/>
      <c r="O20" s="40" t="str">
        <f t="shared" si="6"/>
        <v>Missing Data</v>
      </c>
      <c r="P20" s="40" t="str">
        <f t="shared" si="7"/>
        <v>Missing Data</v>
      </c>
    </row>
    <row r="21" spans="1:16" x14ac:dyDescent="0.25">
      <c r="A21" s="7">
        <v>19</v>
      </c>
      <c r="B21" s="46">
        <f t="shared" si="8"/>
        <v>44743</v>
      </c>
      <c r="C21" s="27" t="str">
        <f t="shared" si="3"/>
        <v>Jul</v>
      </c>
      <c r="D21" s="27">
        <f t="shared" si="4"/>
        <v>2022</v>
      </c>
      <c r="E21" s="27" t="str">
        <f>INDEX(Seasons,MATCH($C21,'General Inputs'!$B$21:$B$32,0),1)</f>
        <v>Summer</v>
      </c>
      <c r="F21" s="49" t="str">
        <f>'Elec Futures'!H21</f>
        <v>Missing Data</v>
      </c>
      <c r="G21" s="49" t="str">
        <f>'Elec Futures'!I21</f>
        <v>Missing Data</v>
      </c>
      <c r="H21" s="52"/>
      <c r="I21" s="49" t="str">
        <f>IFERROR('NG Futures'!$H21*HR_Low_Plant/1000,"Data Missing")</f>
        <v>Data Missing</v>
      </c>
      <c r="J21" s="49" t="str">
        <f>IFERROR('NG Futures'!$H21*HR_High_Plant/1000,"Data Missing")</f>
        <v>Data Missing</v>
      </c>
      <c r="K21" s="52"/>
      <c r="L21" s="49" t="str">
        <f t="shared" si="9"/>
        <v>Data Missing</v>
      </c>
      <c r="M21" s="49" t="str">
        <f t="shared" si="10"/>
        <v>Data Missing</v>
      </c>
      <c r="N21" s="52"/>
      <c r="O21" s="40" t="str">
        <f t="shared" si="6"/>
        <v>Missing Data</v>
      </c>
      <c r="P21" s="40" t="str">
        <f t="shared" si="7"/>
        <v>Missing Data</v>
      </c>
    </row>
    <row r="22" spans="1:16" x14ac:dyDescent="0.25">
      <c r="A22" s="7">
        <v>20</v>
      </c>
      <c r="B22" s="46">
        <f t="shared" si="8"/>
        <v>44774</v>
      </c>
      <c r="C22" s="27" t="str">
        <f t="shared" si="3"/>
        <v>Aug</v>
      </c>
      <c r="D22" s="27">
        <f t="shared" si="4"/>
        <v>2022</v>
      </c>
      <c r="E22" s="27" t="str">
        <f>INDEX(Seasons,MATCH($C22,'General Inputs'!$B$21:$B$32,0),1)</f>
        <v>Summer</v>
      </c>
      <c r="F22" s="49" t="str">
        <f>'Elec Futures'!H22</f>
        <v>Missing Data</v>
      </c>
      <c r="G22" s="49" t="str">
        <f>'Elec Futures'!I22</f>
        <v>Missing Data</v>
      </c>
      <c r="H22" s="52"/>
      <c r="I22" s="49" t="str">
        <f>IFERROR('NG Futures'!$H22*HR_Low_Plant/1000,"Data Missing")</f>
        <v>Data Missing</v>
      </c>
      <c r="J22" s="49" t="str">
        <f>IFERROR('NG Futures'!$H22*HR_High_Plant/1000,"Data Missing")</f>
        <v>Data Missing</v>
      </c>
      <c r="K22" s="52"/>
      <c r="L22" s="49" t="str">
        <f t="shared" si="9"/>
        <v>Data Missing</v>
      </c>
      <c r="M22" s="49" t="str">
        <f t="shared" si="10"/>
        <v>Data Missing</v>
      </c>
      <c r="N22" s="52"/>
      <c r="O22" s="40" t="str">
        <f t="shared" si="6"/>
        <v>Missing Data</v>
      </c>
      <c r="P22" s="40" t="str">
        <f t="shared" si="7"/>
        <v>Missing Data</v>
      </c>
    </row>
    <row r="23" spans="1:16" x14ac:dyDescent="0.25">
      <c r="A23" s="7">
        <v>21</v>
      </c>
      <c r="B23" s="46">
        <f t="shared" si="8"/>
        <v>44805</v>
      </c>
      <c r="C23" s="27" t="str">
        <f t="shared" si="3"/>
        <v>Sep</v>
      </c>
      <c r="D23" s="27">
        <f t="shared" si="4"/>
        <v>2022</v>
      </c>
      <c r="E23" s="27" t="str">
        <f>INDEX(Seasons,MATCH($C23,'General Inputs'!$B$21:$B$32,0),1)</f>
        <v>Summer</v>
      </c>
      <c r="F23" s="49" t="str">
        <f>'Elec Futures'!H23</f>
        <v>Missing Data</v>
      </c>
      <c r="G23" s="49" t="str">
        <f>'Elec Futures'!I23</f>
        <v>Missing Data</v>
      </c>
      <c r="H23" s="52"/>
      <c r="I23" s="49" t="str">
        <f>IFERROR('NG Futures'!$H23*HR_Low_Plant/1000,"Data Missing")</f>
        <v>Data Missing</v>
      </c>
      <c r="J23" s="49" t="str">
        <f>IFERROR('NG Futures'!$H23*HR_High_Plant/1000,"Data Missing")</f>
        <v>Data Missing</v>
      </c>
      <c r="K23" s="52"/>
      <c r="L23" s="49" t="str">
        <f t="shared" si="9"/>
        <v>Data Missing</v>
      </c>
      <c r="M23" s="49" t="str">
        <f t="shared" si="10"/>
        <v>Data Missing</v>
      </c>
      <c r="N23" s="52"/>
      <c r="O23" s="40" t="str">
        <f t="shared" si="6"/>
        <v>Missing Data</v>
      </c>
      <c r="P23" s="40" t="str">
        <f t="shared" si="7"/>
        <v>Missing Data</v>
      </c>
    </row>
    <row r="24" spans="1:16" x14ac:dyDescent="0.25">
      <c r="A24" s="7">
        <v>22</v>
      </c>
      <c r="B24" s="46">
        <f t="shared" si="8"/>
        <v>44835</v>
      </c>
      <c r="C24" s="27" t="str">
        <f t="shared" si="3"/>
        <v>Oct</v>
      </c>
      <c r="D24" s="27">
        <f t="shared" si="4"/>
        <v>2022</v>
      </c>
      <c r="E24" s="27" t="str">
        <f>INDEX(Seasons,MATCH($C24,'General Inputs'!$B$21:$B$32,0),1)</f>
        <v>Shoulder</v>
      </c>
      <c r="F24" s="49" t="str">
        <f>'Elec Futures'!H24</f>
        <v>Missing Data</v>
      </c>
      <c r="G24" s="49" t="str">
        <f>'Elec Futures'!I24</f>
        <v>Missing Data</v>
      </c>
      <c r="H24" s="52"/>
      <c r="I24" s="49" t="str">
        <f>IFERROR('NG Futures'!$H24*HR_Low_Plant/1000,"Data Missing")</f>
        <v>Data Missing</v>
      </c>
      <c r="J24" s="49" t="str">
        <f>IFERROR('NG Futures'!$H24*HR_High_Plant/1000,"Data Missing")</f>
        <v>Data Missing</v>
      </c>
      <c r="K24" s="52"/>
      <c r="L24" s="49" t="str">
        <f t="shared" si="9"/>
        <v>Data Missing</v>
      </c>
      <c r="M24" s="49" t="str">
        <f t="shared" si="10"/>
        <v>Data Missing</v>
      </c>
      <c r="N24" s="52"/>
      <c r="O24" s="40" t="str">
        <f t="shared" si="6"/>
        <v>Missing Data</v>
      </c>
      <c r="P24" s="40" t="str">
        <f t="shared" si="7"/>
        <v>Missing Data</v>
      </c>
    </row>
    <row r="25" spans="1:16" x14ac:dyDescent="0.25">
      <c r="A25" s="7">
        <v>23</v>
      </c>
      <c r="B25" s="46">
        <f t="shared" si="8"/>
        <v>44866</v>
      </c>
      <c r="C25" s="27" t="str">
        <f t="shared" si="3"/>
        <v>Nov</v>
      </c>
      <c r="D25" s="27">
        <f t="shared" si="4"/>
        <v>2022</v>
      </c>
      <c r="E25" s="27" t="str">
        <f>INDEX(Seasons,MATCH($C25,'General Inputs'!$B$21:$B$32,0),1)</f>
        <v>Shoulder</v>
      </c>
      <c r="F25" s="49" t="str">
        <f>'Elec Futures'!H25</f>
        <v>Missing Data</v>
      </c>
      <c r="G25" s="49" t="str">
        <f>'Elec Futures'!I25</f>
        <v>Missing Data</v>
      </c>
      <c r="H25" s="52"/>
      <c r="I25" s="49" t="str">
        <f>IFERROR('NG Futures'!$H25*HR_Low_Plant/1000,"Data Missing")</f>
        <v>Data Missing</v>
      </c>
      <c r="J25" s="49" t="str">
        <f>IFERROR('NG Futures'!$H25*HR_High_Plant/1000,"Data Missing")</f>
        <v>Data Missing</v>
      </c>
      <c r="K25" s="52"/>
      <c r="L25" s="49" t="str">
        <f t="shared" si="9"/>
        <v>Data Missing</v>
      </c>
      <c r="M25" s="49" t="str">
        <f t="shared" si="10"/>
        <v>Data Missing</v>
      </c>
      <c r="N25" s="52"/>
      <c r="O25" s="40" t="str">
        <f t="shared" si="6"/>
        <v>Missing Data</v>
      </c>
      <c r="P25" s="40" t="str">
        <f t="shared" si="7"/>
        <v>Missing Data</v>
      </c>
    </row>
    <row r="26" spans="1:16" x14ac:dyDescent="0.25">
      <c r="A26" s="7">
        <v>24</v>
      </c>
      <c r="B26" s="46">
        <f t="shared" si="8"/>
        <v>44896</v>
      </c>
      <c r="C26" s="27" t="str">
        <f t="shared" si="3"/>
        <v>Dec</v>
      </c>
      <c r="D26" s="27">
        <f t="shared" si="4"/>
        <v>2022</v>
      </c>
      <c r="E26" s="27" t="str">
        <f>INDEX(Seasons,MATCH($C26,'General Inputs'!$B$21:$B$32,0),1)</f>
        <v>Winter</v>
      </c>
      <c r="F26" s="49" t="str">
        <f>'Elec Futures'!H26</f>
        <v>Missing Data</v>
      </c>
      <c r="G26" s="49" t="str">
        <f>'Elec Futures'!I26</f>
        <v>Missing Data</v>
      </c>
      <c r="H26" s="52"/>
      <c r="I26" s="49" t="str">
        <f>IFERROR('NG Futures'!$H26*HR_Low_Plant/1000,"Data Missing")</f>
        <v>Data Missing</v>
      </c>
      <c r="J26" s="49" t="str">
        <f>IFERROR('NG Futures'!$H26*HR_High_Plant/1000,"Data Missing")</f>
        <v>Data Missing</v>
      </c>
      <c r="K26" s="52"/>
      <c r="L26" s="49" t="str">
        <f t="shared" si="9"/>
        <v>Data Missing</v>
      </c>
      <c r="M26" s="49" t="str">
        <f t="shared" si="10"/>
        <v>Data Missing</v>
      </c>
      <c r="N26" s="52"/>
      <c r="O26" s="40" t="str">
        <f t="shared" si="6"/>
        <v>Missing Data</v>
      </c>
      <c r="P26" s="40" t="str">
        <f t="shared" si="7"/>
        <v>Missing Data</v>
      </c>
    </row>
    <row r="27" spans="1:16" x14ac:dyDescent="0.25">
      <c r="A27" s="7">
        <v>25</v>
      </c>
      <c r="B27" s="46">
        <f t="shared" si="8"/>
        <v>44927</v>
      </c>
      <c r="C27" s="27" t="str">
        <f t="shared" si="3"/>
        <v>Jan</v>
      </c>
      <c r="D27" s="27">
        <f t="shared" si="4"/>
        <v>2023</v>
      </c>
      <c r="E27" s="27" t="str">
        <f>INDEX(Seasons,MATCH($C27,'General Inputs'!$B$21:$B$32,0),1)</f>
        <v>Winter</v>
      </c>
      <c r="F27" s="49" t="str">
        <f>'Elec Futures'!H27</f>
        <v>Missing Data</v>
      </c>
      <c r="G27" s="49" t="str">
        <f>'Elec Futures'!I27</f>
        <v>Missing Data</v>
      </c>
      <c r="H27" s="52"/>
      <c r="I27" s="49" t="str">
        <f>IFERROR('NG Futures'!$H27*HR_Low_Plant/1000,"Data Missing")</f>
        <v>Data Missing</v>
      </c>
      <c r="J27" s="49" t="str">
        <f>IFERROR('NG Futures'!$H27*HR_High_Plant/1000,"Data Missing")</f>
        <v>Data Missing</v>
      </c>
      <c r="K27" s="52"/>
      <c r="L27" s="49" t="str">
        <f t="shared" si="9"/>
        <v>Data Missing</v>
      </c>
      <c r="M27" s="49" t="str">
        <f t="shared" si="10"/>
        <v>Data Missing</v>
      </c>
      <c r="N27" s="52"/>
      <c r="O27" s="40" t="str">
        <f t="shared" si="6"/>
        <v>Missing Data</v>
      </c>
      <c r="P27" s="40" t="str">
        <f t="shared" si="7"/>
        <v>Missing Data</v>
      </c>
    </row>
    <row r="28" spans="1:16" x14ac:dyDescent="0.25">
      <c r="A28" s="7">
        <v>26</v>
      </c>
      <c r="B28" s="46">
        <f t="shared" si="8"/>
        <v>44958</v>
      </c>
      <c r="C28" s="27" t="str">
        <f t="shared" si="3"/>
        <v>Feb</v>
      </c>
      <c r="D28" s="27">
        <f t="shared" si="4"/>
        <v>2023</v>
      </c>
      <c r="E28" s="27" t="str">
        <f>INDEX(Seasons,MATCH($C28,'General Inputs'!$B$21:$B$32,0),1)</f>
        <v>Winter</v>
      </c>
      <c r="F28" s="49" t="str">
        <f>'Elec Futures'!H28</f>
        <v>Missing Data</v>
      </c>
      <c r="G28" s="49" t="str">
        <f>'Elec Futures'!I28</f>
        <v>Missing Data</v>
      </c>
      <c r="H28" s="52"/>
      <c r="I28" s="49" t="str">
        <f>IFERROR('NG Futures'!$H28*HR_Low_Plant/1000,"Data Missing")</f>
        <v>Data Missing</v>
      </c>
      <c r="J28" s="49" t="str">
        <f>IFERROR('NG Futures'!$H28*HR_High_Plant/1000,"Data Missing")</f>
        <v>Data Missing</v>
      </c>
      <c r="K28" s="52"/>
      <c r="L28" s="49" t="str">
        <f t="shared" si="9"/>
        <v>Data Missing</v>
      </c>
      <c r="M28" s="49" t="str">
        <f t="shared" si="10"/>
        <v>Data Missing</v>
      </c>
      <c r="N28" s="52"/>
      <c r="O28" s="40" t="str">
        <f t="shared" si="6"/>
        <v>Missing Data</v>
      </c>
      <c r="P28" s="40" t="str">
        <f t="shared" si="7"/>
        <v>Missing Data</v>
      </c>
    </row>
    <row r="29" spans="1:16" x14ac:dyDescent="0.25">
      <c r="A29" s="7">
        <v>27</v>
      </c>
      <c r="B29" s="46">
        <f t="shared" si="8"/>
        <v>44986</v>
      </c>
      <c r="C29" s="27" t="str">
        <f t="shared" si="3"/>
        <v>Mar</v>
      </c>
      <c r="D29" s="27">
        <f t="shared" si="4"/>
        <v>2023</v>
      </c>
      <c r="E29" s="27" t="str">
        <f>INDEX(Seasons,MATCH($C29,'General Inputs'!$B$21:$B$32,0),1)</f>
        <v>Shoulder</v>
      </c>
      <c r="F29" s="49" t="str">
        <f>'Elec Futures'!H29</f>
        <v>Missing Data</v>
      </c>
      <c r="G29" s="49" t="str">
        <f>'Elec Futures'!I29</f>
        <v>Missing Data</v>
      </c>
      <c r="H29" s="52"/>
      <c r="I29" s="49" t="str">
        <f>IFERROR('NG Futures'!$H29*HR_Low_Plant/1000,"Data Missing")</f>
        <v>Data Missing</v>
      </c>
      <c r="J29" s="49" t="str">
        <f>IFERROR('NG Futures'!$H29*HR_High_Plant/1000,"Data Missing")</f>
        <v>Data Missing</v>
      </c>
      <c r="K29" s="52"/>
      <c r="L29" s="49" t="str">
        <f t="shared" si="9"/>
        <v>Data Missing</v>
      </c>
      <c r="M29" s="49" t="str">
        <f t="shared" si="10"/>
        <v>Data Missing</v>
      </c>
      <c r="N29" s="52"/>
      <c r="O29" s="40" t="str">
        <f t="shared" si="6"/>
        <v>Missing Data</v>
      </c>
      <c r="P29" s="40" t="str">
        <f t="shared" si="7"/>
        <v>Missing Data</v>
      </c>
    </row>
    <row r="30" spans="1:16" x14ac:dyDescent="0.25">
      <c r="A30" s="7">
        <v>28</v>
      </c>
      <c r="B30" s="46">
        <f t="shared" si="8"/>
        <v>45017</v>
      </c>
      <c r="C30" s="27" t="str">
        <f t="shared" si="3"/>
        <v>Apr</v>
      </c>
      <c r="D30" s="27">
        <f t="shared" si="4"/>
        <v>2023</v>
      </c>
      <c r="E30" s="27" t="str">
        <f>INDEX(Seasons,MATCH($C30,'General Inputs'!$B$21:$B$32,0),1)</f>
        <v>Shoulder</v>
      </c>
      <c r="F30" s="49" t="str">
        <f>'Elec Futures'!H30</f>
        <v>Missing Data</v>
      </c>
      <c r="G30" s="49" t="str">
        <f>'Elec Futures'!I30</f>
        <v>Missing Data</v>
      </c>
      <c r="H30" s="52"/>
      <c r="I30" s="49" t="str">
        <f>IFERROR('NG Futures'!$H30*HR_Low_Plant/1000,"Data Missing")</f>
        <v>Data Missing</v>
      </c>
      <c r="J30" s="49" t="str">
        <f>IFERROR('NG Futures'!$H30*HR_High_Plant/1000,"Data Missing")</f>
        <v>Data Missing</v>
      </c>
      <c r="K30" s="52"/>
      <c r="L30" s="49" t="str">
        <f t="shared" si="9"/>
        <v>Data Missing</v>
      </c>
      <c r="M30" s="49" t="str">
        <f t="shared" si="10"/>
        <v>Data Missing</v>
      </c>
      <c r="N30" s="52"/>
      <c r="O30" s="40" t="str">
        <f t="shared" si="6"/>
        <v>Missing Data</v>
      </c>
      <c r="P30" s="40" t="str">
        <f t="shared" si="7"/>
        <v>Missing Data</v>
      </c>
    </row>
    <row r="31" spans="1:16" x14ac:dyDescent="0.25">
      <c r="A31" s="7">
        <v>29</v>
      </c>
      <c r="B31" s="46">
        <f t="shared" si="8"/>
        <v>45047</v>
      </c>
      <c r="C31" s="27" t="str">
        <f t="shared" si="3"/>
        <v>May</v>
      </c>
      <c r="D31" s="27">
        <f t="shared" si="4"/>
        <v>2023</v>
      </c>
      <c r="E31" s="27" t="str">
        <f>INDEX(Seasons,MATCH($C31,'General Inputs'!$B$21:$B$32,0),1)</f>
        <v>Summer</v>
      </c>
      <c r="F31" s="49" t="str">
        <f>'Elec Futures'!H31</f>
        <v>Missing Data</v>
      </c>
      <c r="G31" s="49" t="str">
        <f>'Elec Futures'!I31</f>
        <v>Missing Data</v>
      </c>
      <c r="H31" s="52"/>
      <c r="I31" s="49" t="str">
        <f>IFERROR('NG Futures'!$H31*HR_Low_Plant/1000,"Data Missing")</f>
        <v>Data Missing</v>
      </c>
      <c r="J31" s="49" t="str">
        <f>IFERROR('NG Futures'!$H31*HR_High_Plant/1000,"Data Missing")</f>
        <v>Data Missing</v>
      </c>
      <c r="K31" s="52"/>
      <c r="L31" s="49" t="str">
        <f t="shared" si="9"/>
        <v>Data Missing</v>
      </c>
      <c r="M31" s="49" t="str">
        <f t="shared" si="10"/>
        <v>Data Missing</v>
      </c>
      <c r="N31" s="52"/>
      <c r="O31" s="40" t="str">
        <f t="shared" si="6"/>
        <v>Missing Data</v>
      </c>
      <c r="P31" s="40" t="str">
        <f t="shared" si="7"/>
        <v>Missing Data</v>
      </c>
    </row>
    <row r="32" spans="1:16" x14ac:dyDescent="0.25">
      <c r="A32" s="7">
        <v>30</v>
      </c>
      <c r="B32" s="46">
        <f t="shared" si="8"/>
        <v>45078</v>
      </c>
      <c r="C32" s="27" t="str">
        <f t="shared" si="3"/>
        <v>Jun</v>
      </c>
      <c r="D32" s="27">
        <f t="shared" si="4"/>
        <v>2023</v>
      </c>
      <c r="E32" s="27" t="str">
        <f>INDEX(Seasons,MATCH($C32,'General Inputs'!$B$21:$B$32,0),1)</f>
        <v>Summer</v>
      </c>
      <c r="F32" s="49" t="str">
        <f>'Elec Futures'!H32</f>
        <v>Missing Data</v>
      </c>
      <c r="G32" s="49" t="str">
        <f>'Elec Futures'!I32</f>
        <v>Missing Data</v>
      </c>
      <c r="H32" s="52"/>
      <c r="I32" s="49" t="str">
        <f>IFERROR('NG Futures'!$H32*HR_Low_Plant/1000,"Data Missing")</f>
        <v>Data Missing</v>
      </c>
      <c r="J32" s="49" t="str">
        <f>IFERROR('NG Futures'!$H32*HR_High_Plant/1000,"Data Missing")</f>
        <v>Data Missing</v>
      </c>
      <c r="K32" s="52"/>
      <c r="L32" s="49" t="str">
        <f t="shared" si="9"/>
        <v>Data Missing</v>
      </c>
      <c r="M32" s="49" t="str">
        <f t="shared" si="10"/>
        <v>Data Missing</v>
      </c>
      <c r="N32" s="52"/>
      <c r="O32" s="40" t="str">
        <f t="shared" si="6"/>
        <v>Missing Data</v>
      </c>
      <c r="P32" s="40" t="str">
        <f t="shared" si="7"/>
        <v>Missing Data</v>
      </c>
    </row>
    <row r="33" spans="1:16" x14ac:dyDescent="0.25">
      <c r="A33" s="7">
        <v>31</v>
      </c>
      <c r="B33" s="46">
        <f t="shared" si="8"/>
        <v>45108</v>
      </c>
      <c r="C33" s="27" t="str">
        <f t="shared" si="3"/>
        <v>Jul</v>
      </c>
      <c r="D33" s="27">
        <f t="shared" si="4"/>
        <v>2023</v>
      </c>
      <c r="E33" s="27" t="str">
        <f>INDEX(Seasons,MATCH($C33,'General Inputs'!$B$21:$B$32,0),1)</f>
        <v>Summer</v>
      </c>
      <c r="F33" s="49" t="str">
        <f>'Elec Futures'!H33</f>
        <v>Missing Data</v>
      </c>
      <c r="G33" s="49" t="str">
        <f>'Elec Futures'!I33</f>
        <v>Missing Data</v>
      </c>
      <c r="H33" s="52"/>
      <c r="I33" s="49" t="str">
        <f>IFERROR('NG Futures'!$H33*HR_Low_Plant/1000,"Data Missing")</f>
        <v>Data Missing</v>
      </c>
      <c r="J33" s="49" t="str">
        <f>IFERROR('NG Futures'!$H33*HR_High_Plant/1000,"Data Missing")</f>
        <v>Data Missing</v>
      </c>
      <c r="K33" s="52"/>
      <c r="L33" s="49" t="str">
        <f t="shared" si="9"/>
        <v>Data Missing</v>
      </c>
      <c r="M33" s="49" t="str">
        <f t="shared" si="10"/>
        <v>Data Missing</v>
      </c>
      <c r="N33" s="52"/>
      <c r="O33" s="40" t="str">
        <f t="shared" si="6"/>
        <v>Missing Data</v>
      </c>
      <c r="P33" s="40" t="str">
        <f t="shared" si="7"/>
        <v>Missing Data</v>
      </c>
    </row>
    <row r="34" spans="1:16" x14ac:dyDescent="0.25">
      <c r="A34" s="7">
        <v>32</v>
      </c>
      <c r="B34" s="46">
        <f t="shared" si="8"/>
        <v>45139</v>
      </c>
      <c r="C34" s="27" t="str">
        <f t="shared" si="3"/>
        <v>Aug</v>
      </c>
      <c r="D34" s="27">
        <f t="shared" si="4"/>
        <v>2023</v>
      </c>
      <c r="E34" s="27" t="str">
        <f>INDEX(Seasons,MATCH($C34,'General Inputs'!$B$21:$B$32,0),1)</f>
        <v>Summer</v>
      </c>
      <c r="F34" s="49" t="str">
        <f>'Elec Futures'!H34</f>
        <v>Missing Data</v>
      </c>
      <c r="G34" s="49" t="str">
        <f>'Elec Futures'!I34</f>
        <v>Missing Data</v>
      </c>
      <c r="H34" s="52"/>
      <c r="I34" s="49" t="str">
        <f>IFERROR('NG Futures'!$H34*HR_Low_Plant/1000,"Data Missing")</f>
        <v>Data Missing</v>
      </c>
      <c r="J34" s="49" t="str">
        <f>IFERROR('NG Futures'!$H34*HR_High_Plant/1000,"Data Missing")</f>
        <v>Data Missing</v>
      </c>
      <c r="K34" s="52"/>
      <c r="L34" s="49" t="str">
        <f t="shared" si="9"/>
        <v>Data Missing</v>
      </c>
      <c r="M34" s="49" t="str">
        <f t="shared" si="10"/>
        <v>Data Missing</v>
      </c>
      <c r="N34" s="52"/>
      <c r="O34" s="40" t="str">
        <f t="shared" si="6"/>
        <v>Missing Data</v>
      </c>
      <c r="P34" s="40" t="str">
        <f t="shared" si="7"/>
        <v>Missing Data</v>
      </c>
    </row>
    <row r="35" spans="1:16" x14ac:dyDescent="0.25">
      <c r="A35" s="7">
        <v>33</v>
      </c>
      <c r="B35" s="46">
        <f t="shared" si="8"/>
        <v>45170</v>
      </c>
      <c r="C35" s="27" t="str">
        <f t="shared" si="3"/>
        <v>Sep</v>
      </c>
      <c r="D35" s="27">
        <f t="shared" si="4"/>
        <v>2023</v>
      </c>
      <c r="E35" s="27" t="str">
        <f>INDEX(Seasons,MATCH($C35,'General Inputs'!$B$21:$B$32,0),1)</f>
        <v>Summer</v>
      </c>
      <c r="F35" s="49" t="str">
        <f>'Elec Futures'!H35</f>
        <v>Missing Data</v>
      </c>
      <c r="G35" s="49" t="str">
        <f>'Elec Futures'!I35</f>
        <v>Missing Data</v>
      </c>
      <c r="H35" s="52"/>
      <c r="I35" s="49" t="str">
        <f>IFERROR('NG Futures'!$H35*HR_Low_Plant/1000,"Data Missing")</f>
        <v>Data Missing</v>
      </c>
      <c r="J35" s="49" t="str">
        <f>IFERROR('NG Futures'!$H35*HR_High_Plant/1000,"Data Missing")</f>
        <v>Data Missing</v>
      </c>
      <c r="K35" s="52"/>
      <c r="L35" s="49" t="str">
        <f t="shared" si="9"/>
        <v>Data Missing</v>
      </c>
      <c r="M35" s="49" t="str">
        <f t="shared" si="10"/>
        <v>Data Missing</v>
      </c>
      <c r="N35" s="52"/>
      <c r="O35" s="40" t="str">
        <f t="shared" si="6"/>
        <v>Missing Data</v>
      </c>
      <c r="P35" s="40" t="str">
        <f t="shared" si="7"/>
        <v>Missing Data</v>
      </c>
    </row>
    <row r="36" spans="1:16" x14ac:dyDescent="0.25">
      <c r="A36" s="7">
        <v>34</v>
      </c>
      <c r="B36" s="46">
        <f t="shared" si="8"/>
        <v>45200</v>
      </c>
      <c r="C36" s="27" t="str">
        <f t="shared" si="3"/>
        <v>Oct</v>
      </c>
      <c r="D36" s="27">
        <f t="shared" si="4"/>
        <v>2023</v>
      </c>
      <c r="E36" s="27" t="str">
        <f>INDEX(Seasons,MATCH($C36,'General Inputs'!$B$21:$B$32,0),1)</f>
        <v>Shoulder</v>
      </c>
      <c r="F36" s="49" t="str">
        <f>'Elec Futures'!H36</f>
        <v>Missing Data</v>
      </c>
      <c r="G36" s="49" t="str">
        <f>'Elec Futures'!I36</f>
        <v>Missing Data</v>
      </c>
      <c r="H36" s="52"/>
      <c r="I36" s="49" t="str">
        <f>IFERROR('NG Futures'!$H36*HR_Low_Plant/1000,"Data Missing")</f>
        <v>Data Missing</v>
      </c>
      <c r="J36" s="49" t="str">
        <f>IFERROR('NG Futures'!$H36*HR_High_Plant/1000,"Data Missing")</f>
        <v>Data Missing</v>
      </c>
      <c r="K36" s="52"/>
      <c r="L36" s="49" t="str">
        <f t="shared" si="9"/>
        <v>Data Missing</v>
      </c>
      <c r="M36" s="49" t="str">
        <f t="shared" si="10"/>
        <v>Data Missing</v>
      </c>
      <c r="N36" s="52"/>
      <c r="O36" s="40" t="str">
        <f t="shared" si="6"/>
        <v>Missing Data</v>
      </c>
      <c r="P36" s="40" t="str">
        <f t="shared" si="7"/>
        <v>Missing Data</v>
      </c>
    </row>
    <row r="37" spans="1:16" x14ac:dyDescent="0.25">
      <c r="A37" s="7">
        <v>35</v>
      </c>
      <c r="B37" s="46">
        <f t="shared" si="8"/>
        <v>45231</v>
      </c>
      <c r="C37" s="27" t="str">
        <f t="shared" si="3"/>
        <v>Nov</v>
      </c>
      <c r="D37" s="27">
        <f t="shared" si="4"/>
        <v>2023</v>
      </c>
      <c r="E37" s="27" t="str">
        <f>INDEX(Seasons,MATCH($C37,'General Inputs'!$B$21:$B$32,0),1)</f>
        <v>Shoulder</v>
      </c>
      <c r="F37" s="49" t="str">
        <f>'Elec Futures'!H37</f>
        <v>Missing Data</v>
      </c>
      <c r="G37" s="49" t="str">
        <f>'Elec Futures'!I37</f>
        <v>Missing Data</v>
      </c>
      <c r="H37" s="52"/>
      <c r="I37" s="49" t="str">
        <f>IFERROR('NG Futures'!$H37*HR_Low_Plant/1000,"Data Missing")</f>
        <v>Data Missing</v>
      </c>
      <c r="J37" s="49" t="str">
        <f>IFERROR('NG Futures'!$H37*HR_High_Plant/1000,"Data Missing")</f>
        <v>Data Missing</v>
      </c>
      <c r="K37" s="52"/>
      <c r="L37" s="49" t="str">
        <f t="shared" si="9"/>
        <v>Data Missing</v>
      </c>
      <c r="M37" s="49" t="str">
        <f t="shared" si="10"/>
        <v>Data Missing</v>
      </c>
      <c r="N37" s="52"/>
      <c r="O37" s="40" t="str">
        <f t="shared" si="6"/>
        <v>Missing Data</v>
      </c>
      <c r="P37" s="40" t="str">
        <f t="shared" si="7"/>
        <v>Missing Data</v>
      </c>
    </row>
    <row r="38" spans="1:16" x14ac:dyDescent="0.25">
      <c r="A38" s="7">
        <v>36</v>
      </c>
      <c r="B38" s="46">
        <f t="shared" si="8"/>
        <v>45261</v>
      </c>
      <c r="C38" s="27" t="str">
        <f t="shared" si="3"/>
        <v>Dec</v>
      </c>
      <c r="D38" s="27">
        <f t="shared" si="4"/>
        <v>2023</v>
      </c>
      <c r="E38" s="27" t="str">
        <f>INDEX(Seasons,MATCH($C38,'General Inputs'!$B$21:$B$32,0),1)</f>
        <v>Winter</v>
      </c>
      <c r="F38" s="49" t="str">
        <f>'Elec Futures'!H38</f>
        <v>Missing Data</v>
      </c>
      <c r="G38" s="49" t="str">
        <f>'Elec Futures'!I38</f>
        <v>Missing Data</v>
      </c>
      <c r="H38" s="52"/>
      <c r="I38" s="49" t="str">
        <f>IFERROR('NG Futures'!$H38*HR_Low_Plant/1000,"Data Missing")</f>
        <v>Data Missing</v>
      </c>
      <c r="J38" s="49" t="str">
        <f>IFERROR('NG Futures'!$H38*HR_High_Plant/1000,"Data Missing")</f>
        <v>Data Missing</v>
      </c>
      <c r="K38" s="52"/>
      <c r="L38" s="49" t="str">
        <f t="shared" si="9"/>
        <v>Data Missing</v>
      </c>
      <c r="M38" s="49" t="str">
        <f t="shared" si="10"/>
        <v>Data Missing</v>
      </c>
      <c r="N38" s="52"/>
      <c r="O38" s="40" t="str">
        <f t="shared" si="6"/>
        <v>Missing Data</v>
      </c>
      <c r="P38" s="40" t="str">
        <f t="shared" si="7"/>
        <v>Missing Data</v>
      </c>
    </row>
    <row r="39" spans="1:16" x14ac:dyDescent="0.25">
      <c r="A39" s="7">
        <v>37</v>
      </c>
      <c r="B39" s="46">
        <f t="shared" si="8"/>
        <v>45292</v>
      </c>
      <c r="C39" s="27" t="str">
        <f t="shared" si="3"/>
        <v>Jan</v>
      </c>
      <c r="D39" s="27">
        <f t="shared" si="4"/>
        <v>2024</v>
      </c>
      <c r="E39" s="27" t="str">
        <f>INDEX(Seasons,MATCH($C39,'General Inputs'!$B$21:$B$32,0),1)</f>
        <v>Winter</v>
      </c>
      <c r="F39" s="49" t="str">
        <f>'Elec Futures'!H39</f>
        <v>Missing Data</v>
      </c>
      <c r="G39" s="49" t="str">
        <f>'Elec Futures'!I39</f>
        <v>Missing Data</v>
      </c>
      <c r="H39" s="52"/>
      <c r="I39" s="49" t="str">
        <f>IFERROR('NG Futures'!$H39*HR_Low_Plant/1000,"Data Missing")</f>
        <v>Data Missing</v>
      </c>
      <c r="J39" s="49" t="str">
        <f>IFERROR('NG Futures'!$H39*HR_High_Plant/1000,"Data Missing")</f>
        <v>Data Missing</v>
      </c>
      <c r="K39" s="52"/>
      <c r="L39" s="49" t="str">
        <f t="shared" si="9"/>
        <v>Data Missing</v>
      </c>
      <c r="M39" s="49" t="str">
        <f t="shared" si="10"/>
        <v>Data Missing</v>
      </c>
      <c r="N39" s="52"/>
      <c r="O39" s="40" t="str">
        <f t="shared" si="6"/>
        <v>Missing Data</v>
      </c>
      <c r="P39" s="40" t="str">
        <f t="shared" si="7"/>
        <v>Missing Data</v>
      </c>
    </row>
    <row r="40" spans="1:16" x14ac:dyDescent="0.25">
      <c r="A40" s="7">
        <v>38</v>
      </c>
      <c r="B40" s="46">
        <f t="shared" si="8"/>
        <v>45323</v>
      </c>
      <c r="C40" s="27" t="str">
        <f t="shared" si="3"/>
        <v>Feb</v>
      </c>
      <c r="D40" s="27">
        <f t="shared" si="4"/>
        <v>2024</v>
      </c>
      <c r="E40" s="27" t="str">
        <f>INDEX(Seasons,MATCH($C40,'General Inputs'!$B$21:$B$32,0),1)</f>
        <v>Winter</v>
      </c>
      <c r="F40" s="49" t="str">
        <f>'Elec Futures'!H40</f>
        <v>Missing Data</v>
      </c>
      <c r="G40" s="49" t="str">
        <f>'Elec Futures'!I40</f>
        <v>Missing Data</v>
      </c>
      <c r="H40" s="52"/>
      <c r="I40" s="49" t="str">
        <f>IFERROR('NG Futures'!$H40*HR_Low_Plant/1000,"Data Missing")</f>
        <v>Data Missing</v>
      </c>
      <c r="J40" s="49" t="str">
        <f>IFERROR('NG Futures'!$H40*HR_High_Plant/1000,"Data Missing")</f>
        <v>Data Missing</v>
      </c>
      <c r="K40" s="52"/>
      <c r="L40" s="49" t="str">
        <f t="shared" si="9"/>
        <v>Data Missing</v>
      </c>
      <c r="M40" s="49" t="str">
        <f t="shared" si="10"/>
        <v>Data Missing</v>
      </c>
      <c r="N40" s="52"/>
      <c r="O40" s="40" t="str">
        <f t="shared" si="6"/>
        <v>Missing Data</v>
      </c>
      <c r="P40" s="40" t="str">
        <f t="shared" si="7"/>
        <v>Missing Data</v>
      </c>
    </row>
    <row r="41" spans="1:16" x14ac:dyDescent="0.25">
      <c r="A41" s="7">
        <v>39</v>
      </c>
      <c r="B41" s="46">
        <f t="shared" si="8"/>
        <v>45352</v>
      </c>
      <c r="C41" s="27" t="str">
        <f t="shared" si="3"/>
        <v>Mar</v>
      </c>
      <c r="D41" s="27">
        <f t="shared" si="4"/>
        <v>2024</v>
      </c>
      <c r="E41" s="27" t="str">
        <f>INDEX(Seasons,MATCH($C41,'General Inputs'!$B$21:$B$32,0),1)</f>
        <v>Shoulder</v>
      </c>
      <c r="F41" s="49" t="str">
        <f>'Elec Futures'!H41</f>
        <v>Missing Data</v>
      </c>
      <c r="G41" s="49" t="str">
        <f>'Elec Futures'!I41</f>
        <v>Missing Data</v>
      </c>
      <c r="H41" s="52"/>
      <c r="I41" s="49" t="str">
        <f>IFERROR('NG Futures'!$H41*HR_Low_Plant/1000,"Data Missing")</f>
        <v>Data Missing</v>
      </c>
      <c r="J41" s="49" t="str">
        <f>IFERROR('NG Futures'!$H41*HR_High_Plant/1000,"Data Missing")</f>
        <v>Data Missing</v>
      </c>
      <c r="K41" s="52"/>
      <c r="L41" s="49" t="str">
        <f t="shared" si="9"/>
        <v>Data Missing</v>
      </c>
      <c r="M41" s="49" t="str">
        <f t="shared" si="10"/>
        <v>Data Missing</v>
      </c>
      <c r="N41" s="52"/>
      <c r="O41" s="40" t="str">
        <f t="shared" si="6"/>
        <v>Missing Data</v>
      </c>
      <c r="P41" s="40" t="str">
        <f t="shared" si="7"/>
        <v>Missing Data</v>
      </c>
    </row>
    <row r="42" spans="1:16" x14ac:dyDescent="0.25">
      <c r="A42" s="7">
        <v>40</v>
      </c>
      <c r="B42" s="46">
        <f t="shared" si="8"/>
        <v>45383</v>
      </c>
      <c r="C42" s="27" t="str">
        <f t="shared" si="3"/>
        <v>Apr</v>
      </c>
      <c r="D42" s="27">
        <f t="shared" si="4"/>
        <v>2024</v>
      </c>
      <c r="E42" s="27" t="str">
        <f>INDEX(Seasons,MATCH($C42,'General Inputs'!$B$21:$B$32,0),1)</f>
        <v>Shoulder</v>
      </c>
      <c r="F42" s="49" t="str">
        <f>'Elec Futures'!H42</f>
        <v>Missing Data</v>
      </c>
      <c r="G42" s="49" t="str">
        <f>'Elec Futures'!I42</f>
        <v>Missing Data</v>
      </c>
      <c r="H42" s="52"/>
      <c r="I42" s="49" t="str">
        <f>IFERROR('NG Futures'!$H42*HR_Low_Plant/1000,"Data Missing")</f>
        <v>Data Missing</v>
      </c>
      <c r="J42" s="49" t="str">
        <f>IFERROR('NG Futures'!$H42*HR_High_Plant/1000,"Data Missing")</f>
        <v>Data Missing</v>
      </c>
      <c r="K42" s="52"/>
      <c r="L42" s="49" t="str">
        <f t="shared" si="9"/>
        <v>Data Missing</v>
      </c>
      <c r="M42" s="49" t="str">
        <f t="shared" si="10"/>
        <v>Data Missing</v>
      </c>
      <c r="N42" s="52"/>
      <c r="O42" s="40" t="str">
        <f t="shared" si="6"/>
        <v>Missing Data</v>
      </c>
      <c r="P42" s="40" t="str">
        <f t="shared" si="7"/>
        <v>Missing Data</v>
      </c>
    </row>
    <row r="43" spans="1:16" x14ac:dyDescent="0.25">
      <c r="A43" s="7">
        <v>41</v>
      </c>
      <c r="B43" s="46">
        <f t="shared" si="8"/>
        <v>45413</v>
      </c>
      <c r="C43" s="27" t="str">
        <f t="shared" si="3"/>
        <v>May</v>
      </c>
      <c r="D43" s="27">
        <f t="shared" si="4"/>
        <v>2024</v>
      </c>
      <c r="E43" s="27" t="str">
        <f>INDEX(Seasons,MATCH($C43,'General Inputs'!$B$21:$B$32,0),1)</f>
        <v>Summer</v>
      </c>
      <c r="F43" s="49" t="str">
        <f>'Elec Futures'!H43</f>
        <v>Missing Data</v>
      </c>
      <c r="G43" s="49" t="str">
        <f>'Elec Futures'!I43</f>
        <v>Missing Data</v>
      </c>
      <c r="H43" s="52"/>
      <c r="I43" s="49" t="str">
        <f>IFERROR('NG Futures'!$H43*HR_Low_Plant/1000,"Data Missing")</f>
        <v>Data Missing</v>
      </c>
      <c r="J43" s="49" t="str">
        <f>IFERROR('NG Futures'!$H43*HR_High_Plant/1000,"Data Missing")</f>
        <v>Data Missing</v>
      </c>
      <c r="K43" s="52"/>
      <c r="L43" s="49" t="str">
        <f t="shared" si="9"/>
        <v>Data Missing</v>
      </c>
      <c r="M43" s="49" t="str">
        <f t="shared" si="10"/>
        <v>Data Missing</v>
      </c>
      <c r="N43" s="52"/>
      <c r="O43" s="40" t="str">
        <f t="shared" si="6"/>
        <v>Missing Data</v>
      </c>
      <c r="P43" s="40" t="str">
        <f t="shared" si="7"/>
        <v>Missing Data</v>
      </c>
    </row>
    <row r="44" spans="1:16" x14ac:dyDescent="0.25">
      <c r="A44" s="7">
        <v>42</v>
      </c>
      <c r="B44" s="46">
        <f t="shared" si="8"/>
        <v>45444</v>
      </c>
      <c r="C44" s="27" t="str">
        <f t="shared" si="3"/>
        <v>Jun</v>
      </c>
      <c r="D44" s="27">
        <f t="shared" si="4"/>
        <v>2024</v>
      </c>
      <c r="E44" s="27" t="str">
        <f>INDEX(Seasons,MATCH($C44,'General Inputs'!$B$21:$B$32,0),1)</f>
        <v>Summer</v>
      </c>
      <c r="F44" s="49" t="str">
        <f>'Elec Futures'!H44</f>
        <v>Missing Data</v>
      </c>
      <c r="G44" s="49" t="str">
        <f>'Elec Futures'!I44</f>
        <v>Missing Data</v>
      </c>
      <c r="H44" s="52"/>
      <c r="I44" s="49" t="str">
        <f>IFERROR('NG Futures'!$H44*HR_Low_Plant/1000,"Data Missing")</f>
        <v>Data Missing</v>
      </c>
      <c r="J44" s="49" t="str">
        <f>IFERROR('NG Futures'!$H44*HR_High_Plant/1000,"Data Missing")</f>
        <v>Data Missing</v>
      </c>
      <c r="K44" s="52"/>
      <c r="L44" s="49" t="str">
        <f t="shared" si="9"/>
        <v>Data Missing</v>
      </c>
      <c r="M44" s="49" t="str">
        <f t="shared" si="10"/>
        <v>Data Missing</v>
      </c>
      <c r="N44" s="52"/>
      <c r="O44" s="40" t="str">
        <f t="shared" si="6"/>
        <v>Missing Data</v>
      </c>
      <c r="P44" s="40" t="str">
        <f t="shared" si="7"/>
        <v>Missing Data</v>
      </c>
    </row>
    <row r="45" spans="1:16" x14ac:dyDescent="0.25">
      <c r="A45" s="7">
        <v>43</v>
      </c>
      <c r="B45" s="46">
        <f t="shared" si="8"/>
        <v>45474</v>
      </c>
      <c r="C45" s="27" t="str">
        <f t="shared" si="3"/>
        <v>Jul</v>
      </c>
      <c r="D45" s="27">
        <f t="shared" si="4"/>
        <v>2024</v>
      </c>
      <c r="E45" s="27" t="str">
        <f>INDEX(Seasons,MATCH($C45,'General Inputs'!$B$21:$B$32,0),1)</f>
        <v>Summer</v>
      </c>
      <c r="F45" s="49" t="str">
        <f>'Elec Futures'!H45</f>
        <v>Missing Data</v>
      </c>
      <c r="G45" s="49" t="str">
        <f>'Elec Futures'!I45</f>
        <v>Missing Data</v>
      </c>
      <c r="H45" s="52"/>
      <c r="I45" s="49" t="str">
        <f>IFERROR('NG Futures'!$H45*HR_Low_Plant/1000,"Data Missing")</f>
        <v>Data Missing</v>
      </c>
      <c r="J45" s="49" t="str">
        <f>IFERROR('NG Futures'!$H45*HR_High_Plant/1000,"Data Missing")</f>
        <v>Data Missing</v>
      </c>
      <c r="K45" s="52"/>
      <c r="L45" s="49" t="str">
        <f t="shared" si="9"/>
        <v>Data Missing</v>
      </c>
      <c r="M45" s="49" t="str">
        <f t="shared" si="10"/>
        <v>Data Missing</v>
      </c>
      <c r="N45" s="52"/>
      <c r="O45" s="40" t="str">
        <f t="shared" si="6"/>
        <v>Missing Data</v>
      </c>
      <c r="P45" s="40" t="str">
        <f t="shared" si="7"/>
        <v>Missing Data</v>
      </c>
    </row>
    <row r="46" spans="1:16" x14ac:dyDescent="0.25">
      <c r="A46" s="7">
        <v>44</v>
      </c>
      <c r="B46" s="46">
        <f t="shared" si="8"/>
        <v>45505</v>
      </c>
      <c r="C46" s="27" t="str">
        <f t="shared" si="3"/>
        <v>Aug</v>
      </c>
      <c r="D46" s="27">
        <f t="shared" si="4"/>
        <v>2024</v>
      </c>
      <c r="E46" s="27" t="str">
        <f>INDEX(Seasons,MATCH($C46,'General Inputs'!$B$21:$B$32,0),1)</f>
        <v>Summer</v>
      </c>
      <c r="F46" s="49" t="str">
        <f>'Elec Futures'!H46</f>
        <v>Missing Data</v>
      </c>
      <c r="G46" s="49" t="str">
        <f>'Elec Futures'!I46</f>
        <v>Missing Data</v>
      </c>
      <c r="H46" s="52"/>
      <c r="I46" s="49" t="str">
        <f>IFERROR('NG Futures'!$H46*HR_Low_Plant/1000,"Data Missing")</f>
        <v>Data Missing</v>
      </c>
      <c r="J46" s="49" t="str">
        <f>IFERROR('NG Futures'!$H46*HR_High_Plant/1000,"Data Missing")</f>
        <v>Data Missing</v>
      </c>
      <c r="K46" s="52"/>
      <c r="L46" s="49" t="str">
        <f t="shared" si="9"/>
        <v>Data Missing</v>
      </c>
      <c r="M46" s="49" t="str">
        <f t="shared" si="10"/>
        <v>Data Missing</v>
      </c>
      <c r="N46" s="52"/>
      <c r="O46" s="40" t="str">
        <f t="shared" si="6"/>
        <v>Missing Data</v>
      </c>
      <c r="P46" s="40" t="str">
        <f t="shared" si="7"/>
        <v>Missing Data</v>
      </c>
    </row>
    <row r="47" spans="1:16" x14ac:dyDescent="0.25">
      <c r="A47" s="7">
        <v>45</v>
      </c>
      <c r="B47" s="46">
        <f t="shared" si="8"/>
        <v>45536</v>
      </c>
      <c r="C47" s="27" t="str">
        <f t="shared" si="3"/>
        <v>Sep</v>
      </c>
      <c r="D47" s="27">
        <f t="shared" si="4"/>
        <v>2024</v>
      </c>
      <c r="E47" s="27" t="str">
        <f>INDEX(Seasons,MATCH($C47,'General Inputs'!$B$21:$B$32,0),1)</f>
        <v>Summer</v>
      </c>
      <c r="F47" s="49" t="str">
        <f>'Elec Futures'!H47</f>
        <v>Missing Data</v>
      </c>
      <c r="G47" s="49" t="str">
        <f>'Elec Futures'!I47</f>
        <v>Missing Data</v>
      </c>
      <c r="H47" s="52"/>
      <c r="I47" s="49" t="str">
        <f>IFERROR('NG Futures'!$H47*HR_Low_Plant/1000,"Data Missing")</f>
        <v>Data Missing</v>
      </c>
      <c r="J47" s="49" t="str">
        <f>IFERROR('NG Futures'!$H47*HR_High_Plant/1000,"Data Missing")</f>
        <v>Data Missing</v>
      </c>
      <c r="K47" s="52"/>
      <c r="L47" s="49" t="str">
        <f t="shared" si="9"/>
        <v>Data Missing</v>
      </c>
      <c r="M47" s="49" t="str">
        <f t="shared" si="10"/>
        <v>Data Missing</v>
      </c>
      <c r="N47" s="52"/>
      <c r="O47" s="40" t="str">
        <f t="shared" si="6"/>
        <v>Missing Data</v>
      </c>
      <c r="P47" s="40" t="str">
        <f t="shared" si="7"/>
        <v>Missing Data</v>
      </c>
    </row>
    <row r="48" spans="1:16" x14ac:dyDescent="0.25">
      <c r="A48" s="7">
        <v>46</v>
      </c>
      <c r="B48" s="46">
        <f t="shared" si="8"/>
        <v>45566</v>
      </c>
      <c r="C48" s="27" t="str">
        <f t="shared" si="3"/>
        <v>Oct</v>
      </c>
      <c r="D48" s="27">
        <f t="shared" si="4"/>
        <v>2024</v>
      </c>
      <c r="E48" s="27" t="str">
        <f>INDEX(Seasons,MATCH($C48,'General Inputs'!$B$21:$B$32,0),1)</f>
        <v>Shoulder</v>
      </c>
      <c r="F48" s="49" t="str">
        <f>'Elec Futures'!H48</f>
        <v>Missing Data</v>
      </c>
      <c r="G48" s="49" t="str">
        <f>'Elec Futures'!I48</f>
        <v>Missing Data</v>
      </c>
      <c r="H48" s="52"/>
      <c r="I48" s="49" t="str">
        <f>IFERROR('NG Futures'!$H48*HR_Low_Plant/1000,"Data Missing")</f>
        <v>Data Missing</v>
      </c>
      <c r="J48" s="49" t="str">
        <f>IFERROR('NG Futures'!$H48*HR_High_Plant/1000,"Data Missing")</f>
        <v>Data Missing</v>
      </c>
      <c r="K48" s="52"/>
      <c r="L48" s="49" t="str">
        <f t="shared" si="9"/>
        <v>Data Missing</v>
      </c>
      <c r="M48" s="49" t="str">
        <f t="shared" si="10"/>
        <v>Data Missing</v>
      </c>
      <c r="N48" s="52"/>
      <c r="O48" s="40" t="str">
        <f t="shared" si="6"/>
        <v>Missing Data</v>
      </c>
      <c r="P48" s="40" t="str">
        <f t="shared" si="7"/>
        <v>Missing Data</v>
      </c>
    </row>
    <row r="49" spans="1:16" x14ac:dyDescent="0.25">
      <c r="A49" s="7">
        <v>47</v>
      </c>
      <c r="B49" s="46">
        <f t="shared" si="8"/>
        <v>45597</v>
      </c>
      <c r="C49" s="27" t="str">
        <f t="shared" si="3"/>
        <v>Nov</v>
      </c>
      <c r="D49" s="27">
        <f t="shared" si="4"/>
        <v>2024</v>
      </c>
      <c r="E49" s="27" t="str">
        <f>INDEX(Seasons,MATCH($C49,'General Inputs'!$B$21:$B$32,0),1)</f>
        <v>Shoulder</v>
      </c>
      <c r="F49" s="49" t="str">
        <f>'Elec Futures'!H49</f>
        <v>Missing Data</v>
      </c>
      <c r="G49" s="49" t="str">
        <f>'Elec Futures'!I49</f>
        <v>Missing Data</v>
      </c>
      <c r="H49" s="52"/>
      <c r="I49" s="49" t="str">
        <f>IFERROR('NG Futures'!$H49*HR_Low_Plant/1000,"Data Missing")</f>
        <v>Data Missing</v>
      </c>
      <c r="J49" s="49" t="str">
        <f>IFERROR('NG Futures'!$H49*HR_High_Plant/1000,"Data Missing")</f>
        <v>Data Missing</v>
      </c>
      <c r="K49" s="52"/>
      <c r="L49" s="49" t="str">
        <f t="shared" si="9"/>
        <v>Data Missing</v>
      </c>
      <c r="M49" s="49" t="str">
        <f t="shared" si="10"/>
        <v>Data Missing</v>
      </c>
      <c r="N49" s="52"/>
      <c r="O49" s="40" t="str">
        <f t="shared" si="6"/>
        <v>Missing Data</v>
      </c>
      <c r="P49" s="40" t="str">
        <f t="shared" si="7"/>
        <v>Missing Data</v>
      </c>
    </row>
    <row r="50" spans="1:16" x14ac:dyDescent="0.25">
      <c r="A50" s="7">
        <v>48</v>
      </c>
      <c r="B50" s="46">
        <f t="shared" si="8"/>
        <v>45627</v>
      </c>
      <c r="C50" s="27" t="str">
        <f t="shared" si="3"/>
        <v>Dec</v>
      </c>
      <c r="D50" s="27">
        <f t="shared" si="4"/>
        <v>2024</v>
      </c>
      <c r="E50" s="27" t="str">
        <f>INDEX(Seasons,MATCH($C50,'General Inputs'!$B$21:$B$32,0),1)</f>
        <v>Winter</v>
      </c>
      <c r="F50" s="49" t="str">
        <f>'Elec Futures'!H50</f>
        <v>Missing Data</v>
      </c>
      <c r="G50" s="49" t="str">
        <f>'Elec Futures'!I50</f>
        <v>Missing Data</v>
      </c>
      <c r="H50" s="52"/>
      <c r="I50" s="49" t="str">
        <f>IFERROR('NG Futures'!$H50*HR_Low_Plant/1000,"Data Missing")</f>
        <v>Data Missing</v>
      </c>
      <c r="J50" s="49" t="str">
        <f>IFERROR('NG Futures'!$H50*HR_High_Plant/1000,"Data Missing")</f>
        <v>Data Missing</v>
      </c>
      <c r="K50" s="52"/>
      <c r="L50" s="49" t="str">
        <f t="shared" si="9"/>
        <v>Data Missing</v>
      </c>
      <c r="M50" s="49" t="str">
        <f t="shared" si="10"/>
        <v>Data Missing</v>
      </c>
      <c r="N50" s="52"/>
      <c r="O50" s="40" t="str">
        <f t="shared" si="6"/>
        <v>Missing Data</v>
      </c>
      <c r="P50" s="40" t="str">
        <f t="shared" si="7"/>
        <v>Missing Data</v>
      </c>
    </row>
    <row r="51" spans="1:16" x14ac:dyDescent="0.25">
      <c r="A51" s="7">
        <v>49</v>
      </c>
      <c r="B51" s="46">
        <f t="shared" si="8"/>
        <v>45658</v>
      </c>
      <c r="C51" s="27" t="str">
        <f t="shared" si="3"/>
        <v>Jan</v>
      </c>
      <c r="D51" s="27">
        <f t="shared" si="4"/>
        <v>2025</v>
      </c>
      <c r="E51" s="27" t="str">
        <f>INDEX(Seasons,MATCH($C51,'General Inputs'!$B$21:$B$32,0),1)</f>
        <v>Winter</v>
      </c>
      <c r="F51" s="49" t="str">
        <f>'Elec Futures'!H51</f>
        <v>Missing Data</v>
      </c>
      <c r="G51" s="49" t="str">
        <f>'Elec Futures'!I51</f>
        <v>Missing Data</v>
      </c>
      <c r="H51" s="52"/>
      <c r="I51" s="49" t="str">
        <f>IFERROR('NG Futures'!$H51*HR_Low_Plant/1000,"Data Missing")</f>
        <v>Data Missing</v>
      </c>
      <c r="J51" s="49" t="str">
        <f>IFERROR('NG Futures'!$H51*HR_High_Plant/1000,"Data Missing")</f>
        <v>Data Missing</v>
      </c>
      <c r="K51" s="52"/>
      <c r="L51" s="49" t="str">
        <f t="shared" si="9"/>
        <v>Data Missing</v>
      </c>
      <c r="M51" s="49" t="str">
        <f t="shared" si="10"/>
        <v>Data Missing</v>
      </c>
      <c r="N51" s="52"/>
      <c r="O51" s="40" t="str">
        <f t="shared" si="6"/>
        <v>Missing Data</v>
      </c>
      <c r="P51" s="40" t="str">
        <f t="shared" si="7"/>
        <v>Missing Data</v>
      </c>
    </row>
    <row r="52" spans="1:16" x14ac:dyDescent="0.25">
      <c r="A52" s="7">
        <v>50</v>
      </c>
      <c r="B52" s="46">
        <f t="shared" si="8"/>
        <v>45689</v>
      </c>
      <c r="C52" s="27" t="str">
        <f t="shared" si="3"/>
        <v>Feb</v>
      </c>
      <c r="D52" s="27">
        <f t="shared" si="4"/>
        <v>2025</v>
      </c>
      <c r="E52" s="27" t="str">
        <f>INDEX(Seasons,MATCH($C52,'General Inputs'!$B$21:$B$32,0),1)</f>
        <v>Winter</v>
      </c>
      <c r="F52" s="49" t="str">
        <f>'Elec Futures'!H52</f>
        <v>Missing Data</v>
      </c>
      <c r="G52" s="49" t="str">
        <f>'Elec Futures'!I52</f>
        <v>Missing Data</v>
      </c>
      <c r="H52" s="52"/>
      <c r="I52" s="49" t="str">
        <f>IFERROR('NG Futures'!$H52*HR_Low_Plant/1000,"Data Missing")</f>
        <v>Data Missing</v>
      </c>
      <c r="J52" s="49" t="str">
        <f>IFERROR('NG Futures'!$H52*HR_High_Plant/1000,"Data Missing")</f>
        <v>Data Missing</v>
      </c>
      <c r="K52" s="52"/>
      <c r="L52" s="49" t="str">
        <f t="shared" si="9"/>
        <v>Data Missing</v>
      </c>
      <c r="M52" s="49" t="str">
        <f t="shared" si="10"/>
        <v>Data Missing</v>
      </c>
      <c r="N52" s="52"/>
      <c r="O52" s="40" t="str">
        <f t="shared" si="6"/>
        <v>Missing Data</v>
      </c>
      <c r="P52" s="40" t="str">
        <f t="shared" si="7"/>
        <v>Missing Data</v>
      </c>
    </row>
    <row r="53" spans="1:16" x14ac:dyDescent="0.25">
      <c r="A53" s="7">
        <v>51</v>
      </c>
      <c r="B53" s="46">
        <f t="shared" si="8"/>
        <v>45717</v>
      </c>
      <c r="C53" s="27" t="str">
        <f t="shared" si="3"/>
        <v>Mar</v>
      </c>
      <c r="D53" s="27">
        <f t="shared" si="4"/>
        <v>2025</v>
      </c>
      <c r="E53" s="27" t="str">
        <f>INDEX(Seasons,MATCH($C53,'General Inputs'!$B$21:$B$32,0),1)</f>
        <v>Shoulder</v>
      </c>
      <c r="F53" s="49" t="str">
        <f>'Elec Futures'!H53</f>
        <v>Missing Data</v>
      </c>
      <c r="G53" s="49" t="str">
        <f>'Elec Futures'!I53</f>
        <v>Missing Data</v>
      </c>
      <c r="H53" s="52"/>
      <c r="I53" s="49" t="str">
        <f>IFERROR('NG Futures'!$H53*HR_Low_Plant/1000,"Data Missing")</f>
        <v>Data Missing</v>
      </c>
      <c r="J53" s="49" t="str">
        <f>IFERROR('NG Futures'!$H53*HR_High_Plant/1000,"Data Missing")</f>
        <v>Data Missing</v>
      </c>
      <c r="K53" s="52"/>
      <c r="L53" s="49" t="str">
        <f t="shared" si="9"/>
        <v>Data Missing</v>
      </c>
      <c r="M53" s="49" t="str">
        <f t="shared" si="10"/>
        <v>Data Missing</v>
      </c>
      <c r="N53" s="52"/>
      <c r="O53" s="40" t="str">
        <f t="shared" si="6"/>
        <v>Missing Data</v>
      </c>
      <c r="P53" s="40" t="str">
        <f t="shared" si="7"/>
        <v>Missing Data</v>
      </c>
    </row>
    <row r="54" spans="1:16" x14ac:dyDescent="0.25">
      <c r="A54" s="7">
        <v>52</v>
      </c>
      <c r="B54" s="46">
        <f t="shared" si="8"/>
        <v>45748</v>
      </c>
      <c r="C54" s="27" t="str">
        <f t="shared" si="3"/>
        <v>Apr</v>
      </c>
      <c r="D54" s="27">
        <f t="shared" si="4"/>
        <v>2025</v>
      </c>
      <c r="E54" s="27" t="str">
        <f>INDEX(Seasons,MATCH($C54,'General Inputs'!$B$21:$B$32,0),1)</f>
        <v>Shoulder</v>
      </c>
      <c r="F54" s="49" t="str">
        <f>'Elec Futures'!H54</f>
        <v>Missing Data</v>
      </c>
      <c r="G54" s="49" t="str">
        <f>'Elec Futures'!I54</f>
        <v>Missing Data</v>
      </c>
      <c r="H54" s="52"/>
      <c r="I54" s="49" t="str">
        <f>IFERROR('NG Futures'!$H54*HR_Low_Plant/1000,"Data Missing")</f>
        <v>Data Missing</v>
      </c>
      <c r="J54" s="49" t="str">
        <f>IFERROR('NG Futures'!$H54*HR_High_Plant/1000,"Data Missing")</f>
        <v>Data Missing</v>
      </c>
      <c r="K54" s="52"/>
      <c r="L54" s="49" t="str">
        <f t="shared" si="9"/>
        <v>Data Missing</v>
      </c>
      <c r="M54" s="49" t="str">
        <f t="shared" si="10"/>
        <v>Data Missing</v>
      </c>
      <c r="N54" s="52"/>
      <c r="O54" s="40" t="str">
        <f t="shared" si="6"/>
        <v>Missing Data</v>
      </c>
      <c r="P54" s="40" t="str">
        <f t="shared" si="7"/>
        <v>Missing Data</v>
      </c>
    </row>
    <row r="55" spans="1:16" x14ac:dyDescent="0.25">
      <c r="A55" s="7">
        <v>53</v>
      </c>
      <c r="B55" s="46">
        <f t="shared" si="8"/>
        <v>45778</v>
      </c>
      <c r="C55" s="27" t="str">
        <f t="shared" si="3"/>
        <v>May</v>
      </c>
      <c r="D55" s="27">
        <f t="shared" si="4"/>
        <v>2025</v>
      </c>
      <c r="E55" s="27" t="str">
        <f>INDEX(Seasons,MATCH($C55,'General Inputs'!$B$21:$B$32,0),1)</f>
        <v>Summer</v>
      </c>
      <c r="F55" s="49" t="str">
        <f>'Elec Futures'!H55</f>
        <v>Missing Data</v>
      </c>
      <c r="G55" s="49" t="str">
        <f>'Elec Futures'!I55</f>
        <v>Missing Data</v>
      </c>
      <c r="H55" s="52"/>
      <c r="I55" s="49" t="str">
        <f>IFERROR('NG Futures'!$H55*HR_Low_Plant/1000,"Data Missing")</f>
        <v>Data Missing</v>
      </c>
      <c r="J55" s="49" t="str">
        <f>IFERROR('NG Futures'!$H55*HR_High_Plant/1000,"Data Missing")</f>
        <v>Data Missing</v>
      </c>
      <c r="K55" s="52"/>
      <c r="L55" s="49" t="str">
        <f t="shared" si="9"/>
        <v>Data Missing</v>
      </c>
      <c r="M55" s="49" t="str">
        <f t="shared" si="10"/>
        <v>Data Missing</v>
      </c>
      <c r="N55" s="52"/>
      <c r="O55" s="40" t="str">
        <f t="shared" si="6"/>
        <v>Missing Data</v>
      </c>
      <c r="P55" s="40" t="str">
        <f t="shared" si="7"/>
        <v>Missing Data</v>
      </c>
    </row>
    <row r="56" spans="1:16" x14ac:dyDescent="0.25">
      <c r="A56" s="7">
        <v>54</v>
      </c>
      <c r="B56" s="46">
        <f t="shared" si="8"/>
        <v>45809</v>
      </c>
      <c r="C56" s="27" t="str">
        <f t="shared" si="3"/>
        <v>Jun</v>
      </c>
      <c r="D56" s="27">
        <f t="shared" si="4"/>
        <v>2025</v>
      </c>
      <c r="E56" s="27" t="str">
        <f>INDEX(Seasons,MATCH($C56,'General Inputs'!$B$21:$B$32,0),1)</f>
        <v>Summer</v>
      </c>
      <c r="F56" s="49" t="str">
        <f>'Elec Futures'!H56</f>
        <v>Missing Data</v>
      </c>
      <c r="G56" s="49" t="str">
        <f>'Elec Futures'!I56</f>
        <v>Missing Data</v>
      </c>
      <c r="H56" s="52"/>
      <c r="I56" s="49" t="str">
        <f>IFERROR('NG Futures'!$H56*HR_Low_Plant/1000,"Data Missing")</f>
        <v>Data Missing</v>
      </c>
      <c r="J56" s="49" t="str">
        <f>IFERROR('NG Futures'!$H56*HR_High_Plant/1000,"Data Missing")</f>
        <v>Data Missing</v>
      </c>
      <c r="K56" s="52"/>
      <c r="L56" s="49" t="str">
        <f t="shared" si="9"/>
        <v>Data Missing</v>
      </c>
      <c r="M56" s="49" t="str">
        <f t="shared" si="10"/>
        <v>Data Missing</v>
      </c>
      <c r="N56" s="52"/>
      <c r="O56" s="40" t="str">
        <f t="shared" si="6"/>
        <v>Missing Data</v>
      </c>
      <c r="P56" s="40" t="str">
        <f t="shared" si="7"/>
        <v>Missing Data</v>
      </c>
    </row>
    <row r="57" spans="1:16" x14ac:dyDescent="0.25">
      <c r="A57" s="7">
        <v>55</v>
      </c>
      <c r="B57" s="46">
        <f t="shared" si="8"/>
        <v>45839</v>
      </c>
      <c r="C57" s="27" t="str">
        <f t="shared" si="3"/>
        <v>Jul</v>
      </c>
      <c r="D57" s="27">
        <f t="shared" si="4"/>
        <v>2025</v>
      </c>
      <c r="E57" s="27" t="str">
        <f>INDEX(Seasons,MATCH($C57,'General Inputs'!$B$21:$B$32,0),1)</f>
        <v>Summer</v>
      </c>
      <c r="F57" s="49" t="str">
        <f>'Elec Futures'!H57</f>
        <v>Missing Data</v>
      </c>
      <c r="G57" s="49" t="str">
        <f>'Elec Futures'!I57</f>
        <v>Missing Data</v>
      </c>
      <c r="H57" s="52"/>
      <c r="I57" s="49" t="str">
        <f>IFERROR('NG Futures'!$H57*HR_Low_Plant/1000,"Data Missing")</f>
        <v>Data Missing</v>
      </c>
      <c r="J57" s="49" t="str">
        <f>IFERROR('NG Futures'!$H57*HR_High_Plant/1000,"Data Missing")</f>
        <v>Data Missing</v>
      </c>
      <c r="K57" s="52"/>
      <c r="L57" s="49" t="str">
        <f t="shared" si="9"/>
        <v>Data Missing</v>
      </c>
      <c r="M57" s="49" t="str">
        <f t="shared" si="10"/>
        <v>Data Missing</v>
      </c>
      <c r="N57" s="52"/>
      <c r="O57" s="40" t="str">
        <f t="shared" si="6"/>
        <v>Missing Data</v>
      </c>
      <c r="P57" s="40" t="str">
        <f t="shared" si="7"/>
        <v>Missing Data</v>
      </c>
    </row>
    <row r="58" spans="1:16" x14ac:dyDescent="0.25">
      <c r="A58" s="7">
        <v>56</v>
      </c>
      <c r="B58" s="46">
        <f t="shared" si="8"/>
        <v>45870</v>
      </c>
      <c r="C58" s="27" t="str">
        <f t="shared" si="3"/>
        <v>Aug</v>
      </c>
      <c r="D58" s="27">
        <f t="shared" si="4"/>
        <v>2025</v>
      </c>
      <c r="E58" s="27" t="str">
        <f>INDEX(Seasons,MATCH($C58,'General Inputs'!$B$21:$B$32,0),1)</f>
        <v>Summer</v>
      </c>
      <c r="F58" s="49" t="str">
        <f>'Elec Futures'!H58</f>
        <v>Missing Data</v>
      </c>
      <c r="G58" s="49" t="str">
        <f>'Elec Futures'!I58</f>
        <v>Missing Data</v>
      </c>
      <c r="H58" s="52"/>
      <c r="I58" s="49" t="str">
        <f>IFERROR('NG Futures'!$H58*HR_Low_Plant/1000,"Data Missing")</f>
        <v>Data Missing</v>
      </c>
      <c r="J58" s="49" t="str">
        <f>IFERROR('NG Futures'!$H58*HR_High_Plant/1000,"Data Missing")</f>
        <v>Data Missing</v>
      </c>
      <c r="K58" s="52"/>
      <c r="L58" s="49" t="str">
        <f t="shared" si="9"/>
        <v>Data Missing</v>
      </c>
      <c r="M58" s="49" t="str">
        <f t="shared" si="10"/>
        <v>Data Missing</v>
      </c>
      <c r="N58" s="52"/>
      <c r="O58" s="40" t="str">
        <f t="shared" si="6"/>
        <v>Missing Data</v>
      </c>
      <c r="P58" s="40" t="str">
        <f t="shared" si="7"/>
        <v>Missing Data</v>
      </c>
    </row>
    <row r="59" spans="1:16" x14ac:dyDescent="0.25">
      <c r="A59" s="7">
        <v>57</v>
      </c>
      <c r="B59" s="46">
        <f t="shared" si="8"/>
        <v>45901</v>
      </c>
      <c r="C59" s="27" t="str">
        <f t="shared" si="3"/>
        <v>Sep</v>
      </c>
      <c r="D59" s="27">
        <f t="shared" si="4"/>
        <v>2025</v>
      </c>
      <c r="E59" s="27" t="str">
        <f>INDEX(Seasons,MATCH($C59,'General Inputs'!$B$21:$B$32,0),1)</f>
        <v>Summer</v>
      </c>
      <c r="F59" s="49" t="str">
        <f>'Elec Futures'!H59</f>
        <v>Missing Data</v>
      </c>
      <c r="G59" s="49" t="str">
        <f>'Elec Futures'!I59</f>
        <v>Missing Data</v>
      </c>
      <c r="H59" s="52"/>
      <c r="I59" s="49" t="str">
        <f>IFERROR('NG Futures'!$H59*HR_Low_Plant/1000,"Data Missing")</f>
        <v>Data Missing</v>
      </c>
      <c r="J59" s="49" t="str">
        <f>IFERROR('NG Futures'!$H59*HR_High_Plant/1000,"Data Missing")</f>
        <v>Data Missing</v>
      </c>
      <c r="K59" s="52"/>
      <c r="L59" s="49" t="str">
        <f t="shared" si="9"/>
        <v>Data Missing</v>
      </c>
      <c r="M59" s="49" t="str">
        <f t="shared" si="10"/>
        <v>Data Missing</v>
      </c>
      <c r="N59" s="52"/>
      <c r="O59" s="40" t="str">
        <f t="shared" si="6"/>
        <v>Missing Data</v>
      </c>
      <c r="P59" s="40" t="str">
        <f t="shared" si="7"/>
        <v>Missing Data</v>
      </c>
    </row>
    <row r="60" spans="1:16" x14ac:dyDescent="0.25">
      <c r="A60" s="7">
        <v>58</v>
      </c>
      <c r="B60" s="46">
        <f t="shared" si="8"/>
        <v>45931</v>
      </c>
      <c r="C60" s="27" t="str">
        <f t="shared" si="3"/>
        <v>Oct</v>
      </c>
      <c r="D60" s="27">
        <f t="shared" si="4"/>
        <v>2025</v>
      </c>
      <c r="E60" s="27" t="str">
        <f>INDEX(Seasons,MATCH($C60,'General Inputs'!$B$21:$B$32,0),1)</f>
        <v>Shoulder</v>
      </c>
      <c r="F60" s="49" t="str">
        <f>'Elec Futures'!H60</f>
        <v>Missing Data</v>
      </c>
      <c r="G60" s="49" t="str">
        <f>'Elec Futures'!I60</f>
        <v>Missing Data</v>
      </c>
      <c r="H60" s="52"/>
      <c r="I60" s="49" t="str">
        <f>IFERROR('NG Futures'!$H60*HR_Low_Plant/1000,"Data Missing")</f>
        <v>Data Missing</v>
      </c>
      <c r="J60" s="49" t="str">
        <f>IFERROR('NG Futures'!$H60*HR_High_Plant/1000,"Data Missing")</f>
        <v>Data Missing</v>
      </c>
      <c r="K60" s="52"/>
      <c r="L60" s="49" t="str">
        <f t="shared" si="9"/>
        <v>Data Missing</v>
      </c>
      <c r="M60" s="49" t="str">
        <f t="shared" si="10"/>
        <v>Data Missing</v>
      </c>
      <c r="N60" s="52"/>
      <c r="O60" s="40" t="str">
        <f t="shared" si="6"/>
        <v>Missing Data</v>
      </c>
      <c r="P60" s="40" t="str">
        <f t="shared" si="7"/>
        <v>Missing Data</v>
      </c>
    </row>
    <row r="61" spans="1:16" x14ac:dyDescent="0.25">
      <c r="A61" s="7">
        <v>59</v>
      </c>
      <c r="B61" s="46">
        <f t="shared" si="8"/>
        <v>45962</v>
      </c>
      <c r="C61" s="27" t="str">
        <f t="shared" si="3"/>
        <v>Nov</v>
      </c>
      <c r="D61" s="27">
        <f t="shared" si="4"/>
        <v>2025</v>
      </c>
      <c r="E61" s="27" t="str">
        <f>INDEX(Seasons,MATCH($C61,'General Inputs'!$B$21:$B$32,0),1)</f>
        <v>Shoulder</v>
      </c>
      <c r="F61" s="49" t="str">
        <f>'Elec Futures'!H61</f>
        <v>Missing Data</v>
      </c>
      <c r="G61" s="49" t="str">
        <f>'Elec Futures'!I61</f>
        <v>Missing Data</v>
      </c>
      <c r="H61" s="52"/>
      <c r="I61" s="49" t="str">
        <f>IFERROR('NG Futures'!$H61*HR_Low_Plant/1000,"Data Missing")</f>
        <v>Data Missing</v>
      </c>
      <c r="J61" s="49" t="str">
        <f>IFERROR('NG Futures'!$H61*HR_High_Plant/1000,"Data Missing")</f>
        <v>Data Missing</v>
      </c>
      <c r="K61" s="52"/>
      <c r="L61" s="49" t="str">
        <f t="shared" si="9"/>
        <v>Data Missing</v>
      </c>
      <c r="M61" s="49" t="str">
        <f t="shared" si="10"/>
        <v>Data Missing</v>
      </c>
      <c r="N61" s="52"/>
      <c r="O61" s="40" t="str">
        <f t="shared" si="6"/>
        <v>Missing Data</v>
      </c>
      <c r="P61" s="40" t="str">
        <f t="shared" si="7"/>
        <v>Missing Data</v>
      </c>
    </row>
    <row r="62" spans="1:16" x14ac:dyDescent="0.25">
      <c r="A62" s="7">
        <v>60</v>
      </c>
      <c r="B62" s="46">
        <f t="shared" si="8"/>
        <v>45992</v>
      </c>
      <c r="C62" s="27" t="str">
        <f t="shared" si="3"/>
        <v>Dec</v>
      </c>
      <c r="D62" s="27">
        <f t="shared" si="4"/>
        <v>2025</v>
      </c>
      <c r="E62" s="27" t="str">
        <f>INDEX(Seasons,MATCH($C62,'General Inputs'!$B$21:$B$32,0),1)</f>
        <v>Winter</v>
      </c>
      <c r="F62" s="49" t="str">
        <f>'Elec Futures'!H62</f>
        <v>Missing Data</v>
      </c>
      <c r="G62" s="49" t="str">
        <f>'Elec Futures'!I62</f>
        <v>Missing Data</v>
      </c>
      <c r="H62" s="52"/>
      <c r="I62" s="49" t="str">
        <f>IFERROR('NG Futures'!$H62*HR_Low_Plant/1000,"Data Missing")</f>
        <v>Data Missing</v>
      </c>
      <c r="J62" s="49" t="str">
        <f>IFERROR('NG Futures'!$H62*HR_High_Plant/1000,"Data Missing")</f>
        <v>Data Missing</v>
      </c>
      <c r="K62" s="52"/>
      <c r="L62" s="49" t="str">
        <f t="shared" si="9"/>
        <v>Data Missing</v>
      </c>
      <c r="M62" s="49" t="str">
        <f t="shared" si="10"/>
        <v>Data Missing</v>
      </c>
      <c r="N62" s="52"/>
      <c r="O62" s="40" t="str">
        <f t="shared" si="6"/>
        <v>Missing Data</v>
      </c>
      <c r="P62" s="40" t="str">
        <f t="shared" si="7"/>
        <v>Missing Data</v>
      </c>
    </row>
    <row r="63" spans="1:16" x14ac:dyDescent="0.25">
      <c r="A63" s="7">
        <v>61</v>
      </c>
      <c r="B63" s="46">
        <f t="shared" si="8"/>
        <v>46023</v>
      </c>
      <c r="C63" s="27" t="str">
        <f t="shared" si="3"/>
        <v>Jan</v>
      </c>
      <c r="D63" s="27">
        <f t="shared" si="4"/>
        <v>2026</v>
      </c>
      <c r="E63" s="27" t="str">
        <f>INDEX(Seasons,MATCH($C63,'General Inputs'!$B$21:$B$32,0),1)</f>
        <v>Winter</v>
      </c>
      <c r="H63" s="52"/>
      <c r="I63" s="49" t="str">
        <f>IFERROR('NG Futures'!$H63*HR_Low_Plant/1000,"Data Missing")</f>
        <v>Data Missing</v>
      </c>
      <c r="J63" s="49" t="str">
        <f>IFERROR('NG Futures'!$H63*HR_High_Plant/1000,"Data Missing")</f>
        <v>Data Missing</v>
      </c>
      <c r="K63" s="52"/>
      <c r="L63" s="49" t="str">
        <f>IFERROR(INDEX(Spark_Spread_On,MATCH($C63,Adjustments!$G$3:$G$14,0),1)+IF(INDEX(Spark_Spread_On,MATCH($C63,Adjustments!$G$3:$G$14,0),1)&gt;1,INDEX(Spark_Spread_On,MATCH($C63,Adjustments!$G$3:$G$14,0),1)*BLS_Esc_Rate,-INDEX(Spark_Spread_On,MATCH($C63,Adjustments!$G$3:$G$14,0),1)*BLS_Esc_Rate),"Data Missing")</f>
        <v>Data Missing</v>
      </c>
      <c r="M63" s="49" t="str">
        <f>IFERROR(INDEX(Spark_Spread_Off,MATCH($C63,Adjustments!$G$3:$G$14,0),1)+IF(INDEX(Spark_Spread_Off,MATCH($C63,Adjustments!$G$3:$G$14,0),1)&gt;1,INDEX(Spark_Spread_Off,MATCH($C63,Adjustments!$G$3:$G$14,0),1)*BLS_Esc_Rate,-INDEX(Spark_Spread_Off,MATCH($C63,Adjustments!$G$3:$G$14,0),1)*BLS_Esc_Rate),"Data Missing")</f>
        <v>Data Missing</v>
      </c>
      <c r="N63" s="52"/>
      <c r="O63" s="42" t="str">
        <f>IFERROR(I63+L63, "Data Missing")</f>
        <v>Data Missing</v>
      </c>
      <c r="P63" s="42" t="str">
        <f t="shared" ref="P63:P126" si="11">IFERROR(J63+M63, "Data Missing")</f>
        <v>Data Missing</v>
      </c>
    </row>
    <row r="64" spans="1:16" x14ac:dyDescent="0.25">
      <c r="A64" s="7">
        <v>62</v>
      </c>
      <c r="B64" s="46">
        <f t="shared" si="8"/>
        <v>46054</v>
      </c>
      <c r="C64" s="27" t="str">
        <f t="shared" si="3"/>
        <v>Feb</v>
      </c>
      <c r="D64" s="27">
        <f t="shared" si="4"/>
        <v>2026</v>
      </c>
      <c r="E64" s="27" t="str">
        <f>INDEX(Seasons,MATCH($C64,'General Inputs'!$B$21:$B$32,0),1)</f>
        <v>Winter</v>
      </c>
      <c r="H64" s="52"/>
      <c r="I64" s="49" t="str">
        <f>IFERROR('NG Futures'!$H64*HR_Low_Plant/1000,"Data Missing")</f>
        <v>Data Missing</v>
      </c>
      <c r="J64" s="49" t="str">
        <f>IFERROR('NG Futures'!$H64*HR_High_Plant/1000,"Data Missing")</f>
        <v>Data Missing</v>
      </c>
      <c r="K64" s="52"/>
      <c r="L64" s="49" t="str">
        <f>IFERROR(INDEX(Spark_Spread_On,MATCH($C64,Adjustments!$G$3:$G$14,0),1)+IF(INDEX(Spark_Spread_On,MATCH($C64,Adjustments!$G$3:$G$14,0),1)&gt;1,INDEX(Spark_Spread_On,MATCH($C64,Adjustments!$G$3:$G$14,0),1)*BLS_Esc_Rate,-INDEX(Spark_Spread_On,MATCH($C64,Adjustments!$G$3:$G$14,0),1)*BLS_Esc_Rate),"Data Missing")</f>
        <v>Data Missing</v>
      </c>
      <c r="M64" s="49" t="str">
        <f>IFERROR(INDEX(Spark_Spread_Off,MATCH($C64,Adjustments!$G$3:$G$14,0),1)+IF(INDEX(Spark_Spread_Off,MATCH($C64,Adjustments!$G$3:$G$14,0),1)&gt;1,INDEX(Spark_Spread_Off,MATCH($C64,Adjustments!$G$3:$G$14,0),1)*BLS_Esc_Rate,-INDEX(Spark_Spread_Off,MATCH($C64,Adjustments!$G$3:$G$14,0),1)*BLS_Esc_Rate),"Data Missing")</f>
        <v>Data Missing</v>
      </c>
      <c r="N64" s="52"/>
      <c r="O64" s="42" t="str">
        <f t="shared" ref="O64:O127" si="12">IFERROR(I64+L64, "Data Missing")</f>
        <v>Data Missing</v>
      </c>
      <c r="P64" s="42" t="str">
        <f t="shared" si="11"/>
        <v>Data Missing</v>
      </c>
    </row>
    <row r="65" spans="1:16" x14ac:dyDescent="0.25">
      <c r="A65" s="7">
        <v>63</v>
      </c>
      <c r="B65" s="46">
        <f t="shared" si="8"/>
        <v>46082</v>
      </c>
      <c r="C65" s="27" t="str">
        <f t="shared" si="3"/>
        <v>Mar</v>
      </c>
      <c r="D65" s="27">
        <f t="shared" si="4"/>
        <v>2026</v>
      </c>
      <c r="E65" s="27" t="str">
        <f>INDEX(Seasons,MATCH($C65,'General Inputs'!$B$21:$B$32,0),1)</f>
        <v>Shoulder</v>
      </c>
      <c r="H65" s="52"/>
      <c r="I65" s="49" t="str">
        <f>IFERROR('NG Futures'!$H65*HR_Low_Plant/1000,"Data Missing")</f>
        <v>Data Missing</v>
      </c>
      <c r="J65" s="49" t="str">
        <f>IFERROR('NG Futures'!$H65*HR_High_Plant/1000,"Data Missing")</f>
        <v>Data Missing</v>
      </c>
      <c r="K65" s="52"/>
      <c r="L65" s="49" t="str">
        <f>IFERROR(INDEX(Spark_Spread_On,MATCH($C65,Adjustments!$G$3:$G$14,0),1)+IF(INDEX(Spark_Spread_On,MATCH($C65,Adjustments!$G$3:$G$14,0),1)&gt;1,INDEX(Spark_Spread_On,MATCH($C65,Adjustments!$G$3:$G$14,0),1)*BLS_Esc_Rate,-INDEX(Spark_Spread_On,MATCH($C65,Adjustments!$G$3:$G$14,0),1)*BLS_Esc_Rate),"Data Missing")</f>
        <v>Data Missing</v>
      </c>
      <c r="M65" s="49" t="str">
        <f>IFERROR(INDEX(Spark_Spread_Off,MATCH($C65,Adjustments!$G$3:$G$14,0),1)+IF(INDEX(Spark_Spread_Off,MATCH($C65,Adjustments!$G$3:$G$14,0),1)&gt;1,INDEX(Spark_Spread_Off,MATCH($C65,Adjustments!$G$3:$G$14,0),1)*BLS_Esc_Rate,-INDEX(Spark_Spread_Off,MATCH($C65,Adjustments!$G$3:$G$14,0),1)*BLS_Esc_Rate),"Data Missing")</f>
        <v>Data Missing</v>
      </c>
      <c r="N65" s="52"/>
      <c r="O65" s="42" t="str">
        <f t="shared" si="12"/>
        <v>Data Missing</v>
      </c>
      <c r="P65" s="42" t="str">
        <f t="shared" si="11"/>
        <v>Data Missing</v>
      </c>
    </row>
    <row r="66" spans="1:16" x14ac:dyDescent="0.25">
      <c r="A66" s="7">
        <v>64</v>
      </c>
      <c r="B66" s="46">
        <f t="shared" si="8"/>
        <v>46113</v>
      </c>
      <c r="C66" s="27" t="str">
        <f t="shared" si="3"/>
        <v>Apr</v>
      </c>
      <c r="D66" s="27">
        <f t="shared" si="4"/>
        <v>2026</v>
      </c>
      <c r="E66" s="27" t="str">
        <f>INDEX(Seasons,MATCH($C66,'General Inputs'!$B$21:$B$32,0),1)</f>
        <v>Shoulder</v>
      </c>
      <c r="H66" s="52"/>
      <c r="I66" s="49" t="str">
        <f>IFERROR('NG Futures'!$H66*HR_Low_Plant/1000,"Data Missing")</f>
        <v>Data Missing</v>
      </c>
      <c r="J66" s="49" t="str">
        <f>IFERROR('NG Futures'!$H66*HR_High_Plant/1000,"Data Missing")</f>
        <v>Data Missing</v>
      </c>
      <c r="K66" s="52"/>
      <c r="L66" s="49" t="str">
        <f>IFERROR(INDEX(Spark_Spread_On,MATCH($C66,Adjustments!$G$3:$G$14,0),1)+IF(INDEX(Spark_Spread_On,MATCH($C66,Adjustments!$G$3:$G$14,0),1)&gt;1,INDEX(Spark_Spread_On,MATCH($C66,Adjustments!$G$3:$G$14,0),1)*BLS_Esc_Rate,-INDEX(Spark_Spread_On,MATCH($C66,Adjustments!$G$3:$G$14,0),1)*BLS_Esc_Rate),"Data Missing")</f>
        <v>Data Missing</v>
      </c>
      <c r="M66" s="49" t="str">
        <f>IFERROR(INDEX(Spark_Spread_Off,MATCH($C66,Adjustments!$G$3:$G$14,0),1)+IF(INDEX(Spark_Spread_Off,MATCH($C66,Adjustments!$G$3:$G$14,0),1)&gt;1,INDEX(Spark_Spread_Off,MATCH($C66,Adjustments!$G$3:$G$14,0),1)*BLS_Esc_Rate,-INDEX(Spark_Spread_Off,MATCH($C66,Adjustments!$G$3:$G$14,0),1)*BLS_Esc_Rate),"Data Missing")</f>
        <v>Data Missing</v>
      </c>
      <c r="N66" s="52"/>
      <c r="O66" s="42" t="str">
        <f t="shared" si="12"/>
        <v>Data Missing</v>
      </c>
      <c r="P66" s="42" t="str">
        <f t="shared" si="11"/>
        <v>Data Missing</v>
      </c>
    </row>
    <row r="67" spans="1:16" x14ac:dyDescent="0.25">
      <c r="A67" s="7">
        <v>65</v>
      </c>
      <c r="B67" s="46">
        <f t="shared" si="8"/>
        <v>46143</v>
      </c>
      <c r="C67" s="27" t="str">
        <f t="shared" si="3"/>
        <v>May</v>
      </c>
      <c r="D67" s="27">
        <f t="shared" si="4"/>
        <v>2026</v>
      </c>
      <c r="E67" s="27" t="str">
        <f>INDEX(Seasons,MATCH($C67,'General Inputs'!$B$21:$B$32,0),1)</f>
        <v>Summer</v>
      </c>
      <c r="H67" s="52"/>
      <c r="I67" s="49" t="str">
        <f>IFERROR('NG Futures'!$H67*HR_Low_Plant/1000,"Data Missing")</f>
        <v>Data Missing</v>
      </c>
      <c r="J67" s="49" t="str">
        <f>IFERROR('NG Futures'!$H67*HR_High_Plant/1000,"Data Missing")</f>
        <v>Data Missing</v>
      </c>
      <c r="K67" s="52"/>
      <c r="L67" s="49" t="str">
        <f>IFERROR(INDEX(Spark_Spread_On,MATCH($C67,Adjustments!$G$3:$G$14,0),1)+IF(INDEX(Spark_Spread_On,MATCH($C67,Adjustments!$G$3:$G$14,0),1)&gt;1,INDEX(Spark_Spread_On,MATCH($C67,Adjustments!$G$3:$G$14,0),1)*BLS_Esc_Rate,-INDEX(Spark_Spread_On,MATCH($C67,Adjustments!$G$3:$G$14,0),1)*BLS_Esc_Rate),"Data Missing")</f>
        <v>Data Missing</v>
      </c>
      <c r="M67" s="49" t="str">
        <f>IFERROR(INDEX(Spark_Spread_Off,MATCH($C67,Adjustments!$G$3:$G$14,0),1)+IF(INDEX(Spark_Spread_Off,MATCH($C67,Adjustments!$G$3:$G$14,0),1)&gt;1,INDEX(Spark_Spread_Off,MATCH($C67,Adjustments!$G$3:$G$14,0),1)*BLS_Esc_Rate,-INDEX(Spark_Spread_Off,MATCH($C67,Adjustments!$G$3:$G$14,0),1)*BLS_Esc_Rate),"Data Missing")</f>
        <v>Data Missing</v>
      </c>
      <c r="N67" s="52"/>
      <c r="O67" s="42" t="str">
        <f t="shared" si="12"/>
        <v>Data Missing</v>
      </c>
      <c r="P67" s="42" t="str">
        <f t="shared" si="11"/>
        <v>Data Missing</v>
      </c>
    </row>
    <row r="68" spans="1:16" x14ac:dyDescent="0.25">
      <c r="A68" s="7">
        <v>66</v>
      </c>
      <c r="B68" s="46">
        <f t="shared" si="8"/>
        <v>46174</v>
      </c>
      <c r="C68" s="27" t="str">
        <f t="shared" ref="C68:C131" si="13">CHOOSE(MONTH(B68), "Jan", "Feb", "Mar", "Apr", "May", "Jun", "Jul", "Aug", "Sep", "Oct", "Nov", "Dec")</f>
        <v>Jun</v>
      </c>
      <c r="D68" s="27">
        <f t="shared" ref="D68:D131" si="14">YEAR(B68)</f>
        <v>2026</v>
      </c>
      <c r="E68" s="27" t="str">
        <f>INDEX(Seasons,MATCH($C68,'General Inputs'!$B$21:$B$32,0),1)</f>
        <v>Summer</v>
      </c>
      <c r="H68" s="52"/>
      <c r="I68" s="49" t="str">
        <f>IFERROR('NG Futures'!$H68*HR_Low_Plant/1000,"Data Missing")</f>
        <v>Data Missing</v>
      </c>
      <c r="J68" s="49" t="str">
        <f>IFERROR('NG Futures'!$H68*HR_High_Plant/1000,"Data Missing")</f>
        <v>Data Missing</v>
      </c>
      <c r="K68" s="52"/>
      <c r="L68" s="49" t="str">
        <f>IFERROR(INDEX(Spark_Spread_On,MATCH($C68,Adjustments!$G$3:$G$14,0),1)+IF(INDEX(Spark_Spread_On,MATCH($C68,Adjustments!$G$3:$G$14,0),1)&gt;1,INDEX(Spark_Spread_On,MATCH($C68,Adjustments!$G$3:$G$14,0),1)*BLS_Esc_Rate,-INDEX(Spark_Spread_On,MATCH($C68,Adjustments!$G$3:$G$14,0),1)*BLS_Esc_Rate),"Data Missing")</f>
        <v>Data Missing</v>
      </c>
      <c r="M68" s="49" t="str">
        <f>IFERROR(INDEX(Spark_Spread_Off,MATCH($C68,Adjustments!$G$3:$G$14,0),1)+IF(INDEX(Spark_Spread_Off,MATCH($C68,Adjustments!$G$3:$G$14,0),1)&gt;1,INDEX(Spark_Spread_Off,MATCH($C68,Adjustments!$G$3:$G$14,0),1)*BLS_Esc_Rate,-INDEX(Spark_Spread_Off,MATCH($C68,Adjustments!$G$3:$G$14,0),1)*BLS_Esc_Rate),"Data Missing")</f>
        <v>Data Missing</v>
      </c>
      <c r="N68" s="52"/>
      <c r="O68" s="42" t="str">
        <f t="shared" si="12"/>
        <v>Data Missing</v>
      </c>
      <c r="P68" s="42" t="str">
        <f t="shared" si="11"/>
        <v>Data Missing</v>
      </c>
    </row>
    <row r="69" spans="1:16" x14ac:dyDescent="0.25">
      <c r="A69" s="7">
        <v>67</v>
      </c>
      <c r="B69" s="46">
        <f t="shared" si="8"/>
        <v>46204</v>
      </c>
      <c r="C69" s="27" t="str">
        <f t="shared" si="13"/>
        <v>Jul</v>
      </c>
      <c r="D69" s="27">
        <f t="shared" si="14"/>
        <v>2026</v>
      </c>
      <c r="E69" s="27" t="str">
        <f>INDEX(Seasons,MATCH($C69,'General Inputs'!$B$21:$B$32,0),1)</f>
        <v>Summer</v>
      </c>
      <c r="H69" s="52"/>
      <c r="I69" s="49" t="str">
        <f>IFERROR('NG Futures'!$H69*HR_Low_Plant/1000,"Data Missing")</f>
        <v>Data Missing</v>
      </c>
      <c r="J69" s="49" t="str">
        <f>IFERROR('NG Futures'!$H69*HR_High_Plant/1000,"Data Missing")</f>
        <v>Data Missing</v>
      </c>
      <c r="K69" s="52"/>
      <c r="L69" s="49" t="str">
        <f>IFERROR(INDEX(Spark_Spread_On,MATCH($C69,Adjustments!$G$3:$G$14,0),1)+IF(INDEX(Spark_Spread_On,MATCH($C69,Adjustments!$G$3:$G$14,0),1)&gt;1,INDEX(Spark_Spread_On,MATCH($C69,Adjustments!$G$3:$G$14,0),1)*BLS_Esc_Rate,-INDEX(Spark_Spread_On,MATCH($C69,Adjustments!$G$3:$G$14,0),1)*BLS_Esc_Rate),"Data Missing")</f>
        <v>Data Missing</v>
      </c>
      <c r="M69" s="49" t="str">
        <f>IFERROR(INDEX(Spark_Spread_Off,MATCH($C69,Adjustments!$G$3:$G$14,0),1)+IF(INDEX(Spark_Spread_Off,MATCH($C69,Adjustments!$G$3:$G$14,0),1)&gt;1,INDEX(Spark_Spread_Off,MATCH($C69,Adjustments!$G$3:$G$14,0),1)*BLS_Esc_Rate,-INDEX(Spark_Spread_Off,MATCH($C69,Adjustments!$G$3:$G$14,0),1)*BLS_Esc_Rate),"Data Missing")</f>
        <v>Data Missing</v>
      </c>
      <c r="N69" s="52"/>
      <c r="O69" s="42" t="str">
        <f t="shared" si="12"/>
        <v>Data Missing</v>
      </c>
      <c r="P69" s="42" t="str">
        <f t="shared" si="11"/>
        <v>Data Missing</v>
      </c>
    </row>
    <row r="70" spans="1:16" x14ac:dyDescent="0.25">
      <c r="A70" s="7">
        <v>68</v>
      </c>
      <c r="B70" s="46">
        <f t="shared" si="8"/>
        <v>46235</v>
      </c>
      <c r="C70" s="27" t="str">
        <f t="shared" si="13"/>
        <v>Aug</v>
      </c>
      <c r="D70" s="27">
        <f t="shared" si="14"/>
        <v>2026</v>
      </c>
      <c r="E70" s="27" t="str">
        <f>INDEX(Seasons,MATCH($C70,'General Inputs'!$B$21:$B$32,0),1)</f>
        <v>Summer</v>
      </c>
      <c r="H70" s="52"/>
      <c r="I70" s="49" t="str">
        <f>IFERROR('NG Futures'!$H70*HR_Low_Plant/1000,"Data Missing")</f>
        <v>Data Missing</v>
      </c>
      <c r="J70" s="49" t="str">
        <f>IFERROR('NG Futures'!$H70*HR_High_Plant/1000,"Data Missing")</f>
        <v>Data Missing</v>
      </c>
      <c r="K70" s="52"/>
      <c r="L70" s="49" t="str">
        <f>IFERROR(INDEX(Spark_Spread_On,MATCH($C70,Adjustments!$G$3:$G$14,0),1)+IF(INDEX(Spark_Spread_On,MATCH($C70,Adjustments!$G$3:$G$14,0),1)&gt;1,INDEX(Spark_Spread_On,MATCH($C70,Adjustments!$G$3:$G$14,0),1)*BLS_Esc_Rate,-INDEX(Spark_Spread_On,MATCH($C70,Adjustments!$G$3:$G$14,0),1)*BLS_Esc_Rate),"Data Missing")</f>
        <v>Data Missing</v>
      </c>
      <c r="M70" s="49" t="str">
        <f>IFERROR(INDEX(Spark_Spread_Off,MATCH($C70,Adjustments!$G$3:$G$14,0),1)+IF(INDEX(Spark_Spread_Off,MATCH($C70,Adjustments!$G$3:$G$14,0),1)&gt;1,INDEX(Spark_Spread_Off,MATCH($C70,Adjustments!$G$3:$G$14,0),1)*BLS_Esc_Rate,-INDEX(Spark_Spread_Off,MATCH($C70,Adjustments!$G$3:$G$14,0),1)*BLS_Esc_Rate),"Data Missing")</f>
        <v>Data Missing</v>
      </c>
      <c r="N70" s="52"/>
      <c r="O70" s="42" t="str">
        <f t="shared" si="12"/>
        <v>Data Missing</v>
      </c>
      <c r="P70" s="42" t="str">
        <f t="shared" si="11"/>
        <v>Data Missing</v>
      </c>
    </row>
    <row r="71" spans="1:16" x14ac:dyDescent="0.25">
      <c r="A71" s="7">
        <v>69</v>
      </c>
      <c r="B71" s="46">
        <f t="shared" si="8"/>
        <v>46266</v>
      </c>
      <c r="C71" s="27" t="str">
        <f t="shared" si="13"/>
        <v>Sep</v>
      </c>
      <c r="D71" s="27">
        <f t="shared" si="14"/>
        <v>2026</v>
      </c>
      <c r="E71" s="27" t="str">
        <f>INDEX(Seasons,MATCH($C71,'General Inputs'!$B$21:$B$32,0),1)</f>
        <v>Summer</v>
      </c>
      <c r="H71" s="52"/>
      <c r="I71" s="49" t="str">
        <f>IFERROR('NG Futures'!$H71*HR_Low_Plant/1000,"Data Missing")</f>
        <v>Data Missing</v>
      </c>
      <c r="J71" s="49" t="str">
        <f>IFERROR('NG Futures'!$H71*HR_High_Plant/1000,"Data Missing")</f>
        <v>Data Missing</v>
      </c>
      <c r="K71" s="52"/>
      <c r="L71" s="49" t="str">
        <f>IFERROR(INDEX(Spark_Spread_On,MATCH($C71,Adjustments!$G$3:$G$14,0),1)+IF(INDEX(Spark_Spread_On,MATCH($C71,Adjustments!$G$3:$G$14,0),1)&gt;1,INDEX(Spark_Spread_On,MATCH($C71,Adjustments!$G$3:$G$14,0),1)*BLS_Esc_Rate,-INDEX(Spark_Spread_On,MATCH($C71,Adjustments!$G$3:$G$14,0),1)*BLS_Esc_Rate),"Data Missing")</f>
        <v>Data Missing</v>
      </c>
      <c r="M71" s="49" t="str">
        <f>IFERROR(INDEX(Spark_Spread_Off,MATCH($C71,Adjustments!$G$3:$G$14,0),1)+IF(INDEX(Spark_Spread_Off,MATCH($C71,Adjustments!$G$3:$G$14,0),1)&gt;1,INDEX(Spark_Spread_Off,MATCH($C71,Adjustments!$G$3:$G$14,0),1)*BLS_Esc_Rate,-INDEX(Spark_Spread_Off,MATCH($C71,Adjustments!$G$3:$G$14,0),1)*BLS_Esc_Rate),"Data Missing")</f>
        <v>Data Missing</v>
      </c>
      <c r="N71" s="52"/>
      <c r="O71" s="42" t="str">
        <f t="shared" si="12"/>
        <v>Data Missing</v>
      </c>
      <c r="P71" s="42" t="str">
        <f t="shared" si="11"/>
        <v>Data Missing</v>
      </c>
    </row>
    <row r="72" spans="1:16" x14ac:dyDescent="0.25">
      <c r="A72" s="7">
        <v>70</v>
      </c>
      <c r="B72" s="46">
        <f t="shared" si="8"/>
        <v>46296</v>
      </c>
      <c r="C72" s="27" t="str">
        <f t="shared" si="13"/>
        <v>Oct</v>
      </c>
      <c r="D72" s="27">
        <f t="shared" si="14"/>
        <v>2026</v>
      </c>
      <c r="E72" s="27" t="str">
        <f>INDEX(Seasons,MATCH($C72,'General Inputs'!$B$21:$B$32,0),1)</f>
        <v>Shoulder</v>
      </c>
      <c r="H72" s="52"/>
      <c r="I72" s="49" t="str">
        <f>IFERROR('NG Futures'!$H72*HR_Low_Plant/1000,"Data Missing")</f>
        <v>Data Missing</v>
      </c>
      <c r="J72" s="49" t="str">
        <f>IFERROR('NG Futures'!$H72*HR_High_Plant/1000,"Data Missing")</f>
        <v>Data Missing</v>
      </c>
      <c r="K72" s="52"/>
      <c r="L72" s="49" t="str">
        <f>IFERROR(INDEX(Spark_Spread_On,MATCH($C72,Adjustments!$G$3:$G$14,0),1)+IF(INDEX(Spark_Spread_On,MATCH($C72,Adjustments!$G$3:$G$14,0),1)&gt;1,INDEX(Spark_Spread_On,MATCH($C72,Adjustments!$G$3:$G$14,0),1)*BLS_Esc_Rate,-INDEX(Spark_Spread_On,MATCH($C72,Adjustments!$G$3:$G$14,0),1)*BLS_Esc_Rate),"Data Missing")</f>
        <v>Data Missing</v>
      </c>
      <c r="M72" s="49" t="str">
        <f>IFERROR(INDEX(Spark_Spread_Off,MATCH($C72,Adjustments!$G$3:$G$14,0),1)+IF(INDEX(Spark_Spread_Off,MATCH($C72,Adjustments!$G$3:$G$14,0),1)&gt;1,INDEX(Spark_Spread_Off,MATCH($C72,Adjustments!$G$3:$G$14,0),1)*BLS_Esc_Rate,-INDEX(Spark_Spread_Off,MATCH($C72,Adjustments!$G$3:$G$14,0),1)*BLS_Esc_Rate),"Data Missing")</f>
        <v>Data Missing</v>
      </c>
      <c r="N72" s="52"/>
      <c r="O72" s="42" t="str">
        <f t="shared" si="12"/>
        <v>Data Missing</v>
      </c>
      <c r="P72" s="42" t="str">
        <f t="shared" si="11"/>
        <v>Data Missing</v>
      </c>
    </row>
    <row r="73" spans="1:16" x14ac:dyDescent="0.25">
      <c r="A73" s="7">
        <v>71</v>
      </c>
      <c r="B73" s="46">
        <f t="shared" si="8"/>
        <v>46327</v>
      </c>
      <c r="C73" s="27" t="str">
        <f t="shared" si="13"/>
        <v>Nov</v>
      </c>
      <c r="D73" s="27">
        <f t="shared" si="14"/>
        <v>2026</v>
      </c>
      <c r="E73" s="27" t="str">
        <f>INDEX(Seasons,MATCH($C73,'General Inputs'!$B$21:$B$32,0),1)</f>
        <v>Shoulder</v>
      </c>
      <c r="H73" s="52"/>
      <c r="I73" s="49" t="str">
        <f>IFERROR('NG Futures'!$H73*HR_Low_Plant/1000,"Data Missing")</f>
        <v>Data Missing</v>
      </c>
      <c r="J73" s="49" t="str">
        <f>IFERROR('NG Futures'!$H73*HR_High_Plant/1000,"Data Missing")</f>
        <v>Data Missing</v>
      </c>
      <c r="K73" s="52"/>
      <c r="L73" s="49" t="str">
        <f>IFERROR(INDEX(Spark_Spread_On,MATCH($C73,Adjustments!$G$3:$G$14,0),1)+IF(INDEX(Spark_Spread_On,MATCH($C73,Adjustments!$G$3:$G$14,0),1)&gt;1,INDEX(Spark_Spread_On,MATCH($C73,Adjustments!$G$3:$G$14,0),1)*BLS_Esc_Rate,-INDEX(Spark_Spread_On,MATCH($C73,Adjustments!$G$3:$G$14,0),1)*BLS_Esc_Rate),"Data Missing")</f>
        <v>Data Missing</v>
      </c>
      <c r="M73" s="49" t="str">
        <f>IFERROR(INDEX(Spark_Spread_Off,MATCH($C73,Adjustments!$G$3:$G$14,0),1)+IF(INDEX(Spark_Spread_Off,MATCH($C73,Adjustments!$G$3:$G$14,0),1)&gt;1,INDEX(Spark_Spread_Off,MATCH($C73,Adjustments!$G$3:$G$14,0),1)*BLS_Esc_Rate,-INDEX(Spark_Spread_Off,MATCH($C73,Adjustments!$G$3:$G$14,0),1)*BLS_Esc_Rate),"Data Missing")</f>
        <v>Data Missing</v>
      </c>
      <c r="N73" s="52"/>
      <c r="O73" s="42" t="str">
        <f t="shared" si="12"/>
        <v>Data Missing</v>
      </c>
      <c r="P73" s="42" t="str">
        <f t="shared" si="11"/>
        <v>Data Missing</v>
      </c>
    </row>
    <row r="74" spans="1:16" x14ac:dyDescent="0.25">
      <c r="A74" s="7">
        <v>72</v>
      </c>
      <c r="B74" s="46">
        <f t="shared" si="8"/>
        <v>46357</v>
      </c>
      <c r="C74" s="27" t="str">
        <f t="shared" si="13"/>
        <v>Dec</v>
      </c>
      <c r="D74" s="27">
        <f t="shared" si="14"/>
        <v>2026</v>
      </c>
      <c r="E74" s="27" t="str">
        <f>INDEX(Seasons,MATCH($C74,'General Inputs'!$B$21:$B$32,0),1)</f>
        <v>Winter</v>
      </c>
      <c r="H74" s="52"/>
      <c r="I74" s="49" t="str">
        <f>IFERROR('NG Futures'!$H74*HR_Low_Plant/1000,"Data Missing")</f>
        <v>Data Missing</v>
      </c>
      <c r="J74" s="49" t="str">
        <f>IFERROR('NG Futures'!$H74*HR_High_Plant/1000,"Data Missing")</f>
        <v>Data Missing</v>
      </c>
      <c r="K74" s="52"/>
      <c r="L74" s="49" t="str">
        <f>IFERROR(INDEX(Spark_Spread_On,MATCH($C74,Adjustments!$G$3:$G$14,0),1)+IF(INDEX(Spark_Spread_On,MATCH($C74,Adjustments!$G$3:$G$14,0),1)&gt;1,INDEX(Spark_Spread_On,MATCH($C74,Adjustments!$G$3:$G$14,0),1)*BLS_Esc_Rate,-INDEX(Spark_Spread_On,MATCH($C74,Adjustments!$G$3:$G$14,0),1)*BLS_Esc_Rate),"Data Missing")</f>
        <v>Data Missing</v>
      </c>
      <c r="M74" s="49" t="str">
        <f>IFERROR(INDEX(Spark_Spread_Off,MATCH($C74,Adjustments!$G$3:$G$14,0),1)+IF(INDEX(Spark_Spread_Off,MATCH($C74,Adjustments!$G$3:$G$14,0),1)&gt;1,INDEX(Spark_Spread_Off,MATCH($C74,Adjustments!$G$3:$G$14,0),1)*BLS_Esc_Rate,-INDEX(Spark_Spread_Off,MATCH($C74,Adjustments!$G$3:$G$14,0),1)*BLS_Esc_Rate),"Data Missing")</f>
        <v>Data Missing</v>
      </c>
      <c r="N74" s="52"/>
      <c r="O74" s="42" t="str">
        <f t="shared" si="12"/>
        <v>Data Missing</v>
      </c>
      <c r="P74" s="42" t="str">
        <f t="shared" si="11"/>
        <v>Data Missing</v>
      </c>
    </row>
    <row r="75" spans="1:16" x14ac:dyDescent="0.25">
      <c r="A75" s="7">
        <v>73</v>
      </c>
      <c r="B75" s="46">
        <f t="shared" ref="B75:B138" si="15">DATE(Start_Year-1,A75,1)</f>
        <v>46388</v>
      </c>
      <c r="C75" s="27" t="str">
        <f t="shared" si="13"/>
        <v>Jan</v>
      </c>
      <c r="D75" s="27">
        <f t="shared" si="14"/>
        <v>2027</v>
      </c>
      <c r="E75" s="27" t="str">
        <f>INDEX(Seasons,MATCH($C75,'General Inputs'!$B$21:$B$32,0),1)</f>
        <v>Winter</v>
      </c>
      <c r="H75" s="52"/>
      <c r="I75" s="49" t="str">
        <f>IFERROR('NG Futures'!$H75*HR_Low_Plant/1000,"Data Missing")</f>
        <v>Data Missing</v>
      </c>
      <c r="J75" s="49" t="str">
        <f>IFERROR('NG Futures'!$H75*HR_High_Plant/1000,"Data Missing")</f>
        <v>Data Missing</v>
      </c>
      <c r="K75" s="52"/>
      <c r="L75" s="49" t="str">
        <f>IFERROR(INDEX(Spark_Spread_On,MATCH($C75,Adjustments!$G$3:$G$14,0),1)+IF(INDEX(Spark_Spread_On,MATCH($C75,Adjustments!$G$3:$G$14,0),1)&gt;1,INDEX(Spark_Spread_On,MATCH($C75,Adjustments!$G$3:$G$14,0),1)*BLS_Esc_Rate,-INDEX(Spark_Spread_On,MATCH($C75,Adjustments!$G$3:$G$14,0),1)*BLS_Esc_Rate),"Data Missing")</f>
        <v>Data Missing</v>
      </c>
      <c r="M75" s="49" t="str">
        <f>IFERROR(INDEX(Spark_Spread_Off,MATCH($C75,Adjustments!$G$3:$G$14,0),1)+IF(INDEX(Spark_Spread_Off,MATCH($C75,Adjustments!$G$3:$G$14,0),1)&gt;1,INDEX(Spark_Spread_Off,MATCH($C75,Adjustments!$G$3:$G$14,0),1)*BLS_Esc_Rate,-INDEX(Spark_Spread_Off,MATCH($C75,Adjustments!$G$3:$G$14,0),1)*BLS_Esc_Rate),"Data Missing")</f>
        <v>Data Missing</v>
      </c>
      <c r="N75" s="52"/>
      <c r="O75" s="42" t="str">
        <f t="shared" si="12"/>
        <v>Data Missing</v>
      </c>
      <c r="P75" s="42" t="str">
        <f t="shared" si="11"/>
        <v>Data Missing</v>
      </c>
    </row>
    <row r="76" spans="1:16" x14ac:dyDescent="0.25">
      <c r="A76" s="7">
        <v>74</v>
      </c>
      <c r="B76" s="46">
        <f t="shared" si="15"/>
        <v>46419</v>
      </c>
      <c r="C76" s="27" t="str">
        <f t="shared" si="13"/>
        <v>Feb</v>
      </c>
      <c r="D76" s="27">
        <f t="shared" si="14"/>
        <v>2027</v>
      </c>
      <c r="E76" s="27" t="str">
        <f>INDEX(Seasons,MATCH($C76,'General Inputs'!$B$21:$B$32,0),1)</f>
        <v>Winter</v>
      </c>
      <c r="H76" s="52"/>
      <c r="I76" s="49" t="str">
        <f>IFERROR('NG Futures'!$H76*HR_Low_Plant/1000,"Data Missing")</f>
        <v>Data Missing</v>
      </c>
      <c r="J76" s="49" t="str">
        <f>IFERROR('NG Futures'!$H76*HR_High_Plant/1000,"Data Missing")</f>
        <v>Data Missing</v>
      </c>
      <c r="K76" s="52"/>
      <c r="L76" s="49" t="str">
        <f>IFERROR(INDEX(Spark_Spread_On,MATCH($C76,Adjustments!$G$3:$G$14,0),1)+IF(INDEX(Spark_Spread_On,MATCH($C76,Adjustments!$G$3:$G$14,0),1)&gt;1,INDEX(Spark_Spread_On,MATCH($C76,Adjustments!$G$3:$G$14,0),1)*BLS_Esc_Rate,-INDEX(Spark_Spread_On,MATCH($C76,Adjustments!$G$3:$G$14,0),1)*BLS_Esc_Rate),"Data Missing")</f>
        <v>Data Missing</v>
      </c>
      <c r="M76" s="49" t="str">
        <f>IFERROR(INDEX(Spark_Spread_Off,MATCH($C76,Adjustments!$G$3:$G$14,0),1)+IF(INDEX(Spark_Spread_Off,MATCH($C76,Adjustments!$G$3:$G$14,0),1)&gt;1,INDEX(Spark_Spread_Off,MATCH($C76,Adjustments!$G$3:$G$14,0),1)*BLS_Esc_Rate,-INDEX(Spark_Spread_Off,MATCH($C76,Adjustments!$G$3:$G$14,0),1)*BLS_Esc_Rate),"Data Missing")</f>
        <v>Data Missing</v>
      </c>
      <c r="N76" s="52"/>
      <c r="O76" s="42" t="str">
        <f t="shared" si="12"/>
        <v>Data Missing</v>
      </c>
      <c r="P76" s="42" t="str">
        <f t="shared" si="11"/>
        <v>Data Missing</v>
      </c>
    </row>
    <row r="77" spans="1:16" x14ac:dyDescent="0.25">
      <c r="A77" s="7">
        <v>75</v>
      </c>
      <c r="B77" s="46">
        <f t="shared" si="15"/>
        <v>46447</v>
      </c>
      <c r="C77" s="27" t="str">
        <f t="shared" si="13"/>
        <v>Mar</v>
      </c>
      <c r="D77" s="27">
        <f t="shared" si="14"/>
        <v>2027</v>
      </c>
      <c r="E77" s="27" t="str">
        <f>INDEX(Seasons,MATCH($C77,'General Inputs'!$B$21:$B$32,0),1)</f>
        <v>Shoulder</v>
      </c>
      <c r="H77" s="52"/>
      <c r="I77" s="49" t="str">
        <f>IFERROR('NG Futures'!$H77*HR_Low_Plant/1000,"Data Missing")</f>
        <v>Data Missing</v>
      </c>
      <c r="J77" s="49" t="str">
        <f>IFERROR('NG Futures'!$H77*HR_High_Plant/1000,"Data Missing")</f>
        <v>Data Missing</v>
      </c>
      <c r="K77" s="52"/>
      <c r="L77" s="49" t="str">
        <f>IFERROR(INDEX(Spark_Spread_On,MATCH($C77,Adjustments!$G$3:$G$14,0),1)+IF(INDEX(Spark_Spread_On,MATCH($C77,Adjustments!$G$3:$G$14,0),1)&gt;1,INDEX(Spark_Spread_On,MATCH($C77,Adjustments!$G$3:$G$14,0),1)*BLS_Esc_Rate,-INDEX(Spark_Spread_On,MATCH($C77,Adjustments!$G$3:$G$14,0),1)*BLS_Esc_Rate),"Data Missing")</f>
        <v>Data Missing</v>
      </c>
      <c r="M77" s="49" t="str">
        <f>IFERROR(INDEX(Spark_Spread_Off,MATCH($C77,Adjustments!$G$3:$G$14,0),1)+IF(INDEX(Spark_Spread_Off,MATCH($C77,Adjustments!$G$3:$G$14,0),1)&gt;1,INDEX(Spark_Spread_Off,MATCH($C77,Adjustments!$G$3:$G$14,0),1)*BLS_Esc_Rate,-INDEX(Spark_Spread_Off,MATCH($C77,Adjustments!$G$3:$G$14,0),1)*BLS_Esc_Rate),"Data Missing")</f>
        <v>Data Missing</v>
      </c>
      <c r="N77" s="52"/>
      <c r="O77" s="42" t="str">
        <f t="shared" si="12"/>
        <v>Data Missing</v>
      </c>
      <c r="P77" s="42" t="str">
        <f t="shared" si="11"/>
        <v>Data Missing</v>
      </c>
    </row>
    <row r="78" spans="1:16" x14ac:dyDescent="0.25">
      <c r="A78" s="7">
        <v>76</v>
      </c>
      <c r="B78" s="46">
        <f t="shared" si="15"/>
        <v>46478</v>
      </c>
      <c r="C78" s="27" t="str">
        <f t="shared" si="13"/>
        <v>Apr</v>
      </c>
      <c r="D78" s="27">
        <f t="shared" si="14"/>
        <v>2027</v>
      </c>
      <c r="E78" s="27" t="str">
        <f>INDEX(Seasons,MATCH($C78,'General Inputs'!$B$21:$B$32,0),1)</f>
        <v>Shoulder</v>
      </c>
      <c r="H78" s="52"/>
      <c r="I78" s="49" t="str">
        <f>IFERROR('NG Futures'!$H78*HR_Low_Plant/1000,"Data Missing")</f>
        <v>Data Missing</v>
      </c>
      <c r="J78" s="49" t="str">
        <f>IFERROR('NG Futures'!$H78*HR_High_Plant/1000,"Data Missing")</f>
        <v>Data Missing</v>
      </c>
      <c r="K78" s="52"/>
      <c r="L78" s="49" t="str">
        <f>IFERROR(INDEX(Spark_Spread_On,MATCH($C78,Adjustments!$G$3:$G$14,0),1)+IF(INDEX(Spark_Spread_On,MATCH($C78,Adjustments!$G$3:$G$14,0),1)&gt;1,INDEX(Spark_Spread_On,MATCH($C78,Adjustments!$G$3:$G$14,0),1)*BLS_Esc_Rate,-INDEX(Spark_Spread_On,MATCH($C78,Adjustments!$G$3:$G$14,0),1)*BLS_Esc_Rate),"Data Missing")</f>
        <v>Data Missing</v>
      </c>
      <c r="M78" s="49" t="str">
        <f>IFERROR(INDEX(Spark_Spread_Off,MATCH($C78,Adjustments!$G$3:$G$14,0),1)+IF(INDEX(Spark_Spread_Off,MATCH($C78,Adjustments!$G$3:$G$14,0),1)&gt;1,INDEX(Spark_Spread_Off,MATCH($C78,Adjustments!$G$3:$G$14,0),1)*BLS_Esc_Rate,-INDEX(Spark_Spread_Off,MATCH($C78,Adjustments!$G$3:$G$14,0),1)*BLS_Esc_Rate),"Data Missing")</f>
        <v>Data Missing</v>
      </c>
      <c r="N78" s="52"/>
      <c r="O78" s="42" t="str">
        <f t="shared" si="12"/>
        <v>Data Missing</v>
      </c>
      <c r="P78" s="42" t="str">
        <f t="shared" si="11"/>
        <v>Data Missing</v>
      </c>
    </row>
    <row r="79" spans="1:16" x14ac:dyDescent="0.25">
      <c r="A79" s="7">
        <v>77</v>
      </c>
      <c r="B79" s="46">
        <f t="shared" si="15"/>
        <v>46508</v>
      </c>
      <c r="C79" s="27" t="str">
        <f t="shared" si="13"/>
        <v>May</v>
      </c>
      <c r="D79" s="27">
        <f t="shared" si="14"/>
        <v>2027</v>
      </c>
      <c r="E79" s="27" t="str">
        <f>INDEX(Seasons,MATCH($C79,'General Inputs'!$B$21:$B$32,0),1)</f>
        <v>Summer</v>
      </c>
      <c r="H79" s="52"/>
      <c r="I79" s="49" t="str">
        <f>IFERROR('NG Futures'!$H79*HR_Low_Plant/1000,"Data Missing")</f>
        <v>Data Missing</v>
      </c>
      <c r="J79" s="49" t="str">
        <f>IFERROR('NG Futures'!$H79*HR_High_Plant/1000,"Data Missing")</f>
        <v>Data Missing</v>
      </c>
      <c r="K79" s="52"/>
      <c r="L79" s="49" t="str">
        <f>IFERROR(INDEX(Spark_Spread_On,MATCH($C79,Adjustments!$G$3:$G$14,0),1)+IF(INDEX(Spark_Spread_On,MATCH($C79,Adjustments!$G$3:$G$14,0),1)&gt;1,INDEX(Spark_Spread_On,MATCH($C79,Adjustments!$G$3:$G$14,0),1)*BLS_Esc_Rate,-INDEX(Spark_Spread_On,MATCH($C79,Adjustments!$G$3:$G$14,0),1)*BLS_Esc_Rate),"Data Missing")</f>
        <v>Data Missing</v>
      </c>
      <c r="M79" s="49" t="str">
        <f>IFERROR(INDEX(Spark_Spread_Off,MATCH($C79,Adjustments!$G$3:$G$14,0),1)+IF(INDEX(Spark_Spread_Off,MATCH($C79,Adjustments!$G$3:$G$14,0),1)&gt;1,INDEX(Spark_Spread_Off,MATCH($C79,Adjustments!$G$3:$G$14,0),1)*BLS_Esc_Rate,-INDEX(Spark_Spread_Off,MATCH($C79,Adjustments!$G$3:$G$14,0),1)*BLS_Esc_Rate),"Data Missing")</f>
        <v>Data Missing</v>
      </c>
      <c r="N79" s="52"/>
      <c r="O79" s="42" t="str">
        <f t="shared" si="12"/>
        <v>Data Missing</v>
      </c>
      <c r="P79" s="42" t="str">
        <f t="shared" si="11"/>
        <v>Data Missing</v>
      </c>
    </row>
    <row r="80" spans="1:16" x14ac:dyDescent="0.25">
      <c r="A80" s="7">
        <v>78</v>
      </c>
      <c r="B80" s="46">
        <f t="shared" si="15"/>
        <v>46539</v>
      </c>
      <c r="C80" s="27" t="str">
        <f t="shared" si="13"/>
        <v>Jun</v>
      </c>
      <c r="D80" s="27">
        <f t="shared" si="14"/>
        <v>2027</v>
      </c>
      <c r="E80" s="27" t="str">
        <f>INDEX(Seasons,MATCH($C80,'General Inputs'!$B$21:$B$32,0),1)</f>
        <v>Summer</v>
      </c>
      <c r="H80" s="52"/>
      <c r="I80" s="49" t="str">
        <f>IFERROR('NG Futures'!$H80*HR_Low_Plant/1000,"Data Missing")</f>
        <v>Data Missing</v>
      </c>
      <c r="J80" s="49" t="str">
        <f>IFERROR('NG Futures'!$H80*HR_High_Plant/1000,"Data Missing")</f>
        <v>Data Missing</v>
      </c>
      <c r="K80" s="52"/>
      <c r="L80" s="49" t="str">
        <f>IFERROR(INDEX(Spark_Spread_On,MATCH($C80,Adjustments!$G$3:$G$14,0),1)+IF(INDEX(Spark_Spread_On,MATCH($C80,Adjustments!$G$3:$G$14,0),1)&gt;1,INDEX(Spark_Spread_On,MATCH($C80,Adjustments!$G$3:$G$14,0),1)*BLS_Esc_Rate,-INDEX(Spark_Spread_On,MATCH($C80,Adjustments!$G$3:$G$14,0),1)*BLS_Esc_Rate),"Data Missing")</f>
        <v>Data Missing</v>
      </c>
      <c r="M80" s="49" t="str">
        <f>IFERROR(INDEX(Spark_Spread_Off,MATCH($C80,Adjustments!$G$3:$G$14,0),1)+IF(INDEX(Spark_Spread_Off,MATCH($C80,Adjustments!$G$3:$G$14,0),1)&gt;1,INDEX(Spark_Spread_Off,MATCH($C80,Adjustments!$G$3:$G$14,0),1)*BLS_Esc_Rate,-INDEX(Spark_Spread_Off,MATCH($C80,Adjustments!$G$3:$G$14,0),1)*BLS_Esc_Rate),"Data Missing")</f>
        <v>Data Missing</v>
      </c>
      <c r="N80" s="52"/>
      <c r="O80" s="42" t="str">
        <f t="shared" si="12"/>
        <v>Data Missing</v>
      </c>
      <c r="P80" s="42" t="str">
        <f t="shared" si="11"/>
        <v>Data Missing</v>
      </c>
    </row>
    <row r="81" spans="1:16" x14ac:dyDescent="0.25">
      <c r="A81" s="7">
        <v>79</v>
      </c>
      <c r="B81" s="46">
        <f t="shared" si="15"/>
        <v>46569</v>
      </c>
      <c r="C81" s="27" t="str">
        <f t="shared" si="13"/>
        <v>Jul</v>
      </c>
      <c r="D81" s="27">
        <f t="shared" si="14"/>
        <v>2027</v>
      </c>
      <c r="E81" s="27" t="str">
        <f>INDEX(Seasons,MATCH($C81,'General Inputs'!$B$21:$B$32,0),1)</f>
        <v>Summer</v>
      </c>
      <c r="H81" s="52"/>
      <c r="I81" s="49" t="str">
        <f>IFERROR('NG Futures'!$H81*HR_Low_Plant/1000,"Data Missing")</f>
        <v>Data Missing</v>
      </c>
      <c r="J81" s="49" t="str">
        <f>IFERROR('NG Futures'!$H81*HR_High_Plant/1000,"Data Missing")</f>
        <v>Data Missing</v>
      </c>
      <c r="K81" s="52"/>
      <c r="L81" s="49" t="str">
        <f>IFERROR(INDEX(Spark_Spread_On,MATCH($C81,Adjustments!$G$3:$G$14,0),1)+IF(INDEX(Spark_Spread_On,MATCH($C81,Adjustments!$G$3:$G$14,0),1)&gt;1,INDEX(Spark_Spread_On,MATCH($C81,Adjustments!$G$3:$G$14,0),1)*BLS_Esc_Rate,-INDEX(Spark_Spread_On,MATCH($C81,Adjustments!$G$3:$G$14,0),1)*BLS_Esc_Rate),"Data Missing")</f>
        <v>Data Missing</v>
      </c>
      <c r="M81" s="49" t="str">
        <f>IFERROR(INDEX(Spark_Spread_Off,MATCH($C81,Adjustments!$G$3:$G$14,0),1)+IF(INDEX(Spark_Spread_Off,MATCH($C81,Adjustments!$G$3:$G$14,0),1)&gt;1,INDEX(Spark_Spread_Off,MATCH($C81,Adjustments!$G$3:$G$14,0),1)*BLS_Esc_Rate,-INDEX(Spark_Spread_Off,MATCH($C81,Adjustments!$G$3:$G$14,0),1)*BLS_Esc_Rate),"Data Missing")</f>
        <v>Data Missing</v>
      </c>
      <c r="N81" s="52"/>
      <c r="O81" s="42" t="str">
        <f t="shared" si="12"/>
        <v>Data Missing</v>
      </c>
      <c r="P81" s="42" t="str">
        <f t="shared" si="11"/>
        <v>Data Missing</v>
      </c>
    </row>
    <row r="82" spans="1:16" x14ac:dyDescent="0.25">
      <c r="A82" s="7">
        <v>80</v>
      </c>
      <c r="B82" s="46">
        <f t="shared" si="15"/>
        <v>46600</v>
      </c>
      <c r="C82" s="27" t="str">
        <f t="shared" si="13"/>
        <v>Aug</v>
      </c>
      <c r="D82" s="27">
        <f t="shared" si="14"/>
        <v>2027</v>
      </c>
      <c r="E82" s="27" t="str">
        <f>INDEX(Seasons,MATCH($C82,'General Inputs'!$B$21:$B$32,0),1)</f>
        <v>Summer</v>
      </c>
      <c r="H82" s="52"/>
      <c r="I82" s="49" t="str">
        <f>IFERROR('NG Futures'!$H82*HR_Low_Plant/1000,"Data Missing")</f>
        <v>Data Missing</v>
      </c>
      <c r="J82" s="49" t="str">
        <f>IFERROR('NG Futures'!$H82*HR_High_Plant/1000,"Data Missing")</f>
        <v>Data Missing</v>
      </c>
      <c r="K82" s="52"/>
      <c r="L82" s="49" t="str">
        <f>IFERROR(INDEX(Spark_Spread_On,MATCH($C82,Adjustments!$G$3:$G$14,0),1)+IF(INDEX(Spark_Spread_On,MATCH($C82,Adjustments!$G$3:$G$14,0),1)&gt;1,INDEX(Spark_Spread_On,MATCH($C82,Adjustments!$G$3:$G$14,0),1)*BLS_Esc_Rate,-INDEX(Spark_Spread_On,MATCH($C82,Adjustments!$G$3:$G$14,0),1)*BLS_Esc_Rate),"Data Missing")</f>
        <v>Data Missing</v>
      </c>
      <c r="M82" s="49" t="str">
        <f>IFERROR(INDEX(Spark_Spread_Off,MATCH($C82,Adjustments!$G$3:$G$14,0),1)+IF(INDEX(Spark_Spread_Off,MATCH($C82,Adjustments!$G$3:$G$14,0),1)&gt;1,INDEX(Spark_Spread_Off,MATCH($C82,Adjustments!$G$3:$G$14,0),1)*BLS_Esc_Rate,-INDEX(Spark_Spread_Off,MATCH($C82,Adjustments!$G$3:$G$14,0),1)*BLS_Esc_Rate),"Data Missing")</f>
        <v>Data Missing</v>
      </c>
      <c r="N82" s="52"/>
      <c r="O82" s="42" t="str">
        <f t="shared" si="12"/>
        <v>Data Missing</v>
      </c>
      <c r="P82" s="42" t="str">
        <f t="shared" si="11"/>
        <v>Data Missing</v>
      </c>
    </row>
    <row r="83" spans="1:16" x14ac:dyDescent="0.25">
      <c r="A83" s="7">
        <v>81</v>
      </c>
      <c r="B83" s="46">
        <f t="shared" si="15"/>
        <v>46631</v>
      </c>
      <c r="C83" s="27" t="str">
        <f t="shared" si="13"/>
        <v>Sep</v>
      </c>
      <c r="D83" s="27">
        <f t="shared" si="14"/>
        <v>2027</v>
      </c>
      <c r="E83" s="27" t="str">
        <f>INDEX(Seasons,MATCH($C83,'General Inputs'!$B$21:$B$32,0),1)</f>
        <v>Summer</v>
      </c>
      <c r="H83" s="52"/>
      <c r="I83" s="49" t="str">
        <f>IFERROR('NG Futures'!$H83*HR_Low_Plant/1000,"Data Missing")</f>
        <v>Data Missing</v>
      </c>
      <c r="J83" s="49" t="str">
        <f>IFERROR('NG Futures'!$H83*HR_High_Plant/1000,"Data Missing")</f>
        <v>Data Missing</v>
      </c>
      <c r="K83" s="52"/>
      <c r="L83" s="49" t="str">
        <f>IFERROR(INDEX(Spark_Spread_On,MATCH($C83,Adjustments!$G$3:$G$14,0),1)+IF(INDEX(Spark_Spread_On,MATCH($C83,Adjustments!$G$3:$G$14,0),1)&gt;1,INDEX(Spark_Spread_On,MATCH($C83,Adjustments!$G$3:$G$14,0),1)*BLS_Esc_Rate,-INDEX(Spark_Spread_On,MATCH($C83,Adjustments!$G$3:$G$14,0),1)*BLS_Esc_Rate),"Data Missing")</f>
        <v>Data Missing</v>
      </c>
      <c r="M83" s="49" t="str">
        <f>IFERROR(INDEX(Spark_Spread_Off,MATCH($C83,Adjustments!$G$3:$G$14,0),1)+IF(INDEX(Spark_Spread_Off,MATCH($C83,Adjustments!$G$3:$G$14,0),1)&gt;1,INDEX(Spark_Spread_Off,MATCH($C83,Adjustments!$G$3:$G$14,0),1)*BLS_Esc_Rate,-INDEX(Spark_Spread_Off,MATCH($C83,Adjustments!$G$3:$G$14,0),1)*BLS_Esc_Rate),"Data Missing")</f>
        <v>Data Missing</v>
      </c>
      <c r="N83" s="52"/>
      <c r="O83" s="42" t="str">
        <f t="shared" si="12"/>
        <v>Data Missing</v>
      </c>
      <c r="P83" s="42" t="str">
        <f t="shared" si="11"/>
        <v>Data Missing</v>
      </c>
    </row>
    <row r="84" spans="1:16" x14ac:dyDescent="0.25">
      <c r="A84" s="7">
        <v>82</v>
      </c>
      <c r="B84" s="46">
        <f t="shared" si="15"/>
        <v>46661</v>
      </c>
      <c r="C84" s="27" t="str">
        <f t="shared" si="13"/>
        <v>Oct</v>
      </c>
      <c r="D84" s="27">
        <f t="shared" si="14"/>
        <v>2027</v>
      </c>
      <c r="E84" s="27" t="str">
        <f>INDEX(Seasons,MATCH($C84,'General Inputs'!$B$21:$B$32,0),1)</f>
        <v>Shoulder</v>
      </c>
      <c r="H84" s="52"/>
      <c r="I84" s="49" t="str">
        <f>IFERROR('NG Futures'!$H84*HR_Low_Plant/1000,"Data Missing")</f>
        <v>Data Missing</v>
      </c>
      <c r="J84" s="49" t="str">
        <f>IFERROR('NG Futures'!$H84*HR_High_Plant/1000,"Data Missing")</f>
        <v>Data Missing</v>
      </c>
      <c r="K84" s="52"/>
      <c r="L84" s="49" t="str">
        <f>IFERROR(INDEX(Spark_Spread_On,MATCH($C84,Adjustments!$G$3:$G$14,0),1)+IF(INDEX(Spark_Spread_On,MATCH($C84,Adjustments!$G$3:$G$14,0),1)&gt;1,INDEX(Spark_Spread_On,MATCH($C84,Adjustments!$G$3:$G$14,0),1)*BLS_Esc_Rate,-INDEX(Spark_Spread_On,MATCH($C84,Adjustments!$G$3:$G$14,0),1)*BLS_Esc_Rate),"Data Missing")</f>
        <v>Data Missing</v>
      </c>
      <c r="M84" s="49" t="str">
        <f>IFERROR(INDEX(Spark_Spread_Off,MATCH($C84,Adjustments!$G$3:$G$14,0),1)+IF(INDEX(Spark_Spread_Off,MATCH($C84,Adjustments!$G$3:$G$14,0),1)&gt;1,INDEX(Spark_Spread_Off,MATCH($C84,Adjustments!$G$3:$G$14,0),1)*BLS_Esc_Rate,-INDEX(Spark_Spread_Off,MATCH($C84,Adjustments!$G$3:$G$14,0),1)*BLS_Esc_Rate),"Data Missing")</f>
        <v>Data Missing</v>
      </c>
      <c r="N84" s="52"/>
      <c r="O84" s="42" t="str">
        <f t="shared" si="12"/>
        <v>Data Missing</v>
      </c>
      <c r="P84" s="42" t="str">
        <f t="shared" si="11"/>
        <v>Data Missing</v>
      </c>
    </row>
    <row r="85" spans="1:16" x14ac:dyDescent="0.25">
      <c r="A85" s="7">
        <v>83</v>
      </c>
      <c r="B85" s="46">
        <f t="shared" si="15"/>
        <v>46692</v>
      </c>
      <c r="C85" s="27" t="str">
        <f t="shared" si="13"/>
        <v>Nov</v>
      </c>
      <c r="D85" s="27">
        <f t="shared" si="14"/>
        <v>2027</v>
      </c>
      <c r="E85" s="27" t="str">
        <f>INDEX(Seasons,MATCH($C85,'General Inputs'!$B$21:$B$32,0),1)</f>
        <v>Shoulder</v>
      </c>
      <c r="H85" s="52"/>
      <c r="I85" s="49" t="str">
        <f>IFERROR('NG Futures'!$H85*HR_Low_Plant/1000,"Data Missing")</f>
        <v>Data Missing</v>
      </c>
      <c r="J85" s="49" t="str">
        <f>IFERROR('NG Futures'!$H85*HR_High_Plant/1000,"Data Missing")</f>
        <v>Data Missing</v>
      </c>
      <c r="K85" s="52"/>
      <c r="L85" s="49" t="str">
        <f>IFERROR(INDEX(Spark_Spread_On,MATCH($C85,Adjustments!$G$3:$G$14,0),1)+IF(INDEX(Spark_Spread_On,MATCH($C85,Adjustments!$G$3:$G$14,0),1)&gt;1,INDEX(Spark_Spread_On,MATCH($C85,Adjustments!$G$3:$G$14,0),1)*BLS_Esc_Rate,-INDEX(Spark_Spread_On,MATCH($C85,Adjustments!$G$3:$G$14,0),1)*BLS_Esc_Rate),"Data Missing")</f>
        <v>Data Missing</v>
      </c>
      <c r="M85" s="49" t="str">
        <f>IFERROR(INDEX(Spark_Spread_Off,MATCH($C85,Adjustments!$G$3:$G$14,0),1)+IF(INDEX(Spark_Spread_Off,MATCH($C85,Adjustments!$G$3:$G$14,0),1)&gt;1,INDEX(Spark_Spread_Off,MATCH($C85,Adjustments!$G$3:$G$14,0),1)*BLS_Esc_Rate,-INDEX(Spark_Spread_Off,MATCH($C85,Adjustments!$G$3:$G$14,0),1)*BLS_Esc_Rate),"Data Missing")</f>
        <v>Data Missing</v>
      </c>
      <c r="N85" s="52"/>
      <c r="O85" s="42" t="str">
        <f t="shared" si="12"/>
        <v>Data Missing</v>
      </c>
      <c r="P85" s="42" t="str">
        <f t="shared" si="11"/>
        <v>Data Missing</v>
      </c>
    </row>
    <row r="86" spans="1:16" x14ac:dyDescent="0.25">
      <c r="A86" s="7">
        <v>84</v>
      </c>
      <c r="B86" s="46">
        <f t="shared" si="15"/>
        <v>46722</v>
      </c>
      <c r="C86" s="27" t="str">
        <f t="shared" si="13"/>
        <v>Dec</v>
      </c>
      <c r="D86" s="27">
        <f t="shared" si="14"/>
        <v>2027</v>
      </c>
      <c r="E86" s="27" t="str">
        <f>INDEX(Seasons,MATCH($C86,'General Inputs'!$B$21:$B$32,0),1)</f>
        <v>Winter</v>
      </c>
      <c r="H86" s="52"/>
      <c r="I86" s="49" t="str">
        <f>IFERROR('NG Futures'!$H86*HR_Low_Plant/1000,"Data Missing")</f>
        <v>Data Missing</v>
      </c>
      <c r="J86" s="49" t="str">
        <f>IFERROR('NG Futures'!$H86*HR_High_Plant/1000,"Data Missing")</f>
        <v>Data Missing</v>
      </c>
      <c r="K86" s="52"/>
      <c r="L86" s="49" t="str">
        <f>IFERROR(INDEX(Spark_Spread_On,MATCH($C86,Adjustments!$G$3:$G$14,0),1)+IF(INDEX(Spark_Spread_On,MATCH($C86,Adjustments!$G$3:$G$14,0),1)&gt;1,INDEX(Spark_Spread_On,MATCH($C86,Adjustments!$G$3:$G$14,0),1)*BLS_Esc_Rate,-INDEX(Spark_Spread_On,MATCH($C86,Adjustments!$G$3:$G$14,0),1)*BLS_Esc_Rate),"Data Missing")</f>
        <v>Data Missing</v>
      </c>
      <c r="M86" s="49" t="str">
        <f>IFERROR(INDEX(Spark_Spread_Off,MATCH($C86,Adjustments!$G$3:$G$14,0),1)+IF(INDEX(Spark_Spread_Off,MATCH($C86,Adjustments!$G$3:$G$14,0),1)&gt;1,INDEX(Spark_Spread_Off,MATCH($C86,Adjustments!$G$3:$G$14,0),1)*BLS_Esc_Rate,-INDEX(Spark_Spread_Off,MATCH($C86,Adjustments!$G$3:$G$14,0),1)*BLS_Esc_Rate),"Data Missing")</f>
        <v>Data Missing</v>
      </c>
      <c r="N86" s="52"/>
      <c r="O86" s="42" t="str">
        <f t="shared" si="12"/>
        <v>Data Missing</v>
      </c>
      <c r="P86" s="42" t="str">
        <f t="shared" si="11"/>
        <v>Data Missing</v>
      </c>
    </row>
    <row r="87" spans="1:16" x14ac:dyDescent="0.25">
      <c r="A87" s="7">
        <v>85</v>
      </c>
      <c r="B87" s="46">
        <f t="shared" si="15"/>
        <v>46753</v>
      </c>
      <c r="C87" s="27" t="str">
        <f t="shared" si="13"/>
        <v>Jan</v>
      </c>
      <c r="D87" s="27">
        <f t="shared" si="14"/>
        <v>2028</v>
      </c>
      <c r="E87" s="27" t="str">
        <f>INDEX(Seasons,MATCH($C87,'General Inputs'!$B$21:$B$32,0),1)</f>
        <v>Winter</v>
      </c>
      <c r="H87" s="52"/>
      <c r="I87" s="49" t="str">
        <f>IFERROR('NG Futures'!$H87*HR_Low_Plant/1000,"Data Missing")</f>
        <v>Data Missing</v>
      </c>
      <c r="J87" s="49" t="str">
        <f>IFERROR('NG Futures'!$H87*HR_High_Plant/1000,"Data Missing")</f>
        <v>Data Missing</v>
      </c>
      <c r="K87" s="52"/>
      <c r="L87" s="49" t="str">
        <f>IFERROR(INDEX(Spark_Spread_On,MATCH($C87,Adjustments!$G$3:$G$14,0),1)+IF(INDEX(Spark_Spread_On,MATCH($C87,Adjustments!$G$3:$G$14,0),1)&gt;1,INDEX(Spark_Spread_On,MATCH($C87,Adjustments!$G$3:$G$14,0),1)*BLS_Esc_Rate,-INDEX(Spark_Spread_On,MATCH($C87,Adjustments!$G$3:$G$14,0),1)*BLS_Esc_Rate),"Data Missing")</f>
        <v>Data Missing</v>
      </c>
      <c r="M87" s="49" t="str">
        <f>IFERROR(INDEX(Spark_Spread_Off,MATCH($C87,Adjustments!$G$3:$G$14,0),1)+IF(INDEX(Spark_Spread_Off,MATCH($C87,Adjustments!$G$3:$G$14,0),1)&gt;1,INDEX(Spark_Spread_Off,MATCH($C87,Adjustments!$G$3:$G$14,0),1)*BLS_Esc_Rate,-INDEX(Spark_Spread_Off,MATCH($C87,Adjustments!$G$3:$G$14,0),1)*BLS_Esc_Rate),"Data Missing")</f>
        <v>Data Missing</v>
      </c>
      <c r="N87" s="52"/>
      <c r="O87" s="42" t="str">
        <f t="shared" si="12"/>
        <v>Data Missing</v>
      </c>
      <c r="P87" s="42" t="str">
        <f t="shared" si="11"/>
        <v>Data Missing</v>
      </c>
    </row>
    <row r="88" spans="1:16" x14ac:dyDescent="0.25">
      <c r="A88" s="7">
        <v>86</v>
      </c>
      <c r="B88" s="46">
        <f t="shared" si="15"/>
        <v>46784</v>
      </c>
      <c r="C88" s="27" t="str">
        <f t="shared" si="13"/>
        <v>Feb</v>
      </c>
      <c r="D88" s="27">
        <f t="shared" si="14"/>
        <v>2028</v>
      </c>
      <c r="E88" s="27" t="str">
        <f>INDEX(Seasons,MATCH($C88,'General Inputs'!$B$21:$B$32,0),1)</f>
        <v>Winter</v>
      </c>
      <c r="H88" s="52"/>
      <c r="I88" s="49" t="str">
        <f>IFERROR('NG Futures'!$H88*HR_Low_Plant/1000,"Data Missing")</f>
        <v>Data Missing</v>
      </c>
      <c r="J88" s="49" t="str">
        <f>IFERROR('NG Futures'!$H88*HR_High_Plant/1000,"Data Missing")</f>
        <v>Data Missing</v>
      </c>
      <c r="K88" s="52"/>
      <c r="L88" s="49" t="str">
        <f>IFERROR(INDEX(Spark_Spread_On,MATCH($C88,Adjustments!$G$3:$G$14,0),1)+IF(INDEX(Spark_Spread_On,MATCH($C88,Adjustments!$G$3:$G$14,0),1)&gt;1,INDEX(Spark_Spread_On,MATCH($C88,Adjustments!$G$3:$G$14,0),1)*BLS_Esc_Rate,-INDEX(Spark_Spread_On,MATCH($C88,Adjustments!$G$3:$G$14,0),1)*BLS_Esc_Rate),"Data Missing")</f>
        <v>Data Missing</v>
      </c>
      <c r="M88" s="49" t="str">
        <f>IFERROR(INDEX(Spark_Spread_Off,MATCH($C88,Adjustments!$G$3:$G$14,0),1)+IF(INDEX(Spark_Spread_Off,MATCH($C88,Adjustments!$G$3:$G$14,0),1)&gt;1,INDEX(Spark_Spread_Off,MATCH($C88,Adjustments!$G$3:$G$14,0),1)*BLS_Esc_Rate,-INDEX(Spark_Spread_Off,MATCH($C88,Adjustments!$G$3:$G$14,0),1)*BLS_Esc_Rate),"Data Missing")</f>
        <v>Data Missing</v>
      </c>
      <c r="N88" s="52"/>
      <c r="O88" s="42" t="str">
        <f t="shared" si="12"/>
        <v>Data Missing</v>
      </c>
      <c r="P88" s="42" t="str">
        <f t="shared" si="11"/>
        <v>Data Missing</v>
      </c>
    </row>
    <row r="89" spans="1:16" x14ac:dyDescent="0.25">
      <c r="A89" s="7">
        <v>87</v>
      </c>
      <c r="B89" s="46">
        <f t="shared" si="15"/>
        <v>46813</v>
      </c>
      <c r="C89" s="27" t="str">
        <f t="shared" si="13"/>
        <v>Mar</v>
      </c>
      <c r="D89" s="27">
        <f t="shared" si="14"/>
        <v>2028</v>
      </c>
      <c r="E89" s="27" t="str">
        <f>INDEX(Seasons,MATCH($C89,'General Inputs'!$B$21:$B$32,0),1)</f>
        <v>Shoulder</v>
      </c>
      <c r="H89" s="52"/>
      <c r="I89" s="49" t="str">
        <f>IFERROR('NG Futures'!$H89*HR_Low_Plant/1000,"Data Missing")</f>
        <v>Data Missing</v>
      </c>
      <c r="J89" s="49" t="str">
        <f>IFERROR('NG Futures'!$H89*HR_High_Plant/1000,"Data Missing")</f>
        <v>Data Missing</v>
      </c>
      <c r="K89" s="52"/>
      <c r="L89" s="49" t="str">
        <f>IFERROR(INDEX(Spark_Spread_On,MATCH($C89,Adjustments!$G$3:$G$14,0),1)+IF(INDEX(Spark_Spread_On,MATCH($C89,Adjustments!$G$3:$G$14,0),1)&gt;1,INDEX(Spark_Spread_On,MATCH($C89,Adjustments!$G$3:$G$14,0),1)*BLS_Esc_Rate,-INDEX(Spark_Spread_On,MATCH($C89,Adjustments!$G$3:$G$14,0),1)*BLS_Esc_Rate),"Data Missing")</f>
        <v>Data Missing</v>
      </c>
      <c r="M89" s="49" t="str">
        <f>IFERROR(INDEX(Spark_Spread_Off,MATCH($C89,Adjustments!$G$3:$G$14,0),1)+IF(INDEX(Spark_Spread_Off,MATCH($C89,Adjustments!$G$3:$G$14,0),1)&gt;1,INDEX(Spark_Spread_Off,MATCH($C89,Adjustments!$G$3:$G$14,0),1)*BLS_Esc_Rate,-INDEX(Spark_Spread_Off,MATCH($C89,Adjustments!$G$3:$G$14,0),1)*BLS_Esc_Rate),"Data Missing")</f>
        <v>Data Missing</v>
      </c>
      <c r="N89" s="52"/>
      <c r="O89" s="42" t="str">
        <f t="shared" si="12"/>
        <v>Data Missing</v>
      </c>
      <c r="P89" s="42" t="str">
        <f t="shared" si="11"/>
        <v>Data Missing</v>
      </c>
    </row>
    <row r="90" spans="1:16" x14ac:dyDescent="0.25">
      <c r="A90" s="7">
        <v>88</v>
      </c>
      <c r="B90" s="46">
        <f t="shared" si="15"/>
        <v>46844</v>
      </c>
      <c r="C90" s="27" t="str">
        <f t="shared" si="13"/>
        <v>Apr</v>
      </c>
      <c r="D90" s="27">
        <f t="shared" si="14"/>
        <v>2028</v>
      </c>
      <c r="E90" s="27" t="str">
        <f>INDEX(Seasons,MATCH($C90,'General Inputs'!$B$21:$B$32,0),1)</f>
        <v>Shoulder</v>
      </c>
      <c r="H90" s="52"/>
      <c r="I90" s="49" t="str">
        <f>IFERROR('NG Futures'!$H90*HR_Low_Plant/1000,"Data Missing")</f>
        <v>Data Missing</v>
      </c>
      <c r="J90" s="49" t="str">
        <f>IFERROR('NG Futures'!$H90*HR_High_Plant/1000,"Data Missing")</f>
        <v>Data Missing</v>
      </c>
      <c r="K90" s="52"/>
      <c r="L90" s="49" t="str">
        <f>IFERROR(INDEX(Spark_Spread_On,MATCH($C90,Adjustments!$G$3:$G$14,0),1)+IF(INDEX(Spark_Spread_On,MATCH($C90,Adjustments!$G$3:$G$14,0),1)&gt;1,INDEX(Spark_Spread_On,MATCH($C90,Adjustments!$G$3:$G$14,0),1)*BLS_Esc_Rate,-INDEX(Spark_Spread_On,MATCH($C90,Adjustments!$G$3:$G$14,0),1)*BLS_Esc_Rate),"Data Missing")</f>
        <v>Data Missing</v>
      </c>
      <c r="M90" s="49" t="str">
        <f>IFERROR(INDEX(Spark_Spread_Off,MATCH($C90,Adjustments!$G$3:$G$14,0),1)+IF(INDEX(Spark_Spread_Off,MATCH($C90,Adjustments!$G$3:$G$14,0),1)&gt;1,INDEX(Spark_Spread_Off,MATCH($C90,Adjustments!$G$3:$G$14,0),1)*BLS_Esc_Rate,-INDEX(Spark_Spread_Off,MATCH($C90,Adjustments!$G$3:$G$14,0),1)*BLS_Esc_Rate),"Data Missing")</f>
        <v>Data Missing</v>
      </c>
      <c r="N90" s="52"/>
      <c r="O90" s="42" t="str">
        <f t="shared" si="12"/>
        <v>Data Missing</v>
      </c>
      <c r="P90" s="42" t="str">
        <f t="shared" si="11"/>
        <v>Data Missing</v>
      </c>
    </row>
    <row r="91" spans="1:16" x14ac:dyDescent="0.25">
      <c r="A91" s="7">
        <v>89</v>
      </c>
      <c r="B91" s="46">
        <f t="shared" si="15"/>
        <v>46874</v>
      </c>
      <c r="C91" s="27" t="str">
        <f t="shared" si="13"/>
        <v>May</v>
      </c>
      <c r="D91" s="27">
        <f t="shared" si="14"/>
        <v>2028</v>
      </c>
      <c r="E91" s="27" t="str">
        <f>INDEX(Seasons,MATCH($C91,'General Inputs'!$B$21:$B$32,0),1)</f>
        <v>Summer</v>
      </c>
      <c r="H91" s="52"/>
      <c r="I91" s="49" t="str">
        <f>IFERROR('NG Futures'!$H91*HR_Low_Plant/1000,"Data Missing")</f>
        <v>Data Missing</v>
      </c>
      <c r="J91" s="49" t="str">
        <f>IFERROR('NG Futures'!$H91*HR_High_Plant/1000,"Data Missing")</f>
        <v>Data Missing</v>
      </c>
      <c r="K91" s="52"/>
      <c r="L91" s="49" t="str">
        <f>IFERROR(INDEX(Spark_Spread_On,MATCH($C91,Adjustments!$G$3:$G$14,0),1)+IF(INDEX(Spark_Spread_On,MATCH($C91,Adjustments!$G$3:$G$14,0),1)&gt;1,INDEX(Spark_Spread_On,MATCH($C91,Adjustments!$G$3:$G$14,0),1)*BLS_Esc_Rate,-INDEX(Spark_Spread_On,MATCH($C91,Adjustments!$G$3:$G$14,0),1)*BLS_Esc_Rate),"Data Missing")</f>
        <v>Data Missing</v>
      </c>
      <c r="M91" s="49" t="str">
        <f>IFERROR(INDEX(Spark_Spread_Off,MATCH($C91,Adjustments!$G$3:$G$14,0),1)+IF(INDEX(Spark_Spread_Off,MATCH($C91,Adjustments!$G$3:$G$14,0),1)&gt;1,INDEX(Spark_Spread_Off,MATCH($C91,Adjustments!$G$3:$G$14,0),1)*BLS_Esc_Rate,-INDEX(Spark_Spread_Off,MATCH($C91,Adjustments!$G$3:$G$14,0),1)*BLS_Esc_Rate),"Data Missing")</f>
        <v>Data Missing</v>
      </c>
      <c r="N91" s="52"/>
      <c r="O91" s="42" t="str">
        <f t="shared" si="12"/>
        <v>Data Missing</v>
      </c>
      <c r="P91" s="42" t="str">
        <f t="shared" si="11"/>
        <v>Data Missing</v>
      </c>
    </row>
    <row r="92" spans="1:16" x14ac:dyDescent="0.25">
      <c r="A92" s="7">
        <v>90</v>
      </c>
      <c r="B92" s="46">
        <f t="shared" si="15"/>
        <v>46905</v>
      </c>
      <c r="C92" s="27" t="str">
        <f t="shared" si="13"/>
        <v>Jun</v>
      </c>
      <c r="D92" s="27">
        <f t="shared" si="14"/>
        <v>2028</v>
      </c>
      <c r="E92" s="27" t="str">
        <f>INDEX(Seasons,MATCH($C92,'General Inputs'!$B$21:$B$32,0),1)</f>
        <v>Summer</v>
      </c>
      <c r="H92" s="52"/>
      <c r="I92" s="49" t="str">
        <f>IFERROR('NG Futures'!$H92*HR_Low_Plant/1000,"Data Missing")</f>
        <v>Data Missing</v>
      </c>
      <c r="J92" s="49" t="str">
        <f>IFERROR('NG Futures'!$H92*HR_High_Plant/1000,"Data Missing")</f>
        <v>Data Missing</v>
      </c>
      <c r="K92" s="52"/>
      <c r="L92" s="49" t="str">
        <f>IFERROR(INDEX(Spark_Spread_On,MATCH($C92,Adjustments!$G$3:$G$14,0),1)+IF(INDEX(Spark_Spread_On,MATCH($C92,Adjustments!$G$3:$G$14,0),1)&gt;1,INDEX(Spark_Spread_On,MATCH($C92,Adjustments!$G$3:$G$14,0),1)*BLS_Esc_Rate,-INDEX(Spark_Spread_On,MATCH($C92,Adjustments!$G$3:$G$14,0),1)*BLS_Esc_Rate),"Data Missing")</f>
        <v>Data Missing</v>
      </c>
      <c r="M92" s="49" t="str">
        <f>IFERROR(INDEX(Spark_Spread_Off,MATCH($C92,Adjustments!$G$3:$G$14,0),1)+IF(INDEX(Spark_Spread_Off,MATCH($C92,Adjustments!$G$3:$G$14,0),1)&gt;1,INDEX(Spark_Spread_Off,MATCH($C92,Adjustments!$G$3:$G$14,0),1)*BLS_Esc_Rate,-INDEX(Spark_Spread_Off,MATCH($C92,Adjustments!$G$3:$G$14,0),1)*BLS_Esc_Rate),"Data Missing")</f>
        <v>Data Missing</v>
      </c>
      <c r="N92" s="52"/>
      <c r="O92" s="42" t="str">
        <f t="shared" si="12"/>
        <v>Data Missing</v>
      </c>
      <c r="P92" s="42" t="str">
        <f t="shared" si="11"/>
        <v>Data Missing</v>
      </c>
    </row>
    <row r="93" spans="1:16" x14ac:dyDescent="0.25">
      <c r="A93" s="7">
        <v>91</v>
      </c>
      <c r="B93" s="46">
        <f t="shared" si="15"/>
        <v>46935</v>
      </c>
      <c r="C93" s="27" t="str">
        <f t="shared" si="13"/>
        <v>Jul</v>
      </c>
      <c r="D93" s="27">
        <f t="shared" si="14"/>
        <v>2028</v>
      </c>
      <c r="E93" s="27" t="str">
        <f>INDEX(Seasons,MATCH($C93,'General Inputs'!$B$21:$B$32,0),1)</f>
        <v>Summer</v>
      </c>
      <c r="H93" s="52"/>
      <c r="I93" s="49" t="str">
        <f>IFERROR('NG Futures'!$H93*HR_Low_Plant/1000,"Data Missing")</f>
        <v>Data Missing</v>
      </c>
      <c r="J93" s="49" t="str">
        <f>IFERROR('NG Futures'!$H93*HR_High_Plant/1000,"Data Missing")</f>
        <v>Data Missing</v>
      </c>
      <c r="K93" s="52"/>
      <c r="L93" s="49" t="str">
        <f>IFERROR(INDEX(Spark_Spread_On,MATCH($C93,Adjustments!$G$3:$G$14,0),1)+IF(INDEX(Spark_Spread_On,MATCH($C93,Adjustments!$G$3:$G$14,0),1)&gt;1,INDEX(Spark_Spread_On,MATCH($C93,Adjustments!$G$3:$G$14,0),1)*BLS_Esc_Rate,-INDEX(Spark_Spread_On,MATCH($C93,Adjustments!$G$3:$G$14,0),1)*BLS_Esc_Rate),"Data Missing")</f>
        <v>Data Missing</v>
      </c>
      <c r="M93" s="49" t="str">
        <f>IFERROR(INDEX(Spark_Spread_Off,MATCH($C93,Adjustments!$G$3:$G$14,0),1)+IF(INDEX(Spark_Spread_Off,MATCH($C93,Adjustments!$G$3:$G$14,0),1)&gt;1,INDEX(Spark_Spread_Off,MATCH($C93,Adjustments!$G$3:$G$14,0),1)*BLS_Esc_Rate,-INDEX(Spark_Spread_Off,MATCH($C93,Adjustments!$G$3:$G$14,0),1)*BLS_Esc_Rate),"Data Missing")</f>
        <v>Data Missing</v>
      </c>
      <c r="N93" s="52"/>
      <c r="O93" s="42" t="str">
        <f t="shared" si="12"/>
        <v>Data Missing</v>
      </c>
      <c r="P93" s="42" t="str">
        <f t="shared" si="11"/>
        <v>Data Missing</v>
      </c>
    </row>
    <row r="94" spans="1:16" x14ac:dyDescent="0.25">
      <c r="A94" s="7">
        <v>92</v>
      </c>
      <c r="B94" s="46">
        <f t="shared" si="15"/>
        <v>46966</v>
      </c>
      <c r="C94" s="27" t="str">
        <f t="shared" si="13"/>
        <v>Aug</v>
      </c>
      <c r="D94" s="27">
        <f t="shared" si="14"/>
        <v>2028</v>
      </c>
      <c r="E94" s="27" t="str">
        <f>INDEX(Seasons,MATCH($C94,'General Inputs'!$B$21:$B$32,0),1)</f>
        <v>Summer</v>
      </c>
      <c r="H94" s="52"/>
      <c r="I94" s="49" t="str">
        <f>IFERROR('NG Futures'!$H94*HR_Low_Plant/1000,"Data Missing")</f>
        <v>Data Missing</v>
      </c>
      <c r="J94" s="49" t="str">
        <f>IFERROR('NG Futures'!$H94*HR_High_Plant/1000,"Data Missing")</f>
        <v>Data Missing</v>
      </c>
      <c r="K94" s="52"/>
      <c r="L94" s="49" t="str">
        <f>IFERROR(INDEX(Spark_Spread_On,MATCH($C94,Adjustments!$G$3:$G$14,0),1)+IF(INDEX(Spark_Spread_On,MATCH($C94,Adjustments!$G$3:$G$14,0),1)&gt;1,INDEX(Spark_Spread_On,MATCH($C94,Adjustments!$G$3:$G$14,0),1)*BLS_Esc_Rate,-INDEX(Spark_Spread_On,MATCH($C94,Adjustments!$G$3:$G$14,0),1)*BLS_Esc_Rate),"Data Missing")</f>
        <v>Data Missing</v>
      </c>
      <c r="M94" s="49" t="str">
        <f>IFERROR(INDEX(Spark_Spread_Off,MATCH($C94,Adjustments!$G$3:$G$14,0),1)+IF(INDEX(Spark_Spread_Off,MATCH($C94,Adjustments!$G$3:$G$14,0),1)&gt;1,INDEX(Spark_Spread_Off,MATCH($C94,Adjustments!$G$3:$G$14,0),1)*BLS_Esc_Rate,-INDEX(Spark_Spread_Off,MATCH($C94,Adjustments!$G$3:$G$14,0),1)*BLS_Esc_Rate),"Data Missing")</f>
        <v>Data Missing</v>
      </c>
      <c r="N94" s="52"/>
      <c r="O94" s="42" t="str">
        <f t="shared" si="12"/>
        <v>Data Missing</v>
      </c>
      <c r="P94" s="42" t="str">
        <f t="shared" si="11"/>
        <v>Data Missing</v>
      </c>
    </row>
    <row r="95" spans="1:16" x14ac:dyDescent="0.25">
      <c r="A95" s="7">
        <v>93</v>
      </c>
      <c r="B95" s="46">
        <f t="shared" si="15"/>
        <v>46997</v>
      </c>
      <c r="C95" s="27" t="str">
        <f t="shared" si="13"/>
        <v>Sep</v>
      </c>
      <c r="D95" s="27">
        <f t="shared" si="14"/>
        <v>2028</v>
      </c>
      <c r="E95" s="27" t="str">
        <f>INDEX(Seasons,MATCH($C95,'General Inputs'!$B$21:$B$32,0),1)</f>
        <v>Summer</v>
      </c>
      <c r="H95" s="52"/>
      <c r="I95" s="49" t="str">
        <f>IFERROR('NG Futures'!$H95*HR_Low_Plant/1000,"Data Missing")</f>
        <v>Data Missing</v>
      </c>
      <c r="J95" s="49" t="str">
        <f>IFERROR('NG Futures'!$H95*HR_High_Plant/1000,"Data Missing")</f>
        <v>Data Missing</v>
      </c>
      <c r="K95" s="52"/>
      <c r="L95" s="49" t="str">
        <f>IFERROR(INDEX(Spark_Spread_On,MATCH($C95,Adjustments!$G$3:$G$14,0),1)+IF(INDEX(Spark_Spread_On,MATCH($C95,Adjustments!$G$3:$G$14,0),1)&gt;1,INDEX(Spark_Spread_On,MATCH($C95,Adjustments!$G$3:$G$14,0),1)*BLS_Esc_Rate,-INDEX(Spark_Spread_On,MATCH($C95,Adjustments!$G$3:$G$14,0),1)*BLS_Esc_Rate),"Data Missing")</f>
        <v>Data Missing</v>
      </c>
      <c r="M95" s="49" t="str">
        <f>IFERROR(INDEX(Spark_Spread_Off,MATCH($C95,Adjustments!$G$3:$G$14,0),1)+IF(INDEX(Spark_Spread_Off,MATCH($C95,Adjustments!$G$3:$G$14,0),1)&gt;1,INDEX(Spark_Spread_Off,MATCH($C95,Adjustments!$G$3:$G$14,0),1)*BLS_Esc_Rate,-INDEX(Spark_Spread_Off,MATCH($C95,Adjustments!$G$3:$G$14,0),1)*BLS_Esc_Rate),"Data Missing")</f>
        <v>Data Missing</v>
      </c>
      <c r="N95" s="52"/>
      <c r="O95" s="42" t="str">
        <f t="shared" si="12"/>
        <v>Data Missing</v>
      </c>
      <c r="P95" s="42" t="str">
        <f t="shared" si="11"/>
        <v>Data Missing</v>
      </c>
    </row>
    <row r="96" spans="1:16" x14ac:dyDescent="0.25">
      <c r="A96" s="7">
        <v>94</v>
      </c>
      <c r="B96" s="46">
        <f t="shared" si="15"/>
        <v>47027</v>
      </c>
      <c r="C96" s="27" t="str">
        <f t="shared" si="13"/>
        <v>Oct</v>
      </c>
      <c r="D96" s="27">
        <f t="shared" si="14"/>
        <v>2028</v>
      </c>
      <c r="E96" s="27" t="str">
        <f>INDEX(Seasons,MATCH($C96,'General Inputs'!$B$21:$B$32,0),1)</f>
        <v>Shoulder</v>
      </c>
      <c r="H96" s="52"/>
      <c r="I96" s="49" t="str">
        <f>IFERROR('NG Futures'!$H96*HR_Low_Plant/1000,"Data Missing")</f>
        <v>Data Missing</v>
      </c>
      <c r="J96" s="49" t="str">
        <f>IFERROR('NG Futures'!$H96*HR_High_Plant/1000,"Data Missing")</f>
        <v>Data Missing</v>
      </c>
      <c r="K96" s="52"/>
      <c r="L96" s="49" t="str">
        <f>IFERROR(INDEX(Spark_Spread_On,MATCH($C96,Adjustments!$G$3:$G$14,0),1)+IF(INDEX(Spark_Spread_On,MATCH($C96,Adjustments!$G$3:$G$14,0),1)&gt;1,INDEX(Spark_Spread_On,MATCH($C96,Adjustments!$G$3:$G$14,0),1)*BLS_Esc_Rate,-INDEX(Spark_Spread_On,MATCH($C96,Adjustments!$G$3:$G$14,0),1)*BLS_Esc_Rate),"Data Missing")</f>
        <v>Data Missing</v>
      </c>
      <c r="M96" s="49" t="str">
        <f>IFERROR(INDEX(Spark_Spread_Off,MATCH($C96,Adjustments!$G$3:$G$14,0),1)+IF(INDEX(Spark_Spread_Off,MATCH($C96,Adjustments!$G$3:$G$14,0),1)&gt;1,INDEX(Spark_Spread_Off,MATCH($C96,Adjustments!$G$3:$G$14,0),1)*BLS_Esc_Rate,-INDEX(Spark_Spread_Off,MATCH($C96,Adjustments!$G$3:$G$14,0),1)*BLS_Esc_Rate),"Data Missing")</f>
        <v>Data Missing</v>
      </c>
      <c r="N96" s="52"/>
      <c r="O96" s="42" t="str">
        <f t="shared" si="12"/>
        <v>Data Missing</v>
      </c>
      <c r="P96" s="42" t="str">
        <f t="shared" si="11"/>
        <v>Data Missing</v>
      </c>
    </row>
    <row r="97" spans="1:16" x14ac:dyDescent="0.25">
      <c r="A97" s="7">
        <v>95</v>
      </c>
      <c r="B97" s="46">
        <f t="shared" si="15"/>
        <v>47058</v>
      </c>
      <c r="C97" s="27" t="str">
        <f t="shared" si="13"/>
        <v>Nov</v>
      </c>
      <c r="D97" s="27">
        <f t="shared" si="14"/>
        <v>2028</v>
      </c>
      <c r="E97" s="27" t="str">
        <f>INDEX(Seasons,MATCH($C97,'General Inputs'!$B$21:$B$32,0),1)</f>
        <v>Shoulder</v>
      </c>
      <c r="H97" s="52"/>
      <c r="I97" s="49" t="str">
        <f>IFERROR('NG Futures'!$H97*HR_Low_Plant/1000,"Data Missing")</f>
        <v>Data Missing</v>
      </c>
      <c r="J97" s="49" t="str">
        <f>IFERROR('NG Futures'!$H97*HR_High_Plant/1000,"Data Missing")</f>
        <v>Data Missing</v>
      </c>
      <c r="K97" s="52"/>
      <c r="L97" s="49" t="str">
        <f>IFERROR(INDEX(Spark_Spread_On,MATCH($C97,Adjustments!$G$3:$G$14,0),1)+IF(INDEX(Spark_Spread_On,MATCH($C97,Adjustments!$G$3:$G$14,0),1)&gt;1,INDEX(Spark_Spread_On,MATCH($C97,Adjustments!$G$3:$G$14,0),1)*BLS_Esc_Rate,-INDEX(Spark_Spread_On,MATCH($C97,Adjustments!$G$3:$G$14,0),1)*BLS_Esc_Rate),"Data Missing")</f>
        <v>Data Missing</v>
      </c>
      <c r="M97" s="49" t="str">
        <f>IFERROR(INDEX(Spark_Spread_Off,MATCH($C97,Adjustments!$G$3:$G$14,0),1)+IF(INDEX(Spark_Spread_Off,MATCH($C97,Adjustments!$G$3:$G$14,0),1)&gt;1,INDEX(Spark_Spread_Off,MATCH($C97,Adjustments!$G$3:$G$14,0),1)*BLS_Esc_Rate,-INDEX(Spark_Spread_Off,MATCH($C97,Adjustments!$G$3:$G$14,0),1)*BLS_Esc_Rate),"Data Missing")</f>
        <v>Data Missing</v>
      </c>
      <c r="N97" s="52"/>
      <c r="O97" s="42" t="str">
        <f t="shared" si="12"/>
        <v>Data Missing</v>
      </c>
      <c r="P97" s="42" t="str">
        <f t="shared" si="11"/>
        <v>Data Missing</v>
      </c>
    </row>
    <row r="98" spans="1:16" x14ac:dyDescent="0.25">
      <c r="A98" s="7">
        <v>96</v>
      </c>
      <c r="B98" s="46">
        <f t="shared" si="15"/>
        <v>47088</v>
      </c>
      <c r="C98" s="27" t="str">
        <f t="shared" si="13"/>
        <v>Dec</v>
      </c>
      <c r="D98" s="27">
        <f t="shared" si="14"/>
        <v>2028</v>
      </c>
      <c r="E98" s="27" t="str">
        <f>INDEX(Seasons,MATCH($C98,'General Inputs'!$B$21:$B$32,0),1)</f>
        <v>Winter</v>
      </c>
      <c r="H98" s="52"/>
      <c r="I98" s="49" t="str">
        <f>IFERROR('NG Futures'!$H98*HR_Low_Plant/1000,"Data Missing")</f>
        <v>Data Missing</v>
      </c>
      <c r="J98" s="49" t="str">
        <f>IFERROR('NG Futures'!$H98*HR_High_Plant/1000,"Data Missing")</f>
        <v>Data Missing</v>
      </c>
      <c r="K98" s="52"/>
      <c r="L98" s="49" t="str">
        <f>IFERROR(INDEX(Spark_Spread_On,MATCH($C98,Adjustments!$G$3:$G$14,0),1)+IF(INDEX(Spark_Spread_On,MATCH($C98,Adjustments!$G$3:$G$14,0),1)&gt;1,INDEX(Spark_Spread_On,MATCH($C98,Adjustments!$G$3:$G$14,0),1)*BLS_Esc_Rate,-INDEX(Spark_Spread_On,MATCH($C98,Adjustments!$G$3:$G$14,0),1)*BLS_Esc_Rate),"Data Missing")</f>
        <v>Data Missing</v>
      </c>
      <c r="M98" s="49" t="str">
        <f>IFERROR(INDEX(Spark_Spread_Off,MATCH($C98,Adjustments!$G$3:$G$14,0),1)+IF(INDEX(Spark_Spread_Off,MATCH($C98,Adjustments!$G$3:$G$14,0),1)&gt;1,INDEX(Spark_Spread_Off,MATCH($C98,Adjustments!$G$3:$G$14,0),1)*BLS_Esc_Rate,-INDEX(Spark_Spread_Off,MATCH($C98,Adjustments!$G$3:$G$14,0),1)*BLS_Esc_Rate),"Data Missing")</f>
        <v>Data Missing</v>
      </c>
      <c r="N98" s="52"/>
      <c r="O98" s="42" t="str">
        <f t="shared" si="12"/>
        <v>Data Missing</v>
      </c>
      <c r="P98" s="42" t="str">
        <f t="shared" si="11"/>
        <v>Data Missing</v>
      </c>
    </row>
    <row r="99" spans="1:16" x14ac:dyDescent="0.25">
      <c r="A99" s="7">
        <v>97</v>
      </c>
      <c r="B99" s="46">
        <f t="shared" si="15"/>
        <v>47119</v>
      </c>
      <c r="C99" s="27" t="str">
        <f t="shared" si="13"/>
        <v>Jan</v>
      </c>
      <c r="D99" s="27">
        <f t="shared" si="14"/>
        <v>2029</v>
      </c>
      <c r="E99" s="27" t="str">
        <f>INDEX(Seasons,MATCH($C99,'General Inputs'!$B$21:$B$32,0),1)</f>
        <v>Winter</v>
      </c>
      <c r="H99" s="52"/>
      <c r="I99" s="49" t="str">
        <f>IFERROR('NG Futures'!$H99*HR_Low_Plant/1000,"Data Missing")</f>
        <v>Data Missing</v>
      </c>
      <c r="J99" s="49" t="str">
        <f>IFERROR('NG Futures'!$H99*HR_High_Plant/1000,"Data Missing")</f>
        <v>Data Missing</v>
      </c>
      <c r="K99" s="52"/>
      <c r="L99" s="49" t="str">
        <f>IFERROR(INDEX(Spark_Spread_On,MATCH($C99,Adjustments!$G$3:$G$14,0),1)+IF(INDEX(Spark_Spread_On,MATCH($C99,Adjustments!$G$3:$G$14,0),1)&gt;1,INDEX(Spark_Spread_On,MATCH($C99,Adjustments!$G$3:$G$14,0),1)*BLS_Esc_Rate,-INDEX(Spark_Spread_On,MATCH($C99,Adjustments!$G$3:$G$14,0),1)*BLS_Esc_Rate),"Data Missing")</f>
        <v>Data Missing</v>
      </c>
      <c r="M99" s="49" t="str">
        <f>IFERROR(INDEX(Spark_Spread_Off,MATCH($C99,Adjustments!$G$3:$G$14,0),1)+IF(INDEX(Spark_Spread_Off,MATCH($C99,Adjustments!$G$3:$G$14,0),1)&gt;1,INDEX(Spark_Spread_Off,MATCH($C99,Adjustments!$G$3:$G$14,0),1)*BLS_Esc_Rate,-INDEX(Spark_Spread_Off,MATCH($C99,Adjustments!$G$3:$G$14,0),1)*BLS_Esc_Rate),"Data Missing")</f>
        <v>Data Missing</v>
      </c>
      <c r="N99" s="52"/>
      <c r="O99" s="42" t="str">
        <f t="shared" si="12"/>
        <v>Data Missing</v>
      </c>
      <c r="P99" s="42" t="str">
        <f t="shared" si="11"/>
        <v>Data Missing</v>
      </c>
    </row>
    <row r="100" spans="1:16" x14ac:dyDescent="0.25">
      <c r="A100" s="7">
        <v>98</v>
      </c>
      <c r="B100" s="46">
        <f t="shared" si="15"/>
        <v>47150</v>
      </c>
      <c r="C100" s="27" t="str">
        <f t="shared" si="13"/>
        <v>Feb</v>
      </c>
      <c r="D100" s="27">
        <f t="shared" si="14"/>
        <v>2029</v>
      </c>
      <c r="E100" s="27" t="str">
        <f>INDEX(Seasons,MATCH($C100,'General Inputs'!$B$21:$B$32,0),1)</f>
        <v>Winter</v>
      </c>
      <c r="H100" s="52"/>
      <c r="I100" s="49" t="str">
        <f>IFERROR('NG Futures'!$H100*HR_Low_Plant/1000,"Data Missing")</f>
        <v>Data Missing</v>
      </c>
      <c r="J100" s="49" t="str">
        <f>IFERROR('NG Futures'!$H100*HR_High_Plant/1000,"Data Missing")</f>
        <v>Data Missing</v>
      </c>
      <c r="K100" s="52"/>
      <c r="L100" s="49" t="str">
        <f>IFERROR(INDEX(Spark_Spread_On,MATCH($C100,Adjustments!$G$3:$G$14,0),1)+IF(INDEX(Spark_Spread_On,MATCH($C100,Adjustments!$G$3:$G$14,0),1)&gt;1,INDEX(Spark_Spread_On,MATCH($C100,Adjustments!$G$3:$G$14,0),1)*BLS_Esc_Rate,-INDEX(Spark_Spread_On,MATCH($C100,Adjustments!$G$3:$G$14,0),1)*BLS_Esc_Rate),"Data Missing")</f>
        <v>Data Missing</v>
      </c>
      <c r="M100" s="49" t="str">
        <f>IFERROR(INDEX(Spark_Spread_Off,MATCH($C100,Adjustments!$G$3:$G$14,0),1)+IF(INDEX(Spark_Spread_Off,MATCH($C100,Adjustments!$G$3:$G$14,0),1)&gt;1,INDEX(Spark_Spread_Off,MATCH($C100,Adjustments!$G$3:$G$14,0),1)*BLS_Esc_Rate,-INDEX(Spark_Spread_Off,MATCH($C100,Adjustments!$G$3:$G$14,0),1)*BLS_Esc_Rate),"Data Missing")</f>
        <v>Data Missing</v>
      </c>
      <c r="N100" s="52"/>
      <c r="O100" s="42" t="str">
        <f t="shared" si="12"/>
        <v>Data Missing</v>
      </c>
      <c r="P100" s="42" t="str">
        <f t="shared" si="11"/>
        <v>Data Missing</v>
      </c>
    </row>
    <row r="101" spans="1:16" x14ac:dyDescent="0.25">
      <c r="A101" s="7">
        <v>99</v>
      </c>
      <c r="B101" s="46">
        <f t="shared" si="15"/>
        <v>47178</v>
      </c>
      <c r="C101" s="27" t="str">
        <f t="shared" si="13"/>
        <v>Mar</v>
      </c>
      <c r="D101" s="27">
        <f t="shared" si="14"/>
        <v>2029</v>
      </c>
      <c r="E101" s="27" t="str">
        <f>INDEX(Seasons,MATCH($C101,'General Inputs'!$B$21:$B$32,0),1)</f>
        <v>Shoulder</v>
      </c>
      <c r="H101" s="52"/>
      <c r="I101" s="49" t="str">
        <f>IFERROR('NG Futures'!$H101*HR_Low_Plant/1000,"Data Missing")</f>
        <v>Data Missing</v>
      </c>
      <c r="J101" s="49" t="str">
        <f>IFERROR('NG Futures'!$H101*HR_High_Plant/1000,"Data Missing")</f>
        <v>Data Missing</v>
      </c>
      <c r="K101" s="52"/>
      <c r="L101" s="49" t="str">
        <f>IFERROR(INDEX(Spark_Spread_On,MATCH($C101,Adjustments!$G$3:$G$14,0),1)+IF(INDEX(Spark_Spread_On,MATCH($C101,Adjustments!$G$3:$G$14,0),1)&gt;1,INDEX(Spark_Spread_On,MATCH($C101,Adjustments!$G$3:$G$14,0),1)*BLS_Esc_Rate,-INDEX(Spark_Spread_On,MATCH($C101,Adjustments!$G$3:$G$14,0),1)*BLS_Esc_Rate),"Data Missing")</f>
        <v>Data Missing</v>
      </c>
      <c r="M101" s="49" t="str">
        <f>IFERROR(INDEX(Spark_Spread_Off,MATCH($C101,Adjustments!$G$3:$G$14,0),1)+IF(INDEX(Spark_Spread_Off,MATCH($C101,Adjustments!$G$3:$G$14,0),1)&gt;1,INDEX(Spark_Spread_Off,MATCH($C101,Adjustments!$G$3:$G$14,0),1)*BLS_Esc_Rate,-INDEX(Spark_Spread_Off,MATCH($C101,Adjustments!$G$3:$G$14,0),1)*BLS_Esc_Rate),"Data Missing")</f>
        <v>Data Missing</v>
      </c>
      <c r="N101" s="52"/>
      <c r="O101" s="42" t="str">
        <f t="shared" si="12"/>
        <v>Data Missing</v>
      </c>
      <c r="P101" s="42" t="str">
        <f t="shared" si="11"/>
        <v>Data Missing</v>
      </c>
    </row>
    <row r="102" spans="1:16" x14ac:dyDescent="0.25">
      <c r="A102" s="7">
        <v>100</v>
      </c>
      <c r="B102" s="46">
        <f t="shared" si="15"/>
        <v>47209</v>
      </c>
      <c r="C102" s="27" t="str">
        <f t="shared" si="13"/>
        <v>Apr</v>
      </c>
      <c r="D102" s="27">
        <f t="shared" si="14"/>
        <v>2029</v>
      </c>
      <c r="E102" s="27" t="str">
        <f>INDEX(Seasons,MATCH($C102,'General Inputs'!$B$21:$B$32,0),1)</f>
        <v>Shoulder</v>
      </c>
      <c r="H102" s="52"/>
      <c r="I102" s="49" t="str">
        <f>IFERROR('NG Futures'!$H102*HR_Low_Plant/1000,"Data Missing")</f>
        <v>Data Missing</v>
      </c>
      <c r="J102" s="49" t="str">
        <f>IFERROR('NG Futures'!$H102*HR_High_Plant/1000,"Data Missing")</f>
        <v>Data Missing</v>
      </c>
      <c r="K102" s="52"/>
      <c r="L102" s="49" t="str">
        <f>IFERROR(INDEX(Spark_Spread_On,MATCH($C102,Adjustments!$G$3:$G$14,0),1)+IF(INDEX(Spark_Spread_On,MATCH($C102,Adjustments!$G$3:$G$14,0),1)&gt;1,INDEX(Spark_Spread_On,MATCH($C102,Adjustments!$G$3:$G$14,0),1)*BLS_Esc_Rate,-INDEX(Spark_Spread_On,MATCH($C102,Adjustments!$G$3:$G$14,0),1)*BLS_Esc_Rate),"Data Missing")</f>
        <v>Data Missing</v>
      </c>
      <c r="M102" s="49" t="str">
        <f>IFERROR(INDEX(Spark_Spread_Off,MATCH($C102,Adjustments!$G$3:$G$14,0),1)+IF(INDEX(Spark_Spread_Off,MATCH($C102,Adjustments!$G$3:$G$14,0),1)&gt;1,INDEX(Spark_Spread_Off,MATCH($C102,Adjustments!$G$3:$G$14,0),1)*BLS_Esc_Rate,-INDEX(Spark_Spread_Off,MATCH($C102,Adjustments!$G$3:$G$14,0),1)*BLS_Esc_Rate),"Data Missing")</f>
        <v>Data Missing</v>
      </c>
      <c r="N102" s="52"/>
      <c r="O102" s="42" t="str">
        <f t="shared" si="12"/>
        <v>Data Missing</v>
      </c>
      <c r="P102" s="42" t="str">
        <f t="shared" si="11"/>
        <v>Data Missing</v>
      </c>
    </row>
    <row r="103" spans="1:16" x14ac:dyDescent="0.25">
      <c r="A103" s="7">
        <v>101</v>
      </c>
      <c r="B103" s="46">
        <f t="shared" si="15"/>
        <v>47239</v>
      </c>
      <c r="C103" s="27" t="str">
        <f t="shared" si="13"/>
        <v>May</v>
      </c>
      <c r="D103" s="27">
        <f t="shared" si="14"/>
        <v>2029</v>
      </c>
      <c r="E103" s="27" t="str">
        <f>INDEX(Seasons,MATCH($C103,'General Inputs'!$B$21:$B$32,0),1)</f>
        <v>Summer</v>
      </c>
      <c r="H103" s="52"/>
      <c r="I103" s="49" t="str">
        <f>IFERROR('NG Futures'!$H103*HR_Low_Plant/1000,"Data Missing")</f>
        <v>Data Missing</v>
      </c>
      <c r="J103" s="49" t="str">
        <f>IFERROR('NG Futures'!$H103*HR_High_Plant/1000,"Data Missing")</f>
        <v>Data Missing</v>
      </c>
      <c r="K103" s="52"/>
      <c r="L103" s="49" t="str">
        <f>IFERROR(INDEX(Spark_Spread_On,MATCH($C103,Adjustments!$G$3:$G$14,0),1)+IF(INDEX(Spark_Spread_On,MATCH($C103,Adjustments!$G$3:$G$14,0),1)&gt;1,INDEX(Spark_Spread_On,MATCH($C103,Adjustments!$G$3:$G$14,0),1)*BLS_Esc_Rate,-INDEX(Spark_Spread_On,MATCH($C103,Adjustments!$G$3:$G$14,0),1)*BLS_Esc_Rate),"Data Missing")</f>
        <v>Data Missing</v>
      </c>
      <c r="M103" s="49" t="str">
        <f>IFERROR(INDEX(Spark_Spread_Off,MATCH($C103,Adjustments!$G$3:$G$14,0),1)+IF(INDEX(Spark_Spread_Off,MATCH($C103,Adjustments!$G$3:$G$14,0),1)&gt;1,INDEX(Spark_Spread_Off,MATCH($C103,Adjustments!$G$3:$G$14,0),1)*BLS_Esc_Rate,-INDEX(Spark_Spread_Off,MATCH($C103,Adjustments!$G$3:$G$14,0),1)*BLS_Esc_Rate),"Data Missing")</f>
        <v>Data Missing</v>
      </c>
      <c r="N103" s="52"/>
      <c r="O103" s="42" t="str">
        <f t="shared" si="12"/>
        <v>Data Missing</v>
      </c>
      <c r="P103" s="42" t="str">
        <f t="shared" si="11"/>
        <v>Data Missing</v>
      </c>
    </row>
    <row r="104" spans="1:16" x14ac:dyDescent="0.25">
      <c r="A104" s="7">
        <v>102</v>
      </c>
      <c r="B104" s="46">
        <f t="shared" si="15"/>
        <v>47270</v>
      </c>
      <c r="C104" s="27" t="str">
        <f t="shared" si="13"/>
        <v>Jun</v>
      </c>
      <c r="D104" s="27">
        <f t="shared" si="14"/>
        <v>2029</v>
      </c>
      <c r="E104" s="27" t="str">
        <f>INDEX(Seasons,MATCH($C104,'General Inputs'!$B$21:$B$32,0),1)</f>
        <v>Summer</v>
      </c>
      <c r="H104" s="52"/>
      <c r="I104" s="49" t="str">
        <f>IFERROR('NG Futures'!$H104*HR_Low_Plant/1000,"Data Missing")</f>
        <v>Data Missing</v>
      </c>
      <c r="J104" s="49" t="str">
        <f>IFERROR('NG Futures'!$H104*HR_High_Plant/1000,"Data Missing")</f>
        <v>Data Missing</v>
      </c>
      <c r="K104" s="52"/>
      <c r="L104" s="49" t="str">
        <f>IFERROR(INDEX(Spark_Spread_On,MATCH($C104,Adjustments!$G$3:$G$14,0),1)+IF(INDEX(Spark_Spread_On,MATCH($C104,Adjustments!$G$3:$G$14,0),1)&gt;1,INDEX(Spark_Spread_On,MATCH($C104,Adjustments!$G$3:$G$14,0),1)*BLS_Esc_Rate,-INDEX(Spark_Spread_On,MATCH($C104,Adjustments!$G$3:$G$14,0),1)*BLS_Esc_Rate),"Data Missing")</f>
        <v>Data Missing</v>
      </c>
      <c r="M104" s="49" t="str">
        <f>IFERROR(INDEX(Spark_Spread_Off,MATCH($C104,Adjustments!$G$3:$G$14,0),1)+IF(INDEX(Spark_Spread_Off,MATCH($C104,Adjustments!$G$3:$G$14,0),1)&gt;1,INDEX(Spark_Spread_Off,MATCH($C104,Adjustments!$G$3:$G$14,0),1)*BLS_Esc_Rate,-INDEX(Spark_Spread_Off,MATCH($C104,Adjustments!$G$3:$G$14,0),1)*BLS_Esc_Rate),"Data Missing")</f>
        <v>Data Missing</v>
      </c>
      <c r="N104" s="52"/>
      <c r="O104" s="42" t="str">
        <f t="shared" si="12"/>
        <v>Data Missing</v>
      </c>
      <c r="P104" s="42" t="str">
        <f t="shared" si="11"/>
        <v>Data Missing</v>
      </c>
    </row>
    <row r="105" spans="1:16" x14ac:dyDescent="0.25">
      <c r="A105" s="7">
        <v>103</v>
      </c>
      <c r="B105" s="46">
        <f t="shared" si="15"/>
        <v>47300</v>
      </c>
      <c r="C105" s="27" t="str">
        <f t="shared" si="13"/>
        <v>Jul</v>
      </c>
      <c r="D105" s="27">
        <f t="shared" si="14"/>
        <v>2029</v>
      </c>
      <c r="E105" s="27" t="str">
        <f>INDEX(Seasons,MATCH($C105,'General Inputs'!$B$21:$B$32,0),1)</f>
        <v>Summer</v>
      </c>
      <c r="H105" s="52"/>
      <c r="I105" s="49" t="str">
        <f>IFERROR('NG Futures'!$H105*HR_Low_Plant/1000,"Data Missing")</f>
        <v>Data Missing</v>
      </c>
      <c r="J105" s="49" t="str">
        <f>IFERROR('NG Futures'!$H105*HR_High_Plant/1000,"Data Missing")</f>
        <v>Data Missing</v>
      </c>
      <c r="K105" s="52"/>
      <c r="L105" s="49" t="str">
        <f>IFERROR(INDEX(Spark_Spread_On,MATCH($C105,Adjustments!$G$3:$G$14,0),1)+IF(INDEX(Spark_Spread_On,MATCH($C105,Adjustments!$G$3:$G$14,0),1)&gt;1,INDEX(Spark_Spread_On,MATCH($C105,Adjustments!$G$3:$G$14,0),1)*BLS_Esc_Rate,-INDEX(Spark_Spread_On,MATCH($C105,Adjustments!$G$3:$G$14,0),1)*BLS_Esc_Rate),"Data Missing")</f>
        <v>Data Missing</v>
      </c>
      <c r="M105" s="49" t="str">
        <f>IFERROR(INDEX(Spark_Spread_Off,MATCH($C105,Adjustments!$G$3:$G$14,0),1)+IF(INDEX(Spark_Spread_Off,MATCH($C105,Adjustments!$G$3:$G$14,0),1)&gt;1,INDEX(Spark_Spread_Off,MATCH($C105,Adjustments!$G$3:$G$14,0),1)*BLS_Esc_Rate,-INDEX(Spark_Spread_Off,MATCH($C105,Adjustments!$G$3:$G$14,0),1)*BLS_Esc_Rate),"Data Missing")</f>
        <v>Data Missing</v>
      </c>
      <c r="N105" s="52"/>
      <c r="O105" s="42" t="str">
        <f t="shared" si="12"/>
        <v>Data Missing</v>
      </c>
      <c r="P105" s="42" t="str">
        <f t="shared" si="11"/>
        <v>Data Missing</v>
      </c>
    </row>
    <row r="106" spans="1:16" x14ac:dyDescent="0.25">
      <c r="A106" s="7">
        <v>104</v>
      </c>
      <c r="B106" s="46">
        <f t="shared" si="15"/>
        <v>47331</v>
      </c>
      <c r="C106" s="27" t="str">
        <f t="shared" si="13"/>
        <v>Aug</v>
      </c>
      <c r="D106" s="27">
        <f t="shared" si="14"/>
        <v>2029</v>
      </c>
      <c r="E106" s="27" t="str">
        <f>INDEX(Seasons,MATCH($C106,'General Inputs'!$B$21:$B$32,0),1)</f>
        <v>Summer</v>
      </c>
      <c r="H106" s="52"/>
      <c r="I106" s="49" t="str">
        <f>IFERROR('NG Futures'!$H106*HR_Low_Plant/1000,"Data Missing")</f>
        <v>Data Missing</v>
      </c>
      <c r="J106" s="49" t="str">
        <f>IFERROR('NG Futures'!$H106*HR_High_Plant/1000,"Data Missing")</f>
        <v>Data Missing</v>
      </c>
      <c r="K106" s="52"/>
      <c r="L106" s="49" t="str">
        <f>IFERROR(INDEX(Spark_Spread_On,MATCH($C106,Adjustments!$G$3:$G$14,0),1)+IF(INDEX(Spark_Spread_On,MATCH($C106,Adjustments!$G$3:$G$14,0),1)&gt;1,INDEX(Spark_Spread_On,MATCH($C106,Adjustments!$G$3:$G$14,0),1)*BLS_Esc_Rate,-INDEX(Spark_Spread_On,MATCH($C106,Adjustments!$G$3:$G$14,0),1)*BLS_Esc_Rate),"Data Missing")</f>
        <v>Data Missing</v>
      </c>
      <c r="M106" s="49" t="str">
        <f>IFERROR(INDEX(Spark_Spread_Off,MATCH($C106,Adjustments!$G$3:$G$14,0),1)+IF(INDEX(Spark_Spread_Off,MATCH($C106,Adjustments!$G$3:$G$14,0),1)&gt;1,INDEX(Spark_Spread_Off,MATCH($C106,Adjustments!$G$3:$G$14,0),1)*BLS_Esc_Rate,-INDEX(Spark_Spread_Off,MATCH($C106,Adjustments!$G$3:$G$14,0),1)*BLS_Esc_Rate),"Data Missing")</f>
        <v>Data Missing</v>
      </c>
      <c r="N106" s="52"/>
      <c r="O106" s="42" t="str">
        <f t="shared" si="12"/>
        <v>Data Missing</v>
      </c>
      <c r="P106" s="42" t="str">
        <f t="shared" si="11"/>
        <v>Data Missing</v>
      </c>
    </row>
    <row r="107" spans="1:16" x14ac:dyDescent="0.25">
      <c r="A107" s="7">
        <v>105</v>
      </c>
      <c r="B107" s="46">
        <f t="shared" si="15"/>
        <v>47362</v>
      </c>
      <c r="C107" s="27" t="str">
        <f t="shared" si="13"/>
        <v>Sep</v>
      </c>
      <c r="D107" s="27">
        <f t="shared" si="14"/>
        <v>2029</v>
      </c>
      <c r="E107" s="27" t="str">
        <f>INDEX(Seasons,MATCH($C107,'General Inputs'!$B$21:$B$32,0),1)</f>
        <v>Summer</v>
      </c>
      <c r="H107" s="52"/>
      <c r="I107" s="49" t="str">
        <f>IFERROR('NG Futures'!$H107*HR_Low_Plant/1000,"Data Missing")</f>
        <v>Data Missing</v>
      </c>
      <c r="J107" s="49" t="str">
        <f>IFERROR('NG Futures'!$H107*HR_High_Plant/1000,"Data Missing")</f>
        <v>Data Missing</v>
      </c>
      <c r="K107" s="52"/>
      <c r="L107" s="49" t="str">
        <f>IFERROR(INDEX(Spark_Spread_On,MATCH($C107,Adjustments!$G$3:$G$14,0),1)+IF(INDEX(Spark_Spread_On,MATCH($C107,Adjustments!$G$3:$G$14,0),1)&gt;1,INDEX(Spark_Spread_On,MATCH($C107,Adjustments!$G$3:$G$14,0),1)*BLS_Esc_Rate,-INDEX(Spark_Spread_On,MATCH($C107,Adjustments!$G$3:$G$14,0),1)*BLS_Esc_Rate),"Data Missing")</f>
        <v>Data Missing</v>
      </c>
      <c r="M107" s="49" t="str">
        <f>IFERROR(INDEX(Spark_Spread_Off,MATCH($C107,Adjustments!$G$3:$G$14,0),1)+IF(INDEX(Spark_Spread_Off,MATCH($C107,Adjustments!$G$3:$G$14,0),1)&gt;1,INDEX(Spark_Spread_Off,MATCH($C107,Adjustments!$G$3:$G$14,0),1)*BLS_Esc_Rate,-INDEX(Spark_Spread_Off,MATCH($C107,Adjustments!$G$3:$G$14,0),1)*BLS_Esc_Rate),"Data Missing")</f>
        <v>Data Missing</v>
      </c>
      <c r="N107" s="52"/>
      <c r="O107" s="42" t="str">
        <f t="shared" si="12"/>
        <v>Data Missing</v>
      </c>
      <c r="P107" s="42" t="str">
        <f t="shared" si="11"/>
        <v>Data Missing</v>
      </c>
    </row>
    <row r="108" spans="1:16" x14ac:dyDescent="0.25">
      <c r="A108" s="7">
        <v>106</v>
      </c>
      <c r="B108" s="46">
        <f t="shared" si="15"/>
        <v>47392</v>
      </c>
      <c r="C108" s="27" t="str">
        <f t="shared" si="13"/>
        <v>Oct</v>
      </c>
      <c r="D108" s="27">
        <f t="shared" si="14"/>
        <v>2029</v>
      </c>
      <c r="E108" s="27" t="str">
        <f>INDEX(Seasons,MATCH($C108,'General Inputs'!$B$21:$B$32,0),1)</f>
        <v>Shoulder</v>
      </c>
      <c r="H108" s="52"/>
      <c r="I108" s="49" t="str">
        <f>IFERROR('NG Futures'!$H108*HR_Low_Plant/1000,"Data Missing")</f>
        <v>Data Missing</v>
      </c>
      <c r="J108" s="49" t="str">
        <f>IFERROR('NG Futures'!$H108*HR_High_Plant/1000,"Data Missing")</f>
        <v>Data Missing</v>
      </c>
      <c r="K108" s="52"/>
      <c r="L108" s="49" t="str">
        <f>IFERROR(INDEX(Spark_Spread_On,MATCH($C108,Adjustments!$G$3:$G$14,0),1)+IF(INDEX(Spark_Spread_On,MATCH($C108,Adjustments!$G$3:$G$14,0),1)&gt;1,INDEX(Spark_Spread_On,MATCH($C108,Adjustments!$G$3:$G$14,0),1)*BLS_Esc_Rate,-INDEX(Spark_Spread_On,MATCH($C108,Adjustments!$G$3:$G$14,0),1)*BLS_Esc_Rate),"Data Missing")</f>
        <v>Data Missing</v>
      </c>
      <c r="M108" s="49" t="str">
        <f>IFERROR(INDEX(Spark_Spread_Off,MATCH($C108,Adjustments!$G$3:$G$14,0),1)+IF(INDEX(Spark_Spread_Off,MATCH($C108,Adjustments!$G$3:$G$14,0),1)&gt;1,INDEX(Spark_Spread_Off,MATCH($C108,Adjustments!$G$3:$G$14,0),1)*BLS_Esc_Rate,-INDEX(Spark_Spread_Off,MATCH($C108,Adjustments!$G$3:$G$14,0),1)*BLS_Esc_Rate),"Data Missing")</f>
        <v>Data Missing</v>
      </c>
      <c r="N108" s="52"/>
      <c r="O108" s="42" t="str">
        <f t="shared" si="12"/>
        <v>Data Missing</v>
      </c>
      <c r="P108" s="42" t="str">
        <f t="shared" si="11"/>
        <v>Data Missing</v>
      </c>
    </row>
    <row r="109" spans="1:16" x14ac:dyDescent="0.25">
      <c r="A109" s="7">
        <v>107</v>
      </c>
      <c r="B109" s="46">
        <f t="shared" si="15"/>
        <v>47423</v>
      </c>
      <c r="C109" s="27" t="str">
        <f t="shared" si="13"/>
        <v>Nov</v>
      </c>
      <c r="D109" s="27">
        <f t="shared" si="14"/>
        <v>2029</v>
      </c>
      <c r="E109" s="27" t="str">
        <f>INDEX(Seasons,MATCH($C109,'General Inputs'!$B$21:$B$32,0),1)</f>
        <v>Shoulder</v>
      </c>
      <c r="H109" s="52"/>
      <c r="I109" s="49" t="str">
        <f>IFERROR('NG Futures'!$H109*HR_Low_Plant/1000,"Data Missing")</f>
        <v>Data Missing</v>
      </c>
      <c r="J109" s="49" t="str">
        <f>IFERROR('NG Futures'!$H109*HR_High_Plant/1000,"Data Missing")</f>
        <v>Data Missing</v>
      </c>
      <c r="K109" s="52"/>
      <c r="L109" s="49" t="str">
        <f>IFERROR(INDEX(Spark_Spread_On,MATCH($C109,Adjustments!$G$3:$G$14,0),1)+IF(INDEX(Spark_Spread_On,MATCH($C109,Adjustments!$G$3:$G$14,0),1)&gt;1,INDEX(Spark_Spread_On,MATCH($C109,Adjustments!$G$3:$G$14,0),1)*BLS_Esc_Rate,-INDEX(Spark_Spread_On,MATCH($C109,Adjustments!$G$3:$G$14,0),1)*BLS_Esc_Rate),"Data Missing")</f>
        <v>Data Missing</v>
      </c>
      <c r="M109" s="49" t="str">
        <f>IFERROR(INDEX(Spark_Spread_Off,MATCH($C109,Adjustments!$G$3:$G$14,0),1)+IF(INDEX(Spark_Spread_Off,MATCH($C109,Adjustments!$G$3:$G$14,0),1)&gt;1,INDEX(Spark_Spread_Off,MATCH($C109,Adjustments!$G$3:$G$14,0),1)*BLS_Esc_Rate,-INDEX(Spark_Spread_Off,MATCH($C109,Adjustments!$G$3:$G$14,0),1)*BLS_Esc_Rate),"Data Missing")</f>
        <v>Data Missing</v>
      </c>
      <c r="N109" s="52"/>
      <c r="O109" s="42" t="str">
        <f t="shared" si="12"/>
        <v>Data Missing</v>
      </c>
      <c r="P109" s="42" t="str">
        <f t="shared" si="11"/>
        <v>Data Missing</v>
      </c>
    </row>
    <row r="110" spans="1:16" x14ac:dyDescent="0.25">
      <c r="A110" s="7">
        <v>108</v>
      </c>
      <c r="B110" s="46">
        <f t="shared" si="15"/>
        <v>47453</v>
      </c>
      <c r="C110" s="27" t="str">
        <f t="shared" si="13"/>
        <v>Dec</v>
      </c>
      <c r="D110" s="27">
        <f t="shared" si="14"/>
        <v>2029</v>
      </c>
      <c r="E110" s="27" t="str">
        <f>INDEX(Seasons,MATCH($C110,'General Inputs'!$B$21:$B$32,0),1)</f>
        <v>Winter</v>
      </c>
      <c r="H110" s="52"/>
      <c r="I110" s="49" t="str">
        <f>IFERROR('NG Futures'!$H110*HR_Low_Plant/1000,"Data Missing")</f>
        <v>Data Missing</v>
      </c>
      <c r="J110" s="49" t="str">
        <f>IFERROR('NG Futures'!$H110*HR_High_Plant/1000,"Data Missing")</f>
        <v>Data Missing</v>
      </c>
      <c r="K110" s="52"/>
      <c r="L110" s="49" t="str">
        <f>IFERROR(INDEX(Spark_Spread_On,MATCH($C110,Adjustments!$G$3:$G$14,0),1)+IF(INDEX(Spark_Spread_On,MATCH($C110,Adjustments!$G$3:$G$14,0),1)&gt;1,INDEX(Spark_Spread_On,MATCH($C110,Adjustments!$G$3:$G$14,0),1)*BLS_Esc_Rate,-INDEX(Spark_Spread_On,MATCH($C110,Adjustments!$G$3:$G$14,0),1)*BLS_Esc_Rate),"Data Missing")</f>
        <v>Data Missing</v>
      </c>
      <c r="M110" s="49" t="str">
        <f>IFERROR(INDEX(Spark_Spread_Off,MATCH($C110,Adjustments!$G$3:$G$14,0),1)+IF(INDEX(Spark_Spread_Off,MATCH($C110,Adjustments!$G$3:$G$14,0),1)&gt;1,INDEX(Spark_Spread_Off,MATCH($C110,Adjustments!$G$3:$G$14,0),1)*BLS_Esc_Rate,-INDEX(Spark_Spread_Off,MATCH($C110,Adjustments!$G$3:$G$14,0),1)*BLS_Esc_Rate),"Data Missing")</f>
        <v>Data Missing</v>
      </c>
      <c r="N110" s="52"/>
      <c r="O110" s="42" t="str">
        <f t="shared" si="12"/>
        <v>Data Missing</v>
      </c>
      <c r="P110" s="42" t="str">
        <f t="shared" si="11"/>
        <v>Data Missing</v>
      </c>
    </row>
    <row r="111" spans="1:16" x14ac:dyDescent="0.25">
      <c r="A111" s="7">
        <v>109</v>
      </c>
      <c r="B111" s="46">
        <f t="shared" si="15"/>
        <v>47484</v>
      </c>
      <c r="C111" s="27" t="str">
        <f t="shared" si="13"/>
        <v>Jan</v>
      </c>
      <c r="D111" s="27">
        <f t="shared" si="14"/>
        <v>2030</v>
      </c>
      <c r="E111" s="27" t="str">
        <f>INDEX(Seasons,MATCH($C111,'General Inputs'!$B$21:$B$32,0),1)</f>
        <v>Winter</v>
      </c>
      <c r="H111" s="52"/>
      <c r="I111" s="49" t="str">
        <f>IFERROR('NG Futures'!$H111*HR_Low_Plant/1000,"Data Missing")</f>
        <v>Data Missing</v>
      </c>
      <c r="J111" s="49" t="str">
        <f>IFERROR('NG Futures'!$H111*HR_High_Plant/1000,"Data Missing")</f>
        <v>Data Missing</v>
      </c>
      <c r="K111" s="52"/>
      <c r="L111" s="49" t="str">
        <f>IFERROR(INDEX(Spark_Spread_On,MATCH($C111,Adjustments!$G$3:$G$14,0),1)+IF(INDEX(Spark_Spread_On,MATCH($C111,Adjustments!$G$3:$G$14,0),1)&gt;1,INDEX(Spark_Spread_On,MATCH($C111,Adjustments!$G$3:$G$14,0),1)*BLS_Esc_Rate,-INDEX(Spark_Spread_On,MATCH($C111,Adjustments!$G$3:$G$14,0),1)*BLS_Esc_Rate),"Data Missing")</f>
        <v>Data Missing</v>
      </c>
      <c r="M111" s="49" t="str">
        <f>IFERROR(INDEX(Spark_Spread_Off,MATCH($C111,Adjustments!$G$3:$G$14,0),1)+IF(INDEX(Spark_Spread_Off,MATCH($C111,Adjustments!$G$3:$G$14,0),1)&gt;1,INDEX(Spark_Spread_Off,MATCH($C111,Adjustments!$G$3:$G$14,0),1)*BLS_Esc_Rate,-INDEX(Spark_Spread_Off,MATCH($C111,Adjustments!$G$3:$G$14,0),1)*BLS_Esc_Rate),"Data Missing")</f>
        <v>Data Missing</v>
      </c>
      <c r="N111" s="52"/>
      <c r="O111" s="42" t="str">
        <f t="shared" si="12"/>
        <v>Data Missing</v>
      </c>
      <c r="P111" s="42" t="str">
        <f t="shared" si="11"/>
        <v>Data Missing</v>
      </c>
    </row>
    <row r="112" spans="1:16" x14ac:dyDescent="0.25">
      <c r="A112" s="7">
        <v>110</v>
      </c>
      <c r="B112" s="46">
        <f t="shared" si="15"/>
        <v>47515</v>
      </c>
      <c r="C112" s="27" t="str">
        <f t="shared" si="13"/>
        <v>Feb</v>
      </c>
      <c r="D112" s="27">
        <f t="shared" si="14"/>
        <v>2030</v>
      </c>
      <c r="E112" s="27" t="str">
        <f>INDEX(Seasons,MATCH($C112,'General Inputs'!$B$21:$B$32,0),1)</f>
        <v>Winter</v>
      </c>
      <c r="H112" s="52"/>
      <c r="I112" s="49" t="str">
        <f>IFERROR('NG Futures'!$H112*HR_Low_Plant/1000,"Data Missing")</f>
        <v>Data Missing</v>
      </c>
      <c r="J112" s="49" t="str">
        <f>IFERROR('NG Futures'!$H112*HR_High_Plant/1000,"Data Missing")</f>
        <v>Data Missing</v>
      </c>
      <c r="K112" s="52"/>
      <c r="L112" s="49" t="str">
        <f>IFERROR(INDEX(Spark_Spread_On,MATCH($C112,Adjustments!$G$3:$G$14,0),1)+IF(INDEX(Spark_Spread_On,MATCH($C112,Adjustments!$G$3:$G$14,0),1)&gt;1,INDEX(Spark_Spread_On,MATCH($C112,Adjustments!$G$3:$G$14,0),1)*BLS_Esc_Rate,-INDEX(Spark_Spread_On,MATCH($C112,Adjustments!$G$3:$G$14,0),1)*BLS_Esc_Rate),"Data Missing")</f>
        <v>Data Missing</v>
      </c>
      <c r="M112" s="49" t="str">
        <f>IFERROR(INDEX(Spark_Spread_Off,MATCH($C112,Adjustments!$G$3:$G$14,0),1)+IF(INDEX(Spark_Spread_Off,MATCH($C112,Adjustments!$G$3:$G$14,0),1)&gt;1,INDEX(Spark_Spread_Off,MATCH($C112,Adjustments!$G$3:$G$14,0),1)*BLS_Esc_Rate,-INDEX(Spark_Spread_Off,MATCH($C112,Adjustments!$G$3:$G$14,0),1)*BLS_Esc_Rate),"Data Missing")</f>
        <v>Data Missing</v>
      </c>
      <c r="N112" s="52"/>
      <c r="O112" s="42" t="str">
        <f t="shared" si="12"/>
        <v>Data Missing</v>
      </c>
      <c r="P112" s="42" t="str">
        <f t="shared" si="11"/>
        <v>Data Missing</v>
      </c>
    </row>
    <row r="113" spans="1:16" x14ac:dyDescent="0.25">
      <c r="A113" s="7">
        <v>111</v>
      </c>
      <c r="B113" s="46">
        <f t="shared" si="15"/>
        <v>47543</v>
      </c>
      <c r="C113" s="27" t="str">
        <f t="shared" si="13"/>
        <v>Mar</v>
      </c>
      <c r="D113" s="27">
        <f t="shared" si="14"/>
        <v>2030</v>
      </c>
      <c r="E113" s="27" t="str">
        <f>INDEX(Seasons,MATCH($C113,'General Inputs'!$B$21:$B$32,0),1)</f>
        <v>Shoulder</v>
      </c>
      <c r="H113" s="52"/>
      <c r="I113" s="49" t="str">
        <f>IFERROR('NG Futures'!$H113*HR_Low_Plant/1000,"Data Missing")</f>
        <v>Data Missing</v>
      </c>
      <c r="J113" s="49" t="str">
        <f>IFERROR('NG Futures'!$H113*HR_High_Plant/1000,"Data Missing")</f>
        <v>Data Missing</v>
      </c>
      <c r="K113" s="52"/>
      <c r="L113" s="49" t="str">
        <f>IFERROR(INDEX(Spark_Spread_On,MATCH($C113,Adjustments!$G$3:$G$14,0),1)+IF(INDEX(Spark_Spread_On,MATCH($C113,Adjustments!$G$3:$G$14,0),1)&gt;1,INDEX(Spark_Spread_On,MATCH($C113,Adjustments!$G$3:$G$14,0),1)*BLS_Esc_Rate,-INDEX(Spark_Spread_On,MATCH($C113,Adjustments!$G$3:$G$14,0),1)*BLS_Esc_Rate),"Data Missing")</f>
        <v>Data Missing</v>
      </c>
      <c r="M113" s="49" t="str">
        <f>IFERROR(INDEX(Spark_Spread_Off,MATCH($C113,Adjustments!$G$3:$G$14,0),1)+IF(INDEX(Spark_Spread_Off,MATCH($C113,Adjustments!$G$3:$G$14,0),1)&gt;1,INDEX(Spark_Spread_Off,MATCH($C113,Adjustments!$G$3:$G$14,0),1)*BLS_Esc_Rate,-INDEX(Spark_Spread_Off,MATCH($C113,Adjustments!$G$3:$G$14,0),1)*BLS_Esc_Rate),"Data Missing")</f>
        <v>Data Missing</v>
      </c>
      <c r="N113" s="52"/>
      <c r="O113" s="42" t="str">
        <f t="shared" si="12"/>
        <v>Data Missing</v>
      </c>
      <c r="P113" s="42" t="str">
        <f t="shared" si="11"/>
        <v>Data Missing</v>
      </c>
    </row>
    <row r="114" spans="1:16" x14ac:dyDescent="0.25">
      <c r="A114" s="7">
        <v>112</v>
      </c>
      <c r="B114" s="46">
        <f t="shared" si="15"/>
        <v>47574</v>
      </c>
      <c r="C114" s="27" t="str">
        <f t="shared" si="13"/>
        <v>Apr</v>
      </c>
      <c r="D114" s="27">
        <f t="shared" si="14"/>
        <v>2030</v>
      </c>
      <c r="E114" s="27" t="str">
        <f>INDEX(Seasons,MATCH($C114,'General Inputs'!$B$21:$B$32,0),1)</f>
        <v>Shoulder</v>
      </c>
      <c r="H114" s="52"/>
      <c r="I114" s="49" t="str">
        <f>IFERROR('NG Futures'!$H114*HR_Low_Plant/1000,"Data Missing")</f>
        <v>Data Missing</v>
      </c>
      <c r="J114" s="49" t="str">
        <f>IFERROR('NG Futures'!$H114*HR_High_Plant/1000,"Data Missing")</f>
        <v>Data Missing</v>
      </c>
      <c r="K114" s="52"/>
      <c r="L114" s="49" t="str">
        <f>IFERROR(INDEX(Spark_Spread_On,MATCH($C114,Adjustments!$G$3:$G$14,0),1)+IF(INDEX(Spark_Spread_On,MATCH($C114,Adjustments!$G$3:$G$14,0),1)&gt;1,INDEX(Spark_Spread_On,MATCH($C114,Adjustments!$G$3:$G$14,0),1)*BLS_Esc_Rate,-INDEX(Spark_Spread_On,MATCH($C114,Adjustments!$G$3:$G$14,0),1)*BLS_Esc_Rate),"Data Missing")</f>
        <v>Data Missing</v>
      </c>
      <c r="M114" s="49" t="str">
        <f>IFERROR(INDEX(Spark_Spread_Off,MATCH($C114,Adjustments!$G$3:$G$14,0),1)+IF(INDEX(Spark_Spread_Off,MATCH($C114,Adjustments!$G$3:$G$14,0),1)&gt;1,INDEX(Spark_Spread_Off,MATCH($C114,Adjustments!$G$3:$G$14,0),1)*BLS_Esc_Rate,-INDEX(Spark_Spread_Off,MATCH($C114,Adjustments!$G$3:$G$14,0),1)*BLS_Esc_Rate),"Data Missing")</f>
        <v>Data Missing</v>
      </c>
      <c r="N114" s="52"/>
      <c r="O114" s="42" t="str">
        <f t="shared" si="12"/>
        <v>Data Missing</v>
      </c>
      <c r="P114" s="42" t="str">
        <f t="shared" si="11"/>
        <v>Data Missing</v>
      </c>
    </row>
    <row r="115" spans="1:16" x14ac:dyDescent="0.25">
      <c r="A115" s="7">
        <v>113</v>
      </c>
      <c r="B115" s="46">
        <f t="shared" si="15"/>
        <v>47604</v>
      </c>
      <c r="C115" s="27" t="str">
        <f t="shared" si="13"/>
        <v>May</v>
      </c>
      <c r="D115" s="27">
        <f t="shared" si="14"/>
        <v>2030</v>
      </c>
      <c r="E115" s="27" t="str">
        <f>INDEX(Seasons,MATCH($C115,'General Inputs'!$B$21:$B$32,0),1)</f>
        <v>Summer</v>
      </c>
      <c r="H115" s="52"/>
      <c r="I115" s="49" t="str">
        <f>IFERROR('NG Futures'!$H115*HR_Low_Plant/1000,"Data Missing")</f>
        <v>Data Missing</v>
      </c>
      <c r="J115" s="49" t="str">
        <f>IFERROR('NG Futures'!$H115*HR_High_Plant/1000,"Data Missing")</f>
        <v>Data Missing</v>
      </c>
      <c r="K115" s="52"/>
      <c r="L115" s="49" t="str">
        <f>IFERROR(INDEX(Spark_Spread_On,MATCH($C115,Adjustments!$G$3:$G$14,0),1)+IF(INDEX(Spark_Spread_On,MATCH($C115,Adjustments!$G$3:$G$14,0),1)&gt;1,INDEX(Spark_Spread_On,MATCH($C115,Adjustments!$G$3:$G$14,0),1)*BLS_Esc_Rate,-INDEX(Spark_Spread_On,MATCH($C115,Adjustments!$G$3:$G$14,0),1)*BLS_Esc_Rate),"Data Missing")</f>
        <v>Data Missing</v>
      </c>
      <c r="M115" s="49" t="str">
        <f>IFERROR(INDEX(Spark_Spread_Off,MATCH($C115,Adjustments!$G$3:$G$14,0),1)+IF(INDEX(Spark_Spread_Off,MATCH($C115,Adjustments!$G$3:$G$14,0),1)&gt;1,INDEX(Spark_Spread_Off,MATCH($C115,Adjustments!$G$3:$G$14,0),1)*BLS_Esc_Rate,-INDEX(Spark_Spread_Off,MATCH($C115,Adjustments!$G$3:$G$14,0),1)*BLS_Esc_Rate),"Data Missing")</f>
        <v>Data Missing</v>
      </c>
      <c r="N115" s="52"/>
      <c r="O115" s="42" t="str">
        <f t="shared" si="12"/>
        <v>Data Missing</v>
      </c>
      <c r="P115" s="42" t="str">
        <f t="shared" si="11"/>
        <v>Data Missing</v>
      </c>
    </row>
    <row r="116" spans="1:16" x14ac:dyDescent="0.25">
      <c r="A116" s="7">
        <v>114</v>
      </c>
      <c r="B116" s="46">
        <f t="shared" si="15"/>
        <v>47635</v>
      </c>
      <c r="C116" s="27" t="str">
        <f t="shared" si="13"/>
        <v>Jun</v>
      </c>
      <c r="D116" s="27">
        <f t="shared" si="14"/>
        <v>2030</v>
      </c>
      <c r="E116" s="27" t="str">
        <f>INDEX(Seasons,MATCH($C116,'General Inputs'!$B$21:$B$32,0),1)</f>
        <v>Summer</v>
      </c>
      <c r="H116" s="52"/>
      <c r="I116" s="49" t="str">
        <f>IFERROR('NG Futures'!$H116*HR_Low_Plant/1000,"Data Missing")</f>
        <v>Data Missing</v>
      </c>
      <c r="J116" s="49" t="str">
        <f>IFERROR('NG Futures'!$H116*HR_High_Plant/1000,"Data Missing")</f>
        <v>Data Missing</v>
      </c>
      <c r="K116" s="52"/>
      <c r="L116" s="49" t="str">
        <f>IFERROR(INDEX(Spark_Spread_On,MATCH($C116,Adjustments!$G$3:$G$14,0),1)+IF(INDEX(Spark_Spread_On,MATCH($C116,Adjustments!$G$3:$G$14,0),1)&gt;1,INDEX(Spark_Spread_On,MATCH($C116,Adjustments!$G$3:$G$14,0),1)*BLS_Esc_Rate,-INDEX(Spark_Spread_On,MATCH($C116,Adjustments!$G$3:$G$14,0),1)*BLS_Esc_Rate),"Data Missing")</f>
        <v>Data Missing</v>
      </c>
      <c r="M116" s="49" t="str">
        <f>IFERROR(INDEX(Spark_Spread_Off,MATCH($C116,Adjustments!$G$3:$G$14,0),1)+IF(INDEX(Spark_Spread_Off,MATCH($C116,Adjustments!$G$3:$G$14,0),1)&gt;1,INDEX(Spark_Spread_Off,MATCH($C116,Adjustments!$G$3:$G$14,0),1)*BLS_Esc_Rate,-INDEX(Spark_Spread_Off,MATCH($C116,Adjustments!$G$3:$G$14,0),1)*BLS_Esc_Rate),"Data Missing")</f>
        <v>Data Missing</v>
      </c>
      <c r="N116" s="52"/>
      <c r="O116" s="42" t="str">
        <f t="shared" si="12"/>
        <v>Data Missing</v>
      </c>
      <c r="P116" s="42" t="str">
        <f t="shared" si="11"/>
        <v>Data Missing</v>
      </c>
    </row>
    <row r="117" spans="1:16" x14ac:dyDescent="0.25">
      <c r="A117" s="7">
        <v>115</v>
      </c>
      <c r="B117" s="46">
        <f t="shared" si="15"/>
        <v>47665</v>
      </c>
      <c r="C117" s="27" t="str">
        <f t="shared" si="13"/>
        <v>Jul</v>
      </c>
      <c r="D117" s="27">
        <f t="shared" si="14"/>
        <v>2030</v>
      </c>
      <c r="E117" s="27" t="str">
        <f>INDEX(Seasons,MATCH($C117,'General Inputs'!$B$21:$B$32,0),1)</f>
        <v>Summer</v>
      </c>
      <c r="H117" s="52"/>
      <c r="I117" s="49" t="str">
        <f>IFERROR('NG Futures'!$H117*HR_Low_Plant/1000,"Data Missing")</f>
        <v>Data Missing</v>
      </c>
      <c r="J117" s="49" t="str">
        <f>IFERROR('NG Futures'!$H117*HR_High_Plant/1000,"Data Missing")</f>
        <v>Data Missing</v>
      </c>
      <c r="K117" s="52"/>
      <c r="L117" s="49" t="str">
        <f>IFERROR(INDEX(Spark_Spread_On,MATCH($C117,Adjustments!$G$3:$G$14,0),1)+IF(INDEX(Spark_Spread_On,MATCH($C117,Adjustments!$G$3:$G$14,0),1)&gt;1,INDEX(Spark_Spread_On,MATCH($C117,Adjustments!$G$3:$G$14,0),1)*BLS_Esc_Rate,-INDEX(Spark_Spread_On,MATCH($C117,Adjustments!$G$3:$G$14,0),1)*BLS_Esc_Rate),"Data Missing")</f>
        <v>Data Missing</v>
      </c>
      <c r="M117" s="49" t="str">
        <f>IFERROR(INDEX(Spark_Spread_Off,MATCH($C117,Adjustments!$G$3:$G$14,0),1)+IF(INDEX(Spark_Spread_Off,MATCH($C117,Adjustments!$G$3:$G$14,0),1)&gt;1,INDEX(Spark_Spread_Off,MATCH($C117,Adjustments!$G$3:$G$14,0),1)*BLS_Esc_Rate,-INDEX(Spark_Spread_Off,MATCH($C117,Adjustments!$G$3:$G$14,0),1)*BLS_Esc_Rate),"Data Missing")</f>
        <v>Data Missing</v>
      </c>
      <c r="N117" s="52"/>
      <c r="O117" s="42" t="str">
        <f t="shared" si="12"/>
        <v>Data Missing</v>
      </c>
      <c r="P117" s="42" t="str">
        <f t="shared" si="11"/>
        <v>Data Missing</v>
      </c>
    </row>
    <row r="118" spans="1:16" x14ac:dyDescent="0.25">
      <c r="A118" s="7">
        <v>116</v>
      </c>
      <c r="B118" s="46">
        <f t="shared" si="15"/>
        <v>47696</v>
      </c>
      <c r="C118" s="27" t="str">
        <f t="shared" si="13"/>
        <v>Aug</v>
      </c>
      <c r="D118" s="27">
        <f t="shared" si="14"/>
        <v>2030</v>
      </c>
      <c r="E118" s="27" t="str">
        <f>INDEX(Seasons,MATCH($C118,'General Inputs'!$B$21:$B$32,0),1)</f>
        <v>Summer</v>
      </c>
      <c r="H118" s="52"/>
      <c r="I118" s="49" t="str">
        <f>IFERROR('NG Futures'!$H118*HR_Low_Plant/1000,"Data Missing")</f>
        <v>Data Missing</v>
      </c>
      <c r="J118" s="49" t="str">
        <f>IFERROR('NG Futures'!$H118*HR_High_Plant/1000,"Data Missing")</f>
        <v>Data Missing</v>
      </c>
      <c r="K118" s="52"/>
      <c r="L118" s="49" t="str">
        <f>IFERROR(INDEX(Spark_Spread_On,MATCH($C118,Adjustments!$G$3:$G$14,0),1)+IF(INDEX(Spark_Spread_On,MATCH($C118,Adjustments!$G$3:$G$14,0),1)&gt;1,INDEX(Spark_Spread_On,MATCH($C118,Adjustments!$G$3:$G$14,0),1)*BLS_Esc_Rate,-INDEX(Spark_Spread_On,MATCH($C118,Adjustments!$G$3:$G$14,0),1)*BLS_Esc_Rate),"Data Missing")</f>
        <v>Data Missing</v>
      </c>
      <c r="M118" s="49" t="str">
        <f>IFERROR(INDEX(Spark_Spread_Off,MATCH($C118,Adjustments!$G$3:$G$14,0),1)+IF(INDEX(Spark_Spread_Off,MATCH($C118,Adjustments!$G$3:$G$14,0),1)&gt;1,INDEX(Spark_Spread_Off,MATCH($C118,Adjustments!$G$3:$G$14,0),1)*BLS_Esc_Rate,-INDEX(Spark_Spread_Off,MATCH($C118,Adjustments!$G$3:$G$14,0),1)*BLS_Esc_Rate),"Data Missing")</f>
        <v>Data Missing</v>
      </c>
      <c r="N118" s="52"/>
      <c r="O118" s="42" t="str">
        <f t="shared" si="12"/>
        <v>Data Missing</v>
      </c>
      <c r="P118" s="42" t="str">
        <f t="shared" si="11"/>
        <v>Data Missing</v>
      </c>
    </row>
    <row r="119" spans="1:16" x14ac:dyDescent="0.25">
      <c r="A119" s="7">
        <v>117</v>
      </c>
      <c r="B119" s="46">
        <f t="shared" si="15"/>
        <v>47727</v>
      </c>
      <c r="C119" s="27" t="str">
        <f t="shared" si="13"/>
        <v>Sep</v>
      </c>
      <c r="D119" s="27">
        <f t="shared" si="14"/>
        <v>2030</v>
      </c>
      <c r="E119" s="27" t="str">
        <f>INDEX(Seasons,MATCH($C119,'General Inputs'!$B$21:$B$32,0),1)</f>
        <v>Summer</v>
      </c>
      <c r="H119" s="52"/>
      <c r="I119" s="49" t="str">
        <f>IFERROR('NG Futures'!$H119*HR_Low_Plant/1000,"Data Missing")</f>
        <v>Data Missing</v>
      </c>
      <c r="J119" s="49" t="str">
        <f>IFERROR('NG Futures'!$H119*HR_High_Plant/1000,"Data Missing")</f>
        <v>Data Missing</v>
      </c>
      <c r="K119" s="52"/>
      <c r="L119" s="49" t="str">
        <f>IFERROR(INDEX(Spark_Spread_On,MATCH($C119,Adjustments!$G$3:$G$14,0),1)+IF(INDEX(Spark_Spread_On,MATCH($C119,Adjustments!$G$3:$G$14,0),1)&gt;1,INDEX(Spark_Spread_On,MATCH($C119,Adjustments!$G$3:$G$14,0),1)*BLS_Esc_Rate,-INDEX(Spark_Spread_On,MATCH($C119,Adjustments!$G$3:$G$14,0),1)*BLS_Esc_Rate),"Data Missing")</f>
        <v>Data Missing</v>
      </c>
      <c r="M119" s="49" t="str">
        <f>IFERROR(INDEX(Spark_Spread_Off,MATCH($C119,Adjustments!$G$3:$G$14,0),1)+IF(INDEX(Spark_Spread_Off,MATCH($C119,Adjustments!$G$3:$G$14,0),1)&gt;1,INDEX(Spark_Spread_Off,MATCH($C119,Adjustments!$G$3:$G$14,0),1)*BLS_Esc_Rate,-INDEX(Spark_Spread_Off,MATCH($C119,Adjustments!$G$3:$G$14,0),1)*BLS_Esc_Rate),"Data Missing")</f>
        <v>Data Missing</v>
      </c>
      <c r="N119" s="52"/>
      <c r="O119" s="42" t="str">
        <f t="shared" si="12"/>
        <v>Data Missing</v>
      </c>
      <c r="P119" s="42" t="str">
        <f t="shared" si="11"/>
        <v>Data Missing</v>
      </c>
    </row>
    <row r="120" spans="1:16" x14ac:dyDescent="0.25">
      <c r="A120" s="7">
        <v>118</v>
      </c>
      <c r="B120" s="46">
        <f t="shared" si="15"/>
        <v>47757</v>
      </c>
      <c r="C120" s="27" t="str">
        <f t="shared" si="13"/>
        <v>Oct</v>
      </c>
      <c r="D120" s="27">
        <f t="shared" si="14"/>
        <v>2030</v>
      </c>
      <c r="E120" s="27" t="str">
        <f>INDEX(Seasons,MATCH($C120,'General Inputs'!$B$21:$B$32,0),1)</f>
        <v>Shoulder</v>
      </c>
      <c r="H120" s="52"/>
      <c r="I120" s="49" t="str">
        <f>IFERROR('NG Futures'!$H120*HR_Low_Plant/1000,"Data Missing")</f>
        <v>Data Missing</v>
      </c>
      <c r="J120" s="49" t="str">
        <f>IFERROR('NG Futures'!$H120*HR_High_Plant/1000,"Data Missing")</f>
        <v>Data Missing</v>
      </c>
      <c r="K120" s="52"/>
      <c r="L120" s="49" t="str">
        <f>IFERROR(INDEX(Spark_Spread_On,MATCH($C120,Adjustments!$G$3:$G$14,0),1)+IF(INDEX(Spark_Spread_On,MATCH($C120,Adjustments!$G$3:$G$14,0),1)&gt;1,INDEX(Spark_Spread_On,MATCH($C120,Adjustments!$G$3:$G$14,0),1)*BLS_Esc_Rate,-INDEX(Spark_Spread_On,MATCH($C120,Adjustments!$G$3:$G$14,0),1)*BLS_Esc_Rate),"Data Missing")</f>
        <v>Data Missing</v>
      </c>
      <c r="M120" s="49" t="str">
        <f>IFERROR(INDEX(Spark_Spread_Off,MATCH($C120,Adjustments!$G$3:$G$14,0),1)+IF(INDEX(Spark_Spread_Off,MATCH($C120,Adjustments!$G$3:$G$14,0),1)&gt;1,INDEX(Spark_Spread_Off,MATCH($C120,Adjustments!$G$3:$G$14,0),1)*BLS_Esc_Rate,-INDEX(Spark_Spread_Off,MATCH($C120,Adjustments!$G$3:$G$14,0),1)*BLS_Esc_Rate),"Data Missing")</f>
        <v>Data Missing</v>
      </c>
      <c r="N120" s="52"/>
      <c r="O120" s="42" t="str">
        <f t="shared" si="12"/>
        <v>Data Missing</v>
      </c>
      <c r="P120" s="42" t="str">
        <f t="shared" si="11"/>
        <v>Data Missing</v>
      </c>
    </row>
    <row r="121" spans="1:16" x14ac:dyDescent="0.25">
      <c r="A121" s="7">
        <v>119</v>
      </c>
      <c r="B121" s="46">
        <f t="shared" si="15"/>
        <v>47788</v>
      </c>
      <c r="C121" s="27" t="str">
        <f t="shared" si="13"/>
        <v>Nov</v>
      </c>
      <c r="D121" s="27">
        <f t="shared" si="14"/>
        <v>2030</v>
      </c>
      <c r="E121" s="27" t="str">
        <f>INDEX(Seasons,MATCH($C121,'General Inputs'!$B$21:$B$32,0),1)</f>
        <v>Shoulder</v>
      </c>
      <c r="H121" s="52"/>
      <c r="I121" s="49" t="str">
        <f>IFERROR('NG Futures'!$H121*HR_Low_Plant/1000,"Data Missing")</f>
        <v>Data Missing</v>
      </c>
      <c r="J121" s="49" t="str">
        <f>IFERROR('NG Futures'!$H121*HR_High_Plant/1000,"Data Missing")</f>
        <v>Data Missing</v>
      </c>
      <c r="K121" s="52"/>
      <c r="L121" s="49" t="str">
        <f>IFERROR(INDEX(Spark_Spread_On,MATCH($C121,Adjustments!$G$3:$G$14,0),1)+IF(INDEX(Spark_Spread_On,MATCH($C121,Adjustments!$G$3:$G$14,0),1)&gt;1,INDEX(Spark_Spread_On,MATCH($C121,Adjustments!$G$3:$G$14,0),1)*BLS_Esc_Rate,-INDEX(Spark_Spread_On,MATCH($C121,Adjustments!$G$3:$G$14,0),1)*BLS_Esc_Rate),"Data Missing")</f>
        <v>Data Missing</v>
      </c>
      <c r="M121" s="49" t="str">
        <f>IFERROR(INDEX(Spark_Spread_Off,MATCH($C121,Adjustments!$G$3:$G$14,0),1)+IF(INDEX(Spark_Spread_Off,MATCH($C121,Adjustments!$G$3:$G$14,0),1)&gt;1,INDEX(Spark_Spread_Off,MATCH($C121,Adjustments!$G$3:$G$14,0),1)*BLS_Esc_Rate,-INDEX(Spark_Spread_Off,MATCH($C121,Adjustments!$G$3:$G$14,0),1)*BLS_Esc_Rate),"Data Missing")</f>
        <v>Data Missing</v>
      </c>
      <c r="N121" s="52"/>
      <c r="O121" s="42" t="str">
        <f t="shared" si="12"/>
        <v>Data Missing</v>
      </c>
      <c r="P121" s="42" t="str">
        <f t="shared" si="11"/>
        <v>Data Missing</v>
      </c>
    </row>
    <row r="122" spans="1:16" x14ac:dyDescent="0.25">
      <c r="A122" s="7">
        <v>120</v>
      </c>
      <c r="B122" s="46">
        <f t="shared" si="15"/>
        <v>47818</v>
      </c>
      <c r="C122" s="27" t="str">
        <f t="shared" si="13"/>
        <v>Dec</v>
      </c>
      <c r="D122" s="27">
        <f t="shared" si="14"/>
        <v>2030</v>
      </c>
      <c r="E122" s="27" t="str">
        <f>INDEX(Seasons,MATCH($C122,'General Inputs'!$B$21:$B$32,0),1)</f>
        <v>Winter</v>
      </c>
      <c r="H122" s="52"/>
      <c r="I122" s="49" t="str">
        <f>IFERROR('NG Futures'!$H122*HR_Low_Plant/1000,"Data Missing")</f>
        <v>Data Missing</v>
      </c>
      <c r="J122" s="49" t="str">
        <f>IFERROR('NG Futures'!$H122*HR_High_Plant/1000,"Data Missing")</f>
        <v>Data Missing</v>
      </c>
      <c r="K122" s="52"/>
      <c r="L122" s="49" t="str">
        <f>IFERROR(INDEX(Spark_Spread_On,MATCH($C122,Adjustments!$G$3:$G$14,0),1)+IF(INDEX(Spark_Spread_On,MATCH($C122,Adjustments!$G$3:$G$14,0),1)&gt;1,INDEX(Spark_Spread_On,MATCH($C122,Adjustments!$G$3:$G$14,0),1)*BLS_Esc_Rate,-INDEX(Spark_Spread_On,MATCH($C122,Adjustments!$G$3:$G$14,0),1)*BLS_Esc_Rate),"Data Missing")</f>
        <v>Data Missing</v>
      </c>
      <c r="M122" s="49" t="str">
        <f>IFERROR(INDEX(Spark_Spread_Off,MATCH($C122,Adjustments!$G$3:$G$14,0),1)+IF(INDEX(Spark_Spread_Off,MATCH($C122,Adjustments!$G$3:$G$14,0),1)&gt;1,INDEX(Spark_Spread_Off,MATCH($C122,Adjustments!$G$3:$G$14,0),1)*BLS_Esc_Rate,-INDEX(Spark_Spread_Off,MATCH($C122,Adjustments!$G$3:$G$14,0),1)*BLS_Esc_Rate),"Data Missing")</f>
        <v>Data Missing</v>
      </c>
      <c r="N122" s="52"/>
      <c r="O122" s="42" t="str">
        <f t="shared" si="12"/>
        <v>Data Missing</v>
      </c>
      <c r="P122" s="42" t="str">
        <f t="shared" si="11"/>
        <v>Data Missing</v>
      </c>
    </row>
    <row r="123" spans="1:16" x14ac:dyDescent="0.25">
      <c r="A123" s="7">
        <v>121</v>
      </c>
      <c r="B123" s="46">
        <f t="shared" si="15"/>
        <v>47849</v>
      </c>
      <c r="C123" s="27" t="str">
        <f t="shared" si="13"/>
        <v>Jan</v>
      </c>
      <c r="D123" s="27">
        <f t="shared" si="14"/>
        <v>2031</v>
      </c>
      <c r="E123" s="27" t="str">
        <f>INDEX(Seasons,MATCH($C123,'General Inputs'!$B$21:$B$32,0),1)</f>
        <v>Winter</v>
      </c>
      <c r="H123" s="52"/>
      <c r="I123" s="49" t="str">
        <f>IFERROR('NG Futures'!$H123*HR_Low_Plant/1000,"Data Missing")</f>
        <v>Data Missing</v>
      </c>
      <c r="J123" s="49" t="str">
        <f>IFERROR('NG Futures'!$H123*HR_High_Plant/1000,"Data Missing")</f>
        <v>Data Missing</v>
      </c>
      <c r="K123" s="52"/>
      <c r="L123" s="49" t="str">
        <f>IFERROR(INDEX(Spark_Spread_On,MATCH($C123,Adjustments!$G$3:$G$14,0),1)+IF(INDEX(Spark_Spread_On,MATCH($C123,Adjustments!$G$3:$G$14,0),1)&gt;1,INDEX(Spark_Spread_On,MATCH($C123,Adjustments!$G$3:$G$14,0),1)*BLS_Esc_Rate,-INDEX(Spark_Spread_On,MATCH($C123,Adjustments!$G$3:$G$14,0),1)*BLS_Esc_Rate),"Data Missing")</f>
        <v>Data Missing</v>
      </c>
      <c r="M123" s="49" t="str">
        <f>IFERROR(INDEX(Spark_Spread_Off,MATCH($C123,Adjustments!$G$3:$G$14,0),1)+IF(INDEX(Spark_Spread_Off,MATCH($C123,Adjustments!$G$3:$G$14,0),1)&gt;1,INDEX(Spark_Spread_Off,MATCH($C123,Adjustments!$G$3:$G$14,0),1)*BLS_Esc_Rate,-INDEX(Spark_Spread_Off,MATCH($C123,Adjustments!$G$3:$G$14,0),1)*BLS_Esc_Rate),"Data Missing")</f>
        <v>Data Missing</v>
      </c>
      <c r="N123" s="52"/>
      <c r="O123" s="42" t="str">
        <f t="shared" si="12"/>
        <v>Data Missing</v>
      </c>
      <c r="P123" s="42" t="str">
        <f t="shared" si="11"/>
        <v>Data Missing</v>
      </c>
    </row>
    <row r="124" spans="1:16" x14ac:dyDescent="0.25">
      <c r="A124" s="7">
        <v>122</v>
      </c>
      <c r="B124" s="46">
        <f t="shared" si="15"/>
        <v>47880</v>
      </c>
      <c r="C124" s="27" t="str">
        <f t="shared" si="13"/>
        <v>Feb</v>
      </c>
      <c r="D124" s="27">
        <f t="shared" si="14"/>
        <v>2031</v>
      </c>
      <c r="E124" s="27" t="str">
        <f>INDEX(Seasons,MATCH($C124,'General Inputs'!$B$21:$B$32,0),1)</f>
        <v>Winter</v>
      </c>
      <c r="H124" s="52"/>
      <c r="I124" s="49" t="str">
        <f>IFERROR('NG Futures'!$H124*HR_Low_Plant/1000,"Data Missing")</f>
        <v>Data Missing</v>
      </c>
      <c r="J124" s="49" t="str">
        <f>IFERROR('NG Futures'!$H124*HR_High_Plant/1000,"Data Missing")</f>
        <v>Data Missing</v>
      </c>
      <c r="K124" s="52"/>
      <c r="L124" s="49" t="str">
        <f>IFERROR(INDEX(Spark_Spread_On,MATCH($C124,Adjustments!$G$3:$G$14,0),1)+IF(INDEX(Spark_Spread_On,MATCH($C124,Adjustments!$G$3:$G$14,0),1)&gt;1,INDEX(Spark_Spread_On,MATCH($C124,Adjustments!$G$3:$G$14,0),1)*BLS_Esc_Rate,-INDEX(Spark_Spread_On,MATCH($C124,Adjustments!$G$3:$G$14,0),1)*BLS_Esc_Rate),"Data Missing")</f>
        <v>Data Missing</v>
      </c>
      <c r="M124" s="49" t="str">
        <f>IFERROR(INDEX(Spark_Spread_Off,MATCH($C124,Adjustments!$G$3:$G$14,0),1)+IF(INDEX(Spark_Spread_Off,MATCH($C124,Adjustments!$G$3:$G$14,0),1)&gt;1,INDEX(Spark_Spread_Off,MATCH($C124,Adjustments!$G$3:$G$14,0),1)*BLS_Esc_Rate,-INDEX(Spark_Spread_Off,MATCH($C124,Adjustments!$G$3:$G$14,0),1)*BLS_Esc_Rate),"Data Missing")</f>
        <v>Data Missing</v>
      </c>
      <c r="N124" s="52"/>
      <c r="O124" s="42" t="str">
        <f t="shared" si="12"/>
        <v>Data Missing</v>
      </c>
      <c r="P124" s="42" t="str">
        <f t="shared" si="11"/>
        <v>Data Missing</v>
      </c>
    </row>
    <row r="125" spans="1:16" x14ac:dyDescent="0.25">
      <c r="A125" s="7">
        <v>123</v>
      </c>
      <c r="B125" s="46">
        <f t="shared" si="15"/>
        <v>47908</v>
      </c>
      <c r="C125" s="27" t="str">
        <f t="shared" si="13"/>
        <v>Mar</v>
      </c>
      <c r="D125" s="27">
        <f t="shared" si="14"/>
        <v>2031</v>
      </c>
      <c r="E125" s="27" t="str">
        <f>INDEX(Seasons,MATCH($C125,'General Inputs'!$B$21:$B$32,0),1)</f>
        <v>Shoulder</v>
      </c>
      <c r="H125" s="52"/>
      <c r="I125" s="49" t="str">
        <f>IFERROR('NG Futures'!$H125*HR_Low_Plant/1000,"Data Missing")</f>
        <v>Data Missing</v>
      </c>
      <c r="J125" s="49" t="str">
        <f>IFERROR('NG Futures'!$H125*HR_High_Plant/1000,"Data Missing")</f>
        <v>Data Missing</v>
      </c>
      <c r="K125" s="52"/>
      <c r="L125" s="49" t="str">
        <f>IFERROR(INDEX(Spark_Spread_On,MATCH($C125,Adjustments!$G$3:$G$14,0),1)+IF(INDEX(Spark_Spread_On,MATCH($C125,Adjustments!$G$3:$G$14,0),1)&gt;1,INDEX(Spark_Spread_On,MATCH($C125,Adjustments!$G$3:$G$14,0),1)*BLS_Esc_Rate,-INDEX(Spark_Spread_On,MATCH($C125,Adjustments!$G$3:$G$14,0),1)*BLS_Esc_Rate),"Data Missing")</f>
        <v>Data Missing</v>
      </c>
      <c r="M125" s="49" t="str">
        <f>IFERROR(INDEX(Spark_Spread_Off,MATCH($C125,Adjustments!$G$3:$G$14,0),1)+IF(INDEX(Spark_Spread_Off,MATCH($C125,Adjustments!$G$3:$G$14,0),1)&gt;1,INDEX(Spark_Spread_Off,MATCH($C125,Adjustments!$G$3:$G$14,0),1)*BLS_Esc_Rate,-INDEX(Spark_Spread_Off,MATCH($C125,Adjustments!$G$3:$G$14,0),1)*BLS_Esc_Rate),"Data Missing")</f>
        <v>Data Missing</v>
      </c>
      <c r="N125" s="52"/>
      <c r="O125" s="42" t="str">
        <f t="shared" si="12"/>
        <v>Data Missing</v>
      </c>
      <c r="P125" s="42" t="str">
        <f t="shared" si="11"/>
        <v>Data Missing</v>
      </c>
    </row>
    <row r="126" spans="1:16" x14ac:dyDescent="0.25">
      <c r="A126" s="7">
        <v>124</v>
      </c>
      <c r="B126" s="46">
        <f t="shared" si="15"/>
        <v>47939</v>
      </c>
      <c r="C126" s="27" t="str">
        <f t="shared" si="13"/>
        <v>Apr</v>
      </c>
      <c r="D126" s="27">
        <f t="shared" si="14"/>
        <v>2031</v>
      </c>
      <c r="E126" s="27" t="str">
        <f>INDEX(Seasons,MATCH($C126,'General Inputs'!$B$21:$B$32,0),1)</f>
        <v>Shoulder</v>
      </c>
      <c r="H126" s="52"/>
      <c r="I126" s="49" t="str">
        <f>IFERROR('NG Futures'!$H126*HR_Low_Plant/1000,"Data Missing")</f>
        <v>Data Missing</v>
      </c>
      <c r="J126" s="49" t="str">
        <f>IFERROR('NG Futures'!$H126*HR_High_Plant/1000,"Data Missing")</f>
        <v>Data Missing</v>
      </c>
      <c r="K126" s="52"/>
      <c r="L126" s="49" t="str">
        <f>IFERROR(INDEX(Spark_Spread_On,MATCH($C126,Adjustments!$G$3:$G$14,0),1)+IF(INDEX(Spark_Spread_On,MATCH($C126,Adjustments!$G$3:$G$14,0),1)&gt;1,INDEX(Spark_Spread_On,MATCH($C126,Adjustments!$G$3:$G$14,0),1)*BLS_Esc_Rate,-INDEX(Spark_Spread_On,MATCH($C126,Adjustments!$G$3:$G$14,0),1)*BLS_Esc_Rate),"Data Missing")</f>
        <v>Data Missing</v>
      </c>
      <c r="M126" s="49" t="str">
        <f>IFERROR(INDEX(Spark_Spread_Off,MATCH($C126,Adjustments!$G$3:$G$14,0),1)+IF(INDEX(Spark_Spread_Off,MATCH($C126,Adjustments!$G$3:$G$14,0),1)&gt;1,INDEX(Spark_Spread_Off,MATCH($C126,Adjustments!$G$3:$G$14,0),1)*BLS_Esc_Rate,-INDEX(Spark_Spread_Off,MATCH($C126,Adjustments!$G$3:$G$14,0),1)*BLS_Esc_Rate),"Data Missing")</f>
        <v>Data Missing</v>
      </c>
      <c r="N126" s="52"/>
      <c r="O126" s="42" t="str">
        <f t="shared" si="12"/>
        <v>Data Missing</v>
      </c>
      <c r="P126" s="42" t="str">
        <f t="shared" si="11"/>
        <v>Data Missing</v>
      </c>
    </row>
    <row r="127" spans="1:16" x14ac:dyDescent="0.25">
      <c r="A127" s="7">
        <v>125</v>
      </c>
      <c r="B127" s="46">
        <f t="shared" si="15"/>
        <v>47969</v>
      </c>
      <c r="C127" s="27" t="str">
        <f t="shared" si="13"/>
        <v>May</v>
      </c>
      <c r="D127" s="27">
        <f t="shared" si="14"/>
        <v>2031</v>
      </c>
      <c r="E127" s="27" t="str">
        <f>INDEX(Seasons,MATCH($C127,'General Inputs'!$B$21:$B$32,0),1)</f>
        <v>Summer</v>
      </c>
      <c r="H127" s="52"/>
      <c r="I127" s="49" t="str">
        <f>IFERROR('NG Futures'!$H127*HR_Low_Plant/1000,"Data Missing")</f>
        <v>Data Missing</v>
      </c>
      <c r="J127" s="49" t="str">
        <f>IFERROR('NG Futures'!$H127*HR_High_Plant/1000,"Data Missing")</f>
        <v>Data Missing</v>
      </c>
      <c r="K127" s="52"/>
      <c r="L127" s="49" t="str">
        <f>IFERROR(INDEX(Spark_Spread_On,MATCH($C127,Adjustments!$G$3:$G$14,0),1)+IF(INDEX(Spark_Spread_On,MATCH($C127,Adjustments!$G$3:$G$14,0),1)&gt;1,INDEX(Spark_Spread_On,MATCH($C127,Adjustments!$G$3:$G$14,0),1)*BLS_Esc_Rate,-INDEX(Spark_Spread_On,MATCH($C127,Adjustments!$G$3:$G$14,0),1)*BLS_Esc_Rate),"Data Missing")</f>
        <v>Data Missing</v>
      </c>
      <c r="M127" s="49" t="str">
        <f>IFERROR(INDEX(Spark_Spread_Off,MATCH($C127,Adjustments!$G$3:$G$14,0),1)+IF(INDEX(Spark_Spread_Off,MATCH($C127,Adjustments!$G$3:$G$14,0),1)&gt;1,INDEX(Spark_Spread_Off,MATCH($C127,Adjustments!$G$3:$G$14,0),1)*BLS_Esc_Rate,-INDEX(Spark_Spread_Off,MATCH($C127,Adjustments!$G$3:$G$14,0),1)*BLS_Esc_Rate),"Data Missing")</f>
        <v>Data Missing</v>
      </c>
      <c r="N127" s="52"/>
      <c r="O127" s="42" t="str">
        <f t="shared" si="12"/>
        <v>Data Missing</v>
      </c>
      <c r="P127" s="42" t="str">
        <f t="shared" ref="P127:P134" si="16">IFERROR(J127+M127, "Data Missing")</f>
        <v>Data Missing</v>
      </c>
    </row>
    <row r="128" spans="1:16" x14ac:dyDescent="0.25">
      <c r="A128" s="7">
        <v>126</v>
      </c>
      <c r="B128" s="46">
        <f t="shared" si="15"/>
        <v>48000</v>
      </c>
      <c r="C128" s="27" t="str">
        <f t="shared" si="13"/>
        <v>Jun</v>
      </c>
      <c r="D128" s="27">
        <f t="shared" si="14"/>
        <v>2031</v>
      </c>
      <c r="E128" s="27" t="str">
        <f>INDEX(Seasons,MATCH($C128,'General Inputs'!$B$21:$B$32,0),1)</f>
        <v>Summer</v>
      </c>
      <c r="H128" s="52"/>
      <c r="I128" s="49" t="str">
        <f>IFERROR('NG Futures'!$H128*HR_Low_Plant/1000,"Data Missing")</f>
        <v>Data Missing</v>
      </c>
      <c r="J128" s="49" t="str">
        <f>IFERROR('NG Futures'!$H128*HR_High_Plant/1000,"Data Missing")</f>
        <v>Data Missing</v>
      </c>
      <c r="K128" s="52"/>
      <c r="L128" s="49" t="str">
        <f>IFERROR(INDEX(Spark_Spread_On,MATCH($C128,Adjustments!$G$3:$G$14,0),1)+IF(INDEX(Spark_Spread_On,MATCH($C128,Adjustments!$G$3:$G$14,0),1)&gt;1,INDEX(Spark_Spread_On,MATCH($C128,Adjustments!$G$3:$G$14,0),1)*BLS_Esc_Rate,-INDEX(Spark_Spread_On,MATCH($C128,Adjustments!$G$3:$G$14,0),1)*BLS_Esc_Rate),"Data Missing")</f>
        <v>Data Missing</v>
      </c>
      <c r="M128" s="49" t="str">
        <f>IFERROR(INDEX(Spark_Spread_Off,MATCH($C128,Adjustments!$G$3:$G$14,0),1)+IF(INDEX(Spark_Spread_Off,MATCH($C128,Adjustments!$G$3:$G$14,0),1)&gt;1,INDEX(Spark_Spread_Off,MATCH($C128,Adjustments!$G$3:$G$14,0),1)*BLS_Esc_Rate,-INDEX(Spark_Spread_Off,MATCH($C128,Adjustments!$G$3:$G$14,0),1)*BLS_Esc_Rate),"Data Missing")</f>
        <v>Data Missing</v>
      </c>
      <c r="N128" s="52"/>
      <c r="O128" s="42" t="str">
        <f t="shared" ref="O128:O134" si="17">IFERROR(I128+L128, "Data Missing")</f>
        <v>Data Missing</v>
      </c>
      <c r="P128" s="42" t="str">
        <f t="shared" si="16"/>
        <v>Data Missing</v>
      </c>
    </row>
    <row r="129" spans="1:16" x14ac:dyDescent="0.25">
      <c r="A129" s="7">
        <v>127</v>
      </c>
      <c r="B129" s="46">
        <f t="shared" si="15"/>
        <v>48030</v>
      </c>
      <c r="C129" s="27" t="str">
        <f t="shared" si="13"/>
        <v>Jul</v>
      </c>
      <c r="D129" s="27">
        <f t="shared" si="14"/>
        <v>2031</v>
      </c>
      <c r="E129" s="27" t="str">
        <f>INDEX(Seasons,MATCH($C129,'General Inputs'!$B$21:$B$32,0),1)</f>
        <v>Summer</v>
      </c>
      <c r="H129" s="52"/>
      <c r="I129" s="49" t="str">
        <f>IFERROR('NG Futures'!$H129*HR_Low_Plant/1000,"Data Missing")</f>
        <v>Data Missing</v>
      </c>
      <c r="J129" s="49" t="str">
        <f>IFERROR('NG Futures'!$H129*HR_High_Plant/1000,"Data Missing")</f>
        <v>Data Missing</v>
      </c>
      <c r="K129" s="52"/>
      <c r="L129" s="49" t="str">
        <f>IFERROR(INDEX(Spark_Spread_On,MATCH($C129,Adjustments!$G$3:$G$14,0),1)+IF(INDEX(Spark_Spread_On,MATCH($C129,Adjustments!$G$3:$G$14,0),1)&gt;1,INDEX(Spark_Spread_On,MATCH($C129,Adjustments!$G$3:$G$14,0),1)*BLS_Esc_Rate,-INDEX(Spark_Spread_On,MATCH($C129,Adjustments!$G$3:$G$14,0),1)*BLS_Esc_Rate),"Data Missing")</f>
        <v>Data Missing</v>
      </c>
      <c r="M129" s="49" t="str">
        <f>IFERROR(INDEX(Spark_Spread_Off,MATCH($C129,Adjustments!$G$3:$G$14,0),1)+IF(INDEX(Spark_Spread_Off,MATCH($C129,Adjustments!$G$3:$G$14,0),1)&gt;1,INDEX(Spark_Spread_Off,MATCH($C129,Adjustments!$G$3:$G$14,0),1)*BLS_Esc_Rate,-INDEX(Spark_Spread_Off,MATCH($C129,Adjustments!$G$3:$G$14,0),1)*BLS_Esc_Rate),"Data Missing")</f>
        <v>Data Missing</v>
      </c>
      <c r="N129" s="52"/>
      <c r="O129" s="42" t="str">
        <f t="shared" si="17"/>
        <v>Data Missing</v>
      </c>
      <c r="P129" s="42" t="str">
        <f t="shared" si="16"/>
        <v>Data Missing</v>
      </c>
    </row>
    <row r="130" spans="1:16" x14ac:dyDescent="0.25">
      <c r="A130" s="7">
        <v>128</v>
      </c>
      <c r="B130" s="46">
        <f t="shared" si="15"/>
        <v>48061</v>
      </c>
      <c r="C130" s="27" t="str">
        <f t="shared" si="13"/>
        <v>Aug</v>
      </c>
      <c r="D130" s="27">
        <f t="shared" si="14"/>
        <v>2031</v>
      </c>
      <c r="E130" s="27" t="str">
        <f>INDEX(Seasons,MATCH($C130,'General Inputs'!$B$21:$B$32,0),1)</f>
        <v>Summer</v>
      </c>
      <c r="H130" s="52"/>
      <c r="I130" s="49" t="str">
        <f>IFERROR('NG Futures'!$H130*HR_Low_Plant/1000,"Data Missing")</f>
        <v>Data Missing</v>
      </c>
      <c r="J130" s="49" t="str">
        <f>IFERROR('NG Futures'!$H130*HR_High_Plant/1000,"Data Missing")</f>
        <v>Data Missing</v>
      </c>
      <c r="K130" s="52"/>
      <c r="L130" s="49" t="str">
        <f>IFERROR(INDEX(Spark_Spread_On,MATCH($C130,Adjustments!$G$3:$G$14,0),1)+IF(INDEX(Spark_Spread_On,MATCH($C130,Adjustments!$G$3:$G$14,0),1)&gt;1,INDEX(Spark_Spread_On,MATCH($C130,Adjustments!$G$3:$G$14,0),1)*BLS_Esc_Rate,-INDEX(Spark_Spread_On,MATCH($C130,Adjustments!$G$3:$G$14,0),1)*BLS_Esc_Rate),"Data Missing")</f>
        <v>Data Missing</v>
      </c>
      <c r="M130" s="49" t="str">
        <f>IFERROR(INDEX(Spark_Spread_Off,MATCH($C130,Adjustments!$G$3:$G$14,0),1)+IF(INDEX(Spark_Spread_Off,MATCH($C130,Adjustments!$G$3:$G$14,0),1)&gt;1,INDEX(Spark_Spread_Off,MATCH($C130,Adjustments!$G$3:$G$14,0),1)*BLS_Esc_Rate,-INDEX(Spark_Spread_Off,MATCH($C130,Adjustments!$G$3:$G$14,0),1)*BLS_Esc_Rate),"Data Missing")</f>
        <v>Data Missing</v>
      </c>
      <c r="N130" s="52"/>
      <c r="O130" s="42" t="str">
        <f t="shared" si="17"/>
        <v>Data Missing</v>
      </c>
      <c r="P130" s="42" t="str">
        <f t="shared" si="16"/>
        <v>Data Missing</v>
      </c>
    </row>
    <row r="131" spans="1:16" x14ac:dyDescent="0.25">
      <c r="A131" s="7">
        <v>129</v>
      </c>
      <c r="B131" s="46">
        <f t="shared" si="15"/>
        <v>48092</v>
      </c>
      <c r="C131" s="27" t="str">
        <f t="shared" si="13"/>
        <v>Sep</v>
      </c>
      <c r="D131" s="27">
        <f t="shared" si="14"/>
        <v>2031</v>
      </c>
      <c r="E131" s="27" t="str">
        <f>INDEX(Seasons,MATCH($C131,'General Inputs'!$B$21:$B$32,0),1)</f>
        <v>Summer</v>
      </c>
      <c r="H131" s="52"/>
      <c r="I131" s="49" t="str">
        <f>IFERROR('NG Futures'!$H131*HR_Low_Plant/1000,"Data Missing")</f>
        <v>Data Missing</v>
      </c>
      <c r="J131" s="49" t="str">
        <f>IFERROR('NG Futures'!$H131*HR_High_Plant/1000,"Data Missing")</f>
        <v>Data Missing</v>
      </c>
      <c r="K131" s="52"/>
      <c r="L131" s="49" t="str">
        <f>IFERROR(INDEX(Spark_Spread_On,MATCH($C131,Adjustments!$G$3:$G$14,0),1)+IF(INDEX(Spark_Spread_On,MATCH($C131,Adjustments!$G$3:$G$14,0),1)&gt;1,INDEX(Spark_Spread_On,MATCH($C131,Adjustments!$G$3:$G$14,0),1)*BLS_Esc_Rate,-INDEX(Spark_Spread_On,MATCH($C131,Adjustments!$G$3:$G$14,0),1)*BLS_Esc_Rate),"Data Missing")</f>
        <v>Data Missing</v>
      </c>
      <c r="M131" s="49" t="str">
        <f>IFERROR(INDEX(Spark_Spread_Off,MATCH($C131,Adjustments!$G$3:$G$14,0),1)+IF(INDEX(Spark_Spread_Off,MATCH($C131,Adjustments!$G$3:$G$14,0),1)&gt;1,INDEX(Spark_Spread_Off,MATCH($C131,Adjustments!$G$3:$G$14,0),1)*BLS_Esc_Rate,-INDEX(Spark_Spread_Off,MATCH($C131,Adjustments!$G$3:$G$14,0),1)*BLS_Esc_Rate),"Data Missing")</f>
        <v>Data Missing</v>
      </c>
      <c r="N131" s="52"/>
      <c r="O131" s="42" t="str">
        <f t="shared" si="17"/>
        <v>Data Missing</v>
      </c>
      <c r="P131" s="42" t="str">
        <f t="shared" si="16"/>
        <v>Data Missing</v>
      </c>
    </row>
    <row r="132" spans="1:16" x14ac:dyDescent="0.25">
      <c r="A132" s="7">
        <v>130</v>
      </c>
      <c r="B132" s="46">
        <f t="shared" si="15"/>
        <v>48122</v>
      </c>
      <c r="C132" s="27" t="str">
        <f t="shared" ref="C132:C195" si="18">CHOOSE(MONTH(B132), "Jan", "Feb", "Mar", "Apr", "May", "Jun", "Jul", "Aug", "Sep", "Oct", "Nov", "Dec")</f>
        <v>Oct</v>
      </c>
      <c r="D132" s="27">
        <f t="shared" ref="D132:D195" si="19">YEAR(B132)</f>
        <v>2031</v>
      </c>
      <c r="E132" s="27" t="str">
        <f>INDEX(Seasons,MATCH($C132,'General Inputs'!$B$21:$B$32,0),1)</f>
        <v>Shoulder</v>
      </c>
      <c r="H132" s="52"/>
      <c r="I132" s="49" t="str">
        <f>IFERROR('NG Futures'!$H132*HR_Low_Plant/1000,"Data Missing")</f>
        <v>Data Missing</v>
      </c>
      <c r="J132" s="49" t="str">
        <f>IFERROR('NG Futures'!$H132*HR_High_Plant/1000,"Data Missing")</f>
        <v>Data Missing</v>
      </c>
      <c r="K132" s="52"/>
      <c r="L132" s="49" t="str">
        <f>IFERROR(INDEX(Spark_Spread_On,MATCH($C132,Adjustments!$G$3:$G$14,0),1)+IF(INDEX(Spark_Spread_On,MATCH($C132,Adjustments!$G$3:$G$14,0),1)&gt;1,INDEX(Spark_Spread_On,MATCH($C132,Adjustments!$G$3:$G$14,0),1)*BLS_Esc_Rate,-INDEX(Spark_Spread_On,MATCH($C132,Adjustments!$G$3:$G$14,0),1)*BLS_Esc_Rate),"Data Missing")</f>
        <v>Data Missing</v>
      </c>
      <c r="M132" s="49" t="str">
        <f>IFERROR(INDEX(Spark_Spread_Off,MATCH($C132,Adjustments!$G$3:$G$14,0),1)+IF(INDEX(Spark_Spread_Off,MATCH($C132,Adjustments!$G$3:$G$14,0),1)&gt;1,INDEX(Spark_Spread_Off,MATCH($C132,Adjustments!$G$3:$G$14,0),1)*BLS_Esc_Rate,-INDEX(Spark_Spread_Off,MATCH($C132,Adjustments!$G$3:$G$14,0),1)*BLS_Esc_Rate),"Data Missing")</f>
        <v>Data Missing</v>
      </c>
      <c r="N132" s="52"/>
      <c r="O132" s="42" t="str">
        <f t="shared" si="17"/>
        <v>Data Missing</v>
      </c>
      <c r="P132" s="42" t="str">
        <f t="shared" si="16"/>
        <v>Data Missing</v>
      </c>
    </row>
    <row r="133" spans="1:16" x14ac:dyDescent="0.25">
      <c r="A133" s="7">
        <v>131</v>
      </c>
      <c r="B133" s="46">
        <f t="shared" si="15"/>
        <v>48153</v>
      </c>
      <c r="C133" s="27" t="str">
        <f t="shared" si="18"/>
        <v>Nov</v>
      </c>
      <c r="D133" s="27">
        <f t="shared" si="19"/>
        <v>2031</v>
      </c>
      <c r="E133" s="27" t="str">
        <f>INDEX(Seasons,MATCH($C133,'General Inputs'!$B$21:$B$32,0),1)</f>
        <v>Shoulder</v>
      </c>
      <c r="H133" s="52"/>
      <c r="I133" s="49" t="str">
        <f>IFERROR('NG Futures'!$H133*HR_Low_Plant/1000,"Data Missing")</f>
        <v>Data Missing</v>
      </c>
      <c r="J133" s="49" t="str">
        <f>IFERROR('NG Futures'!$H133*HR_High_Plant/1000,"Data Missing")</f>
        <v>Data Missing</v>
      </c>
      <c r="K133" s="52"/>
      <c r="L133" s="49" t="str">
        <f>IFERROR(INDEX(Spark_Spread_On,MATCH($C133,Adjustments!$G$3:$G$14,0),1)+IF(INDEX(Spark_Spread_On,MATCH($C133,Adjustments!$G$3:$G$14,0),1)&gt;1,INDEX(Spark_Spread_On,MATCH($C133,Adjustments!$G$3:$G$14,0),1)*BLS_Esc_Rate,-INDEX(Spark_Spread_On,MATCH($C133,Adjustments!$G$3:$G$14,0),1)*BLS_Esc_Rate),"Data Missing")</f>
        <v>Data Missing</v>
      </c>
      <c r="M133" s="49" t="str">
        <f>IFERROR(INDEX(Spark_Spread_Off,MATCH($C133,Adjustments!$G$3:$G$14,0),1)+IF(INDEX(Spark_Spread_Off,MATCH($C133,Adjustments!$G$3:$G$14,0),1)&gt;1,INDEX(Spark_Spread_Off,MATCH($C133,Adjustments!$G$3:$G$14,0),1)*BLS_Esc_Rate,-INDEX(Spark_Spread_Off,MATCH($C133,Adjustments!$G$3:$G$14,0),1)*BLS_Esc_Rate),"Data Missing")</f>
        <v>Data Missing</v>
      </c>
      <c r="N133" s="52"/>
      <c r="O133" s="42" t="str">
        <f t="shared" si="17"/>
        <v>Data Missing</v>
      </c>
      <c r="P133" s="42" t="str">
        <f t="shared" si="16"/>
        <v>Data Missing</v>
      </c>
    </row>
    <row r="134" spans="1:16" x14ac:dyDescent="0.25">
      <c r="A134" s="7">
        <v>132</v>
      </c>
      <c r="B134" s="46">
        <f t="shared" si="15"/>
        <v>48183</v>
      </c>
      <c r="C134" s="27" t="str">
        <f t="shared" si="18"/>
        <v>Dec</v>
      </c>
      <c r="D134" s="27">
        <f t="shared" si="19"/>
        <v>2031</v>
      </c>
      <c r="E134" s="27" t="str">
        <f>INDEX(Seasons,MATCH($C134,'General Inputs'!$B$21:$B$32,0),1)</f>
        <v>Winter</v>
      </c>
      <c r="H134" s="52"/>
      <c r="I134" s="49" t="str">
        <f>IFERROR('NG Futures'!$H134*HR_Low_Plant/1000,"Data Missing")</f>
        <v>Data Missing</v>
      </c>
      <c r="J134" s="49" t="str">
        <f>IFERROR('NG Futures'!$H134*HR_High_Plant/1000,"Data Missing")</f>
        <v>Data Missing</v>
      </c>
      <c r="K134" s="52"/>
      <c r="L134" s="49" t="str">
        <f>IFERROR(INDEX(Spark_Spread_On,MATCH($C134,Adjustments!$G$3:$G$14,0),1)+IF(INDEX(Spark_Spread_On,MATCH($C134,Adjustments!$G$3:$G$14,0),1)&gt;1,INDEX(Spark_Spread_On,MATCH($C134,Adjustments!$G$3:$G$14,0),1)*BLS_Esc_Rate,-INDEX(Spark_Spread_On,MATCH($C134,Adjustments!$G$3:$G$14,0),1)*BLS_Esc_Rate),"Data Missing")</f>
        <v>Data Missing</v>
      </c>
      <c r="M134" s="49" t="str">
        <f>IFERROR(INDEX(Spark_Spread_Off,MATCH($C134,Adjustments!$G$3:$G$14,0),1)+IF(INDEX(Spark_Spread_Off,MATCH($C134,Adjustments!$G$3:$G$14,0),1)&gt;1,INDEX(Spark_Spread_Off,MATCH($C134,Adjustments!$G$3:$G$14,0),1)*BLS_Esc_Rate,-INDEX(Spark_Spread_Off,MATCH($C134,Adjustments!$G$3:$G$14,0),1)*BLS_Esc_Rate),"Data Missing")</f>
        <v>Data Missing</v>
      </c>
      <c r="N134" s="52"/>
      <c r="O134" s="42" t="str">
        <f t="shared" si="17"/>
        <v>Data Missing</v>
      </c>
      <c r="P134" s="42" t="str">
        <f t="shared" si="16"/>
        <v>Data Missing</v>
      </c>
    </row>
    <row r="135" spans="1:16" x14ac:dyDescent="0.25">
      <c r="A135" s="7">
        <v>133</v>
      </c>
      <c r="B135" s="46">
        <f t="shared" si="15"/>
        <v>48214</v>
      </c>
      <c r="C135" s="27" t="str">
        <f t="shared" si="18"/>
        <v>Jan</v>
      </c>
      <c r="D135" s="27">
        <f t="shared" si="19"/>
        <v>2032</v>
      </c>
      <c r="E135" s="27" t="str">
        <f>INDEX(Seasons,MATCH($C135,'General Inputs'!$B$21:$B$32,0),1)</f>
        <v>Winter</v>
      </c>
      <c r="H135" s="52"/>
      <c r="I135" s="49" t="str">
        <f>IFERROR('NG Futures'!$H135*HR_Low_Plant/1000,"Data Missing")</f>
        <v>Data Missing</v>
      </c>
      <c r="J135" s="49" t="str">
        <f>IFERROR('NG Futures'!$H135*HR_High_Plant/1000,"Data Missing")</f>
        <v>Data Missing</v>
      </c>
      <c r="K135" s="52"/>
      <c r="L135" s="49" t="str">
        <f t="shared" ref="L135:M154" si="20">IFERROR(L123+IF(L123&gt;1,L123*BLS_Esc_Rate,-L123*BLS_Esc_Rate),"Data Missing")</f>
        <v>Data Missing</v>
      </c>
      <c r="M135" s="49" t="str">
        <f t="shared" si="20"/>
        <v>Data Missing</v>
      </c>
      <c r="N135" s="52"/>
      <c r="O135" s="53" t="str">
        <f>IFERROR(I135+L135,"Data Missing")</f>
        <v>Data Missing</v>
      </c>
      <c r="P135" s="53" t="str">
        <f t="shared" ref="P135:P198" si="21">IFERROR(J135+M135,"Data Missing")</f>
        <v>Data Missing</v>
      </c>
    </row>
    <row r="136" spans="1:16" x14ac:dyDescent="0.25">
      <c r="A136" s="7">
        <v>134</v>
      </c>
      <c r="B136" s="46">
        <f t="shared" si="15"/>
        <v>48245</v>
      </c>
      <c r="C136" s="27" t="str">
        <f t="shared" si="18"/>
        <v>Feb</v>
      </c>
      <c r="D136" s="27">
        <f t="shared" si="19"/>
        <v>2032</v>
      </c>
      <c r="E136" s="27" t="str">
        <f>INDEX(Seasons,MATCH($C136,'General Inputs'!$B$21:$B$32,0),1)</f>
        <v>Winter</v>
      </c>
      <c r="H136" s="52"/>
      <c r="I136" s="49" t="str">
        <f>IFERROR('NG Futures'!$H136*HR_Low_Plant/1000,"Data Missing")</f>
        <v>Data Missing</v>
      </c>
      <c r="J136" s="49" t="str">
        <f>IFERROR('NG Futures'!$H136*HR_High_Plant/1000,"Data Missing")</f>
        <v>Data Missing</v>
      </c>
      <c r="K136" s="52"/>
      <c r="L136" s="49" t="str">
        <f t="shared" si="20"/>
        <v>Data Missing</v>
      </c>
      <c r="M136" s="49" t="str">
        <f t="shared" si="20"/>
        <v>Data Missing</v>
      </c>
      <c r="N136" s="52"/>
      <c r="O136" s="53" t="str">
        <f t="shared" ref="O136:O199" si="22">IFERROR(I136+L136,"Data Missing")</f>
        <v>Data Missing</v>
      </c>
      <c r="P136" s="53" t="str">
        <f t="shared" si="21"/>
        <v>Data Missing</v>
      </c>
    </row>
    <row r="137" spans="1:16" x14ac:dyDescent="0.25">
      <c r="A137" s="7">
        <v>135</v>
      </c>
      <c r="B137" s="46">
        <f t="shared" si="15"/>
        <v>48274</v>
      </c>
      <c r="C137" s="27" t="str">
        <f t="shared" si="18"/>
        <v>Mar</v>
      </c>
      <c r="D137" s="27">
        <f t="shared" si="19"/>
        <v>2032</v>
      </c>
      <c r="E137" s="27" t="str">
        <f>INDEX(Seasons,MATCH($C137,'General Inputs'!$B$21:$B$32,0),1)</f>
        <v>Shoulder</v>
      </c>
      <c r="H137" s="52"/>
      <c r="I137" s="49" t="str">
        <f>IFERROR('NG Futures'!$H137*HR_Low_Plant/1000,"Data Missing")</f>
        <v>Data Missing</v>
      </c>
      <c r="J137" s="49" t="str">
        <f>IFERROR('NG Futures'!$H137*HR_High_Plant/1000,"Data Missing")</f>
        <v>Data Missing</v>
      </c>
      <c r="K137" s="52"/>
      <c r="L137" s="49" t="str">
        <f t="shared" si="20"/>
        <v>Data Missing</v>
      </c>
      <c r="M137" s="49" t="str">
        <f t="shared" si="20"/>
        <v>Data Missing</v>
      </c>
      <c r="N137" s="52"/>
      <c r="O137" s="53" t="str">
        <f t="shared" si="22"/>
        <v>Data Missing</v>
      </c>
      <c r="P137" s="53" t="str">
        <f t="shared" si="21"/>
        <v>Data Missing</v>
      </c>
    </row>
    <row r="138" spans="1:16" x14ac:dyDescent="0.25">
      <c r="A138" s="7">
        <v>136</v>
      </c>
      <c r="B138" s="46">
        <f t="shared" si="15"/>
        <v>48305</v>
      </c>
      <c r="C138" s="27" t="str">
        <f t="shared" si="18"/>
        <v>Apr</v>
      </c>
      <c r="D138" s="27">
        <f t="shared" si="19"/>
        <v>2032</v>
      </c>
      <c r="E138" s="27" t="str">
        <f>INDEX(Seasons,MATCH($C138,'General Inputs'!$B$21:$B$32,0),1)</f>
        <v>Shoulder</v>
      </c>
      <c r="H138" s="52"/>
      <c r="I138" s="49" t="str">
        <f>IFERROR('NG Futures'!$H138*HR_Low_Plant/1000,"Data Missing")</f>
        <v>Data Missing</v>
      </c>
      <c r="J138" s="49" t="str">
        <f>IFERROR('NG Futures'!$H138*HR_High_Plant/1000,"Data Missing")</f>
        <v>Data Missing</v>
      </c>
      <c r="K138" s="52"/>
      <c r="L138" s="49" t="str">
        <f t="shared" si="20"/>
        <v>Data Missing</v>
      </c>
      <c r="M138" s="49" t="str">
        <f t="shared" si="20"/>
        <v>Data Missing</v>
      </c>
      <c r="N138" s="52"/>
      <c r="O138" s="53" t="str">
        <f t="shared" si="22"/>
        <v>Data Missing</v>
      </c>
      <c r="P138" s="53" t="str">
        <f t="shared" si="21"/>
        <v>Data Missing</v>
      </c>
    </row>
    <row r="139" spans="1:16" x14ac:dyDescent="0.25">
      <c r="A139" s="7">
        <v>137</v>
      </c>
      <c r="B139" s="46">
        <f t="shared" ref="B139:B202" si="23">DATE(Start_Year-1,A139,1)</f>
        <v>48335</v>
      </c>
      <c r="C139" s="27" t="str">
        <f t="shared" si="18"/>
        <v>May</v>
      </c>
      <c r="D139" s="27">
        <f t="shared" si="19"/>
        <v>2032</v>
      </c>
      <c r="E139" s="27" t="str">
        <f>INDEX(Seasons,MATCH($C139,'General Inputs'!$B$21:$B$32,0),1)</f>
        <v>Summer</v>
      </c>
      <c r="H139" s="52"/>
      <c r="I139" s="49" t="str">
        <f>IFERROR('NG Futures'!$H139*HR_Low_Plant/1000,"Data Missing")</f>
        <v>Data Missing</v>
      </c>
      <c r="J139" s="49" t="str">
        <f>IFERROR('NG Futures'!$H139*HR_High_Plant/1000,"Data Missing")</f>
        <v>Data Missing</v>
      </c>
      <c r="K139" s="52"/>
      <c r="L139" s="49" t="str">
        <f t="shared" si="20"/>
        <v>Data Missing</v>
      </c>
      <c r="M139" s="49" t="str">
        <f t="shared" si="20"/>
        <v>Data Missing</v>
      </c>
      <c r="N139" s="52"/>
      <c r="O139" s="53" t="str">
        <f t="shared" si="22"/>
        <v>Data Missing</v>
      </c>
      <c r="P139" s="53" t="str">
        <f t="shared" si="21"/>
        <v>Data Missing</v>
      </c>
    </row>
    <row r="140" spans="1:16" x14ac:dyDescent="0.25">
      <c r="A140" s="7">
        <v>138</v>
      </c>
      <c r="B140" s="46">
        <f t="shared" si="23"/>
        <v>48366</v>
      </c>
      <c r="C140" s="27" t="str">
        <f t="shared" si="18"/>
        <v>Jun</v>
      </c>
      <c r="D140" s="27">
        <f t="shared" si="19"/>
        <v>2032</v>
      </c>
      <c r="E140" s="27" t="str">
        <f>INDEX(Seasons,MATCH($C140,'General Inputs'!$B$21:$B$32,0),1)</f>
        <v>Summer</v>
      </c>
      <c r="H140" s="52"/>
      <c r="I140" s="49" t="str">
        <f>IFERROR('NG Futures'!$H140*HR_Low_Plant/1000,"Data Missing")</f>
        <v>Data Missing</v>
      </c>
      <c r="J140" s="49" t="str">
        <f>IFERROR('NG Futures'!$H140*HR_High_Plant/1000,"Data Missing")</f>
        <v>Data Missing</v>
      </c>
      <c r="K140" s="52"/>
      <c r="L140" s="49" t="str">
        <f t="shared" si="20"/>
        <v>Data Missing</v>
      </c>
      <c r="M140" s="49" t="str">
        <f t="shared" si="20"/>
        <v>Data Missing</v>
      </c>
      <c r="N140" s="52"/>
      <c r="O140" s="53" t="str">
        <f t="shared" si="22"/>
        <v>Data Missing</v>
      </c>
      <c r="P140" s="53" t="str">
        <f t="shared" si="21"/>
        <v>Data Missing</v>
      </c>
    </row>
    <row r="141" spans="1:16" x14ac:dyDescent="0.25">
      <c r="A141" s="7">
        <v>139</v>
      </c>
      <c r="B141" s="46">
        <f t="shared" si="23"/>
        <v>48396</v>
      </c>
      <c r="C141" s="27" t="str">
        <f t="shared" si="18"/>
        <v>Jul</v>
      </c>
      <c r="D141" s="27">
        <f t="shared" si="19"/>
        <v>2032</v>
      </c>
      <c r="E141" s="27" t="str">
        <f>INDEX(Seasons,MATCH($C141,'General Inputs'!$B$21:$B$32,0),1)</f>
        <v>Summer</v>
      </c>
      <c r="H141" s="52"/>
      <c r="I141" s="49" t="str">
        <f>IFERROR('NG Futures'!$H141*HR_Low_Plant/1000,"Data Missing")</f>
        <v>Data Missing</v>
      </c>
      <c r="J141" s="49" t="str">
        <f>IFERROR('NG Futures'!$H141*HR_High_Plant/1000,"Data Missing")</f>
        <v>Data Missing</v>
      </c>
      <c r="K141" s="52"/>
      <c r="L141" s="49" t="str">
        <f t="shared" si="20"/>
        <v>Data Missing</v>
      </c>
      <c r="M141" s="49" t="str">
        <f t="shared" si="20"/>
        <v>Data Missing</v>
      </c>
      <c r="N141" s="52"/>
      <c r="O141" s="53" t="str">
        <f t="shared" si="22"/>
        <v>Data Missing</v>
      </c>
      <c r="P141" s="53" t="str">
        <f t="shared" si="21"/>
        <v>Data Missing</v>
      </c>
    </row>
    <row r="142" spans="1:16" x14ac:dyDescent="0.25">
      <c r="A142" s="7">
        <v>140</v>
      </c>
      <c r="B142" s="46">
        <f t="shared" si="23"/>
        <v>48427</v>
      </c>
      <c r="C142" s="27" t="str">
        <f t="shared" si="18"/>
        <v>Aug</v>
      </c>
      <c r="D142" s="27">
        <f t="shared" si="19"/>
        <v>2032</v>
      </c>
      <c r="E142" s="27" t="str">
        <f>INDEX(Seasons,MATCH($C142,'General Inputs'!$B$21:$B$32,0),1)</f>
        <v>Summer</v>
      </c>
      <c r="H142" s="52"/>
      <c r="I142" s="49" t="str">
        <f>IFERROR('NG Futures'!$H142*HR_Low_Plant/1000,"Data Missing")</f>
        <v>Data Missing</v>
      </c>
      <c r="J142" s="49" t="str">
        <f>IFERROR('NG Futures'!$H142*HR_High_Plant/1000,"Data Missing")</f>
        <v>Data Missing</v>
      </c>
      <c r="K142" s="52"/>
      <c r="L142" s="49" t="str">
        <f t="shared" si="20"/>
        <v>Data Missing</v>
      </c>
      <c r="M142" s="49" t="str">
        <f t="shared" si="20"/>
        <v>Data Missing</v>
      </c>
      <c r="N142" s="52"/>
      <c r="O142" s="53" t="str">
        <f t="shared" si="22"/>
        <v>Data Missing</v>
      </c>
      <c r="P142" s="53" t="str">
        <f t="shared" si="21"/>
        <v>Data Missing</v>
      </c>
    </row>
    <row r="143" spans="1:16" x14ac:dyDescent="0.25">
      <c r="A143" s="7">
        <v>141</v>
      </c>
      <c r="B143" s="46">
        <f t="shared" si="23"/>
        <v>48458</v>
      </c>
      <c r="C143" s="27" t="str">
        <f t="shared" si="18"/>
        <v>Sep</v>
      </c>
      <c r="D143" s="27">
        <f t="shared" si="19"/>
        <v>2032</v>
      </c>
      <c r="E143" s="27" t="str">
        <f>INDEX(Seasons,MATCH($C143,'General Inputs'!$B$21:$B$32,0),1)</f>
        <v>Summer</v>
      </c>
      <c r="H143" s="52"/>
      <c r="I143" s="49" t="str">
        <f>IFERROR('NG Futures'!$H143*HR_Low_Plant/1000,"Data Missing")</f>
        <v>Data Missing</v>
      </c>
      <c r="J143" s="49" t="str">
        <f>IFERROR('NG Futures'!$H143*HR_High_Plant/1000,"Data Missing")</f>
        <v>Data Missing</v>
      </c>
      <c r="K143" s="52"/>
      <c r="L143" s="49" t="str">
        <f t="shared" si="20"/>
        <v>Data Missing</v>
      </c>
      <c r="M143" s="49" t="str">
        <f t="shared" si="20"/>
        <v>Data Missing</v>
      </c>
      <c r="N143" s="52"/>
      <c r="O143" s="53" t="str">
        <f t="shared" si="22"/>
        <v>Data Missing</v>
      </c>
      <c r="P143" s="53" t="str">
        <f t="shared" si="21"/>
        <v>Data Missing</v>
      </c>
    </row>
    <row r="144" spans="1:16" x14ac:dyDescent="0.25">
      <c r="A144" s="7">
        <v>142</v>
      </c>
      <c r="B144" s="46">
        <f t="shared" si="23"/>
        <v>48488</v>
      </c>
      <c r="C144" s="27" t="str">
        <f t="shared" si="18"/>
        <v>Oct</v>
      </c>
      <c r="D144" s="27">
        <f t="shared" si="19"/>
        <v>2032</v>
      </c>
      <c r="E144" s="27" t="str">
        <f>INDEX(Seasons,MATCH($C144,'General Inputs'!$B$21:$B$32,0),1)</f>
        <v>Shoulder</v>
      </c>
      <c r="H144" s="52"/>
      <c r="I144" s="49" t="str">
        <f>IFERROR('NG Futures'!$H144*HR_Low_Plant/1000,"Data Missing")</f>
        <v>Data Missing</v>
      </c>
      <c r="J144" s="49" t="str">
        <f>IFERROR('NG Futures'!$H144*HR_High_Plant/1000,"Data Missing")</f>
        <v>Data Missing</v>
      </c>
      <c r="K144" s="52"/>
      <c r="L144" s="49" t="str">
        <f t="shared" si="20"/>
        <v>Data Missing</v>
      </c>
      <c r="M144" s="49" t="str">
        <f t="shared" si="20"/>
        <v>Data Missing</v>
      </c>
      <c r="N144" s="52"/>
      <c r="O144" s="53" t="str">
        <f t="shared" si="22"/>
        <v>Data Missing</v>
      </c>
      <c r="P144" s="53" t="str">
        <f t="shared" si="21"/>
        <v>Data Missing</v>
      </c>
    </row>
    <row r="145" spans="1:16" x14ac:dyDescent="0.25">
      <c r="A145" s="7">
        <v>143</v>
      </c>
      <c r="B145" s="46">
        <f t="shared" si="23"/>
        <v>48519</v>
      </c>
      <c r="C145" s="27" t="str">
        <f t="shared" si="18"/>
        <v>Nov</v>
      </c>
      <c r="D145" s="27">
        <f t="shared" si="19"/>
        <v>2032</v>
      </c>
      <c r="E145" s="27" t="str">
        <f>INDEX(Seasons,MATCH($C145,'General Inputs'!$B$21:$B$32,0),1)</f>
        <v>Shoulder</v>
      </c>
      <c r="H145" s="52"/>
      <c r="I145" s="49" t="str">
        <f>IFERROR('NG Futures'!$H145*HR_Low_Plant/1000,"Data Missing")</f>
        <v>Data Missing</v>
      </c>
      <c r="J145" s="49" t="str">
        <f>IFERROR('NG Futures'!$H145*HR_High_Plant/1000,"Data Missing")</f>
        <v>Data Missing</v>
      </c>
      <c r="K145" s="52"/>
      <c r="L145" s="49" t="str">
        <f t="shared" si="20"/>
        <v>Data Missing</v>
      </c>
      <c r="M145" s="49" t="str">
        <f t="shared" si="20"/>
        <v>Data Missing</v>
      </c>
      <c r="N145" s="52"/>
      <c r="O145" s="53" t="str">
        <f t="shared" si="22"/>
        <v>Data Missing</v>
      </c>
      <c r="P145" s="53" t="str">
        <f t="shared" si="21"/>
        <v>Data Missing</v>
      </c>
    </row>
    <row r="146" spans="1:16" x14ac:dyDescent="0.25">
      <c r="A146" s="7">
        <v>144</v>
      </c>
      <c r="B146" s="46">
        <f t="shared" si="23"/>
        <v>48549</v>
      </c>
      <c r="C146" s="27" t="str">
        <f t="shared" si="18"/>
        <v>Dec</v>
      </c>
      <c r="D146" s="27">
        <f t="shared" si="19"/>
        <v>2032</v>
      </c>
      <c r="E146" s="27" t="str">
        <f>INDEX(Seasons,MATCH($C146,'General Inputs'!$B$21:$B$32,0),1)</f>
        <v>Winter</v>
      </c>
      <c r="H146" s="52"/>
      <c r="I146" s="49" t="str">
        <f>IFERROR('NG Futures'!$H146*HR_Low_Plant/1000,"Data Missing")</f>
        <v>Data Missing</v>
      </c>
      <c r="J146" s="49" t="str">
        <f>IFERROR('NG Futures'!$H146*HR_High_Plant/1000,"Data Missing")</f>
        <v>Data Missing</v>
      </c>
      <c r="K146" s="52"/>
      <c r="L146" s="49" t="str">
        <f t="shared" si="20"/>
        <v>Data Missing</v>
      </c>
      <c r="M146" s="49" t="str">
        <f t="shared" si="20"/>
        <v>Data Missing</v>
      </c>
      <c r="N146" s="52"/>
      <c r="O146" s="53" t="str">
        <f t="shared" si="22"/>
        <v>Data Missing</v>
      </c>
      <c r="P146" s="53" t="str">
        <f t="shared" si="21"/>
        <v>Data Missing</v>
      </c>
    </row>
    <row r="147" spans="1:16" x14ac:dyDescent="0.25">
      <c r="A147" s="7">
        <v>145</v>
      </c>
      <c r="B147" s="46">
        <f t="shared" si="23"/>
        <v>48580</v>
      </c>
      <c r="C147" s="27" t="str">
        <f t="shared" si="18"/>
        <v>Jan</v>
      </c>
      <c r="D147" s="27">
        <f t="shared" si="19"/>
        <v>2033</v>
      </c>
      <c r="E147" s="27" t="str">
        <f>INDEX(Seasons,MATCH($C147,'General Inputs'!$B$21:$B$32,0),1)</f>
        <v>Winter</v>
      </c>
      <c r="H147" s="52"/>
      <c r="I147" s="49" t="str">
        <f>IFERROR('NG Futures'!$H147*HR_Low_Plant/1000,"Data Missing")</f>
        <v>Data Missing</v>
      </c>
      <c r="J147" s="49" t="str">
        <f>IFERROR('NG Futures'!$H147*HR_High_Plant/1000,"Data Missing")</f>
        <v>Data Missing</v>
      </c>
      <c r="K147" s="52"/>
      <c r="L147" s="49" t="str">
        <f t="shared" si="20"/>
        <v>Data Missing</v>
      </c>
      <c r="M147" s="49" t="str">
        <f t="shared" si="20"/>
        <v>Data Missing</v>
      </c>
      <c r="N147" s="52"/>
      <c r="O147" s="53" t="str">
        <f t="shared" si="22"/>
        <v>Data Missing</v>
      </c>
      <c r="P147" s="53" t="str">
        <f t="shared" si="21"/>
        <v>Data Missing</v>
      </c>
    </row>
    <row r="148" spans="1:16" x14ac:dyDescent="0.25">
      <c r="A148" s="7">
        <v>146</v>
      </c>
      <c r="B148" s="46">
        <f t="shared" si="23"/>
        <v>48611</v>
      </c>
      <c r="C148" s="27" t="str">
        <f t="shared" si="18"/>
        <v>Feb</v>
      </c>
      <c r="D148" s="27">
        <f t="shared" si="19"/>
        <v>2033</v>
      </c>
      <c r="E148" s="27" t="str">
        <f>INDEX(Seasons,MATCH($C148,'General Inputs'!$B$21:$B$32,0),1)</f>
        <v>Winter</v>
      </c>
      <c r="H148" s="52"/>
      <c r="I148" s="49" t="str">
        <f>IFERROR('NG Futures'!$H148*HR_Low_Plant/1000,"Data Missing")</f>
        <v>Data Missing</v>
      </c>
      <c r="J148" s="49" t="str">
        <f>IFERROR('NG Futures'!$H148*HR_High_Plant/1000,"Data Missing")</f>
        <v>Data Missing</v>
      </c>
      <c r="K148" s="52"/>
      <c r="L148" s="49" t="str">
        <f t="shared" si="20"/>
        <v>Data Missing</v>
      </c>
      <c r="M148" s="49" t="str">
        <f t="shared" si="20"/>
        <v>Data Missing</v>
      </c>
      <c r="N148" s="52"/>
      <c r="O148" s="53" t="str">
        <f t="shared" si="22"/>
        <v>Data Missing</v>
      </c>
      <c r="P148" s="53" t="str">
        <f t="shared" si="21"/>
        <v>Data Missing</v>
      </c>
    </row>
    <row r="149" spans="1:16" x14ac:dyDescent="0.25">
      <c r="A149" s="7">
        <v>147</v>
      </c>
      <c r="B149" s="46">
        <f t="shared" si="23"/>
        <v>48639</v>
      </c>
      <c r="C149" s="27" t="str">
        <f t="shared" si="18"/>
        <v>Mar</v>
      </c>
      <c r="D149" s="27">
        <f t="shared" si="19"/>
        <v>2033</v>
      </c>
      <c r="E149" s="27" t="str">
        <f>INDEX(Seasons,MATCH($C149,'General Inputs'!$B$21:$B$32,0),1)</f>
        <v>Shoulder</v>
      </c>
      <c r="H149" s="52"/>
      <c r="I149" s="49" t="str">
        <f>IFERROR('NG Futures'!$H149*HR_Low_Plant/1000,"Data Missing")</f>
        <v>Data Missing</v>
      </c>
      <c r="J149" s="49" t="str">
        <f>IFERROR('NG Futures'!$H149*HR_High_Plant/1000,"Data Missing")</f>
        <v>Data Missing</v>
      </c>
      <c r="K149" s="52"/>
      <c r="L149" s="49" t="str">
        <f t="shared" si="20"/>
        <v>Data Missing</v>
      </c>
      <c r="M149" s="49" t="str">
        <f t="shared" si="20"/>
        <v>Data Missing</v>
      </c>
      <c r="N149" s="52"/>
      <c r="O149" s="53" t="str">
        <f t="shared" si="22"/>
        <v>Data Missing</v>
      </c>
      <c r="P149" s="53" t="str">
        <f t="shared" si="21"/>
        <v>Data Missing</v>
      </c>
    </row>
    <row r="150" spans="1:16" x14ac:dyDescent="0.25">
      <c r="A150" s="7">
        <v>148</v>
      </c>
      <c r="B150" s="46">
        <f t="shared" si="23"/>
        <v>48670</v>
      </c>
      <c r="C150" s="27" t="str">
        <f t="shared" si="18"/>
        <v>Apr</v>
      </c>
      <c r="D150" s="27">
        <f t="shared" si="19"/>
        <v>2033</v>
      </c>
      <c r="E150" s="27" t="str">
        <f>INDEX(Seasons,MATCH($C150,'General Inputs'!$B$21:$B$32,0),1)</f>
        <v>Shoulder</v>
      </c>
      <c r="H150" s="52"/>
      <c r="I150" s="49" t="str">
        <f>IFERROR('NG Futures'!$H150*HR_Low_Plant/1000,"Data Missing")</f>
        <v>Data Missing</v>
      </c>
      <c r="J150" s="49" t="str">
        <f>IFERROR('NG Futures'!$H150*HR_High_Plant/1000,"Data Missing")</f>
        <v>Data Missing</v>
      </c>
      <c r="K150" s="52"/>
      <c r="L150" s="49" t="str">
        <f t="shared" si="20"/>
        <v>Data Missing</v>
      </c>
      <c r="M150" s="49" t="str">
        <f t="shared" si="20"/>
        <v>Data Missing</v>
      </c>
      <c r="N150" s="52"/>
      <c r="O150" s="53" t="str">
        <f t="shared" si="22"/>
        <v>Data Missing</v>
      </c>
      <c r="P150" s="53" t="str">
        <f t="shared" si="21"/>
        <v>Data Missing</v>
      </c>
    </row>
    <row r="151" spans="1:16" x14ac:dyDescent="0.25">
      <c r="A151" s="7">
        <v>149</v>
      </c>
      <c r="B151" s="46">
        <f t="shared" si="23"/>
        <v>48700</v>
      </c>
      <c r="C151" s="27" t="str">
        <f t="shared" si="18"/>
        <v>May</v>
      </c>
      <c r="D151" s="27">
        <f t="shared" si="19"/>
        <v>2033</v>
      </c>
      <c r="E151" s="27" t="str">
        <f>INDEX(Seasons,MATCH($C151,'General Inputs'!$B$21:$B$32,0),1)</f>
        <v>Summer</v>
      </c>
      <c r="H151" s="52"/>
      <c r="I151" s="49" t="str">
        <f>IFERROR('NG Futures'!$H151*HR_Low_Plant/1000,"Data Missing")</f>
        <v>Data Missing</v>
      </c>
      <c r="J151" s="49" t="str">
        <f>IFERROR('NG Futures'!$H151*HR_High_Plant/1000,"Data Missing")</f>
        <v>Data Missing</v>
      </c>
      <c r="K151" s="52"/>
      <c r="L151" s="49" t="str">
        <f t="shared" si="20"/>
        <v>Data Missing</v>
      </c>
      <c r="M151" s="49" t="str">
        <f t="shared" si="20"/>
        <v>Data Missing</v>
      </c>
      <c r="N151" s="52"/>
      <c r="O151" s="53" t="str">
        <f t="shared" si="22"/>
        <v>Data Missing</v>
      </c>
      <c r="P151" s="53" t="str">
        <f t="shared" si="21"/>
        <v>Data Missing</v>
      </c>
    </row>
    <row r="152" spans="1:16" x14ac:dyDescent="0.25">
      <c r="A152" s="7">
        <v>150</v>
      </c>
      <c r="B152" s="46">
        <f t="shared" si="23"/>
        <v>48731</v>
      </c>
      <c r="C152" s="27" t="str">
        <f t="shared" si="18"/>
        <v>Jun</v>
      </c>
      <c r="D152" s="27">
        <f t="shared" si="19"/>
        <v>2033</v>
      </c>
      <c r="E152" s="27" t="str">
        <f>INDEX(Seasons,MATCH($C152,'General Inputs'!$B$21:$B$32,0),1)</f>
        <v>Summer</v>
      </c>
      <c r="H152" s="52"/>
      <c r="I152" s="49" t="str">
        <f>IFERROR('NG Futures'!$H152*HR_Low_Plant/1000,"Data Missing")</f>
        <v>Data Missing</v>
      </c>
      <c r="J152" s="49" t="str">
        <f>IFERROR('NG Futures'!$H152*HR_High_Plant/1000,"Data Missing")</f>
        <v>Data Missing</v>
      </c>
      <c r="K152" s="52"/>
      <c r="L152" s="49" t="str">
        <f t="shared" si="20"/>
        <v>Data Missing</v>
      </c>
      <c r="M152" s="49" t="str">
        <f t="shared" si="20"/>
        <v>Data Missing</v>
      </c>
      <c r="N152" s="52"/>
      <c r="O152" s="53" t="str">
        <f t="shared" si="22"/>
        <v>Data Missing</v>
      </c>
      <c r="P152" s="53" t="str">
        <f t="shared" si="21"/>
        <v>Data Missing</v>
      </c>
    </row>
    <row r="153" spans="1:16" x14ac:dyDescent="0.25">
      <c r="A153" s="7">
        <v>151</v>
      </c>
      <c r="B153" s="46">
        <f t="shared" si="23"/>
        <v>48761</v>
      </c>
      <c r="C153" s="27" t="str">
        <f t="shared" si="18"/>
        <v>Jul</v>
      </c>
      <c r="D153" s="27">
        <f t="shared" si="19"/>
        <v>2033</v>
      </c>
      <c r="E153" s="27" t="str">
        <f>INDEX(Seasons,MATCH($C153,'General Inputs'!$B$21:$B$32,0),1)</f>
        <v>Summer</v>
      </c>
      <c r="H153" s="52"/>
      <c r="I153" s="49" t="str">
        <f>IFERROR('NG Futures'!$H153*HR_Low_Plant/1000,"Data Missing")</f>
        <v>Data Missing</v>
      </c>
      <c r="J153" s="49" t="str">
        <f>IFERROR('NG Futures'!$H153*HR_High_Plant/1000,"Data Missing")</f>
        <v>Data Missing</v>
      </c>
      <c r="K153" s="52"/>
      <c r="L153" s="49" t="str">
        <f t="shared" si="20"/>
        <v>Data Missing</v>
      </c>
      <c r="M153" s="49" t="str">
        <f t="shared" si="20"/>
        <v>Data Missing</v>
      </c>
      <c r="N153" s="52"/>
      <c r="O153" s="53" t="str">
        <f t="shared" si="22"/>
        <v>Data Missing</v>
      </c>
      <c r="P153" s="53" t="str">
        <f t="shared" si="21"/>
        <v>Data Missing</v>
      </c>
    </row>
    <row r="154" spans="1:16" x14ac:dyDescent="0.25">
      <c r="A154" s="7">
        <v>152</v>
      </c>
      <c r="B154" s="46">
        <f t="shared" si="23"/>
        <v>48792</v>
      </c>
      <c r="C154" s="27" t="str">
        <f t="shared" si="18"/>
        <v>Aug</v>
      </c>
      <c r="D154" s="27">
        <f t="shared" si="19"/>
        <v>2033</v>
      </c>
      <c r="E154" s="27" t="str">
        <f>INDEX(Seasons,MATCH($C154,'General Inputs'!$B$21:$B$32,0),1)</f>
        <v>Summer</v>
      </c>
      <c r="H154" s="52"/>
      <c r="I154" s="49" t="str">
        <f>IFERROR('NG Futures'!$H154*HR_Low_Plant/1000,"Data Missing")</f>
        <v>Data Missing</v>
      </c>
      <c r="J154" s="49" t="str">
        <f>IFERROR('NG Futures'!$H154*HR_High_Plant/1000,"Data Missing")</f>
        <v>Data Missing</v>
      </c>
      <c r="K154" s="52"/>
      <c r="L154" s="49" t="str">
        <f t="shared" si="20"/>
        <v>Data Missing</v>
      </c>
      <c r="M154" s="49" t="str">
        <f t="shared" si="20"/>
        <v>Data Missing</v>
      </c>
      <c r="N154" s="52"/>
      <c r="O154" s="53" t="str">
        <f t="shared" si="22"/>
        <v>Data Missing</v>
      </c>
      <c r="P154" s="53" t="str">
        <f t="shared" si="21"/>
        <v>Data Missing</v>
      </c>
    </row>
    <row r="155" spans="1:16" x14ac:dyDescent="0.25">
      <c r="A155" s="7">
        <v>153</v>
      </c>
      <c r="B155" s="46">
        <f t="shared" si="23"/>
        <v>48823</v>
      </c>
      <c r="C155" s="27" t="str">
        <f t="shared" si="18"/>
        <v>Sep</v>
      </c>
      <c r="D155" s="27">
        <f t="shared" si="19"/>
        <v>2033</v>
      </c>
      <c r="E155" s="27" t="str">
        <f>INDEX(Seasons,MATCH($C155,'General Inputs'!$B$21:$B$32,0),1)</f>
        <v>Summer</v>
      </c>
      <c r="H155" s="52"/>
      <c r="I155" s="49" t="str">
        <f>IFERROR('NG Futures'!$H155*HR_Low_Plant/1000,"Data Missing")</f>
        <v>Data Missing</v>
      </c>
      <c r="J155" s="49" t="str">
        <f>IFERROR('NG Futures'!$H155*HR_High_Plant/1000,"Data Missing")</f>
        <v>Data Missing</v>
      </c>
      <c r="K155" s="52"/>
      <c r="L155" s="49" t="str">
        <f t="shared" ref="L155:M174" si="24">IFERROR(L143+IF(L143&gt;1,L143*BLS_Esc_Rate,-L143*BLS_Esc_Rate),"Data Missing")</f>
        <v>Data Missing</v>
      </c>
      <c r="M155" s="49" t="str">
        <f t="shared" si="24"/>
        <v>Data Missing</v>
      </c>
      <c r="N155" s="52"/>
      <c r="O155" s="53" t="str">
        <f t="shared" si="22"/>
        <v>Data Missing</v>
      </c>
      <c r="P155" s="53" t="str">
        <f t="shared" si="21"/>
        <v>Data Missing</v>
      </c>
    </row>
    <row r="156" spans="1:16" x14ac:dyDescent="0.25">
      <c r="A156" s="7">
        <v>154</v>
      </c>
      <c r="B156" s="46">
        <f t="shared" si="23"/>
        <v>48853</v>
      </c>
      <c r="C156" s="27" t="str">
        <f t="shared" si="18"/>
        <v>Oct</v>
      </c>
      <c r="D156" s="27">
        <f t="shared" si="19"/>
        <v>2033</v>
      </c>
      <c r="E156" s="27" t="str">
        <f>INDEX(Seasons,MATCH($C156,'General Inputs'!$B$21:$B$32,0),1)</f>
        <v>Shoulder</v>
      </c>
      <c r="H156" s="52"/>
      <c r="I156" s="49" t="str">
        <f>IFERROR('NG Futures'!$H156*HR_Low_Plant/1000,"Data Missing")</f>
        <v>Data Missing</v>
      </c>
      <c r="J156" s="49" t="str">
        <f>IFERROR('NG Futures'!$H156*HR_High_Plant/1000,"Data Missing")</f>
        <v>Data Missing</v>
      </c>
      <c r="K156" s="52"/>
      <c r="L156" s="49" t="str">
        <f t="shared" si="24"/>
        <v>Data Missing</v>
      </c>
      <c r="M156" s="49" t="str">
        <f t="shared" si="24"/>
        <v>Data Missing</v>
      </c>
      <c r="N156" s="52"/>
      <c r="O156" s="53" t="str">
        <f t="shared" si="22"/>
        <v>Data Missing</v>
      </c>
      <c r="P156" s="53" t="str">
        <f t="shared" si="21"/>
        <v>Data Missing</v>
      </c>
    </row>
    <row r="157" spans="1:16" x14ac:dyDescent="0.25">
      <c r="A157" s="7">
        <v>155</v>
      </c>
      <c r="B157" s="46">
        <f t="shared" si="23"/>
        <v>48884</v>
      </c>
      <c r="C157" s="27" t="str">
        <f t="shared" si="18"/>
        <v>Nov</v>
      </c>
      <c r="D157" s="27">
        <f t="shared" si="19"/>
        <v>2033</v>
      </c>
      <c r="E157" s="27" t="str">
        <f>INDEX(Seasons,MATCH($C157,'General Inputs'!$B$21:$B$32,0),1)</f>
        <v>Shoulder</v>
      </c>
      <c r="H157" s="52"/>
      <c r="I157" s="49" t="str">
        <f>IFERROR('NG Futures'!$H157*HR_Low_Plant/1000,"Data Missing")</f>
        <v>Data Missing</v>
      </c>
      <c r="J157" s="49" t="str">
        <f>IFERROR('NG Futures'!$H157*HR_High_Plant/1000,"Data Missing")</f>
        <v>Data Missing</v>
      </c>
      <c r="K157" s="52"/>
      <c r="L157" s="49" t="str">
        <f t="shared" si="24"/>
        <v>Data Missing</v>
      </c>
      <c r="M157" s="49" t="str">
        <f t="shared" si="24"/>
        <v>Data Missing</v>
      </c>
      <c r="N157" s="52"/>
      <c r="O157" s="53" t="str">
        <f t="shared" si="22"/>
        <v>Data Missing</v>
      </c>
      <c r="P157" s="53" t="str">
        <f t="shared" si="21"/>
        <v>Data Missing</v>
      </c>
    </row>
    <row r="158" spans="1:16" x14ac:dyDescent="0.25">
      <c r="A158" s="7">
        <v>156</v>
      </c>
      <c r="B158" s="46">
        <f t="shared" si="23"/>
        <v>48914</v>
      </c>
      <c r="C158" s="27" t="str">
        <f t="shared" si="18"/>
        <v>Dec</v>
      </c>
      <c r="D158" s="27">
        <f t="shared" si="19"/>
        <v>2033</v>
      </c>
      <c r="E158" s="27" t="str">
        <f>INDEX(Seasons,MATCH($C158,'General Inputs'!$B$21:$B$32,0),1)</f>
        <v>Winter</v>
      </c>
      <c r="H158" s="52"/>
      <c r="I158" s="49" t="str">
        <f>IFERROR('NG Futures'!$H158*HR_Low_Plant/1000,"Data Missing")</f>
        <v>Data Missing</v>
      </c>
      <c r="J158" s="49" t="str">
        <f>IFERROR('NG Futures'!$H158*HR_High_Plant/1000,"Data Missing")</f>
        <v>Data Missing</v>
      </c>
      <c r="K158" s="52"/>
      <c r="L158" s="49" t="str">
        <f t="shared" si="24"/>
        <v>Data Missing</v>
      </c>
      <c r="M158" s="49" t="str">
        <f t="shared" si="24"/>
        <v>Data Missing</v>
      </c>
      <c r="N158" s="52"/>
      <c r="O158" s="53" t="str">
        <f t="shared" si="22"/>
        <v>Data Missing</v>
      </c>
      <c r="P158" s="53" t="str">
        <f t="shared" si="21"/>
        <v>Data Missing</v>
      </c>
    </row>
    <row r="159" spans="1:16" x14ac:dyDescent="0.25">
      <c r="A159" s="7">
        <v>157</v>
      </c>
      <c r="B159" s="46">
        <f t="shared" si="23"/>
        <v>48945</v>
      </c>
      <c r="C159" s="27" t="str">
        <f t="shared" si="18"/>
        <v>Jan</v>
      </c>
      <c r="D159" s="27">
        <f t="shared" si="19"/>
        <v>2034</v>
      </c>
      <c r="E159" s="27" t="str">
        <f>INDEX(Seasons,MATCH($C159,'General Inputs'!$B$21:$B$32,0),1)</f>
        <v>Winter</v>
      </c>
      <c r="H159" s="52"/>
      <c r="I159" s="49" t="str">
        <f>IFERROR('NG Futures'!$H159*HR_Low_Plant/1000,"Data Missing")</f>
        <v>Data Missing</v>
      </c>
      <c r="J159" s="49" t="str">
        <f>IFERROR('NG Futures'!$H159*HR_High_Plant/1000,"Data Missing")</f>
        <v>Data Missing</v>
      </c>
      <c r="K159" s="52"/>
      <c r="L159" s="49" t="str">
        <f t="shared" si="24"/>
        <v>Data Missing</v>
      </c>
      <c r="M159" s="49" t="str">
        <f t="shared" si="24"/>
        <v>Data Missing</v>
      </c>
      <c r="N159" s="52"/>
      <c r="O159" s="53" t="str">
        <f t="shared" si="22"/>
        <v>Data Missing</v>
      </c>
      <c r="P159" s="53" t="str">
        <f t="shared" si="21"/>
        <v>Data Missing</v>
      </c>
    </row>
    <row r="160" spans="1:16" x14ac:dyDescent="0.25">
      <c r="A160" s="7">
        <v>158</v>
      </c>
      <c r="B160" s="46">
        <f t="shared" si="23"/>
        <v>48976</v>
      </c>
      <c r="C160" s="27" t="str">
        <f t="shared" si="18"/>
        <v>Feb</v>
      </c>
      <c r="D160" s="27">
        <f t="shared" si="19"/>
        <v>2034</v>
      </c>
      <c r="E160" s="27" t="str">
        <f>INDEX(Seasons,MATCH($C160,'General Inputs'!$B$21:$B$32,0),1)</f>
        <v>Winter</v>
      </c>
      <c r="H160" s="52"/>
      <c r="I160" s="49" t="str">
        <f>IFERROR('NG Futures'!$H160*HR_Low_Plant/1000,"Data Missing")</f>
        <v>Data Missing</v>
      </c>
      <c r="J160" s="49" t="str">
        <f>IFERROR('NG Futures'!$H160*HR_High_Plant/1000,"Data Missing")</f>
        <v>Data Missing</v>
      </c>
      <c r="K160" s="52"/>
      <c r="L160" s="49" t="str">
        <f t="shared" si="24"/>
        <v>Data Missing</v>
      </c>
      <c r="M160" s="49" t="str">
        <f t="shared" si="24"/>
        <v>Data Missing</v>
      </c>
      <c r="N160" s="52"/>
      <c r="O160" s="53" t="str">
        <f t="shared" si="22"/>
        <v>Data Missing</v>
      </c>
      <c r="P160" s="53" t="str">
        <f t="shared" si="21"/>
        <v>Data Missing</v>
      </c>
    </row>
    <row r="161" spans="1:16" x14ac:dyDescent="0.25">
      <c r="A161" s="7">
        <v>159</v>
      </c>
      <c r="B161" s="46">
        <f t="shared" si="23"/>
        <v>49004</v>
      </c>
      <c r="C161" s="27" t="str">
        <f t="shared" si="18"/>
        <v>Mar</v>
      </c>
      <c r="D161" s="27">
        <f t="shared" si="19"/>
        <v>2034</v>
      </c>
      <c r="E161" s="27" t="str">
        <f>INDEX(Seasons,MATCH($C161,'General Inputs'!$B$21:$B$32,0),1)</f>
        <v>Shoulder</v>
      </c>
      <c r="H161" s="52"/>
      <c r="I161" s="49" t="str">
        <f>IFERROR('NG Futures'!$H161*HR_Low_Plant/1000,"Data Missing")</f>
        <v>Data Missing</v>
      </c>
      <c r="J161" s="49" t="str">
        <f>IFERROR('NG Futures'!$H161*HR_High_Plant/1000,"Data Missing")</f>
        <v>Data Missing</v>
      </c>
      <c r="K161" s="52"/>
      <c r="L161" s="49" t="str">
        <f t="shared" si="24"/>
        <v>Data Missing</v>
      </c>
      <c r="M161" s="49" t="str">
        <f t="shared" si="24"/>
        <v>Data Missing</v>
      </c>
      <c r="N161" s="52"/>
      <c r="O161" s="53" t="str">
        <f t="shared" si="22"/>
        <v>Data Missing</v>
      </c>
      <c r="P161" s="53" t="str">
        <f t="shared" si="21"/>
        <v>Data Missing</v>
      </c>
    </row>
    <row r="162" spans="1:16" x14ac:dyDescent="0.25">
      <c r="A162" s="7">
        <v>160</v>
      </c>
      <c r="B162" s="46">
        <f t="shared" si="23"/>
        <v>49035</v>
      </c>
      <c r="C162" s="27" t="str">
        <f t="shared" si="18"/>
        <v>Apr</v>
      </c>
      <c r="D162" s="27">
        <f t="shared" si="19"/>
        <v>2034</v>
      </c>
      <c r="E162" s="27" t="str">
        <f>INDEX(Seasons,MATCH($C162,'General Inputs'!$B$21:$B$32,0),1)</f>
        <v>Shoulder</v>
      </c>
      <c r="H162" s="52"/>
      <c r="I162" s="49" t="str">
        <f>IFERROR('NG Futures'!$H162*HR_Low_Plant/1000,"Data Missing")</f>
        <v>Data Missing</v>
      </c>
      <c r="J162" s="49" t="str">
        <f>IFERROR('NG Futures'!$H162*HR_High_Plant/1000,"Data Missing")</f>
        <v>Data Missing</v>
      </c>
      <c r="K162" s="52"/>
      <c r="L162" s="49" t="str">
        <f t="shared" si="24"/>
        <v>Data Missing</v>
      </c>
      <c r="M162" s="49" t="str">
        <f t="shared" si="24"/>
        <v>Data Missing</v>
      </c>
      <c r="N162" s="52"/>
      <c r="O162" s="53" t="str">
        <f t="shared" si="22"/>
        <v>Data Missing</v>
      </c>
      <c r="P162" s="53" t="str">
        <f t="shared" si="21"/>
        <v>Data Missing</v>
      </c>
    </row>
    <row r="163" spans="1:16" x14ac:dyDescent="0.25">
      <c r="A163" s="7">
        <v>161</v>
      </c>
      <c r="B163" s="46">
        <f t="shared" si="23"/>
        <v>49065</v>
      </c>
      <c r="C163" s="27" t="str">
        <f t="shared" si="18"/>
        <v>May</v>
      </c>
      <c r="D163" s="27">
        <f t="shared" si="19"/>
        <v>2034</v>
      </c>
      <c r="E163" s="27" t="str">
        <f>INDEX(Seasons,MATCH($C163,'General Inputs'!$B$21:$B$32,0),1)</f>
        <v>Summer</v>
      </c>
      <c r="H163" s="52"/>
      <c r="I163" s="49" t="str">
        <f>IFERROR('NG Futures'!$H163*HR_Low_Plant/1000,"Data Missing")</f>
        <v>Data Missing</v>
      </c>
      <c r="J163" s="49" t="str">
        <f>IFERROR('NG Futures'!$H163*HR_High_Plant/1000,"Data Missing")</f>
        <v>Data Missing</v>
      </c>
      <c r="K163" s="52"/>
      <c r="L163" s="49" t="str">
        <f t="shared" si="24"/>
        <v>Data Missing</v>
      </c>
      <c r="M163" s="49" t="str">
        <f t="shared" si="24"/>
        <v>Data Missing</v>
      </c>
      <c r="N163" s="52"/>
      <c r="O163" s="53" t="str">
        <f t="shared" si="22"/>
        <v>Data Missing</v>
      </c>
      <c r="P163" s="53" t="str">
        <f t="shared" si="21"/>
        <v>Data Missing</v>
      </c>
    </row>
    <row r="164" spans="1:16" x14ac:dyDescent="0.25">
      <c r="A164" s="7">
        <v>162</v>
      </c>
      <c r="B164" s="46">
        <f t="shared" si="23"/>
        <v>49096</v>
      </c>
      <c r="C164" s="27" t="str">
        <f t="shared" si="18"/>
        <v>Jun</v>
      </c>
      <c r="D164" s="27">
        <f t="shared" si="19"/>
        <v>2034</v>
      </c>
      <c r="E164" s="27" t="str">
        <f>INDEX(Seasons,MATCH($C164,'General Inputs'!$B$21:$B$32,0),1)</f>
        <v>Summer</v>
      </c>
      <c r="H164" s="52"/>
      <c r="I164" s="49" t="str">
        <f>IFERROR('NG Futures'!$H164*HR_Low_Plant/1000,"Data Missing")</f>
        <v>Data Missing</v>
      </c>
      <c r="J164" s="49" t="str">
        <f>IFERROR('NG Futures'!$H164*HR_High_Plant/1000,"Data Missing")</f>
        <v>Data Missing</v>
      </c>
      <c r="K164" s="52"/>
      <c r="L164" s="49" t="str">
        <f t="shared" si="24"/>
        <v>Data Missing</v>
      </c>
      <c r="M164" s="49" t="str">
        <f t="shared" si="24"/>
        <v>Data Missing</v>
      </c>
      <c r="N164" s="52"/>
      <c r="O164" s="53" t="str">
        <f t="shared" si="22"/>
        <v>Data Missing</v>
      </c>
      <c r="P164" s="53" t="str">
        <f t="shared" si="21"/>
        <v>Data Missing</v>
      </c>
    </row>
    <row r="165" spans="1:16" x14ac:dyDescent="0.25">
      <c r="A165" s="7">
        <v>163</v>
      </c>
      <c r="B165" s="46">
        <f t="shared" si="23"/>
        <v>49126</v>
      </c>
      <c r="C165" s="27" t="str">
        <f t="shared" si="18"/>
        <v>Jul</v>
      </c>
      <c r="D165" s="27">
        <f t="shared" si="19"/>
        <v>2034</v>
      </c>
      <c r="E165" s="27" t="str">
        <f>INDEX(Seasons,MATCH($C165,'General Inputs'!$B$21:$B$32,0),1)</f>
        <v>Summer</v>
      </c>
      <c r="H165" s="52"/>
      <c r="I165" s="49" t="str">
        <f>IFERROR('NG Futures'!$H165*HR_Low_Plant/1000,"Data Missing")</f>
        <v>Data Missing</v>
      </c>
      <c r="J165" s="49" t="str">
        <f>IFERROR('NG Futures'!$H165*HR_High_Plant/1000,"Data Missing")</f>
        <v>Data Missing</v>
      </c>
      <c r="K165" s="52"/>
      <c r="L165" s="49" t="str">
        <f t="shared" si="24"/>
        <v>Data Missing</v>
      </c>
      <c r="M165" s="49" t="str">
        <f t="shared" si="24"/>
        <v>Data Missing</v>
      </c>
      <c r="N165" s="52"/>
      <c r="O165" s="53" t="str">
        <f t="shared" si="22"/>
        <v>Data Missing</v>
      </c>
      <c r="P165" s="53" t="str">
        <f t="shared" si="21"/>
        <v>Data Missing</v>
      </c>
    </row>
    <row r="166" spans="1:16" x14ac:dyDescent="0.25">
      <c r="A166" s="7">
        <v>164</v>
      </c>
      <c r="B166" s="46">
        <f t="shared" si="23"/>
        <v>49157</v>
      </c>
      <c r="C166" s="27" t="str">
        <f t="shared" si="18"/>
        <v>Aug</v>
      </c>
      <c r="D166" s="27">
        <f t="shared" si="19"/>
        <v>2034</v>
      </c>
      <c r="E166" s="27" t="str">
        <f>INDEX(Seasons,MATCH($C166,'General Inputs'!$B$21:$B$32,0),1)</f>
        <v>Summer</v>
      </c>
      <c r="H166" s="52"/>
      <c r="I166" s="49" t="str">
        <f>IFERROR('NG Futures'!$H166*HR_Low_Plant/1000,"Data Missing")</f>
        <v>Data Missing</v>
      </c>
      <c r="J166" s="49" t="str">
        <f>IFERROR('NG Futures'!$H166*HR_High_Plant/1000,"Data Missing")</f>
        <v>Data Missing</v>
      </c>
      <c r="K166" s="52"/>
      <c r="L166" s="49" t="str">
        <f t="shared" si="24"/>
        <v>Data Missing</v>
      </c>
      <c r="M166" s="49" t="str">
        <f t="shared" si="24"/>
        <v>Data Missing</v>
      </c>
      <c r="N166" s="52"/>
      <c r="O166" s="53" t="str">
        <f t="shared" si="22"/>
        <v>Data Missing</v>
      </c>
      <c r="P166" s="53" t="str">
        <f t="shared" si="21"/>
        <v>Data Missing</v>
      </c>
    </row>
    <row r="167" spans="1:16" x14ac:dyDescent="0.25">
      <c r="A167" s="7">
        <v>165</v>
      </c>
      <c r="B167" s="46">
        <f t="shared" si="23"/>
        <v>49188</v>
      </c>
      <c r="C167" s="27" t="str">
        <f t="shared" si="18"/>
        <v>Sep</v>
      </c>
      <c r="D167" s="27">
        <f t="shared" si="19"/>
        <v>2034</v>
      </c>
      <c r="E167" s="27" t="str">
        <f>INDEX(Seasons,MATCH($C167,'General Inputs'!$B$21:$B$32,0),1)</f>
        <v>Summer</v>
      </c>
      <c r="H167" s="52"/>
      <c r="I167" s="49" t="str">
        <f>IFERROR('NG Futures'!$H167*HR_Low_Plant/1000,"Data Missing")</f>
        <v>Data Missing</v>
      </c>
      <c r="J167" s="49" t="str">
        <f>IFERROR('NG Futures'!$H167*HR_High_Plant/1000,"Data Missing")</f>
        <v>Data Missing</v>
      </c>
      <c r="K167" s="52"/>
      <c r="L167" s="49" t="str">
        <f t="shared" si="24"/>
        <v>Data Missing</v>
      </c>
      <c r="M167" s="49" t="str">
        <f t="shared" si="24"/>
        <v>Data Missing</v>
      </c>
      <c r="N167" s="52"/>
      <c r="O167" s="53" t="str">
        <f t="shared" si="22"/>
        <v>Data Missing</v>
      </c>
      <c r="P167" s="53" t="str">
        <f t="shared" si="21"/>
        <v>Data Missing</v>
      </c>
    </row>
    <row r="168" spans="1:16" x14ac:dyDescent="0.25">
      <c r="A168" s="7">
        <v>166</v>
      </c>
      <c r="B168" s="46">
        <f t="shared" si="23"/>
        <v>49218</v>
      </c>
      <c r="C168" s="27" t="str">
        <f t="shared" si="18"/>
        <v>Oct</v>
      </c>
      <c r="D168" s="27">
        <f t="shared" si="19"/>
        <v>2034</v>
      </c>
      <c r="E168" s="27" t="str">
        <f>INDEX(Seasons,MATCH($C168,'General Inputs'!$B$21:$B$32,0),1)</f>
        <v>Shoulder</v>
      </c>
      <c r="H168" s="52"/>
      <c r="I168" s="49" t="str">
        <f>IFERROR('NG Futures'!$H168*HR_Low_Plant/1000,"Data Missing")</f>
        <v>Data Missing</v>
      </c>
      <c r="J168" s="49" t="str">
        <f>IFERROR('NG Futures'!$H168*HR_High_Plant/1000,"Data Missing")</f>
        <v>Data Missing</v>
      </c>
      <c r="K168" s="52"/>
      <c r="L168" s="49" t="str">
        <f t="shared" si="24"/>
        <v>Data Missing</v>
      </c>
      <c r="M168" s="49" t="str">
        <f t="shared" si="24"/>
        <v>Data Missing</v>
      </c>
      <c r="N168" s="52"/>
      <c r="O168" s="53" t="str">
        <f t="shared" si="22"/>
        <v>Data Missing</v>
      </c>
      <c r="P168" s="53" t="str">
        <f t="shared" si="21"/>
        <v>Data Missing</v>
      </c>
    </row>
    <row r="169" spans="1:16" x14ac:dyDescent="0.25">
      <c r="A169" s="7">
        <v>167</v>
      </c>
      <c r="B169" s="46">
        <f t="shared" si="23"/>
        <v>49249</v>
      </c>
      <c r="C169" s="27" t="str">
        <f t="shared" si="18"/>
        <v>Nov</v>
      </c>
      <c r="D169" s="27">
        <f t="shared" si="19"/>
        <v>2034</v>
      </c>
      <c r="E169" s="27" t="str">
        <f>INDEX(Seasons,MATCH($C169,'General Inputs'!$B$21:$B$32,0),1)</f>
        <v>Shoulder</v>
      </c>
      <c r="H169" s="52"/>
      <c r="I169" s="49" t="str">
        <f>IFERROR('NG Futures'!$H169*HR_Low_Plant/1000,"Data Missing")</f>
        <v>Data Missing</v>
      </c>
      <c r="J169" s="49" t="str">
        <f>IFERROR('NG Futures'!$H169*HR_High_Plant/1000,"Data Missing")</f>
        <v>Data Missing</v>
      </c>
      <c r="K169" s="52"/>
      <c r="L169" s="49" t="str">
        <f t="shared" si="24"/>
        <v>Data Missing</v>
      </c>
      <c r="M169" s="49" t="str">
        <f t="shared" si="24"/>
        <v>Data Missing</v>
      </c>
      <c r="N169" s="52"/>
      <c r="O169" s="53" t="str">
        <f t="shared" si="22"/>
        <v>Data Missing</v>
      </c>
      <c r="P169" s="53" t="str">
        <f t="shared" si="21"/>
        <v>Data Missing</v>
      </c>
    </row>
    <row r="170" spans="1:16" x14ac:dyDescent="0.25">
      <c r="A170" s="7">
        <v>168</v>
      </c>
      <c r="B170" s="46">
        <f t="shared" si="23"/>
        <v>49279</v>
      </c>
      <c r="C170" s="27" t="str">
        <f t="shared" si="18"/>
        <v>Dec</v>
      </c>
      <c r="D170" s="27">
        <f t="shared" si="19"/>
        <v>2034</v>
      </c>
      <c r="E170" s="27" t="str">
        <f>INDEX(Seasons,MATCH($C170,'General Inputs'!$B$21:$B$32,0),1)</f>
        <v>Winter</v>
      </c>
      <c r="H170" s="52"/>
      <c r="I170" s="49" t="str">
        <f>IFERROR('NG Futures'!$H170*HR_Low_Plant/1000,"Data Missing")</f>
        <v>Data Missing</v>
      </c>
      <c r="J170" s="49" t="str">
        <f>IFERROR('NG Futures'!$H170*HR_High_Plant/1000,"Data Missing")</f>
        <v>Data Missing</v>
      </c>
      <c r="K170" s="52"/>
      <c r="L170" s="49" t="str">
        <f t="shared" si="24"/>
        <v>Data Missing</v>
      </c>
      <c r="M170" s="49" t="str">
        <f t="shared" si="24"/>
        <v>Data Missing</v>
      </c>
      <c r="N170" s="52"/>
      <c r="O170" s="53" t="str">
        <f t="shared" si="22"/>
        <v>Data Missing</v>
      </c>
      <c r="P170" s="53" t="str">
        <f t="shared" si="21"/>
        <v>Data Missing</v>
      </c>
    </row>
    <row r="171" spans="1:16" x14ac:dyDescent="0.25">
      <c r="A171" s="7">
        <v>169</v>
      </c>
      <c r="B171" s="46">
        <f t="shared" si="23"/>
        <v>49310</v>
      </c>
      <c r="C171" s="27" t="str">
        <f t="shared" si="18"/>
        <v>Jan</v>
      </c>
      <c r="D171" s="27">
        <f t="shared" si="19"/>
        <v>2035</v>
      </c>
      <c r="E171" s="27" t="str">
        <f>INDEX(Seasons,MATCH($C171,'General Inputs'!$B$21:$B$32,0),1)</f>
        <v>Winter</v>
      </c>
      <c r="H171" s="52"/>
      <c r="I171" s="49" t="str">
        <f>IFERROR('NG Futures'!$H171*HR_Low_Plant/1000,"Data Missing")</f>
        <v>Data Missing</v>
      </c>
      <c r="J171" s="49" t="str">
        <f>IFERROR('NG Futures'!$H171*HR_High_Plant/1000,"Data Missing")</f>
        <v>Data Missing</v>
      </c>
      <c r="K171" s="52"/>
      <c r="L171" s="49" t="str">
        <f t="shared" si="24"/>
        <v>Data Missing</v>
      </c>
      <c r="M171" s="49" t="str">
        <f t="shared" si="24"/>
        <v>Data Missing</v>
      </c>
      <c r="N171" s="52"/>
      <c r="O171" s="53" t="str">
        <f t="shared" si="22"/>
        <v>Data Missing</v>
      </c>
      <c r="P171" s="53" t="str">
        <f t="shared" si="21"/>
        <v>Data Missing</v>
      </c>
    </row>
    <row r="172" spans="1:16" x14ac:dyDescent="0.25">
      <c r="A172" s="7">
        <v>170</v>
      </c>
      <c r="B172" s="46">
        <f t="shared" si="23"/>
        <v>49341</v>
      </c>
      <c r="C172" s="27" t="str">
        <f t="shared" si="18"/>
        <v>Feb</v>
      </c>
      <c r="D172" s="27">
        <f t="shared" si="19"/>
        <v>2035</v>
      </c>
      <c r="E172" s="27" t="str">
        <f>INDEX(Seasons,MATCH($C172,'General Inputs'!$B$21:$B$32,0),1)</f>
        <v>Winter</v>
      </c>
      <c r="H172" s="52"/>
      <c r="I172" s="49" t="str">
        <f>IFERROR('NG Futures'!$H172*HR_Low_Plant/1000,"Data Missing")</f>
        <v>Data Missing</v>
      </c>
      <c r="J172" s="49" t="str">
        <f>IFERROR('NG Futures'!$H172*HR_High_Plant/1000,"Data Missing")</f>
        <v>Data Missing</v>
      </c>
      <c r="K172" s="52"/>
      <c r="L172" s="49" t="str">
        <f t="shared" si="24"/>
        <v>Data Missing</v>
      </c>
      <c r="M172" s="49" t="str">
        <f t="shared" si="24"/>
        <v>Data Missing</v>
      </c>
      <c r="N172" s="52"/>
      <c r="O172" s="53" t="str">
        <f t="shared" si="22"/>
        <v>Data Missing</v>
      </c>
      <c r="P172" s="53" t="str">
        <f t="shared" si="21"/>
        <v>Data Missing</v>
      </c>
    </row>
    <row r="173" spans="1:16" x14ac:dyDescent="0.25">
      <c r="A173" s="7">
        <v>171</v>
      </c>
      <c r="B173" s="46">
        <f t="shared" si="23"/>
        <v>49369</v>
      </c>
      <c r="C173" s="27" t="str">
        <f t="shared" si="18"/>
        <v>Mar</v>
      </c>
      <c r="D173" s="27">
        <f t="shared" si="19"/>
        <v>2035</v>
      </c>
      <c r="E173" s="27" t="str">
        <f>INDEX(Seasons,MATCH($C173,'General Inputs'!$B$21:$B$32,0),1)</f>
        <v>Shoulder</v>
      </c>
      <c r="H173" s="52"/>
      <c r="I173" s="49" t="str">
        <f>IFERROR('NG Futures'!$H173*HR_Low_Plant/1000,"Data Missing")</f>
        <v>Data Missing</v>
      </c>
      <c r="J173" s="49" t="str">
        <f>IFERROR('NG Futures'!$H173*HR_High_Plant/1000,"Data Missing")</f>
        <v>Data Missing</v>
      </c>
      <c r="K173" s="52"/>
      <c r="L173" s="49" t="str">
        <f t="shared" si="24"/>
        <v>Data Missing</v>
      </c>
      <c r="M173" s="49" t="str">
        <f t="shared" si="24"/>
        <v>Data Missing</v>
      </c>
      <c r="N173" s="52"/>
      <c r="O173" s="53" t="str">
        <f t="shared" si="22"/>
        <v>Data Missing</v>
      </c>
      <c r="P173" s="53" t="str">
        <f t="shared" si="21"/>
        <v>Data Missing</v>
      </c>
    </row>
    <row r="174" spans="1:16" x14ac:dyDescent="0.25">
      <c r="A174" s="7">
        <v>172</v>
      </c>
      <c r="B174" s="46">
        <f t="shared" si="23"/>
        <v>49400</v>
      </c>
      <c r="C174" s="27" t="str">
        <f t="shared" si="18"/>
        <v>Apr</v>
      </c>
      <c r="D174" s="27">
        <f t="shared" si="19"/>
        <v>2035</v>
      </c>
      <c r="E174" s="27" t="str">
        <f>INDEX(Seasons,MATCH($C174,'General Inputs'!$B$21:$B$32,0),1)</f>
        <v>Shoulder</v>
      </c>
      <c r="H174" s="52"/>
      <c r="I174" s="49" t="str">
        <f>IFERROR('NG Futures'!$H174*HR_Low_Plant/1000,"Data Missing")</f>
        <v>Data Missing</v>
      </c>
      <c r="J174" s="49" t="str">
        <f>IFERROR('NG Futures'!$H174*HR_High_Plant/1000,"Data Missing")</f>
        <v>Data Missing</v>
      </c>
      <c r="K174" s="52"/>
      <c r="L174" s="49" t="str">
        <f t="shared" si="24"/>
        <v>Data Missing</v>
      </c>
      <c r="M174" s="49" t="str">
        <f t="shared" si="24"/>
        <v>Data Missing</v>
      </c>
      <c r="N174" s="52"/>
      <c r="O174" s="53" t="str">
        <f t="shared" si="22"/>
        <v>Data Missing</v>
      </c>
      <c r="P174" s="53" t="str">
        <f t="shared" si="21"/>
        <v>Data Missing</v>
      </c>
    </row>
    <row r="175" spans="1:16" x14ac:dyDescent="0.25">
      <c r="A175" s="7">
        <v>173</v>
      </c>
      <c r="B175" s="46">
        <f t="shared" si="23"/>
        <v>49430</v>
      </c>
      <c r="C175" s="27" t="str">
        <f t="shared" si="18"/>
        <v>May</v>
      </c>
      <c r="D175" s="27">
        <f t="shared" si="19"/>
        <v>2035</v>
      </c>
      <c r="E175" s="27" t="str">
        <f>INDEX(Seasons,MATCH($C175,'General Inputs'!$B$21:$B$32,0),1)</f>
        <v>Summer</v>
      </c>
      <c r="H175" s="52"/>
      <c r="I175" s="49" t="str">
        <f>IFERROR('NG Futures'!$H175*HR_Low_Plant/1000,"Data Missing")</f>
        <v>Data Missing</v>
      </c>
      <c r="J175" s="49" t="str">
        <f>IFERROR('NG Futures'!$H175*HR_High_Plant/1000,"Data Missing")</f>
        <v>Data Missing</v>
      </c>
      <c r="K175" s="52"/>
      <c r="L175" s="49" t="str">
        <f t="shared" ref="L175:M194" si="25">IFERROR(L163+IF(L163&gt;1,L163*BLS_Esc_Rate,-L163*BLS_Esc_Rate),"Data Missing")</f>
        <v>Data Missing</v>
      </c>
      <c r="M175" s="49" t="str">
        <f t="shared" si="25"/>
        <v>Data Missing</v>
      </c>
      <c r="N175" s="52"/>
      <c r="O175" s="53" t="str">
        <f t="shared" si="22"/>
        <v>Data Missing</v>
      </c>
      <c r="P175" s="53" t="str">
        <f t="shared" si="21"/>
        <v>Data Missing</v>
      </c>
    </row>
    <row r="176" spans="1:16" x14ac:dyDescent="0.25">
      <c r="A176" s="7">
        <v>174</v>
      </c>
      <c r="B176" s="46">
        <f t="shared" si="23"/>
        <v>49461</v>
      </c>
      <c r="C176" s="27" t="str">
        <f t="shared" si="18"/>
        <v>Jun</v>
      </c>
      <c r="D176" s="27">
        <f t="shared" si="19"/>
        <v>2035</v>
      </c>
      <c r="E176" s="27" t="str">
        <f>INDEX(Seasons,MATCH($C176,'General Inputs'!$B$21:$B$32,0),1)</f>
        <v>Summer</v>
      </c>
      <c r="H176" s="52"/>
      <c r="I176" s="49" t="str">
        <f>IFERROR('NG Futures'!$H176*HR_Low_Plant/1000,"Data Missing")</f>
        <v>Data Missing</v>
      </c>
      <c r="J176" s="49" t="str">
        <f>IFERROR('NG Futures'!$H176*HR_High_Plant/1000,"Data Missing")</f>
        <v>Data Missing</v>
      </c>
      <c r="K176" s="52"/>
      <c r="L176" s="49" t="str">
        <f t="shared" si="25"/>
        <v>Data Missing</v>
      </c>
      <c r="M176" s="49" t="str">
        <f t="shared" si="25"/>
        <v>Data Missing</v>
      </c>
      <c r="N176" s="52"/>
      <c r="O176" s="53" t="str">
        <f t="shared" si="22"/>
        <v>Data Missing</v>
      </c>
      <c r="P176" s="53" t="str">
        <f t="shared" si="21"/>
        <v>Data Missing</v>
      </c>
    </row>
    <row r="177" spans="1:16" x14ac:dyDescent="0.25">
      <c r="A177" s="7">
        <v>175</v>
      </c>
      <c r="B177" s="46">
        <f t="shared" si="23"/>
        <v>49491</v>
      </c>
      <c r="C177" s="27" t="str">
        <f t="shared" si="18"/>
        <v>Jul</v>
      </c>
      <c r="D177" s="27">
        <f t="shared" si="19"/>
        <v>2035</v>
      </c>
      <c r="E177" s="27" t="str">
        <f>INDEX(Seasons,MATCH($C177,'General Inputs'!$B$21:$B$32,0),1)</f>
        <v>Summer</v>
      </c>
      <c r="H177" s="52"/>
      <c r="I177" s="49" t="str">
        <f>IFERROR('NG Futures'!$H177*HR_Low_Plant/1000,"Data Missing")</f>
        <v>Data Missing</v>
      </c>
      <c r="J177" s="49" t="str">
        <f>IFERROR('NG Futures'!$H177*HR_High_Plant/1000,"Data Missing")</f>
        <v>Data Missing</v>
      </c>
      <c r="K177" s="52"/>
      <c r="L177" s="49" t="str">
        <f t="shared" si="25"/>
        <v>Data Missing</v>
      </c>
      <c r="M177" s="49" t="str">
        <f t="shared" si="25"/>
        <v>Data Missing</v>
      </c>
      <c r="N177" s="52"/>
      <c r="O177" s="53" t="str">
        <f t="shared" si="22"/>
        <v>Data Missing</v>
      </c>
      <c r="P177" s="53" t="str">
        <f t="shared" si="21"/>
        <v>Data Missing</v>
      </c>
    </row>
    <row r="178" spans="1:16" x14ac:dyDescent="0.25">
      <c r="A178" s="7">
        <v>176</v>
      </c>
      <c r="B178" s="46">
        <f t="shared" si="23"/>
        <v>49522</v>
      </c>
      <c r="C178" s="27" t="str">
        <f t="shared" si="18"/>
        <v>Aug</v>
      </c>
      <c r="D178" s="27">
        <f t="shared" si="19"/>
        <v>2035</v>
      </c>
      <c r="E178" s="27" t="str">
        <f>INDEX(Seasons,MATCH($C178,'General Inputs'!$B$21:$B$32,0),1)</f>
        <v>Summer</v>
      </c>
      <c r="H178" s="52"/>
      <c r="I178" s="49" t="str">
        <f>IFERROR('NG Futures'!$H178*HR_Low_Plant/1000,"Data Missing")</f>
        <v>Data Missing</v>
      </c>
      <c r="J178" s="49" t="str">
        <f>IFERROR('NG Futures'!$H178*HR_High_Plant/1000,"Data Missing")</f>
        <v>Data Missing</v>
      </c>
      <c r="K178" s="52"/>
      <c r="L178" s="49" t="str">
        <f t="shared" si="25"/>
        <v>Data Missing</v>
      </c>
      <c r="M178" s="49" t="str">
        <f t="shared" si="25"/>
        <v>Data Missing</v>
      </c>
      <c r="N178" s="52"/>
      <c r="O178" s="53" t="str">
        <f t="shared" si="22"/>
        <v>Data Missing</v>
      </c>
      <c r="P178" s="53" t="str">
        <f t="shared" si="21"/>
        <v>Data Missing</v>
      </c>
    </row>
    <row r="179" spans="1:16" x14ac:dyDescent="0.25">
      <c r="A179" s="7">
        <v>177</v>
      </c>
      <c r="B179" s="46">
        <f t="shared" si="23"/>
        <v>49553</v>
      </c>
      <c r="C179" s="27" t="str">
        <f t="shared" si="18"/>
        <v>Sep</v>
      </c>
      <c r="D179" s="27">
        <f t="shared" si="19"/>
        <v>2035</v>
      </c>
      <c r="E179" s="27" t="str">
        <f>INDEX(Seasons,MATCH($C179,'General Inputs'!$B$21:$B$32,0),1)</f>
        <v>Summer</v>
      </c>
      <c r="H179" s="52"/>
      <c r="I179" s="49" t="str">
        <f>IFERROR('NG Futures'!$H179*HR_Low_Plant/1000,"Data Missing")</f>
        <v>Data Missing</v>
      </c>
      <c r="J179" s="49" t="str">
        <f>IFERROR('NG Futures'!$H179*HR_High_Plant/1000,"Data Missing")</f>
        <v>Data Missing</v>
      </c>
      <c r="K179" s="52"/>
      <c r="L179" s="49" t="str">
        <f t="shared" si="25"/>
        <v>Data Missing</v>
      </c>
      <c r="M179" s="49" t="str">
        <f t="shared" si="25"/>
        <v>Data Missing</v>
      </c>
      <c r="N179" s="52"/>
      <c r="O179" s="53" t="str">
        <f t="shared" si="22"/>
        <v>Data Missing</v>
      </c>
      <c r="P179" s="53" t="str">
        <f t="shared" si="21"/>
        <v>Data Missing</v>
      </c>
    </row>
    <row r="180" spans="1:16" x14ac:dyDescent="0.25">
      <c r="A180" s="7">
        <v>178</v>
      </c>
      <c r="B180" s="46">
        <f t="shared" si="23"/>
        <v>49583</v>
      </c>
      <c r="C180" s="27" t="str">
        <f t="shared" si="18"/>
        <v>Oct</v>
      </c>
      <c r="D180" s="27">
        <f t="shared" si="19"/>
        <v>2035</v>
      </c>
      <c r="E180" s="27" t="str">
        <f>INDEX(Seasons,MATCH($C180,'General Inputs'!$B$21:$B$32,0),1)</f>
        <v>Shoulder</v>
      </c>
      <c r="H180" s="52"/>
      <c r="I180" s="49" t="str">
        <f>IFERROR('NG Futures'!$H180*HR_Low_Plant/1000,"Data Missing")</f>
        <v>Data Missing</v>
      </c>
      <c r="J180" s="49" t="str">
        <f>IFERROR('NG Futures'!$H180*HR_High_Plant/1000,"Data Missing")</f>
        <v>Data Missing</v>
      </c>
      <c r="K180" s="52"/>
      <c r="L180" s="49" t="str">
        <f t="shared" si="25"/>
        <v>Data Missing</v>
      </c>
      <c r="M180" s="49" t="str">
        <f t="shared" si="25"/>
        <v>Data Missing</v>
      </c>
      <c r="N180" s="52"/>
      <c r="O180" s="53" t="str">
        <f t="shared" si="22"/>
        <v>Data Missing</v>
      </c>
      <c r="P180" s="53" t="str">
        <f t="shared" si="21"/>
        <v>Data Missing</v>
      </c>
    </row>
    <row r="181" spans="1:16" x14ac:dyDescent="0.25">
      <c r="A181" s="7">
        <v>179</v>
      </c>
      <c r="B181" s="46">
        <f t="shared" si="23"/>
        <v>49614</v>
      </c>
      <c r="C181" s="27" t="str">
        <f t="shared" si="18"/>
        <v>Nov</v>
      </c>
      <c r="D181" s="27">
        <f t="shared" si="19"/>
        <v>2035</v>
      </c>
      <c r="E181" s="27" t="str">
        <f>INDEX(Seasons,MATCH($C181,'General Inputs'!$B$21:$B$32,0),1)</f>
        <v>Shoulder</v>
      </c>
      <c r="H181" s="52"/>
      <c r="I181" s="49" t="str">
        <f>IFERROR('NG Futures'!$H181*HR_Low_Plant/1000,"Data Missing")</f>
        <v>Data Missing</v>
      </c>
      <c r="J181" s="49" t="str">
        <f>IFERROR('NG Futures'!$H181*HR_High_Plant/1000,"Data Missing")</f>
        <v>Data Missing</v>
      </c>
      <c r="K181" s="52"/>
      <c r="L181" s="49" t="str">
        <f t="shared" si="25"/>
        <v>Data Missing</v>
      </c>
      <c r="M181" s="49" t="str">
        <f t="shared" si="25"/>
        <v>Data Missing</v>
      </c>
      <c r="N181" s="52"/>
      <c r="O181" s="53" t="str">
        <f t="shared" si="22"/>
        <v>Data Missing</v>
      </c>
      <c r="P181" s="53" t="str">
        <f t="shared" si="21"/>
        <v>Data Missing</v>
      </c>
    </row>
    <row r="182" spans="1:16" x14ac:dyDescent="0.25">
      <c r="A182" s="7">
        <v>180</v>
      </c>
      <c r="B182" s="46">
        <f t="shared" si="23"/>
        <v>49644</v>
      </c>
      <c r="C182" s="27" t="str">
        <f t="shared" si="18"/>
        <v>Dec</v>
      </c>
      <c r="D182" s="27">
        <f t="shared" si="19"/>
        <v>2035</v>
      </c>
      <c r="E182" s="27" t="str">
        <f>INDEX(Seasons,MATCH($C182,'General Inputs'!$B$21:$B$32,0),1)</f>
        <v>Winter</v>
      </c>
      <c r="H182" s="52"/>
      <c r="I182" s="49" t="str">
        <f>IFERROR('NG Futures'!$H182*HR_Low_Plant/1000,"Data Missing")</f>
        <v>Data Missing</v>
      </c>
      <c r="J182" s="49" t="str">
        <f>IFERROR('NG Futures'!$H182*HR_High_Plant/1000,"Data Missing")</f>
        <v>Data Missing</v>
      </c>
      <c r="K182" s="52"/>
      <c r="L182" s="49" t="str">
        <f t="shared" si="25"/>
        <v>Data Missing</v>
      </c>
      <c r="M182" s="49" t="str">
        <f t="shared" si="25"/>
        <v>Data Missing</v>
      </c>
      <c r="N182" s="52"/>
      <c r="O182" s="53" t="str">
        <f t="shared" si="22"/>
        <v>Data Missing</v>
      </c>
      <c r="P182" s="53" t="str">
        <f t="shared" si="21"/>
        <v>Data Missing</v>
      </c>
    </row>
    <row r="183" spans="1:16" x14ac:dyDescent="0.25">
      <c r="A183" s="7">
        <v>181</v>
      </c>
      <c r="B183" s="46">
        <f t="shared" si="23"/>
        <v>49675</v>
      </c>
      <c r="C183" s="27" t="str">
        <f t="shared" si="18"/>
        <v>Jan</v>
      </c>
      <c r="D183" s="27">
        <f t="shared" si="19"/>
        <v>2036</v>
      </c>
      <c r="E183" s="27" t="str">
        <f>INDEX(Seasons,MATCH($C183,'General Inputs'!$B$21:$B$32,0),1)</f>
        <v>Winter</v>
      </c>
      <c r="H183" s="52"/>
      <c r="I183" s="49" t="str">
        <f>IFERROR('NG Futures'!$H183*HR_Low_Plant/1000,"Data Missing")</f>
        <v>Data Missing</v>
      </c>
      <c r="J183" s="49" t="str">
        <f>IFERROR('NG Futures'!$H183*HR_High_Plant/1000,"Data Missing")</f>
        <v>Data Missing</v>
      </c>
      <c r="K183" s="52"/>
      <c r="L183" s="49" t="str">
        <f t="shared" si="25"/>
        <v>Data Missing</v>
      </c>
      <c r="M183" s="49" t="str">
        <f t="shared" si="25"/>
        <v>Data Missing</v>
      </c>
      <c r="N183" s="52"/>
      <c r="O183" s="53" t="str">
        <f t="shared" si="22"/>
        <v>Data Missing</v>
      </c>
      <c r="P183" s="53" t="str">
        <f t="shared" si="21"/>
        <v>Data Missing</v>
      </c>
    </row>
    <row r="184" spans="1:16" x14ac:dyDescent="0.25">
      <c r="A184" s="7">
        <v>182</v>
      </c>
      <c r="B184" s="46">
        <f t="shared" si="23"/>
        <v>49706</v>
      </c>
      <c r="C184" s="27" t="str">
        <f t="shared" si="18"/>
        <v>Feb</v>
      </c>
      <c r="D184" s="27">
        <f t="shared" si="19"/>
        <v>2036</v>
      </c>
      <c r="E184" s="27" t="str">
        <f>INDEX(Seasons,MATCH($C184,'General Inputs'!$B$21:$B$32,0),1)</f>
        <v>Winter</v>
      </c>
      <c r="H184" s="52"/>
      <c r="I184" s="49" t="str">
        <f>IFERROR('NG Futures'!$H184*HR_Low_Plant/1000,"Data Missing")</f>
        <v>Data Missing</v>
      </c>
      <c r="J184" s="49" t="str">
        <f>IFERROR('NG Futures'!$H184*HR_High_Plant/1000,"Data Missing")</f>
        <v>Data Missing</v>
      </c>
      <c r="K184" s="52"/>
      <c r="L184" s="49" t="str">
        <f t="shared" si="25"/>
        <v>Data Missing</v>
      </c>
      <c r="M184" s="49" t="str">
        <f t="shared" si="25"/>
        <v>Data Missing</v>
      </c>
      <c r="N184" s="52"/>
      <c r="O184" s="53" t="str">
        <f t="shared" si="22"/>
        <v>Data Missing</v>
      </c>
      <c r="P184" s="53" t="str">
        <f t="shared" si="21"/>
        <v>Data Missing</v>
      </c>
    </row>
    <row r="185" spans="1:16" x14ac:dyDescent="0.25">
      <c r="A185" s="7">
        <v>183</v>
      </c>
      <c r="B185" s="46">
        <f t="shared" si="23"/>
        <v>49735</v>
      </c>
      <c r="C185" s="27" t="str">
        <f t="shared" si="18"/>
        <v>Mar</v>
      </c>
      <c r="D185" s="27">
        <f t="shared" si="19"/>
        <v>2036</v>
      </c>
      <c r="E185" s="27" t="str">
        <f>INDEX(Seasons,MATCH($C185,'General Inputs'!$B$21:$B$32,0),1)</f>
        <v>Shoulder</v>
      </c>
      <c r="H185" s="52"/>
      <c r="I185" s="49" t="str">
        <f>IFERROR('NG Futures'!$H185*HR_Low_Plant/1000,"Data Missing")</f>
        <v>Data Missing</v>
      </c>
      <c r="J185" s="49" t="str">
        <f>IFERROR('NG Futures'!$H185*HR_High_Plant/1000,"Data Missing")</f>
        <v>Data Missing</v>
      </c>
      <c r="K185" s="52"/>
      <c r="L185" s="49" t="str">
        <f t="shared" si="25"/>
        <v>Data Missing</v>
      </c>
      <c r="M185" s="49" t="str">
        <f t="shared" si="25"/>
        <v>Data Missing</v>
      </c>
      <c r="N185" s="52"/>
      <c r="O185" s="53" t="str">
        <f t="shared" si="22"/>
        <v>Data Missing</v>
      </c>
      <c r="P185" s="53" t="str">
        <f t="shared" si="21"/>
        <v>Data Missing</v>
      </c>
    </row>
    <row r="186" spans="1:16" x14ac:dyDescent="0.25">
      <c r="A186" s="7">
        <v>184</v>
      </c>
      <c r="B186" s="46">
        <f t="shared" si="23"/>
        <v>49766</v>
      </c>
      <c r="C186" s="27" t="str">
        <f t="shared" si="18"/>
        <v>Apr</v>
      </c>
      <c r="D186" s="27">
        <f t="shared" si="19"/>
        <v>2036</v>
      </c>
      <c r="E186" s="27" t="str">
        <f>INDEX(Seasons,MATCH($C186,'General Inputs'!$B$21:$B$32,0),1)</f>
        <v>Shoulder</v>
      </c>
      <c r="H186" s="52"/>
      <c r="I186" s="49" t="str">
        <f>IFERROR('NG Futures'!$H186*HR_Low_Plant/1000,"Data Missing")</f>
        <v>Data Missing</v>
      </c>
      <c r="J186" s="49" t="str">
        <f>IFERROR('NG Futures'!$H186*HR_High_Plant/1000,"Data Missing")</f>
        <v>Data Missing</v>
      </c>
      <c r="K186" s="52"/>
      <c r="L186" s="49" t="str">
        <f t="shared" si="25"/>
        <v>Data Missing</v>
      </c>
      <c r="M186" s="49" t="str">
        <f t="shared" si="25"/>
        <v>Data Missing</v>
      </c>
      <c r="N186" s="52"/>
      <c r="O186" s="53" t="str">
        <f t="shared" si="22"/>
        <v>Data Missing</v>
      </c>
      <c r="P186" s="53" t="str">
        <f t="shared" si="21"/>
        <v>Data Missing</v>
      </c>
    </row>
    <row r="187" spans="1:16" x14ac:dyDescent="0.25">
      <c r="A187" s="7">
        <v>185</v>
      </c>
      <c r="B187" s="46">
        <f t="shared" si="23"/>
        <v>49796</v>
      </c>
      <c r="C187" s="27" t="str">
        <f t="shared" si="18"/>
        <v>May</v>
      </c>
      <c r="D187" s="27">
        <f t="shared" si="19"/>
        <v>2036</v>
      </c>
      <c r="E187" s="27" t="str">
        <f>INDEX(Seasons,MATCH($C187,'General Inputs'!$B$21:$B$32,0),1)</f>
        <v>Summer</v>
      </c>
      <c r="H187" s="52"/>
      <c r="I187" s="49" t="str">
        <f>IFERROR('NG Futures'!$H187*HR_Low_Plant/1000,"Data Missing")</f>
        <v>Data Missing</v>
      </c>
      <c r="J187" s="49" t="str">
        <f>IFERROR('NG Futures'!$H187*HR_High_Plant/1000,"Data Missing")</f>
        <v>Data Missing</v>
      </c>
      <c r="K187" s="52"/>
      <c r="L187" s="49" t="str">
        <f t="shared" si="25"/>
        <v>Data Missing</v>
      </c>
      <c r="M187" s="49" t="str">
        <f t="shared" si="25"/>
        <v>Data Missing</v>
      </c>
      <c r="N187" s="52"/>
      <c r="O187" s="53" t="str">
        <f t="shared" si="22"/>
        <v>Data Missing</v>
      </c>
      <c r="P187" s="53" t="str">
        <f t="shared" si="21"/>
        <v>Data Missing</v>
      </c>
    </row>
    <row r="188" spans="1:16" x14ac:dyDescent="0.25">
      <c r="A188" s="7">
        <v>186</v>
      </c>
      <c r="B188" s="46">
        <f t="shared" si="23"/>
        <v>49827</v>
      </c>
      <c r="C188" s="27" t="str">
        <f t="shared" si="18"/>
        <v>Jun</v>
      </c>
      <c r="D188" s="27">
        <f t="shared" si="19"/>
        <v>2036</v>
      </c>
      <c r="E188" s="27" t="str">
        <f>INDEX(Seasons,MATCH($C188,'General Inputs'!$B$21:$B$32,0),1)</f>
        <v>Summer</v>
      </c>
      <c r="H188" s="52"/>
      <c r="I188" s="49" t="str">
        <f>IFERROR('NG Futures'!$H188*HR_Low_Plant/1000,"Data Missing")</f>
        <v>Data Missing</v>
      </c>
      <c r="J188" s="49" t="str">
        <f>IFERROR('NG Futures'!$H188*HR_High_Plant/1000,"Data Missing")</f>
        <v>Data Missing</v>
      </c>
      <c r="K188" s="52"/>
      <c r="L188" s="49" t="str">
        <f t="shared" si="25"/>
        <v>Data Missing</v>
      </c>
      <c r="M188" s="49" t="str">
        <f t="shared" si="25"/>
        <v>Data Missing</v>
      </c>
      <c r="N188" s="52"/>
      <c r="O188" s="53" t="str">
        <f t="shared" si="22"/>
        <v>Data Missing</v>
      </c>
      <c r="P188" s="53" t="str">
        <f t="shared" si="21"/>
        <v>Data Missing</v>
      </c>
    </row>
    <row r="189" spans="1:16" x14ac:dyDescent="0.25">
      <c r="A189" s="7">
        <v>187</v>
      </c>
      <c r="B189" s="46">
        <f t="shared" si="23"/>
        <v>49857</v>
      </c>
      <c r="C189" s="27" t="str">
        <f t="shared" si="18"/>
        <v>Jul</v>
      </c>
      <c r="D189" s="27">
        <f t="shared" si="19"/>
        <v>2036</v>
      </c>
      <c r="E189" s="27" t="str">
        <f>INDEX(Seasons,MATCH($C189,'General Inputs'!$B$21:$B$32,0),1)</f>
        <v>Summer</v>
      </c>
      <c r="H189" s="52"/>
      <c r="I189" s="49" t="str">
        <f>IFERROR('NG Futures'!$H189*HR_Low_Plant/1000,"Data Missing")</f>
        <v>Data Missing</v>
      </c>
      <c r="J189" s="49" t="str">
        <f>IFERROR('NG Futures'!$H189*HR_High_Plant/1000,"Data Missing")</f>
        <v>Data Missing</v>
      </c>
      <c r="K189" s="52"/>
      <c r="L189" s="49" t="str">
        <f t="shared" si="25"/>
        <v>Data Missing</v>
      </c>
      <c r="M189" s="49" t="str">
        <f t="shared" si="25"/>
        <v>Data Missing</v>
      </c>
      <c r="N189" s="52"/>
      <c r="O189" s="53" t="str">
        <f t="shared" si="22"/>
        <v>Data Missing</v>
      </c>
      <c r="P189" s="53" t="str">
        <f t="shared" si="21"/>
        <v>Data Missing</v>
      </c>
    </row>
    <row r="190" spans="1:16" x14ac:dyDescent="0.25">
      <c r="A190" s="7">
        <v>188</v>
      </c>
      <c r="B190" s="46">
        <f t="shared" si="23"/>
        <v>49888</v>
      </c>
      <c r="C190" s="27" t="str">
        <f t="shared" si="18"/>
        <v>Aug</v>
      </c>
      <c r="D190" s="27">
        <f t="shared" si="19"/>
        <v>2036</v>
      </c>
      <c r="E190" s="27" t="str">
        <f>INDEX(Seasons,MATCH($C190,'General Inputs'!$B$21:$B$32,0),1)</f>
        <v>Summer</v>
      </c>
      <c r="H190" s="52"/>
      <c r="I190" s="49" t="str">
        <f>IFERROR('NG Futures'!$H190*HR_Low_Plant/1000,"Data Missing")</f>
        <v>Data Missing</v>
      </c>
      <c r="J190" s="49" t="str">
        <f>IFERROR('NG Futures'!$H190*HR_High_Plant/1000,"Data Missing")</f>
        <v>Data Missing</v>
      </c>
      <c r="K190" s="52"/>
      <c r="L190" s="49" t="str">
        <f t="shared" si="25"/>
        <v>Data Missing</v>
      </c>
      <c r="M190" s="49" t="str">
        <f t="shared" si="25"/>
        <v>Data Missing</v>
      </c>
      <c r="N190" s="52"/>
      <c r="O190" s="53" t="str">
        <f t="shared" si="22"/>
        <v>Data Missing</v>
      </c>
      <c r="P190" s="53" t="str">
        <f t="shared" si="21"/>
        <v>Data Missing</v>
      </c>
    </row>
    <row r="191" spans="1:16" x14ac:dyDescent="0.25">
      <c r="A191" s="7">
        <v>189</v>
      </c>
      <c r="B191" s="46">
        <f t="shared" si="23"/>
        <v>49919</v>
      </c>
      <c r="C191" s="27" t="str">
        <f t="shared" si="18"/>
        <v>Sep</v>
      </c>
      <c r="D191" s="27">
        <f t="shared" si="19"/>
        <v>2036</v>
      </c>
      <c r="E191" s="27" t="str">
        <f>INDEX(Seasons,MATCH($C191,'General Inputs'!$B$21:$B$32,0),1)</f>
        <v>Summer</v>
      </c>
      <c r="H191" s="52"/>
      <c r="I191" s="49" t="str">
        <f>IFERROR('NG Futures'!$H191*HR_Low_Plant/1000,"Data Missing")</f>
        <v>Data Missing</v>
      </c>
      <c r="J191" s="49" t="str">
        <f>IFERROR('NG Futures'!$H191*HR_High_Plant/1000,"Data Missing")</f>
        <v>Data Missing</v>
      </c>
      <c r="K191" s="52"/>
      <c r="L191" s="49" t="str">
        <f t="shared" si="25"/>
        <v>Data Missing</v>
      </c>
      <c r="M191" s="49" t="str">
        <f t="shared" si="25"/>
        <v>Data Missing</v>
      </c>
      <c r="N191" s="52"/>
      <c r="O191" s="53" t="str">
        <f t="shared" si="22"/>
        <v>Data Missing</v>
      </c>
      <c r="P191" s="53" t="str">
        <f t="shared" si="21"/>
        <v>Data Missing</v>
      </c>
    </row>
    <row r="192" spans="1:16" x14ac:dyDescent="0.25">
      <c r="A192" s="7">
        <v>190</v>
      </c>
      <c r="B192" s="46">
        <f t="shared" si="23"/>
        <v>49949</v>
      </c>
      <c r="C192" s="27" t="str">
        <f t="shared" si="18"/>
        <v>Oct</v>
      </c>
      <c r="D192" s="27">
        <f t="shared" si="19"/>
        <v>2036</v>
      </c>
      <c r="E192" s="27" t="str">
        <f>INDEX(Seasons,MATCH($C192,'General Inputs'!$B$21:$B$32,0),1)</f>
        <v>Shoulder</v>
      </c>
      <c r="H192" s="52"/>
      <c r="I192" s="49" t="str">
        <f>IFERROR('NG Futures'!$H192*HR_Low_Plant/1000,"Data Missing")</f>
        <v>Data Missing</v>
      </c>
      <c r="J192" s="49" t="str">
        <f>IFERROR('NG Futures'!$H192*HR_High_Plant/1000,"Data Missing")</f>
        <v>Data Missing</v>
      </c>
      <c r="K192" s="52"/>
      <c r="L192" s="49" t="str">
        <f t="shared" si="25"/>
        <v>Data Missing</v>
      </c>
      <c r="M192" s="49" t="str">
        <f t="shared" si="25"/>
        <v>Data Missing</v>
      </c>
      <c r="N192" s="52"/>
      <c r="O192" s="53" t="str">
        <f t="shared" si="22"/>
        <v>Data Missing</v>
      </c>
      <c r="P192" s="53" t="str">
        <f t="shared" si="21"/>
        <v>Data Missing</v>
      </c>
    </row>
    <row r="193" spans="1:16" x14ac:dyDescent="0.25">
      <c r="A193" s="7">
        <v>191</v>
      </c>
      <c r="B193" s="46">
        <f t="shared" si="23"/>
        <v>49980</v>
      </c>
      <c r="C193" s="27" t="str">
        <f t="shared" si="18"/>
        <v>Nov</v>
      </c>
      <c r="D193" s="27">
        <f t="shared" si="19"/>
        <v>2036</v>
      </c>
      <c r="E193" s="27" t="str">
        <f>INDEX(Seasons,MATCH($C193,'General Inputs'!$B$21:$B$32,0),1)</f>
        <v>Shoulder</v>
      </c>
      <c r="H193" s="52"/>
      <c r="I193" s="49" t="str">
        <f>IFERROR('NG Futures'!$H193*HR_Low_Plant/1000,"Data Missing")</f>
        <v>Data Missing</v>
      </c>
      <c r="J193" s="49" t="str">
        <f>IFERROR('NG Futures'!$H193*HR_High_Plant/1000,"Data Missing")</f>
        <v>Data Missing</v>
      </c>
      <c r="K193" s="52"/>
      <c r="L193" s="49" t="str">
        <f t="shared" si="25"/>
        <v>Data Missing</v>
      </c>
      <c r="M193" s="49" t="str">
        <f t="shared" si="25"/>
        <v>Data Missing</v>
      </c>
      <c r="N193" s="52"/>
      <c r="O193" s="53" t="str">
        <f t="shared" si="22"/>
        <v>Data Missing</v>
      </c>
      <c r="P193" s="53" t="str">
        <f t="shared" si="21"/>
        <v>Data Missing</v>
      </c>
    </row>
    <row r="194" spans="1:16" x14ac:dyDescent="0.25">
      <c r="A194" s="7">
        <v>192</v>
      </c>
      <c r="B194" s="46">
        <f t="shared" si="23"/>
        <v>50010</v>
      </c>
      <c r="C194" s="27" t="str">
        <f t="shared" si="18"/>
        <v>Dec</v>
      </c>
      <c r="D194" s="27">
        <f t="shared" si="19"/>
        <v>2036</v>
      </c>
      <c r="E194" s="27" t="str">
        <f>INDEX(Seasons,MATCH($C194,'General Inputs'!$B$21:$B$32,0),1)</f>
        <v>Winter</v>
      </c>
      <c r="H194" s="52"/>
      <c r="I194" s="49" t="str">
        <f>IFERROR('NG Futures'!$H194*HR_Low_Plant/1000,"Data Missing")</f>
        <v>Data Missing</v>
      </c>
      <c r="J194" s="49" t="str">
        <f>IFERROR('NG Futures'!$H194*HR_High_Plant/1000,"Data Missing")</f>
        <v>Data Missing</v>
      </c>
      <c r="K194" s="52"/>
      <c r="L194" s="49" t="str">
        <f t="shared" si="25"/>
        <v>Data Missing</v>
      </c>
      <c r="M194" s="49" t="str">
        <f t="shared" si="25"/>
        <v>Data Missing</v>
      </c>
      <c r="N194" s="52"/>
      <c r="O194" s="53" t="str">
        <f t="shared" si="22"/>
        <v>Data Missing</v>
      </c>
      <c r="P194" s="53" t="str">
        <f t="shared" si="21"/>
        <v>Data Missing</v>
      </c>
    </row>
    <row r="195" spans="1:16" x14ac:dyDescent="0.25">
      <c r="A195" s="7">
        <v>193</v>
      </c>
      <c r="B195" s="46">
        <f t="shared" si="23"/>
        <v>50041</v>
      </c>
      <c r="C195" s="27" t="str">
        <f t="shared" si="18"/>
        <v>Jan</v>
      </c>
      <c r="D195" s="27">
        <f t="shared" si="19"/>
        <v>2037</v>
      </c>
      <c r="E195" s="27" t="str">
        <f>INDEX(Seasons,MATCH($C195,'General Inputs'!$B$21:$B$32,0),1)</f>
        <v>Winter</v>
      </c>
      <c r="H195" s="52"/>
      <c r="I195" s="49" t="str">
        <f>IFERROR('NG Futures'!$H195*HR_Low_Plant/1000,"Data Missing")</f>
        <v>Data Missing</v>
      </c>
      <c r="J195" s="49" t="str">
        <f>IFERROR('NG Futures'!$H195*HR_High_Plant/1000,"Data Missing")</f>
        <v>Data Missing</v>
      </c>
      <c r="K195" s="52"/>
      <c r="L195" s="49" t="str">
        <f t="shared" ref="L195:M214" si="26">IFERROR(L183+IF(L183&gt;1,L183*BLS_Esc_Rate,-L183*BLS_Esc_Rate),"Data Missing")</f>
        <v>Data Missing</v>
      </c>
      <c r="M195" s="49" t="str">
        <f t="shared" si="26"/>
        <v>Data Missing</v>
      </c>
      <c r="N195" s="52"/>
      <c r="O195" s="53" t="str">
        <f t="shared" si="22"/>
        <v>Data Missing</v>
      </c>
      <c r="P195" s="53" t="str">
        <f t="shared" si="21"/>
        <v>Data Missing</v>
      </c>
    </row>
    <row r="196" spans="1:16" x14ac:dyDescent="0.25">
      <c r="A196" s="7">
        <v>194</v>
      </c>
      <c r="B196" s="46">
        <f t="shared" si="23"/>
        <v>50072</v>
      </c>
      <c r="C196" s="27" t="str">
        <f t="shared" ref="C196:C259" si="27">CHOOSE(MONTH(B196), "Jan", "Feb", "Mar", "Apr", "May", "Jun", "Jul", "Aug", "Sep", "Oct", "Nov", "Dec")</f>
        <v>Feb</v>
      </c>
      <c r="D196" s="27">
        <f t="shared" ref="D196:D259" si="28">YEAR(B196)</f>
        <v>2037</v>
      </c>
      <c r="E196" s="27" t="str">
        <f>INDEX(Seasons,MATCH($C196,'General Inputs'!$B$21:$B$32,0),1)</f>
        <v>Winter</v>
      </c>
      <c r="H196" s="52"/>
      <c r="I196" s="49" t="str">
        <f>IFERROR('NG Futures'!$H196*HR_Low_Plant/1000,"Data Missing")</f>
        <v>Data Missing</v>
      </c>
      <c r="J196" s="49" t="str">
        <f>IFERROR('NG Futures'!$H196*HR_High_Plant/1000,"Data Missing")</f>
        <v>Data Missing</v>
      </c>
      <c r="K196" s="52"/>
      <c r="L196" s="49" t="str">
        <f t="shared" si="26"/>
        <v>Data Missing</v>
      </c>
      <c r="M196" s="49" t="str">
        <f t="shared" si="26"/>
        <v>Data Missing</v>
      </c>
      <c r="N196" s="52"/>
      <c r="O196" s="53" t="str">
        <f t="shared" si="22"/>
        <v>Data Missing</v>
      </c>
      <c r="P196" s="53" t="str">
        <f t="shared" si="21"/>
        <v>Data Missing</v>
      </c>
    </row>
    <row r="197" spans="1:16" x14ac:dyDescent="0.25">
      <c r="A197" s="7">
        <v>195</v>
      </c>
      <c r="B197" s="46">
        <f t="shared" si="23"/>
        <v>50100</v>
      </c>
      <c r="C197" s="27" t="str">
        <f t="shared" si="27"/>
        <v>Mar</v>
      </c>
      <c r="D197" s="27">
        <f t="shared" si="28"/>
        <v>2037</v>
      </c>
      <c r="E197" s="27" t="str">
        <f>INDEX(Seasons,MATCH($C197,'General Inputs'!$B$21:$B$32,0),1)</f>
        <v>Shoulder</v>
      </c>
      <c r="H197" s="52"/>
      <c r="I197" s="49" t="str">
        <f>IFERROR('NG Futures'!$H197*HR_Low_Plant/1000,"Data Missing")</f>
        <v>Data Missing</v>
      </c>
      <c r="J197" s="49" t="str">
        <f>IFERROR('NG Futures'!$H197*HR_High_Plant/1000,"Data Missing")</f>
        <v>Data Missing</v>
      </c>
      <c r="K197" s="52"/>
      <c r="L197" s="49" t="str">
        <f t="shared" si="26"/>
        <v>Data Missing</v>
      </c>
      <c r="M197" s="49" t="str">
        <f t="shared" si="26"/>
        <v>Data Missing</v>
      </c>
      <c r="N197" s="52"/>
      <c r="O197" s="53" t="str">
        <f t="shared" si="22"/>
        <v>Data Missing</v>
      </c>
      <c r="P197" s="53" t="str">
        <f t="shared" si="21"/>
        <v>Data Missing</v>
      </c>
    </row>
    <row r="198" spans="1:16" x14ac:dyDescent="0.25">
      <c r="A198" s="7">
        <v>196</v>
      </c>
      <c r="B198" s="46">
        <f t="shared" si="23"/>
        <v>50131</v>
      </c>
      <c r="C198" s="27" t="str">
        <f t="shared" si="27"/>
        <v>Apr</v>
      </c>
      <c r="D198" s="27">
        <f t="shared" si="28"/>
        <v>2037</v>
      </c>
      <c r="E198" s="27" t="str">
        <f>INDEX(Seasons,MATCH($C198,'General Inputs'!$B$21:$B$32,0),1)</f>
        <v>Shoulder</v>
      </c>
      <c r="H198" s="52"/>
      <c r="I198" s="49" t="str">
        <f>IFERROR('NG Futures'!$H198*HR_Low_Plant/1000,"Data Missing")</f>
        <v>Data Missing</v>
      </c>
      <c r="J198" s="49" t="str">
        <f>IFERROR('NG Futures'!$H198*HR_High_Plant/1000,"Data Missing")</f>
        <v>Data Missing</v>
      </c>
      <c r="K198" s="52"/>
      <c r="L198" s="49" t="str">
        <f t="shared" si="26"/>
        <v>Data Missing</v>
      </c>
      <c r="M198" s="49" t="str">
        <f t="shared" si="26"/>
        <v>Data Missing</v>
      </c>
      <c r="N198" s="52"/>
      <c r="O198" s="53" t="str">
        <f t="shared" si="22"/>
        <v>Data Missing</v>
      </c>
      <c r="P198" s="53" t="str">
        <f t="shared" si="21"/>
        <v>Data Missing</v>
      </c>
    </row>
    <row r="199" spans="1:16" x14ac:dyDescent="0.25">
      <c r="A199" s="7">
        <v>197</v>
      </c>
      <c r="B199" s="46">
        <f t="shared" si="23"/>
        <v>50161</v>
      </c>
      <c r="C199" s="27" t="str">
        <f t="shared" si="27"/>
        <v>May</v>
      </c>
      <c r="D199" s="27">
        <f t="shared" si="28"/>
        <v>2037</v>
      </c>
      <c r="E199" s="27" t="str">
        <f>INDEX(Seasons,MATCH($C199,'General Inputs'!$B$21:$B$32,0),1)</f>
        <v>Summer</v>
      </c>
      <c r="H199" s="52"/>
      <c r="I199" s="49" t="str">
        <f>IFERROR('NG Futures'!$H199*HR_Low_Plant/1000,"Data Missing")</f>
        <v>Data Missing</v>
      </c>
      <c r="J199" s="49" t="str">
        <f>IFERROR('NG Futures'!$H199*HR_High_Plant/1000,"Data Missing")</f>
        <v>Data Missing</v>
      </c>
      <c r="K199" s="52"/>
      <c r="L199" s="49" t="str">
        <f t="shared" si="26"/>
        <v>Data Missing</v>
      </c>
      <c r="M199" s="49" t="str">
        <f t="shared" si="26"/>
        <v>Data Missing</v>
      </c>
      <c r="N199" s="52"/>
      <c r="O199" s="53" t="str">
        <f t="shared" si="22"/>
        <v>Data Missing</v>
      </c>
      <c r="P199" s="53" t="str">
        <f t="shared" ref="P199:P262" si="29">IFERROR(J199+M199,"Data Missing")</f>
        <v>Data Missing</v>
      </c>
    </row>
    <row r="200" spans="1:16" x14ac:dyDescent="0.25">
      <c r="A200" s="7">
        <v>198</v>
      </c>
      <c r="B200" s="46">
        <f t="shared" si="23"/>
        <v>50192</v>
      </c>
      <c r="C200" s="27" t="str">
        <f t="shared" si="27"/>
        <v>Jun</v>
      </c>
      <c r="D200" s="27">
        <f t="shared" si="28"/>
        <v>2037</v>
      </c>
      <c r="E200" s="27" t="str">
        <f>INDEX(Seasons,MATCH($C200,'General Inputs'!$B$21:$B$32,0),1)</f>
        <v>Summer</v>
      </c>
      <c r="H200" s="52"/>
      <c r="I200" s="49" t="str">
        <f>IFERROR('NG Futures'!$H200*HR_Low_Plant/1000,"Data Missing")</f>
        <v>Data Missing</v>
      </c>
      <c r="J200" s="49" t="str">
        <f>IFERROR('NG Futures'!$H200*HR_High_Plant/1000,"Data Missing")</f>
        <v>Data Missing</v>
      </c>
      <c r="K200" s="52"/>
      <c r="L200" s="49" t="str">
        <f t="shared" si="26"/>
        <v>Data Missing</v>
      </c>
      <c r="M200" s="49" t="str">
        <f t="shared" si="26"/>
        <v>Data Missing</v>
      </c>
      <c r="N200" s="52"/>
      <c r="O200" s="53" t="str">
        <f t="shared" ref="O200:O263" si="30">IFERROR(I200+L200,"Data Missing")</f>
        <v>Data Missing</v>
      </c>
      <c r="P200" s="53" t="str">
        <f t="shared" si="29"/>
        <v>Data Missing</v>
      </c>
    </row>
    <row r="201" spans="1:16" x14ac:dyDescent="0.25">
      <c r="A201" s="7">
        <v>199</v>
      </c>
      <c r="B201" s="46">
        <f t="shared" si="23"/>
        <v>50222</v>
      </c>
      <c r="C201" s="27" t="str">
        <f t="shared" si="27"/>
        <v>Jul</v>
      </c>
      <c r="D201" s="27">
        <f t="shared" si="28"/>
        <v>2037</v>
      </c>
      <c r="E201" s="27" t="str">
        <f>INDEX(Seasons,MATCH($C201,'General Inputs'!$B$21:$B$32,0),1)</f>
        <v>Summer</v>
      </c>
      <c r="H201" s="52"/>
      <c r="I201" s="49" t="str">
        <f>IFERROR('NG Futures'!$H201*HR_Low_Plant/1000,"Data Missing")</f>
        <v>Data Missing</v>
      </c>
      <c r="J201" s="49" t="str">
        <f>IFERROR('NG Futures'!$H201*HR_High_Plant/1000,"Data Missing")</f>
        <v>Data Missing</v>
      </c>
      <c r="K201" s="52"/>
      <c r="L201" s="49" t="str">
        <f t="shared" si="26"/>
        <v>Data Missing</v>
      </c>
      <c r="M201" s="49" t="str">
        <f t="shared" si="26"/>
        <v>Data Missing</v>
      </c>
      <c r="N201" s="52"/>
      <c r="O201" s="53" t="str">
        <f t="shared" si="30"/>
        <v>Data Missing</v>
      </c>
      <c r="P201" s="53" t="str">
        <f t="shared" si="29"/>
        <v>Data Missing</v>
      </c>
    </row>
    <row r="202" spans="1:16" x14ac:dyDescent="0.25">
      <c r="A202" s="7">
        <v>200</v>
      </c>
      <c r="B202" s="46">
        <f t="shared" si="23"/>
        <v>50253</v>
      </c>
      <c r="C202" s="27" t="str">
        <f t="shared" si="27"/>
        <v>Aug</v>
      </c>
      <c r="D202" s="27">
        <f t="shared" si="28"/>
        <v>2037</v>
      </c>
      <c r="E202" s="27" t="str">
        <f>INDEX(Seasons,MATCH($C202,'General Inputs'!$B$21:$B$32,0),1)</f>
        <v>Summer</v>
      </c>
      <c r="H202" s="52"/>
      <c r="I202" s="49" t="str">
        <f>IFERROR('NG Futures'!$H202*HR_Low_Plant/1000,"Data Missing")</f>
        <v>Data Missing</v>
      </c>
      <c r="J202" s="49" t="str">
        <f>IFERROR('NG Futures'!$H202*HR_High_Plant/1000,"Data Missing")</f>
        <v>Data Missing</v>
      </c>
      <c r="K202" s="52"/>
      <c r="L202" s="49" t="str">
        <f t="shared" si="26"/>
        <v>Data Missing</v>
      </c>
      <c r="M202" s="49" t="str">
        <f t="shared" si="26"/>
        <v>Data Missing</v>
      </c>
      <c r="N202" s="52"/>
      <c r="O202" s="53" t="str">
        <f t="shared" si="30"/>
        <v>Data Missing</v>
      </c>
      <c r="P202" s="53" t="str">
        <f t="shared" si="29"/>
        <v>Data Missing</v>
      </c>
    </row>
    <row r="203" spans="1:16" x14ac:dyDescent="0.25">
      <c r="A203" s="7">
        <v>201</v>
      </c>
      <c r="B203" s="46">
        <f t="shared" ref="B203:B266" si="31">DATE(Start_Year-1,A203,1)</f>
        <v>50284</v>
      </c>
      <c r="C203" s="27" t="str">
        <f t="shared" si="27"/>
        <v>Sep</v>
      </c>
      <c r="D203" s="27">
        <f t="shared" si="28"/>
        <v>2037</v>
      </c>
      <c r="E203" s="27" t="str">
        <f>INDEX(Seasons,MATCH($C203,'General Inputs'!$B$21:$B$32,0),1)</f>
        <v>Summer</v>
      </c>
      <c r="H203" s="52"/>
      <c r="I203" s="49" t="str">
        <f>IFERROR('NG Futures'!$H203*HR_Low_Plant/1000,"Data Missing")</f>
        <v>Data Missing</v>
      </c>
      <c r="J203" s="49" t="str">
        <f>IFERROR('NG Futures'!$H203*HR_High_Plant/1000,"Data Missing")</f>
        <v>Data Missing</v>
      </c>
      <c r="K203" s="52"/>
      <c r="L203" s="49" t="str">
        <f t="shared" si="26"/>
        <v>Data Missing</v>
      </c>
      <c r="M203" s="49" t="str">
        <f t="shared" si="26"/>
        <v>Data Missing</v>
      </c>
      <c r="N203" s="52"/>
      <c r="O203" s="53" t="str">
        <f t="shared" si="30"/>
        <v>Data Missing</v>
      </c>
      <c r="P203" s="53" t="str">
        <f t="shared" si="29"/>
        <v>Data Missing</v>
      </c>
    </row>
    <row r="204" spans="1:16" x14ac:dyDescent="0.25">
      <c r="A204" s="7">
        <v>202</v>
      </c>
      <c r="B204" s="46">
        <f t="shared" si="31"/>
        <v>50314</v>
      </c>
      <c r="C204" s="27" t="str">
        <f t="shared" si="27"/>
        <v>Oct</v>
      </c>
      <c r="D204" s="27">
        <f t="shared" si="28"/>
        <v>2037</v>
      </c>
      <c r="E204" s="27" t="str">
        <f>INDEX(Seasons,MATCH($C204,'General Inputs'!$B$21:$B$32,0),1)</f>
        <v>Shoulder</v>
      </c>
      <c r="H204" s="52"/>
      <c r="I204" s="49" t="str">
        <f>IFERROR('NG Futures'!$H204*HR_Low_Plant/1000,"Data Missing")</f>
        <v>Data Missing</v>
      </c>
      <c r="J204" s="49" t="str">
        <f>IFERROR('NG Futures'!$H204*HR_High_Plant/1000,"Data Missing")</f>
        <v>Data Missing</v>
      </c>
      <c r="K204" s="52"/>
      <c r="L204" s="49" t="str">
        <f t="shared" si="26"/>
        <v>Data Missing</v>
      </c>
      <c r="M204" s="49" t="str">
        <f t="shared" si="26"/>
        <v>Data Missing</v>
      </c>
      <c r="N204" s="52"/>
      <c r="O204" s="53" t="str">
        <f t="shared" si="30"/>
        <v>Data Missing</v>
      </c>
      <c r="P204" s="53" t="str">
        <f t="shared" si="29"/>
        <v>Data Missing</v>
      </c>
    </row>
    <row r="205" spans="1:16" x14ac:dyDescent="0.25">
      <c r="A205" s="7">
        <v>203</v>
      </c>
      <c r="B205" s="46">
        <f t="shared" si="31"/>
        <v>50345</v>
      </c>
      <c r="C205" s="27" t="str">
        <f t="shared" si="27"/>
        <v>Nov</v>
      </c>
      <c r="D205" s="27">
        <f t="shared" si="28"/>
        <v>2037</v>
      </c>
      <c r="E205" s="27" t="str">
        <f>INDEX(Seasons,MATCH($C205,'General Inputs'!$B$21:$B$32,0),1)</f>
        <v>Shoulder</v>
      </c>
      <c r="H205" s="52"/>
      <c r="I205" s="49" t="str">
        <f>IFERROR('NG Futures'!$H205*HR_Low_Plant/1000,"Data Missing")</f>
        <v>Data Missing</v>
      </c>
      <c r="J205" s="49" t="str">
        <f>IFERROR('NG Futures'!$H205*HR_High_Plant/1000,"Data Missing")</f>
        <v>Data Missing</v>
      </c>
      <c r="K205" s="52"/>
      <c r="L205" s="49" t="str">
        <f t="shared" si="26"/>
        <v>Data Missing</v>
      </c>
      <c r="M205" s="49" t="str">
        <f t="shared" si="26"/>
        <v>Data Missing</v>
      </c>
      <c r="N205" s="52"/>
      <c r="O205" s="53" t="str">
        <f t="shared" si="30"/>
        <v>Data Missing</v>
      </c>
      <c r="P205" s="53" t="str">
        <f t="shared" si="29"/>
        <v>Data Missing</v>
      </c>
    </row>
    <row r="206" spans="1:16" x14ac:dyDescent="0.25">
      <c r="A206" s="7">
        <v>204</v>
      </c>
      <c r="B206" s="46">
        <f t="shared" si="31"/>
        <v>50375</v>
      </c>
      <c r="C206" s="27" t="str">
        <f t="shared" si="27"/>
        <v>Dec</v>
      </c>
      <c r="D206" s="27">
        <f t="shared" si="28"/>
        <v>2037</v>
      </c>
      <c r="E206" s="27" t="str">
        <f>INDEX(Seasons,MATCH($C206,'General Inputs'!$B$21:$B$32,0),1)</f>
        <v>Winter</v>
      </c>
      <c r="H206" s="52"/>
      <c r="I206" s="49" t="str">
        <f>IFERROR('NG Futures'!$H206*HR_Low_Plant/1000,"Data Missing")</f>
        <v>Data Missing</v>
      </c>
      <c r="J206" s="49" t="str">
        <f>IFERROR('NG Futures'!$H206*HR_High_Plant/1000,"Data Missing")</f>
        <v>Data Missing</v>
      </c>
      <c r="K206" s="52"/>
      <c r="L206" s="49" t="str">
        <f t="shared" si="26"/>
        <v>Data Missing</v>
      </c>
      <c r="M206" s="49" t="str">
        <f t="shared" si="26"/>
        <v>Data Missing</v>
      </c>
      <c r="N206" s="52"/>
      <c r="O206" s="53" t="str">
        <f t="shared" si="30"/>
        <v>Data Missing</v>
      </c>
      <c r="P206" s="53" t="str">
        <f t="shared" si="29"/>
        <v>Data Missing</v>
      </c>
    </row>
    <row r="207" spans="1:16" x14ac:dyDescent="0.25">
      <c r="A207" s="7">
        <v>205</v>
      </c>
      <c r="B207" s="46">
        <f t="shared" si="31"/>
        <v>50406</v>
      </c>
      <c r="C207" s="27" t="str">
        <f t="shared" si="27"/>
        <v>Jan</v>
      </c>
      <c r="D207" s="27">
        <f t="shared" si="28"/>
        <v>2038</v>
      </c>
      <c r="E207" s="27" t="str">
        <f>INDEX(Seasons,MATCH($C207,'General Inputs'!$B$21:$B$32,0),1)</f>
        <v>Winter</v>
      </c>
      <c r="H207" s="52"/>
      <c r="I207" s="49" t="str">
        <f>IFERROR('NG Futures'!$H207*HR_Low_Plant/1000,"Data Missing")</f>
        <v>Data Missing</v>
      </c>
      <c r="J207" s="49" t="str">
        <f>IFERROR('NG Futures'!$H207*HR_High_Plant/1000,"Data Missing")</f>
        <v>Data Missing</v>
      </c>
      <c r="K207" s="52"/>
      <c r="L207" s="49" t="str">
        <f t="shared" si="26"/>
        <v>Data Missing</v>
      </c>
      <c r="M207" s="49" t="str">
        <f t="shared" si="26"/>
        <v>Data Missing</v>
      </c>
      <c r="N207" s="52"/>
      <c r="O207" s="53" t="str">
        <f t="shared" si="30"/>
        <v>Data Missing</v>
      </c>
      <c r="P207" s="53" t="str">
        <f t="shared" si="29"/>
        <v>Data Missing</v>
      </c>
    </row>
    <row r="208" spans="1:16" x14ac:dyDescent="0.25">
      <c r="A208" s="7">
        <v>206</v>
      </c>
      <c r="B208" s="46">
        <f t="shared" si="31"/>
        <v>50437</v>
      </c>
      <c r="C208" s="27" t="str">
        <f t="shared" si="27"/>
        <v>Feb</v>
      </c>
      <c r="D208" s="27">
        <f t="shared" si="28"/>
        <v>2038</v>
      </c>
      <c r="E208" s="27" t="str">
        <f>INDEX(Seasons,MATCH($C208,'General Inputs'!$B$21:$B$32,0),1)</f>
        <v>Winter</v>
      </c>
      <c r="H208" s="52"/>
      <c r="I208" s="49" t="str">
        <f>IFERROR('NG Futures'!$H208*HR_Low_Plant/1000,"Data Missing")</f>
        <v>Data Missing</v>
      </c>
      <c r="J208" s="49" t="str">
        <f>IFERROR('NG Futures'!$H208*HR_High_Plant/1000,"Data Missing")</f>
        <v>Data Missing</v>
      </c>
      <c r="K208" s="52"/>
      <c r="L208" s="49" t="str">
        <f t="shared" si="26"/>
        <v>Data Missing</v>
      </c>
      <c r="M208" s="49" t="str">
        <f t="shared" si="26"/>
        <v>Data Missing</v>
      </c>
      <c r="N208" s="52"/>
      <c r="O208" s="53" t="str">
        <f t="shared" si="30"/>
        <v>Data Missing</v>
      </c>
      <c r="P208" s="53" t="str">
        <f t="shared" si="29"/>
        <v>Data Missing</v>
      </c>
    </row>
    <row r="209" spans="1:16" x14ac:dyDescent="0.25">
      <c r="A209" s="7">
        <v>207</v>
      </c>
      <c r="B209" s="46">
        <f t="shared" si="31"/>
        <v>50465</v>
      </c>
      <c r="C209" s="27" t="str">
        <f t="shared" si="27"/>
        <v>Mar</v>
      </c>
      <c r="D209" s="27">
        <f t="shared" si="28"/>
        <v>2038</v>
      </c>
      <c r="E209" s="27" t="str">
        <f>INDEX(Seasons,MATCH($C209,'General Inputs'!$B$21:$B$32,0),1)</f>
        <v>Shoulder</v>
      </c>
      <c r="H209" s="52"/>
      <c r="I209" s="49" t="str">
        <f>IFERROR('NG Futures'!$H209*HR_Low_Plant/1000,"Data Missing")</f>
        <v>Data Missing</v>
      </c>
      <c r="J209" s="49" t="str">
        <f>IFERROR('NG Futures'!$H209*HR_High_Plant/1000,"Data Missing")</f>
        <v>Data Missing</v>
      </c>
      <c r="K209" s="52"/>
      <c r="L209" s="49" t="str">
        <f t="shared" si="26"/>
        <v>Data Missing</v>
      </c>
      <c r="M209" s="49" t="str">
        <f t="shared" si="26"/>
        <v>Data Missing</v>
      </c>
      <c r="N209" s="52"/>
      <c r="O209" s="53" t="str">
        <f t="shared" si="30"/>
        <v>Data Missing</v>
      </c>
      <c r="P209" s="53" t="str">
        <f t="shared" si="29"/>
        <v>Data Missing</v>
      </c>
    </row>
    <row r="210" spans="1:16" x14ac:dyDescent="0.25">
      <c r="A210" s="7">
        <v>208</v>
      </c>
      <c r="B210" s="46">
        <f t="shared" si="31"/>
        <v>50496</v>
      </c>
      <c r="C210" s="27" t="str">
        <f t="shared" si="27"/>
        <v>Apr</v>
      </c>
      <c r="D210" s="27">
        <f t="shared" si="28"/>
        <v>2038</v>
      </c>
      <c r="E210" s="27" t="str">
        <f>INDEX(Seasons,MATCH($C210,'General Inputs'!$B$21:$B$32,0),1)</f>
        <v>Shoulder</v>
      </c>
      <c r="H210" s="52"/>
      <c r="I210" s="49" t="str">
        <f>IFERROR('NG Futures'!$H210*HR_Low_Plant/1000,"Data Missing")</f>
        <v>Data Missing</v>
      </c>
      <c r="J210" s="49" t="str">
        <f>IFERROR('NG Futures'!$H210*HR_High_Plant/1000,"Data Missing")</f>
        <v>Data Missing</v>
      </c>
      <c r="K210" s="52"/>
      <c r="L210" s="49" t="str">
        <f t="shared" si="26"/>
        <v>Data Missing</v>
      </c>
      <c r="M210" s="49" t="str">
        <f t="shared" si="26"/>
        <v>Data Missing</v>
      </c>
      <c r="N210" s="52"/>
      <c r="O210" s="53" t="str">
        <f t="shared" si="30"/>
        <v>Data Missing</v>
      </c>
      <c r="P210" s="53" t="str">
        <f t="shared" si="29"/>
        <v>Data Missing</v>
      </c>
    </row>
    <row r="211" spans="1:16" x14ac:dyDescent="0.25">
      <c r="A211" s="7">
        <v>209</v>
      </c>
      <c r="B211" s="46">
        <f t="shared" si="31"/>
        <v>50526</v>
      </c>
      <c r="C211" s="27" t="str">
        <f t="shared" si="27"/>
        <v>May</v>
      </c>
      <c r="D211" s="27">
        <f t="shared" si="28"/>
        <v>2038</v>
      </c>
      <c r="E211" s="27" t="str">
        <f>INDEX(Seasons,MATCH($C211,'General Inputs'!$B$21:$B$32,0),1)</f>
        <v>Summer</v>
      </c>
      <c r="H211" s="52"/>
      <c r="I211" s="49" t="str">
        <f>IFERROR('NG Futures'!$H211*HR_Low_Plant/1000,"Data Missing")</f>
        <v>Data Missing</v>
      </c>
      <c r="J211" s="49" t="str">
        <f>IFERROR('NG Futures'!$H211*HR_High_Plant/1000,"Data Missing")</f>
        <v>Data Missing</v>
      </c>
      <c r="K211" s="52"/>
      <c r="L211" s="49" t="str">
        <f t="shared" si="26"/>
        <v>Data Missing</v>
      </c>
      <c r="M211" s="49" t="str">
        <f t="shared" si="26"/>
        <v>Data Missing</v>
      </c>
      <c r="N211" s="52"/>
      <c r="O211" s="53" t="str">
        <f t="shared" si="30"/>
        <v>Data Missing</v>
      </c>
      <c r="P211" s="53" t="str">
        <f t="shared" si="29"/>
        <v>Data Missing</v>
      </c>
    </row>
    <row r="212" spans="1:16" x14ac:dyDescent="0.25">
      <c r="A212" s="7">
        <v>210</v>
      </c>
      <c r="B212" s="46">
        <f t="shared" si="31"/>
        <v>50557</v>
      </c>
      <c r="C212" s="27" t="str">
        <f t="shared" si="27"/>
        <v>Jun</v>
      </c>
      <c r="D212" s="27">
        <f t="shared" si="28"/>
        <v>2038</v>
      </c>
      <c r="E212" s="27" t="str">
        <f>INDEX(Seasons,MATCH($C212,'General Inputs'!$B$21:$B$32,0),1)</f>
        <v>Summer</v>
      </c>
      <c r="H212" s="52"/>
      <c r="I212" s="49" t="str">
        <f>IFERROR('NG Futures'!$H212*HR_Low_Plant/1000,"Data Missing")</f>
        <v>Data Missing</v>
      </c>
      <c r="J212" s="49" t="str">
        <f>IFERROR('NG Futures'!$H212*HR_High_Plant/1000,"Data Missing")</f>
        <v>Data Missing</v>
      </c>
      <c r="K212" s="52"/>
      <c r="L212" s="49" t="str">
        <f t="shared" si="26"/>
        <v>Data Missing</v>
      </c>
      <c r="M212" s="49" t="str">
        <f t="shared" si="26"/>
        <v>Data Missing</v>
      </c>
      <c r="N212" s="52"/>
      <c r="O212" s="53" t="str">
        <f t="shared" si="30"/>
        <v>Data Missing</v>
      </c>
      <c r="P212" s="53" t="str">
        <f t="shared" si="29"/>
        <v>Data Missing</v>
      </c>
    </row>
    <row r="213" spans="1:16" x14ac:dyDescent="0.25">
      <c r="A213" s="7">
        <v>211</v>
      </c>
      <c r="B213" s="46">
        <f t="shared" si="31"/>
        <v>50587</v>
      </c>
      <c r="C213" s="27" t="str">
        <f t="shared" si="27"/>
        <v>Jul</v>
      </c>
      <c r="D213" s="27">
        <f t="shared" si="28"/>
        <v>2038</v>
      </c>
      <c r="E213" s="27" t="str">
        <f>INDEX(Seasons,MATCH($C213,'General Inputs'!$B$21:$B$32,0),1)</f>
        <v>Summer</v>
      </c>
      <c r="H213" s="52"/>
      <c r="I213" s="49" t="str">
        <f>IFERROR('NG Futures'!$H213*HR_Low_Plant/1000,"Data Missing")</f>
        <v>Data Missing</v>
      </c>
      <c r="J213" s="49" t="str">
        <f>IFERROR('NG Futures'!$H213*HR_High_Plant/1000,"Data Missing")</f>
        <v>Data Missing</v>
      </c>
      <c r="K213" s="52"/>
      <c r="L213" s="49" t="str">
        <f t="shared" si="26"/>
        <v>Data Missing</v>
      </c>
      <c r="M213" s="49" t="str">
        <f t="shared" si="26"/>
        <v>Data Missing</v>
      </c>
      <c r="N213" s="52"/>
      <c r="O213" s="53" t="str">
        <f t="shared" si="30"/>
        <v>Data Missing</v>
      </c>
      <c r="P213" s="53" t="str">
        <f t="shared" si="29"/>
        <v>Data Missing</v>
      </c>
    </row>
    <row r="214" spans="1:16" x14ac:dyDescent="0.25">
      <c r="A214" s="7">
        <v>212</v>
      </c>
      <c r="B214" s="46">
        <f t="shared" si="31"/>
        <v>50618</v>
      </c>
      <c r="C214" s="27" t="str">
        <f t="shared" si="27"/>
        <v>Aug</v>
      </c>
      <c r="D214" s="27">
        <f t="shared" si="28"/>
        <v>2038</v>
      </c>
      <c r="E214" s="27" t="str">
        <f>INDEX(Seasons,MATCH($C214,'General Inputs'!$B$21:$B$32,0),1)</f>
        <v>Summer</v>
      </c>
      <c r="H214" s="52"/>
      <c r="I214" s="49" t="str">
        <f>IFERROR('NG Futures'!$H214*HR_Low_Plant/1000,"Data Missing")</f>
        <v>Data Missing</v>
      </c>
      <c r="J214" s="49" t="str">
        <f>IFERROR('NG Futures'!$H214*HR_High_Plant/1000,"Data Missing")</f>
        <v>Data Missing</v>
      </c>
      <c r="K214" s="52"/>
      <c r="L214" s="49" t="str">
        <f t="shared" si="26"/>
        <v>Data Missing</v>
      </c>
      <c r="M214" s="49" t="str">
        <f t="shared" si="26"/>
        <v>Data Missing</v>
      </c>
      <c r="N214" s="52"/>
      <c r="O214" s="53" t="str">
        <f t="shared" si="30"/>
        <v>Data Missing</v>
      </c>
      <c r="P214" s="53" t="str">
        <f t="shared" si="29"/>
        <v>Data Missing</v>
      </c>
    </row>
    <row r="215" spans="1:16" x14ac:dyDescent="0.25">
      <c r="A215" s="7">
        <v>213</v>
      </c>
      <c r="B215" s="46">
        <f t="shared" si="31"/>
        <v>50649</v>
      </c>
      <c r="C215" s="27" t="str">
        <f t="shared" si="27"/>
        <v>Sep</v>
      </c>
      <c r="D215" s="27">
        <f t="shared" si="28"/>
        <v>2038</v>
      </c>
      <c r="E215" s="27" t="str">
        <f>INDEX(Seasons,MATCH($C215,'General Inputs'!$B$21:$B$32,0),1)</f>
        <v>Summer</v>
      </c>
      <c r="H215" s="52"/>
      <c r="I215" s="49" t="str">
        <f>IFERROR('NG Futures'!$H215*HR_Low_Plant/1000,"Data Missing")</f>
        <v>Data Missing</v>
      </c>
      <c r="J215" s="49" t="str">
        <f>IFERROR('NG Futures'!$H215*HR_High_Plant/1000,"Data Missing")</f>
        <v>Data Missing</v>
      </c>
      <c r="K215" s="52"/>
      <c r="L215" s="49" t="str">
        <f t="shared" ref="L215:M234" si="32">IFERROR(L203+IF(L203&gt;1,L203*BLS_Esc_Rate,-L203*BLS_Esc_Rate),"Data Missing")</f>
        <v>Data Missing</v>
      </c>
      <c r="M215" s="49" t="str">
        <f t="shared" si="32"/>
        <v>Data Missing</v>
      </c>
      <c r="N215" s="52"/>
      <c r="O215" s="53" t="str">
        <f t="shared" si="30"/>
        <v>Data Missing</v>
      </c>
      <c r="P215" s="53" t="str">
        <f t="shared" si="29"/>
        <v>Data Missing</v>
      </c>
    </row>
    <row r="216" spans="1:16" x14ac:dyDescent="0.25">
      <c r="A216" s="7">
        <v>214</v>
      </c>
      <c r="B216" s="46">
        <f t="shared" si="31"/>
        <v>50679</v>
      </c>
      <c r="C216" s="27" t="str">
        <f t="shared" si="27"/>
        <v>Oct</v>
      </c>
      <c r="D216" s="27">
        <f t="shared" si="28"/>
        <v>2038</v>
      </c>
      <c r="E216" s="27" t="str">
        <f>INDEX(Seasons,MATCH($C216,'General Inputs'!$B$21:$B$32,0),1)</f>
        <v>Shoulder</v>
      </c>
      <c r="H216" s="52"/>
      <c r="I216" s="49" t="str">
        <f>IFERROR('NG Futures'!$H216*HR_Low_Plant/1000,"Data Missing")</f>
        <v>Data Missing</v>
      </c>
      <c r="J216" s="49" t="str">
        <f>IFERROR('NG Futures'!$H216*HR_High_Plant/1000,"Data Missing")</f>
        <v>Data Missing</v>
      </c>
      <c r="K216" s="52"/>
      <c r="L216" s="49" t="str">
        <f t="shared" si="32"/>
        <v>Data Missing</v>
      </c>
      <c r="M216" s="49" t="str">
        <f t="shared" si="32"/>
        <v>Data Missing</v>
      </c>
      <c r="N216" s="52"/>
      <c r="O216" s="53" t="str">
        <f t="shared" si="30"/>
        <v>Data Missing</v>
      </c>
      <c r="P216" s="53" t="str">
        <f t="shared" si="29"/>
        <v>Data Missing</v>
      </c>
    </row>
    <row r="217" spans="1:16" x14ac:dyDescent="0.25">
      <c r="A217" s="7">
        <v>215</v>
      </c>
      <c r="B217" s="46">
        <f t="shared" si="31"/>
        <v>50710</v>
      </c>
      <c r="C217" s="27" t="str">
        <f t="shared" si="27"/>
        <v>Nov</v>
      </c>
      <c r="D217" s="27">
        <f t="shared" si="28"/>
        <v>2038</v>
      </c>
      <c r="E217" s="27" t="str">
        <f>INDEX(Seasons,MATCH($C217,'General Inputs'!$B$21:$B$32,0),1)</f>
        <v>Shoulder</v>
      </c>
      <c r="H217" s="52"/>
      <c r="I217" s="49" t="str">
        <f>IFERROR('NG Futures'!$H217*HR_Low_Plant/1000,"Data Missing")</f>
        <v>Data Missing</v>
      </c>
      <c r="J217" s="49" t="str">
        <f>IFERROR('NG Futures'!$H217*HR_High_Plant/1000,"Data Missing")</f>
        <v>Data Missing</v>
      </c>
      <c r="K217" s="52"/>
      <c r="L217" s="49" t="str">
        <f t="shared" si="32"/>
        <v>Data Missing</v>
      </c>
      <c r="M217" s="49" t="str">
        <f t="shared" si="32"/>
        <v>Data Missing</v>
      </c>
      <c r="N217" s="52"/>
      <c r="O217" s="53" t="str">
        <f t="shared" si="30"/>
        <v>Data Missing</v>
      </c>
      <c r="P217" s="53" t="str">
        <f t="shared" si="29"/>
        <v>Data Missing</v>
      </c>
    </row>
    <row r="218" spans="1:16" x14ac:dyDescent="0.25">
      <c r="A218" s="7">
        <v>216</v>
      </c>
      <c r="B218" s="46">
        <f t="shared" si="31"/>
        <v>50740</v>
      </c>
      <c r="C218" s="27" t="str">
        <f t="shared" si="27"/>
        <v>Dec</v>
      </c>
      <c r="D218" s="27">
        <f t="shared" si="28"/>
        <v>2038</v>
      </c>
      <c r="E218" s="27" t="str">
        <f>INDEX(Seasons,MATCH($C218,'General Inputs'!$B$21:$B$32,0),1)</f>
        <v>Winter</v>
      </c>
      <c r="H218" s="52"/>
      <c r="I218" s="49" t="str">
        <f>IFERROR('NG Futures'!$H218*HR_Low_Plant/1000,"Data Missing")</f>
        <v>Data Missing</v>
      </c>
      <c r="J218" s="49" t="str">
        <f>IFERROR('NG Futures'!$H218*HR_High_Plant/1000,"Data Missing")</f>
        <v>Data Missing</v>
      </c>
      <c r="K218" s="52"/>
      <c r="L218" s="49" t="str">
        <f t="shared" si="32"/>
        <v>Data Missing</v>
      </c>
      <c r="M218" s="49" t="str">
        <f t="shared" si="32"/>
        <v>Data Missing</v>
      </c>
      <c r="N218" s="52"/>
      <c r="O218" s="53" t="str">
        <f t="shared" si="30"/>
        <v>Data Missing</v>
      </c>
      <c r="P218" s="53" t="str">
        <f t="shared" si="29"/>
        <v>Data Missing</v>
      </c>
    </row>
    <row r="219" spans="1:16" x14ac:dyDescent="0.25">
      <c r="A219" s="7">
        <v>217</v>
      </c>
      <c r="B219" s="46">
        <f t="shared" si="31"/>
        <v>50771</v>
      </c>
      <c r="C219" s="27" t="str">
        <f t="shared" si="27"/>
        <v>Jan</v>
      </c>
      <c r="D219" s="27">
        <f t="shared" si="28"/>
        <v>2039</v>
      </c>
      <c r="E219" s="27" t="str">
        <f>INDEX(Seasons,MATCH($C219,'General Inputs'!$B$21:$B$32,0),1)</f>
        <v>Winter</v>
      </c>
      <c r="H219" s="52"/>
      <c r="I219" s="49" t="str">
        <f>IFERROR('NG Futures'!$H219*HR_Low_Plant/1000,"Data Missing")</f>
        <v>Data Missing</v>
      </c>
      <c r="J219" s="49" t="str">
        <f>IFERROR('NG Futures'!$H219*HR_High_Plant/1000,"Data Missing")</f>
        <v>Data Missing</v>
      </c>
      <c r="K219" s="52"/>
      <c r="L219" s="49" t="str">
        <f t="shared" si="32"/>
        <v>Data Missing</v>
      </c>
      <c r="M219" s="49" t="str">
        <f t="shared" si="32"/>
        <v>Data Missing</v>
      </c>
      <c r="N219" s="52"/>
      <c r="O219" s="53" t="str">
        <f t="shared" si="30"/>
        <v>Data Missing</v>
      </c>
      <c r="P219" s="53" t="str">
        <f t="shared" si="29"/>
        <v>Data Missing</v>
      </c>
    </row>
    <row r="220" spans="1:16" x14ac:dyDescent="0.25">
      <c r="A220" s="7">
        <v>218</v>
      </c>
      <c r="B220" s="46">
        <f t="shared" si="31"/>
        <v>50802</v>
      </c>
      <c r="C220" s="27" t="str">
        <f t="shared" si="27"/>
        <v>Feb</v>
      </c>
      <c r="D220" s="27">
        <f t="shared" si="28"/>
        <v>2039</v>
      </c>
      <c r="E220" s="27" t="str">
        <f>INDEX(Seasons,MATCH($C220,'General Inputs'!$B$21:$B$32,0),1)</f>
        <v>Winter</v>
      </c>
      <c r="H220" s="52"/>
      <c r="I220" s="49" t="str">
        <f>IFERROR('NG Futures'!$H220*HR_Low_Plant/1000,"Data Missing")</f>
        <v>Data Missing</v>
      </c>
      <c r="J220" s="49" t="str">
        <f>IFERROR('NG Futures'!$H220*HR_High_Plant/1000,"Data Missing")</f>
        <v>Data Missing</v>
      </c>
      <c r="K220" s="52"/>
      <c r="L220" s="49" t="str">
        <f t="shared" si="32"/>
        <v>Data Missing</v>
      </c>
      <c r="M220" s="49" t="str">
        <f t="shared" si="32"/>
        <v>Data Missing</v>
      </c>
      <c r="N220" s="52"/>
      <c r="O220" s="53" t="str">
        <f t="shared" si="30"/>
        <v>Data Missing</v>
      </c>
      <c r="P220" s="53" t="str">
        <f t="shared" si="29"/>
        <v>Data Missing</v>
      </c>
    </row>
    <row r="221" spans="1:16" x14ac:dyDescent="0.25">
      <c r="A221" s="7">
        <v>219</v>
      </c>
      <c r="B221" s="46">
        <f t="shared" si="31"/>
        <v>50830</v>
      </c>
      <c r="C221" s="27" t="str">
        <f t="shared" si="27"/>
        <v>Mar</v>
      </c>
      <c r="D221" s="27">
        <f t="shared" si="28"/>
        <v>2039</v>
      </c>
      <c r="E221" s="27" t="str">
        <f>INDEX(Seasons,MATCH($C221,'General Inputs'!$B$21:$B$32,0),1)</f>
        <v>Shoulder</v>
      </c>
      <c r="H221" s="52"/>
      <c r="I221" s="49" t="str">
        <f>IFERROR('NG Futures'!$H221*HR_Low_Plant/1000,"Data Missing")</f>
        <v>Data Missing</v>
      </c>
      <c r="J221" s="49" t="str">
        <f>IFERROR('NG Futures'!$H221*HR_High_Plant/1000,"Data Missing")</f>
        <v>Data Missing</v>
      </c>
      <c r="K221" s="52"/>
      <c r="L221" s="49" t="str">
        <f t="shared" si="32"/>
        <v>Data Missing</v>
      </c>
      <c r="M221" s="49" t="str">
        <f t="shared" si="32"/>
        <v>Data Missing</v>
      </c>
      <c r="N221" s="52"/>
      <c r="O221" s="53" t="str">
        <f t="shared" si="30"/>
        <v>Data Missing</v>
      </c>
      <c r="P221" s="53" t="str">
        <f t="shared" si="29"/>
        <v>Data Missing</v>
      </c>
    </row>
    <row r="222" spans="1:16" x14ac:dyDescent="0.25">
      <c r="A222" s="7">
        <v>220</v>
      </c>
      <c r="B222" s="46">
        <f t="shared" si="31"/>
        <v>50861</v>
      </c>
      <c r="C222" s="27" t="str">
        <f t="shared" si="27"/>
        <v>Apr</v>
      </c>
      <c r="D222" s="27">
        <f t="shared" si="28"/>
        <v>2039</v>
      </c>
      <c r="E222" s="27" t="str">
        <f>INDEX(Seasons,MATCH($C222,'General Inputs'!$B$21:$B$32,0),1)</f>
        <v>Shoulder</v>
      </c>
      <c r="H222" s="52"/>
      <c r="I222" s="49" t="str">
        <f>IFERROR('NG Futures'!$H222*HR_Low_Plant/1000,"Data Missing")</f>
        <v>Data Missing</v>
      </c>
      <c r="J222" s="49" t="str">
        <f>IFERROR('NG Futures'!$H222*HR_High_Plant/1000,"Data Missing")</f>
        <v>Data Missing</v>
      </c>
      <c r="K222" s="52"/>
      <c r="L222" s="49" t="str">
        <f t="shared" si="32"/>
        <v>Data Missing</v>
      </c>
      <c r="M222" s="49" t="str">
        <f t="shared" si="32"/>
        <v>Data Missing</v>
      </c>
      <c r="N222" s="52"/>
      <c r="O222" s="53" t="str">
        <f t="shared" si="30"/>
        <v>Data Missing</v>
      </c>
      <c r="P222" s="53" t="str">
        <f t="shared" si="29"/>
        <v>Data Missing</v>
      </c>
    </row>
    <row r="223" spans="1:16" x14ac:dyDescent="0.25">
      <c r="A223" s="7">
        <v>221</v>
      </c>
      <c r="B223" s="46">
        <f t="shared" si="31"/>
        <v>50891</v>
      </c>
      <c r="C223" s="27" t="str">
        <f t="shared" si="27"/>
        <v>May</v>
      </c>
      <c r="D223" s="27">
        <f t="shared" si="28"/>
        <v>2039</v>
      </c>
      <c r="E223" s="27" t="str">
        <f>INDEX(Seasons,MATCH($C223,'General Inputs'!$B$21:$B$32,0),1)</f>
        <v>Summer</v>
      </c>
      <c r="H223" s="52"/>
      <c r="I223" s="49" t="str">
        <f>IFERROR('NG Futures'!$H223*HR_Low_Plant/1000,"Data Missing")</f>
        <v>Data Missing</v>
      </c>
      <c r="J223" s="49" t="str">
        <f>IFERROR('NG Futures'!$H223*HR_High_Plant/1000,"Data Missing")</f>
        <v>Data Missing</v>
      </c>
      <c r="K223" s="52"/>
      <c r="L223" s="49" t="str">
        <f t="shared" si="32"/>
        <v>Data Missing</v>
      </c>
      <c r="M223" s="49" t="str">
        <f t="shared" si="32"/>
        <v>Data Missing</v>
      </c>
      <c r="N223" s="52"/>
      <c r="O223" s="53" t="str">
        <f t="shared" si="30"/>
        <v>Data Missing</v>
      </c>
      <c r="P223" s="53" t="str">
        <f t="shared" si="29"/>
        <v>Data Missing</v>
      </c>
    </row>
    <row r="224" spans="1:16" x14ac:dyDescent="0.25">
      <c r="A224" s="7">
        <v>222</v>
      </c>
      <c r="B224" s="46">
        <f t="shared" si="31"/>
        <v>50922</v>
      </c>
      <c r="C224" s="27" t="str">
        <f t="shared" si="27"/>
        <v>Jun</v>
      </c>
      <c r="D224" s="27">
        <f t="shared" si="28"/>
        <v>2039</v>
      </c>
      <c r="E224" s="27" t="str">
        <f>INDEX(Seasons,MATCH($C224,'General Inputs'!$B$21:$B$32,0),1)</f>
        <v>Summer</v>
      </c>
      <c r="H224" s="52"/>
      <c r="I224" s="49" t="str">
        <f>IFERROR('NG Futures'!$H224*HR_Low_Plant/1000,"Data Missing")</f>
        <v>Data Missing</v>
      </c>
      <c r="J224" s="49" t="str">
        <f>IFERROR('NG Futures'!$H224*HR_High_Plant/1000,"Data Missing")</f>
        <v>Data Missing</v>
      </c>
      <c r="K224" s="52"/>
      <c r="L224" s="49" t="str">
        <f t="shared" si="32"/>
        <v>Data Missing</v>
      </c>
      <c r="M224" s="49" t="str">
        <f t="shared" si="32"/>
        <v>Data Missing</v>
      </c>
      <c r="N224" s="52"/>
      <c r="O224" s="53" t="str">
        <f t="shared" si="30"/>
        <v>Data Missing</v>
      </c>
      <c r="P224" s="53" t="str">
        <f t="shared" si="29"/>
        <v>Data Missing</v>
      </c>
    </row>
    <row r="225" spans="1:16" x14ac:dyDescent="0.25">
      <c r="A225" s="7">
        <v>223</v>
      </c>
      <c r="B225" s="46">
        <f t="shared" si="31"/>
        <v>50952</v>
      </c>
      <c r="C225" s="27" t="str">
        <f t="shared" si="27"/>
        <v>Jul</v>
      </c>
      <c r="D225" s="27">
        <f t="shared" si="28"/>
        <v>2039</v>
      </c>
      <c r="E225" s="27" t="str">
        <f>INDEX(Seasons,MATCH($C225,'General Inputs'!$B$21:$B$32,0),1)</f>
        <v>Summer</v>
      </c>
      <c r="H225" s="52"/>
      <c r="I225" s="49" t="str">
        <f>IFERROR('NG Futures'!$H225*HR_Low_Plant/1000,"Data Missing")</f>
        <v>Data Missing</v>
      </c>
      <c r="J225" s="49" t="str">
        <f>IFERROR('NG Futures'!$H225*HR_High_Plant/1000,"Data Missing")</f>
        <v>Data Missing</v>
      </c>
      <c r="K225" s="52"/>
      <c r="L225" s="49" t="str">
        <f t="shared" si="32"/>
        <v>Data Missing</v>
      </c>
      <c r="M225" s="49" t="str">
        <f t="shared" si="32"/>
        <v>Data Missing</v>
      </c>
      <c r="N225" s="52"/>
      <c r="O225" s="53" t="str">
        <f t="shared" si="30"/>
        <v>Data Missing</v>
      </c>
      <c r="P225" s="53" t="str">
        <f t="shared" si="29"/>
        <v>Data Missing</v>
      </c>
    </row>
    <row r="226" spans="1:16" x14ac:dyDescent="0.25">
      <c r="A226" s="7">
        <v>224</v>
      </c>
      <c r="B226" s="46">
        <f t="shared" si="31"/>
        <v>50983</v>
      </c>
      <c r="C226" s="27" t="str">
        <f t="shared" si="27"/>
        <v>Aug</v>
      </c>
      <c r="D226" s="27">
        <f t="shared" si="28"/>
        <v>2039</v>
      </c>
      <c r="E226" s="27" t="str">
        <f>INDEX(Seasons,MATCH($C226,'General Inputs'!$B$21:$B$32,0),1)</f>
        <v>Summer</v>
      </c>
      <c r="H226" s="52"/>
      <c r="I226" s="49" t="str">
        <f>IFERROR('NG Futures'!$H226*HR_Low_Plant/1000,"Data Missing")</f>
        <v>Data Missing</v>
      </c>
      <c r="J226" s="49" t="str">
        <f>IFERROR('NG Futures'!$H226*HR_High_Plant/1000,"Data Missing")</f>
        <v>Data Missing</v>
      </c>
      <c r="K226" s="52"/>
      <c r="L226" s="49" t="str">
        <f t="shared" si="32"/>
        <v>Data Missing</v>
      </c>
      <c r="M226" s="49" t="str">
        <f t="shared" si="32"/>
        <v>Data Missing</v>
      </c>
      <c r="N226" s="52"/>
      <c r="O226" s="53" t="str">
        <f t="shared" si="30"/>
        <v>Data Missing</v>
      </c>
      <c r="P226" s="53" t="str">
        <f t="shared" si="29"/>
        <v>Data Missing</v>
      </c>
    </row>
    <row r="227" spans="1:16" x14ac:dyDescent="0.25">
      <c r="A227" s="7">
        <v>225</v>
      </c>
      <c r="B227" s="46">
        <f t="shared" si="31"/>
        <v>51014</v>
      </c>
      <c r="C227" s="27" t="str">
        <f t="shared" si="27"/>
        <v>Sep</v>
      </c>
      <c r="D227" s="27">
        <f t="shared" si="28"/>
        <v>2039</v>
      </c>
      <c r="E227" s="27" t="str">
        <f>INDEX(Seasons,MATCH($C227,'General Inputs'!$B$21:$B$32,0),1)</f>
        <v>Summer</v>
      </c>
      <c r="H227" s="52"/>
      <c r="I227" s="49" t="str">
        <f>IFERROR('NG Futures'!$H227*HR_Low_Plant/1000,"Data Missing")</f>
        <v>Data Missing</v>
      </c>
      <c r="J227" s="49" t="str">
        <f>IFERROR('NG Futures'!$H227*HR_High_Plant/1000,"Data Missing")</f>
        <v>Data Missing</v>
      </c>
      <c r="K227" s="52"/>
      <c r="L227" s="49" t="str">
        <f t="shared" si="32"/>
        <v>Data Missing</v>
      </c>
      <c r="M227" s="49" t="str">
        <f t="shared" si="32"/>
        <v>Data Missing</v>
      </c>
      <c r="N227" s="52"/>
      <c r="O227" s="53" t="str">
        <f t="shared" si="30"/>
        <v>Data Missing</v>
      </c>
      <c r="P227" s="53" t="str">
        <f t="shared" si="29"/>
        <v>Data Missing</v>
      </c>
    </row>
    <row r="228" spans="1:16" x14ac:dyDescent="0.25">
      <c r="A228" s="7">
        <v>226</v>
      </c>
      <c r="B228" s="46">
        <f t="shared" si="31"/>
        <v>51044</v>
      </c>
      <c r="C228" s="27" t="str">
        <f t="shared" si="27"/>
        <v>Oct</v>
      </c>
      <c r="D228" s="27">
        <f t="shared" si="28"/>
        <v>2039</v>
      </c>
      <c r="E228" s="27" t="str">
        <f>INDEX(Seasons,MATCH($C228,'General Inputs'!$B$21:$B$32,0),1)</f>
        <v>Shoulder</v>
      </c>
      <c r="H228" s="52"/>
      <c r="I228" s="49" t="str">
        <f>IFERROR('NG Futures'!$H228*HR_Low_Plant/1000,"Data Missing")</f>
        <v>Data Missing</v>
      </c>
      <c r="J228" s="49" t="str">
        <f>IFERROR('NG Futures'!$H228*HR_High_Plant/1000,"Data Missing")</f>
        <v>Data Missing</v>
      </c>
      <c r="K228" s="52"/>
      <c r="L228" s="49" t="str">
        <f t="shared" si="32"/>
        <v>Data Missing</v>
      </c>
      <c r="M228" s="49" t="str">
        <f t="shared" si="32"/>
        <v>Data Missing</v>
      </c>
      <c r="N228" s="52"/>
      <c r="O228" s="53" t="str">
        <f t="shared" si="30"/>
        <v>Data Missing</v>
      </c>
      <c r="P228" s="53" t="str">
        <f t="shared" si="29"/>
        <v>Data Missing</v>
      </c>
    </row>
    <row r="229" spans="1:16" x14ac:dyDescent="0.25">
      <c r="A229" s="7">
        <v>227</v>
      </c>
      <c r="B229" s="46">
        <f t="shared" si="31"/>
        <v>51075</v>
      </c>
      <c r="C229" s="27" t="str">
        <f t="shared" si="27"/>
        <v>Nov</v>
      </c>
      <c r="D229" s="27">
        <f t="shared" si="28"/>
        <v>2039</v>
      </c>
      <c r="E229" s="27" t="str">
        <f>INDEX(Seasons,MATCH($C229,'General Inputs'!$B$21:$B$32,0),1)</f>
        <v>Shoulder</v>
      </c>
      <c r="H229" s="52"/>
      <c r="I229" s="49" t="str">
        <f>IFERROR('NG Futures'!$H229*HR_Low_Plant/1000,"Data Missing")</f>
        <v>Data Missing</v>
      </c>
      <c r="J229" s="49" t="str">
        <f>IFERROR('NG Futures'!$H229*HR_High_Plant/1000,"Data Missing")</f>
        <v>Data Missing</v>
      </c>
      <c r="K229" s="52"/>
      <c r="L229" s="49" t="str">
        <f t="shared" si="32"/>
        <v>Data Missing</v>
      </c>
      <c r="M229" s="49" t="str">
        <f t="shared" si="32"/>
        <v>Data Missing</v>
      </c>
      <c r="N229" s="52"/>
      <c r="O229" s="53" t="str">
        <f t="shared" si="30"/>
        <v>Data Missing</v>
      </c>
      <c r="P229" s="53" t="str">
        <f t="shared" si="29"/>
        <v>Data Missing</v>
      </c>
    </row>
    <row r="230" spans="1:16" x14ac:dyDescent="0.25">
      <c r="A230" s="7">
        <v>228</v>
      </c>
      <c r="B230" s="46">
        <f t="shared" si="31"/>
        <v>51105</v>
      </c>
      <c r="C230" s="27" t="str">
        <f t="shared" si="27"/>
        <v>Dec</v>
      </c>
      <c r="D230" s="27">
        <f t="shared" si="28"/>
        <v>2039</v>
      </c>
      <c r="E230" s="27" t="str">
        <f>INDEX(Seasons,MATCH($C230,'General Inputs'!$B$21:$B$32,0),1)</f>
        <v>Winter</v>
      </c>
      <c r="H230" s="52"/>
      <c r="I230" s="49" t="str">
        <f>IFERROR('NG Futures'!$H230*HR_Low_Plant/1000,"Data Missing")</f>
        <v>Data Missing</v>
      </c>
      <c r="J230" s="49" t="str">
        <f>IFERROR('NG Futures'!$H230*HR_High_Plant/1000,"Data Missing")</f>
        <v>Data Missing</v>
      </c>
      <c r="K230" s="52"/>
      <c r="L230" s="49" t="str">
        <f t="shared" si="32"/>
        <v>Data Missing</v>
      </c>
      <c r="M230" s="49" t="str">
        <f t="shared" si="32"/>
        <v>Data Missing</v>
      </c>
      <c r="N230" s="52"/>
      <c r="O230" s="53" t="str">
        <f t="shared" si="30"/>
        <v>Data Missing</v>
      </c>
      <c r="P230" s="53" t="str">
        <f t="shared" si="29"/>
        <v>Data Missing</v>
      </c>
    </row>
    <row r="231" spans="1:16" x14ac:dyDescent="0.25">
      <c r="A231" s="7">
        <v>229</v>
      </c>
      <c r="B231" s="46">
        <f t="shared" si="31"/>
        <v>51136</v>
      </c>
      <c r="C231" s="27" t="str">
        <f t="shared" si="27"/>
        <v>Jan</v>
      </c>
      <c r="D231" s="27">
        <f t="shared" si="28"/>
        <v>2040</v>
      </c>
      <c r="E231" s="27" t="str">
        <f>INDEX(Seasons,MATCH($C231,'General Inputs'!$B$21:$B$32,0),1)</f>
        <v>Winter</v>
      </c>
      <c r="H231" s="52"/>
      <c r="I231" s="49" t="str">
        <f>IFERROR('NG Futures'!$H231*HR_Low_Plant/1000,"Data Missing")</f>
        <v>Data Missing</v>
      </c>
      <c r="J231" s="49" t="str">
        <f>IFERROR('NG Futures'!$H231*HR_High_Plant/1000,"Data Missing")</f>
        <v>Data Missing</v>
      </c>
      <c r="K231" s="52"/>
      <c r="L231" s="49" t="str">
        <f t="shared" si="32"/>
        <v>Data Missing</v>
      </c>
      <c r="M231" s="49" t="str">
        <f t="shared" si="32"/>
        <v>Data Missing</v>
      </c>
      <c r="N231" s="52"/>
      <c r="O231" s="53" t="str">
        <f t="shared" si="30"/>
        <v>Data Missing</v>
      </c>
      <c r="P231" s="53" t="str">
        <f t="shared" si="29"/>
        <v>Data Missing</v>
      </c>
    </row>
    <row r="232" spans="1:16" x14ac:dyDescent="0.25">
      <c r="A232" s="7">
        <v>230</v>
      </c>
      <c r="B232" s="46">
        <f t="shared" si="31"/>
        <v>51167</v>
      </c>
      <c r="C232" s="27" t="str">
        <f t="shared" si="27"/>
        <v>Feb</v>
      </c>
      <c r="D232" s="27">
        <f t="shared" si="28"/>
        <v>2040</v>
      </c>
      <c r="E232" s="27" t="str">
        <f>INDEX(Seasons,MATCH($C232,'General Inputs'!$B$21:$B$32,0),1)</f>
        <v>Winter</v>
      </c>
      <c r="H232" s="52"/>
      <c r="I232" s="49" t="str">
        <f>IFERROR('NG Futures'!$H232*HR_Low_Plant/1000,"Data Missing")</f>
        <v>Data Missing</v>
      </c>
      <c r="J232" s="49" t="str">
        <f>IFERROR('NG Futures'!$H232*HR_High_Plant/1000,"Data Missing")</f>
        <v>Data Missing</v>
      </c>
      <c r="K232" s="52"/>
      <c r="L232" s="49" t="str">
        <f t="shared" si="32"/>
        <v>Data Missing</v>
      </c>
      <c r="M232" s="49" t="str">
        <f t="shared" si="32"/>
        <v>Data Missing</v>
      </c>
      <c r="N232" s="52"/>
      <c r="O232" s="53" t="str">
        <f t="shared" si="30"/>
        <v>Data Missing</v>
      </c>
      <c r="P232" s="53" t="str">
        <f t="shared" si="29"/>
        <v>Data Missing</v>
      </c>
    </row>
    <row r="233" spans="1:16" x14ac:dyDescent="0.25">
      <c r="A233" s="7">
        <v>231</v>
      </c>
      <c r="B233" s="46">
        <f t="shared" si="31"/>
        <v>51196</v>
      </c>
      <c r="C233" s="27" t="str">
        <f t="shared" si="27"/>
        <v>Mar</v>
      </c>
      <c r="D233" s="27">
        <f t="shared" si="28"/>
        <v>2040</v>
      </c>
      <c r="E233" s="27" t="str">
        <f>INDEX(Seasons,MATCH($C233,'General Inputs'!$B$21:$B$32,0),1)</f>
        <v>Shoulder</v>
      </c>
      <c r="H233" s="52"/>
      <c r="I233" s="49" t="str">
        <f>IFERROR('NG Futures'!$H233*HR_Low_Plant/1000,"Data Missing")</f>
        <v>Data Missing</v>
      </c>
      <c r="J233" s="49" t="str">
        <f>IFERROR('NG Futures'!$H233*HR_High_Plant/1000,"Data Missing")</f>
        <v>Data Missing</v>
      </c>
      <c r="K233" s="52"/>
      <c r="L233" s="49" t="str">
        <f t="shared" si="32"/>
        <v>Data Missing</v>
      </c>
      <c r="M233" s="49" t="str">
        <f t="shared" si="32"/>
        <v>Data Missing</v>
      </c>
      <c r="N233" s="52"/>
      <c r="O233" s="53" t="str">
        <f t="shared" si="30"/>
        <v>Data Missing</v>
      </c>
      <c r="P233" s="53" t="str">
        <f t="shared" si="29"/>
        <v>Data Missing</v>
      </c>
    </row>
    <row r="234" spans="1:16" x14ac:dyDescent="0.25">
      <c r="A234" s="7">
        <v>232</v>
      </c>
      <c r="B234" s="46">
        <f t="shared" si="31"/>
        <v>51227</v>
      </c>
      <c r="C234" s="27" t="str">
        <f t="shared" si="27"/>
        <v>Apr</v>
      </c>
      <c r="D234" s="27">
        <f t="shared" si="28"/>
        <v>2040</v>
      </c>
      <c r="E234" s="27" t="str">
        <f>INDEX(Seasons,MATCH($C234,'General Inputs'!$B$21:$B$32,0),1)</f>
        <v>Shoulder</v>
      </c>
      <c r="H234" s="52"/>
      <c r="I234" s="49" t="str">
        <f>IFERROR('NG Futures'!$H234*HR_Low_Plant/1000,"Data Missing")</f>
        <v>Data Missing</v>
      </c>
      <c r="J234" s="49" t="str">
        <f>IFERROR('NG Futures'!$H234*HR_High_Plant/1000,"Data Missing")</f>
        <v>Data Missing</v>
      </c>
      <c r="K234" s="52"/>
      <c r="L234" s="49" t="str">
        <f t="shared" si="32"/>
        <v>Data Missing</v>
      </c>
      <c r="M234" s="49" t="str">
        <f t="shared" si="32"/>
        <v>Data Missing</v>
      </c>
      <c r="N234" s="52"/>
      <c r="O234" s="53" t="str">
        <f t="shared" si="30"/>
        <v>Data Missing</v>
      </c>
      <c r="P234" s="53" t="str">
        <f t="shared" si="29"/>
        <v>Data Missing</v>
      </c>
    </row>
    <row r="235" spans="1:16" x14ac:dyDescent="0.25">
      <c r="A235" s="7">
        <v>233</v>
      </c>
      <c r="B235" s="46">
        <f t="shared" si="31"/>
        <v>51257</v>
      </c>
      <c r="C235" s="27" t="str">
        <f t="shared" si="27"/>
        <v>May</v>
      </c>
      <c r="D235" s="27">
        <f t="shared" si="28"/>
        <v>2040</v>
      </c>
      <c r="E235" s="27" t="str">
        <f>INDEX(Seasons,MATCH($C235,'General Inputs'!$B$21:$B$32,0),1)</f>
        <v>Summer</v>
      </c>
      <c r="H235" s="52"/>
      <c r="I235" s="49" t="str">
        <f>IFERROR('NG Futures'!$H235*HR_Low_Plant/1000,"Data Missing")</f>
        <v>Data Missing</v>
      </c>
      <c r="J235" s="49" t="str">
        <f>IFERROR('NG Futures'!$H235*HR_High_Plant/1000,"Data Missing")</f>
        <v>Data Missing</v>
      </c>
      <c r="K235" s="52"/>
      <c r="L235" s="49" t="str">
        <f t="shared" ref="L235:M254" si="33">IFERROR(L223+IF(L223&gt;1,L223*BLS_Esc_Rate,-L223*BLS_Esc_Rate),"Data Missing")</f>
        <v>Data Missing</v>
      </c>
      <c r="M235" s="49" t="str">
        <f t="shared" si="33"/>
        <v>Data Missing</v>
      </c>
      <c r="N235" s="52"/>
      <c r="O235" s="53" t="str">
        <f t="shared" si="30"/>
        <v>Data Missing</v>
      </c>
      <c r="P235" s="53" t="str">
        <f t="shared" si="29"/>
        <v>Data Missing</v>
      </c>
    </row>
    <row r="236" spans="1:16" x14ac:dyDescent="0.25">
      <c r="A236" s="7">
        <v>234</v>
      </c>
      <c r="B236" s="46">
        <f t="shared" si="31"/>
        <v>51288</v>
      </c>
      <c r="C236" s="27" t="str">
        <f t="shared" si="27"/>
        <v>Jun</v>
      </c>
      <c r="D236" s="27">
        <f t="shared" si="28"/>
        <v>2040</v>
      </c>
      <c r="E236" s="27" t="str">
        <f>INDEX(Seasons,MATCH($C236,'General Inputs'!$B$21:$B$32,0),1)</f>
        <v>Summer</v>
      </c>
      <c r="H236" s="52"/>
      <c r="I236" s="49" t="str">
        <f>IFERROR('NG Futures'!$H236*HR_Low_Plant/1000,"Data Missing")</f>
        <v>Data Missing</v>
      </c>
      <c r="J236" s="49" t="str">
        <f>IFERROR('NG Futures'!$H236*HR_High_Plant/1000,"Data Missing")</f>
        <v>Data Missing</v>
      </c>
      <c r="K236" s="52"/>
      <c r="L236" s="49" t="str">
        <f t="shared" si="33"/>
        <v>Data Missing</v>
      </c>
      <c r="M236" s="49" t="str">
        <f t="shared" si="33"/>
        <v>Data Missing</v>
      </c>
      <c r="N236" s="52"/>
      <c r="O236" s="53" t="str">
        <f t="shared" si="30"/>
        <v>Data Missing</v>
      </c>
      <c r="P236" s="53" t="str">
        <f t="shared" si="29"/>
        <v>Data Missing</v>
      </c>
    </row>
    <row r="237" spans="1:16" x14ac:dyDescent="0.25">
      <c r="A237" s="7">
        <v>235</v>
      </c>
      <c r="B237" s="46">
        <f t="shared" si="31"/>
        <v>51318</v>
      </c>
      <c r="C237" s="27" t="str">
        <f t="shared" si="27"/>
        <v>Jul</v>
      </c>
      <c r="D237" s="27">
        <f t="shared" si="28"/>
        <v>2040</v>
      </c>
      <c r="E237" s="27" t="str">
        <f>INDEX(Seasons,MATCH($C237,'General Inputs'!$B$21:$B$32,0),1)</f>
        <v>Summer</v>
      </c>
      <c r="H237" s="52"/>
      <c r="I237" s="49" t="str">
        <f>IFERROR('NG Futures'!$H237*HR_Low_Plant/1000,"Data Missing")</f>
        <v>Data Missing</v>
      </c>
      <c r="J237" s="49" t="str">
        <f>IFERROR('NG Futures'!$H237*HR_High_Plant/1000,"Data Missing")</f>
        <v>Data Missing</v>
      </c>
      <c r="K237" s="52"/>
      <c r="L237" s="49" t="str">
        <f t="shared" si="33"/>
        <v>Data Missing</v>
      </c>
      <c r="M237" s="49" t="str">
        <f t="shared" si="33"/>
        <v>Data Missing</v>
      </c>
      <c r="N237" s="52"/>
      <c r="O237" s="53" t="str">
        <f t="shared" si="30"/>
        <v>Data Missing</v>
      </c>
      <c r="P237" s="53" t="str">
        <f t="shared" si="29"/>
        <v>Data Missing</v>
      </c>
    </row>
    <row r="238" spans="1:16" x14ac:dyDescent="0.25">
      <c r="A238" s="7">
        <v>236</v>
      </c>
      <c r="B238" s="46">
        <f t="shared" si="31"/>
        <v>51349</v>
      </c>
      <c r="C238" s="27" t="str">
        <f t="shared" si="27"/>
        <v>Aug</v>
      </c>
      <c r="D238" s="27">
        <f t="shared" si="28"/>
        <v>2040</v>
      </c>
      <c r="E238" s="27" t="str">
        <f>INDEX(Seasons,MATCH($C238,'General Inputs'!$B$21:$B$32,0),1)</f>
        <v>Summer</v>
      </c>
      <c r="H238" s="52"/>
      <c r="I238" s="49" t="str">
        <f>IFERROR('NG Futures'!$H238*HR_Low_Plant/1000,"Data Missing")</f>
        <v>Data Missing</v>
      </c>
      <c r="J238" s="49" t="str">
        <f>IFERROR('NG Futures'!$H238*HR_High_Plant/1000,"Data Missing")</f>
        <v>Data Missing</v>
      </c>
      <c r="K238" s="52"/>
      <c r="L238" s="49" t="str">
        <f t="shared" si="33"/>
        <v>Data Missing</v>
      </c>
      <c r="M238" s="49" t="str">
        <f t="shared" si="33"/>
        <v>Data Missing</v>
      </c>
      <c r="N238" s="52"/>
      <c r="O238" s="53" t="str">
        <f t="shared" si="30"/>
        <v>Data Missing</v>
      </c>
      <c r="P238" s="53" t="str">
        <f t="shared" si="29"/>
        <v>Data Missing</v>
      </c>
    </row>
    <row r="239" spans="1:16" x14ac:dyDescent="0.25">
      <c r="A239" s="7">
        <v>237</v>
      </c>
      <c r="B239" s="46">
        <f t="shared" si="31"/>
        <v>51380</v>
      </c>
      <c r="C239" s="27" t="str">
        <f t="shared" si="27"/>
        <v>Sep</v>
      </c>
      <c r="D239" s="27">
        <f t="shared" si="28"/>
        <v>2040</v>
      </c>
      <c r="E239" s="27" t="str">
        <f>INDEX(Seasons,MATCH($C239,'General Inputs'!$B$21:$B$32,0),1)</f>
        <v>Summer</v>
      </c>
      <c r="H239" s="52"/>
      <c r="I239" s="49" t="str">
        <f>IFERROR('NG Futures'!$H239*HR_Low_Plant/1000,"Data Missing")</f>
        <v>Data Missing</v>
      </c>
      <c r="J239" s="49" t="str">
        <f>IFERROR('NG Futures'!$H239*HR_High_Plant/1000,"Data Missing")</f>
        <v>Data Missing</v>
      </c>
      <c r="K239" s="52"/>
      <c r="L239" s="49" t="str">
        <f t="shared" si="33"/>
        <v>Data Missing</v>
      </c>
      <c r="M239" s="49" t="str">
        <f t="shared" si="33"/>
        <v>Data Missing</v>
      </c>
      <c r="N239" s="52"/>
      <c r="O239" s="53" t="str">
        <f t="shared" si="30"/>
        <v>Data Missing</v>
      </c>
      <c r="P239" s="53" t="str">
        <f t="shared" si="29"/>
        <v>Data Missing</v>
      </c>
    </row>
    <row r="240" spans="1:16" x14ac:dyDescent="0.25">
      <c r="A240" s="7">
        <v>238</v>
      </c>
      <c r="B240" s="46">
        <f t="shared" si="31"/>
        <v>51410</v>
      </c>
      <c r="C240" s="27" t="str">
        <f t="shared" si="27"/>
        <v>Oct</v>
      </c>
      <c r="D240" s="27">
        <f t="shared" si="28"/>
        <v>2040</v>
      </c>
      <c r="E240" s="27" t="str">
        <f>INDEX(Seasons,MATCH($C240,'General Inputs'!$B$21:$B$32,0),1)</f>
        <v>Shoulder</v>
      </c>
      <c r="H240" s="52"/>
      <c r="I240" s="49" t="str">
        <f>IFERROR('NG Futures'!$H240*HR_Low_Plant/1000,"Data Missing")</f>
        <v>Data Missing</v>
      </c>
      <c r="J240" s="49" t="str">
        <f>IFERROR('NG Futures'!$H240*HR_High_Plant/1000,"Data Missing")</f>
        <v>Data Missing</v>
      </c>
      <c r="K240" s="52"/>
      <c r="L240" s="49" t="str">
        <f t="shared" si="33"/>
        <v>Data Missing</v>
      </c>
      <c r="M240" s="49" t="str">
        <f t="shared" si="33"/>
        <v>Data Missing</v>
      </c>
      <c r="N240" s="52"/>
      <c r="O240" s="53" t="str">
        <f t="shared" si="30"/>
        <v>Data Missing</v>
      </c>
      <c r="P240" s="53" t="str">
        <f t="shared" si="29"/>
        <v>Data Missing</v>
      </c>
    </row>
    <row r="241" spans="1:16" x14ac:dyDescent="0.25">
      <c r="A241" s="7">
        <v>239</v>
      </c>
      <c r="B241" s="46">
        <f t="shared" si="31"/>
        <v>51441</v>
      </c>
      <c r="C241" s="27" t="str">
        <f t="shared" si="27"/>
        <v>Nov</v>
      </c>
      <c r="D241" s="27">
        <f t="shared" si="28"/>
        <v>2040</v>
      </c>
      <c r="E241" s="27" t="str">
        <f>INDEX(Seasons,MATCH($C241,'General Inputs'!$B$21:$B$32,0),1)</f>
        <v>Shoulder</v>
      </c>
      <c r="H241" s="52"/>
      <c r="I241" s="49" t="str">
        <f>IFERROR('NG Futures'!$H241*HR_Low_Plant/1000,"Data Missing")</f>
        <v>Data Missing</v>
      </c>
      <c r="J241" s="49" t="str">
        <f>IFERROR('NG Futures'!$H241*HR_High_Plant/1000,"Data Missing")</f>
        <v>Data Missing</v>
      </c>
      <c r="K241" s="52"/>
      <c r="L241" s="49" t="str">
        <f t="shared" si="33"/>
        <v>Data Missing</v>
      </c>
      <c r="M241" s="49" t="str">
        <f t="shared" si="33"/>
        <v>Data Missing</v>
      </c>
      <c r="N241" s="52"/>
      <c r="O241" s="53" t="str">
        <f t="shared" si="30"/>
        <v>Data Missing</v>
      </c>
      <c r="P241" s="53" t="str">
        <f t="shared" si="29"/>
        <v>Data Missing</v>
      </c>
    </row>
    <row r="242" spans="1:16" x14ac:dyDescent="0.25">
      <c r="A242" s="7">
        <v>240</v>
      </c>
      <c r="B242" s="46">
        <f t="shared" si="31"/>
        <v>51471</v>
      </c>
      <c r="C242" s="27" t="str">
        <f t="shared" si="27"/>
        <v>Dec</v>
      </c>
      <c r="D242" s="27">
        <f t="shared" si="28"/>
        <v>2040</v>
      </c>
      <c r="E242" s="27" t="str">
        <f>INDEX(Seasons,MATCH($C242,'General Inputs'!$B$21:$B$32,0),1)</f>
        <v>Winter</v>
      </c>
      <c r="H242" s="52"/>
      <c r="I242" s="49" t="str">
        <f>IFERROR('NG Futures'!$H242*HR_Low_Plant/1000,"Data Missing")</f>
        <v>Data Missing</v>
      </c>
      <c r="J242" s="49" t="str">
        <f>IFERROR('NG Futures'!$H242*HR_High_Plant/1000,"Data Missing")</f>
        <v>Data Missing</v>
      </c>
      <c r="K242" s="52"/>
      <c r="L242" s="49" t="str">
        <f t="shared" si="33"/>
        <v>Data Missing</v>
      </c>
      <c r="M242" s="49" t="str">
        <f t="shared" si="33"/>
        <v>Data Missing</v>
      </c>
      <c r="N242" s="52"/>
      <c r="O242" s="53" t="str">
        <f t="shared" si="30"/>
        <v>Data Missing</v>
      </c>
      <c r="P242" s="53" t="str">
        <f t="shared" si="29"/>
        <v>Data Missing</v>
      </c>
    </row>
    <row r="243" spans="1:16" x14ac:dyDescent="0.25">
      <c r="A243" s="7">
        <v>241</v>
      </c>
      <c r="B243" s="46">
        <f t="shared" si="31"/>
        <v>51502</v>
      </c>
      <c r="C243" s="27" t="str">
        <f t="shared" si="27"/>
        <v>Jan</v>
      </c>
      <c r="D243" s="27">
        <f t="shared" si="28"/>
        <v>2041</v>
      </c>
      <c r="E243" s="27" t="str">
        <f>INDEX(Seasons,MATCH($C243,'General Inputs'!$B$21:$B$32,0),1)</f>
        <v>Winter</v>
      </c>
      <c r="H243" s="52"/>
      <c r="I243" s="49" t="str">
        <f>IFERROR('NG Futures'!$H243*HR_Low_Plant/1000,"Data Missing")</f>
        <v>Data Missing</v>
      </c>
      <c r="J243" s="49" t="str">
        <f>IFERROR('NG Futures'!$H243*HR_High_Plant/1000,"Data Missing")</f>
        <v>Data Missing</v>
      </c>
      <c r="K243" s="52"/>
      <c r="L243" s="49" t="str">
        <f t="shared" si="33"/>
        <v>Data Missing</v>
      </c>
      <c r="M243" s="49" t="str">
        <f t="shared" si="33"/>
        <v>Data Missing</v>
      </c>
      <c r="N243" s="52"/>
      <c r="O243" s="53" t="str">
        <f t="shared" si="30"/>
        <v>Data Missing</v>
      </c>
      <c r="P243" s="53" t="str">
        <f t="shared" si="29"/>
        <v>Data Missing</v>
      </c>
    </row>
    <row r="244" spans="1:16" x14ac:dyDescent="0.25">
      <c r="A244" s="7">
        <v>242</v>
      </c>
      <c r="B244" s="46">
        <f t="shared" si="31"/>
        <v>51533</v>
      </c>
      <c r="C244" s="27" t="str">
        <f t="shared" si="27"/>
        <v>Feb</v>
      </c>
      <c r="D244" s="27">
        <f t="shared" si="28"/>
        <v>2041</v>
      </c>
      <c r="E244" s="27" t="str">
        <f>INDEX(Seasons,MATCH($C244,'General Inputs'!$B$21:$B$32,0),1)</f>
        <v>Winter</v>
      </c>
      <c r="H244" s="52"/>
      <c r="I244" s="49" t="str">
        <f>IFERROR('NG Futures'!$H244*HR_Low_Plant/1000,"Data Missing")</f>
        <v>Data Missing</v>
      </c>
      <c r="J244" s="49" t="str">
        <f>IFERROR('NG Futures'!$H244*HR_High_Plant/1000,"Data Missing")</f>
        <v>Data Missing</v>
      </c>
      <c r="K244" s="52"/>
      <c r="L244" s="49" t="str">
        <f t="shared" si="33"/>
        <v>Data Missing</v>
      </c>
      <c r="M244" s="49" t="str">
        <f t="shared" si="33"/>
        <v>Data Missing</v>
      </c>
      <c r="N244" s="52"/>
      <c r="O244" s="53" t="str">
        <f t="shared" si="30"/>
        <v>Data Missing</v>
      </c>
      <c r="P244" s="53" t="str">
        <f t="shared" si="29"/>
        <v>Data Missing</v>
      </c>
    </row>
    <row r="245" spans="1:16" x14ac:dyDescent="0.25">
      <c r="A245" s="7">
        <v>243</v>
      </c>
      <c r="B245" s="46">
        <f t="shared" si="31"/>
        <v>51561</v>
      </c>
      <c r="C245" s="27" t="str">
        <f t="shared" si="27"/>
        <v>Mar</v>
      </c>
      <c r="D245" s="27">
        <f t="shared" si="28"/>
        <v>2041</v>
      </c>
      <c r="E245" s="27" t="str">
        <f>INDEX(Seasons,MATCH($C245,'General Inputs'!$B$21:$B$32,0),1)</f>
        <v>Shoulder</v>
      </c>
      <c r="H245" s="52"/>
      <c r="I245" s="49" t="str">
        <f>IFERROR('NG Futures'!$H245*HR_Low_Plant/1000,"Data Missing")</f>
        <v>Data Missing</v>
      </c>
      <c r="J245" s="49" t="str">
        <f>IFERROR('NG Futures'!$H245*HR_High_Plant/1000,"Data Missing")</f>
        <v>Data Missing</v>
      </c>
      <c r="K245" s="52"/>
      <c r="L245" s="49" t="str">
        <f t="shared" si="33"/>
        <v>Data Missing</v>
      </c>
      <c r="M245" s="49" t="str">
        <f t="shared" si="33"/>
        <v>Data Missing</v>
      </c>
      <c r="N245" s="52"/>
      <c r="O245" s="53" t="str">
        <f t="shared" si="30"/>
        <v>Data Missing</v>
      </c>
      <c r="P245" s="53" t="str">
        <f t="shared" si="29"/>
        <v>Data Missing</v>
      </c>
    </row>
    <row r="246" spans="1:16" x14ac:dyDescent="0.25">
      <c r="A246" s="7">
        <v>244</v>
      </c>
      <c r="B246" s="46">
        <f t="shared" si="31"/>
        <v>51592</v>
      </c>
      <c r="C246" s="27" t="str">
        <f t="shared" si="27"/>
        <v>Apr</v>
      </c>
      <c r="D246" s="27">
        <f t="shared" si="28"/>
        <v>2041</v>
      </c>
      <c r="E246" s="27" t="str">
        <f>INDEX(Seasons,MATCH($C246,'General Inputs'!$B$21:$B$32,0),1)</f>
        <v>Shoulder</v>
      </c>
      <c r="H246" s="52"/>
      <c r="I246" s="49" t="str">
        <f>IFERROR('NG Futures'!$H246*HR_Low_Plant/1000,"Data Missing")</f>
        <v>Data Missing</v>
      </c>
      <c r="J246" s="49" t="str">
        <f>IFERROR('NG Futures'!$H246*HR_High_Plant/1000,"Data Missing")</f>
        <v>Data Missing</v>
      </c>
      <c r="K246" s="52"/>
      <c r="L246" s="49" t="str">
        <f t="shared" si="33"/>
        <v>Data Missing</v>
      </c>
      <c r="M246" s="49" t="str">
        <f t="shared" si="33"/>
        <v>Data Missing</v>
      </c>
      <c r="N246" s="52"/>
      <c r="O246" s="53" t="str">
        <f t="shared" si="30"/>
        <v>Data Missing</v>
      </c>
      <c r="P246" s="53" t="str">
        <f t="shared" si="29"/>
        <v>Data Missing</v>
      </c>
    </row>
    <row r="247" spans="1:16" x14ac:dyDescent="0.25">
      <c r="A247" s="7">
        <v>245</v>
      </c>
      <c r="B247" s="46">
        <f t="shared" si="31"/>
        <v>51622</v>
      </c>
      <c r="C247" s="27" t="str">
        <f t="shared" si="27"/>
        <v>May</v>
      </c>
      <c r="D247" s="27">
        <f t="shared" si="28"/>
        <v>2041</v>
      </c>
      <c r="E247" s="27" t="str">
        <f>INDEX(Seasons,MATCH($C247,'General Inputs'!$B$21:$B$32,0),1)</f>
        <v>Summer</v>
      </c>
      <c r="H247" s="52"/>
      <c r="I247" s="49" t="str">
        <f>IFERROR('NG Futures'!$H247*HR_Low_Plant/1000,"Data Missing")</f>
        <v>Data Missing</v>
      </c>
      <c r="J247" s="49" t="str">
        <f>IFERROR('NG Futures'!$H247*HR_High_Plant/1000,"Data Missing")</f>
        <v>Data Missing</v>
      </c>
      <c r="K247" s="52"/>
      <c r="L247" s="49" t="str">
        <f t="shared" si="33"/>
        <v>Data Missing</v>
      </c>
      <c r="M247" s="49" t="str">
        <f t="shared" si="33"/>
        <v>Data Missing</v>
      </c>
      <c r="N247" s="52"/>
      <c r="O247" s="53" t="str">
        <f t="shared" si="30"/>
        <v>Data Missing</v>
      </c>
      <c r="P247" s="53" t="str">
        <f t="shared" si="29"/>
        <v>Data Missing</v>
      </c>
    </row>
    <row r="248" spans="1:16" x14ac:dyDescent="0.25">
      <c r="A248" s="7">
        <v>246</v>
      </c>
      <c r="B248" s="46">
        <f t="shared" si="31"/>
        <v>51653</v>
      </c>
      <c r="C248" s="27" t="str">
        <f t="shared" si="27"/>
        <v>Jun</v>
      </c>
      <c r="D248" s="27">
        <f t="shared" si="28"/>
        <v>2041</v>
      </c>
      <c r="E248" s="27" t="str">
        <f>INDEX(Seasons,MATCH($C248,'General Inputs'!$B$21:$B$32,0),1)</f>
        <v>Summer</v>
      </c>
      <c r="H248" s="52"/>
      <c r="I248" s="49" t="str">
        <f>IFERROR('NG Futures'!$H248*HR_Low_Plant/1000,"Data Missing")</f>
        <v>Data Missing</v>
      </c>
      <c r="J248" s="49" t="str">
        <f>IFERROR('NG Futures'!$H248*HR_High_Plant/1000,"Data Missing")</f>
        <v>Data Missing</v>
      </c>
      <c r="K248" s="52"/>
      <c r="L248" s="49" t="str">
        <f t="shared" si="33"/>
        <v>Data Missing</v>
      </c>
      <c r="M248" s="49" t="str">
        <f t="shared" si="33"/>
        <v>Data Missing</v>
      </c>
      <c r="N248" s="52"/>
      <c r="O248" s="53" t="str">
        <f t="shared" si="30"/>
        <v>Data Missing</v>
      </c>
      <c r="P248" s="53" t="str">
        <f t="shared" si="29"/>
        <v>Data Missing</v>
      </c>
    </row>
    <row r="249" spans="1:16" x14ac:dyDescent="0.25">
      <c r="A249" s="7">
        <v>247</v>
      </c>
      <c r="B249" s="46">
        <f t="shared" si="31"/>
        <v>51683</v>
      </c>
      <c r="C249" s="27" t="str">
        <f t="shared" si="27"/>
        <v>Jul</v>
      </c>
      <c r="D249" s="27">
        <f t="shared" si="28"/>
        <v>2041</v>
      </c>
      <c r="E249" s="27" t="str">
        <f>INDEX(Seasons,MATCH($C249,'General Inputs'!$B$21:$B$32,0),1)</f>
        <v>Summer</v>
      </c>
      <c r="H249" s="52"/>
      <c r="I249" s="49" t="str">
        <f>IFERROR('NG Futures'!$H249*HR_Low_Plant/1000,"Data Missing")</f>
        <v>Data Missing</v>
      </c>
      <c r="J249" s="49" t="str">
        <f>IFERROR('NG Futures'!$H249*HR_High_Plant/1000,"Data Missing")</f>
        <v>Data Missing</v>
      </c>
      <c r="K249" s="52"/>
      <c r="L249" s="49" t="str">
        <f t="shared" si="33"/>
        <v>Data Missing</v>
      </c>
      <c r="M249" s="49" t="str">
        <f t="shared" si="33"/>
        <v>Data Missing</v>
      </c>
      <c r="N249" s="52"/>
      <c r="O249" s="53" t="str">
        <f t="shared" si="30"/>
        <v>Data Missing</v>
      </c>
      <c r="P249" s="53" t="str">
        <f t="shared" si="29"/>
        <v>Data Missing</v>
      </c>
    </row>
    <row r="250" spans="1:16" x14ac:dyDescent="0.25">
      <c r="A250" s="7">
        <v>248</v>
      </c>
      <c r="B250" s="46">
        <f t="shared" si="31"/>
        <v>51714</v>
      </c>
      <c r="C250" s="27" t="str">
        <f t="shared" si="27"/>
        <v>Aug</v>
      </c>
      <c r="D250" s="27">
        <f t="shared" si="28"/>
        <v>2041</v>
      </c>
      <c r="E250" s="27" t="str">
        <f>INDEX(Seasons,MATCH($C250,'General Inputs'!$B$21:$B$32,0),1)</f>
        <v>Summer</v>
      </c>
      <c r="H250" s="52"/>
      <c r="I250" s="49" t="str">
        <f>IFERROR('NG Futures'!$H250*HR_Low_Plant/1000,"Data Missing")</f>
        <v>Data Missing</v>
      </c>
      <c r="J250" s="49" t="str">
        <f>IFERROR('NG Futures'!$H250*HR_High_Plant/1000,"Data Missing")</f>
        <v>Data Missing</v>
      </c>
      <c r="K250" s="52"/>
      <c r="L250" s="49" t="str">
        <f t="shared" si="33"/>
        <v>Data Missing</v>
      </c>
      <c r="M250" s="49" t="str">
        <f t="shared" si="33"/>
        <v>Data Missing</v>
      </c>
      <c r="N250" s="52"/>
      <c r="O250" s="53" t="str">
        <f t="shared" si="30"/>
        <v>Data Missing</v>
      </c>
      <c r="P250" s="53" t="str">
        <f t="shared" si="29"/>
        <v>Data Missing</v>
      </c>
    </row>
    <row r="251" spans="1:16" x14ac:dyDescent="0.25">
      <c r="A251" s="7">
        <v>249</v>
      </c>
      <c r="B251" s="46">
        <f t="shared" si="31"/>
        <v>51745</v>
      </c>
      <c r="C251" s="27" t="str">
        <f t="shared" si="27"/>
        <v>Sep</v>
      </c>
      <c r="D251" s="27">
        <f t="shared" si="28"/>
        <v>2041</v>
      </c>
      <c r="E251" s="27" t="str">
        <f>INDEX(Seasons,MATCH($C251,'General Inputs'!$B$21:$B$32,0),1)</f>
        <v>Summer</v>
      </c>
      <c r="H251" s="52"/>
      <c r="I251" s="49" t="str">
        <f>IFERROR('NG Futures'!$H251*HR_Low_Plant/1000,"Data Missing")</f>
        <v>Data Missing</v>
      </c>
      <c r="J251" s="49" t="str">
        <f>IFERROR('NG Futures'!$H251*HR_High_Plant/1000,"Data Missing")</f>
        <v>Data Missing</v>
      </c>
      <c r="K251" s="52"/>
      <c r="L251" s="49" t="str">
        <f t="shared" si="33"/>
        <v>Data Missing</v>
      </c>
      <c r="M251" s="49" t="str">
        <f t="shared" si="33"/>
        <v>Data Missing</v>
      </c>
      <c r="N251" s="52"/>
      <c r="O251" s="53" t="str">
        <f t="shared" si="30"/>
        <v>Data Missing</v>
      </c>
      <c r="P251" s="53" t="str">
        <f t="shared" si="29"/>
        <v>Data Missing</v>
      </c>
    </row>
    <row r="252" spans="1:16" x14ac:dyDescent="0.25">
      <c r="A252" s="7">
        <v>250</v>
      </c>
      <c r="B252" s="46">
        <f t="shared" si="31"/>
        <v>51775</v>
      </c>
      <c r="C252" s="27" t="str">
        <f t="shared" si="27"/>
        <v>Oct</v>
      </c>
      <c r="D252" s="27">
        <f t="shared" si="28"/>
        <v>2041</v>
      </c>
      <c r="E252" s="27" t="str">
        <f>INDEX(Seasons,MATCH($C252,'General Inputs'!$B$21:$B$32,0),1)</f>
        <v>Shoulder</v>
      </c>
      <c r="H252" s="52"/>
      <c r="I252" s="49" t="str">
        <f>IFERROR('NG Futures'!$H252*HR_Low_Plant/1000,"Data Missing")</f>
        <v>Data Missing</v>
      </c>
      <c r="J252" s="49" t="str">
        <f>IFERROR('NG Futures'!$H252*HR_High_Plant/1000,"Data Missing")</f>
        <v>Data Missing</v>
      </c>
      <c r="K252" s="52"/>
      <c r="L252" s="49" t="str">
        <f t="shared" si="33"/>
        <v>Data Missing</v>
      </c>
      <c r="M252" s="49" t="str">
        <f t="shared" si="33"/>
        <v>Data Missing</v>
      </c>
      <c r="N252" s="52"/>
      <c r="O252" s="53" t="str">
        <f t="shared" si="30"/>
        <v>Data Missing</v>
      </c>
      <c r="P252" s="53" t="str">
        <f t="shared" si="29"/>
        <v>Data Missing</v>
      </c>
    </row>
    <row r="253" spans="1:16" x14ac:dyDescent="0.25">
      <c r="A253" s="7">
        <v>251</v>
      </c>
      <c r="B253" s="46">
        <f t="shared" si="31"/>
        <v>51806</v>
      </c>
      <c r="C253" s="27" t="str">
        <f t="shared" si="27"/>
        <v>Nov</v>
      </c>
      <c r="D253" s="27">
        <f t="shared" si="28"/>
        <v>2041</v>
      </c>
      <c r="E253" s="27" t="str">
        <f>INDEX(Seasons,MATCH($C253,'General Inputs'!$B$21:$B$32,0),1)</f>
        <v>Shoulder</v>
      </c>
      <c r="H253" s="52"/>
      <c r="I253" s="49" t="str">
        <f>IFERROR('NG Futures'!$H253*HR_Low_Plant/1000,"Data Missing")</f>
        <v>Data Missing</v>
      </c>
      <c r="J253" s="49" t="str">
        <f>IFERROR('NG Futures'!$H253*HR_High_Plant/1000,"Data Missing")</f>
        <v>Data Missing</v>
      </c>
      <c r="K253" s="52"/>
      <c r="L253" s="49" t="str">
        <f t="shared" si="33"/>
        <v>Data Missing</v>
      </c>
      <c r="M253" s="49" t="str">
        <f t="shared" si="33"/>
        <v>Data Missing</v>
      </c>
      <c r="N253" s="52"/>
      <c r="O253" s="53" t="str">
        <f t="shared" si="30"/>
        <v>Data Missing</v>
      </c>
      <c r="P253" s="53" t="str">
        <f t="shared" si="29"/>
        <v>Data Missing</v>
      </c>
    </row>
    <row r="254" spans="1:16" x14ac:dyDescent="0.25">
      <c r="A254" s="7">
        <v>252</v>
      </c>
      <c r="B254" s="46">
        <f t="shared" si="31"/>
        <v>51836</v>
      </c>
      <c r="C254" s="27" t="str">
        <f t="shared" si="27"/>
        <v>Dec</v>
      </c>
      <c r="D254" s="27">
        <f t="shared" si="28"/>
        <v>2041</v>
      </c>
      <c r="E254" s="27" t="str">
        <f>INDEX(Seasons,MATCH($C254,'General Inputs'!$B$21:$B$32,0),1)</f>
        <v>Winter</v>
      </c>
      <c r="H254" s="52"/>
      <c r="I254" s="49" t="str">
        <f>IFERROR('NG Futures'!$H254*HR_Low_Plant/1000,"Data Missing")</f>
        <v>Data Missing</v>
      </c>
      <c r="J254" s="49" t="str">
        <f>IFERROR('NG Futures'!$H254*HR_High_Plant/1000,"Data Missing")</f>
        <v>Data Missing</v>
      </c>
      <c r="K254" s="52"/>
      <c r="L254" s="49" t="str">
        <f t="shared" si="33"/>
        <v>Data Missing</v>
      </c>
      <c r="M254" s="49" t="str">
        <f t="shared" si="33"/>
        <v>Data Missing</v>
      </c>
      <c r="N254" s="52"/>
      <c r="O254" s="53" t="str">
        <f t="shared" si="30"/>
        <v>Data Missing</v>
      </c>
      <c r="P254" s="53" t="str">
        <f t="shared" si="29"/>
        <v>Data Missing</v>
      </c>
    </row>
    <row r="255" spans="1:16" x14ac:dyDescent="0.25">
      <c r="A255" s="7">
        <v>253</v>
      </c>
      <c r="B255" s="46">
        <f t="shared" si="31"/>
        <v>51867</v>
      </c>
      <c r="C255" s="27" t="str">
        <f t="shared" si="27"/>
        <v>Jan</v>
      </c>
      <c r="D255" s="27">
        <f t="shared" si="28"/>
        <v>2042</v>
      </c>
      <c r="E255" s="27" t="str">
        <f>INDEX(Seasons,MATCH($C255,'General Inputs'!$B$21:$B$32,0),1)</f>
        <v>Winter</v>
      </c>
      <c r="H255" s="52"/>
      <c r="I255" s="49" t="str">
        <f>IFERROR('NG Futures'!$H255*HR_Low_Plant/1000,"Data Missing")</f>
        <v>Data Missing</v>
      </c>
      <c r="J255" s="49" t="str">
        <f>IFERROR('NG Futures'!$H255*HR_High_Plant/1000,"Data Missing")</f>
        <v>Data Missing</v>
      </c>
      <c r="K255" s="52"/>
      <c r="L255" s="49" t="str">
        <f t="shared" ref="L255:M266" si="34">IFERROR(L243+IF(L243&gt;1,L243*BLS_Esc_Rate,-L243*BLS_Esc_Rate),"Data Missing")</f>
        <v>Data Missing</v>
      </c>
      <c r="M255" s="49" t="str">
        <f t="shared" si="34"/>
        <v>Data Missing</v>
      </c>
      <c r="N255" s="52"/>
      <c r="O255" s="53" t="str">
        <f t="shared" si="30"/>
        <v>Data Missing</v>
      </c>
      <c r="P255" s="53" t="str">
        <f t="shared" si="29"/>
        <v>Data Missing</v>
      </c>
    </row>
    <row r="256" spans="1:16" x14ac:dyDescent="0.25">
      <c r="A256" s="7">
        <v>254</v>
      </c>
      <c r="B256" s="46">
        <f t="shared" si="31"/>
        <v>51898</v>
      </c>
      <c r="C256" s="27" t="str">
        <f t="shared" si="27"/>
        <v>Feb</v>
      </c>
      <c r="D256" s="27">
        <f t="shared" si="28"/>
        <v>2042</v>
      </c>
      <c r="E256" s="27" t="str">
        <f>INDEX(Seasons,MATCH($C256,'General Inputs'!$B$21:$B$32,0),1)</f>
        <v>Winter</v>
      </c>
      <c r="H256" s="52"/>
      <c r="I256" s="49" t="str">
        <f>IFERROR('NG Futures'!$H256*HR_Low_Plant/1000,"Data Missing")</f>
        <v>Data Missing</v>
      </c>
      <c r="J256" s="49" t="str">
        <f>IFERROR('NG Futures'!$H256*HR_High_Plant/1000,"Data Missing")</f>
        <v>Data Missing</v>
      </c>
      <c r="K256" s="52"/>
      <c r="L256" s="49" t="str">
        <f t="shared" si="34"/>
        <v>Data Missing</v>
      </c>
      <c r="M256" s="49" t="str">
        <f t="shared" si="34"/>
        <v>Data Missing</v>
      </c>
      <c r="N256" s="52"/>
      <c r="O256" s="53" t="str">
        <f t="shared" si="30"/>
        <v>Data Missing</v>
      </c>
      <c r="P256" s="53" t="str">
        <f t="shared" si="29"/>
        <v>Data Missing</v>
      </c>
    </row>
    <row r="257" spans="1:16" x14ac:dyDescent="0.25">
      <c r="A257" s="7">
        <v>255</v>
      </c>
      <c r="B257" s="46">
        <f t="shared" si="31"/>
        <v>51926</v>
      </c>
      <c r="C257" s="27" t="str">
        <f t="shared" si="27"/>
        <v>Mar</v>
      </c>
      <c r="D257" s="27">
        <f t="shared" si="28"/>
        <v>2042</v>
      </c>
      <c r="E257" s="27" t="str">
        <f>INDEX(Seasons,MATCH($C257,'General Inputs'!$B$21:$B$32,0),1)</f>
        <v>Shoulder</v>
      </c>
      <c r="H257" s="52"/>
      <c r="I257" s="49" t="str">
        <f>IFERROR('NG Futures'!$H257*HR_Low_Plant/1000,"Data Missing")</f>
        <v>Data Missing</v>
      </c>
      <c r="J257" s="49" t="str">
        <f>IFERROR('NG Futures'!$H257*HR_High_Plant/1000,"Data Missing")</f>
        <v>Data Missing</v>
      </c>
      <c r="K257" s="52"/>
      <c r="L257" s="49" t="str">
        <f t="shared" si="34"/>
        <v>Data Missing</v>
      </c>
      <c r="M257" s="49" t="str">
        <f t="shared" si="34"/>
        <v>Data Missing</v>
      </c>
      <c r="N257" s="52"/>
      <c r="O257" s="53" t="str">
        <f t="shared" si="30"/>
        <v>Data Missing</v>
      </c>
      <c r="P257" s="53" t="str">
        <f t="shared" si="29"/>
        <v>Data Missing</v>
      </c>
    </row>
    <row r="258" spans="1:16" x14ac:dyDescent="0.25">
      <c r="A258" s="7">
        <v>256</v>
      </c>
      <c r="B258" s="46">
        <f t="shared" si="31"/>
        <v>51957</v>
      </c>
      <c r="C258" s="27" t="str">
        <f t="shared" si="27"/>
        <v>Apr</v>
      </c>
      <c r="D258" s="27">
        <f t="shared" si="28"/>
        <v>2042</v>
      </c>
      <c r="E258" s="27" t="str">
        <f>INDEX(Seasons,MATCH($C258,'General Inputs'!$B$21:$B$32,0),1)</f>
        <v>Shoulder</v>
      </c>
      <c r="H258" s="52"/>
      <c r="I258" s="49" t="str">
        <f>IFERROR('NG Futures'!$H258*HR_Low_Plant/1000,"Data Missing")</f>
        <v>Data Missing</v>
      </c>
      <c r="J258" s="49" t="str">
        <f>IFERROR('NG Futures'!$H258*HR_High_Plant/1000,"Data Missing")</f>
        <v>Data Missing</v>
      </c>
      <c r="K258" s="52"/>
      <c r="L258" s="49" t="str">
        <f t="shared" si="34"/>
        <v>Data Missing</v>
      </c>
      <c r="M258" s="49" t="str">
        <f t="shared" si="34"/>
        <v>Data Missing</v>
      </c>
      <c r="N258" s="52"/>
      <c r="O258" s="53" t="str">
        <f t="shared" si="30"/>
        <v>Data Missing</v>
      </c>
      <c r="P258" s="53" t="str">
        <f t="shared" si="29"/>
        <v>Data Missing</v>
      </c>
    </row>
    <row r="259" spans="1:16" x14ac:dyDescent="0.25">
      <c r="A259" s="7">
        <v>257</v>
      </c>
      <c r="B259" s="46">
        <f t="shared" si="31"/>
        <v>51987</v>
      </c>
      <c r="C259" s="27" t="str">
        <f t="shared" si="27"/>
        <v>May</v>
      </c>
      <c r="D259" s="27">
        <f t="shared" si="28"/>
        <v>2042</v>
      </c>
      <c r="E259" s="27" t="str">
        <f>INDEX(Seasons,MATCH($C259,'General Inputs'!$B$21:$B$32,0),1)</f>
        <v>Summer</v>
      </c>
      <c r="H259" s="52"/>
      <c r="I259" s="49" t="str">
        <f>IFERROR('NG Futures'!$H259*HR_Low_Plant/1000,"Data Missing")</f>
        <v>Data Missing</v>
      </c>
      <c r="J259" s="49" t="str">
        <f>IFERROR('NG Futures'!$H259*HR_High_Plant/1000,"Data Missing")</f>
        <v>Data Missing</v>
      </c>
      <c r="K259" s="52"/>
      <c r="L259" s="49" t="str">
        <f t="shared" si="34"/>
        <v>Data Missing</v>
      </c>
      <c r="M259" s="49" t="str">
        <f t="shared" si="34"/>
        <v>Data Missing</v>
      </c>
      <c r="N259" s="52"/>
      <c r="O259" s="53" t="str">
        <f t="shared" si="30"/>
        <v>Data Missing</v>
      </c>
      <c r="P259" s="53" t="str">
        <f t="shared" si="29"/>
        <v>Data Missing</v>
      </c>
    </row>
    <row r="260" spans="1:16" x14ac:dyDescent="0.25">
      <c r="A260" s="7">
        <v>258</v>
      </c>
      <c r="B260" s="46">
        <f t="shared" si="31"/>
        <v>52018</v>
      </c>
      <c r="C260" s="27" t="str">
        <f t="shared" ref="C260:C266" si="35">CHOOSE(MONTH(B260), "Jan", "Feb", "Mar", "Apr", "May", "Jun", "Jul", "Aug", "Sep", "Oct", "Nov", "Dec")</f>
        <v>Jun</v>
      </c>
      <c r="D260" s="27">
        <f t="shared" ref="D260:D266" si="36">YEAR(B260)</f>
        <v>2042</v>
      </c>
      <c r="E260" s="27" t="str">
        <f>INDEX(Seasons,MATCH($C260,'General Inputs'!$B$21:$B$32,0),1)</f>
        <v>Summer</v>
      </c>
      <c r="H260" s="52"/>
      <c r="I260" s="49" t="str">
        <f>IFERROR('NG Futures'!$H260*HR_Low_Plant/1000,"Data Missing")</f>
        <v>Data Missing</v>
      </c>
      <c r="J260" s="49" t="str">
        <f>IFERROR('NG Futures'!$H260*HR_High_Plant/1000,"Data Missing")</f>
        <v>Data Missing</v>
      </c>
      <c r="K260" s="52"/>
      <c r="L260" s="49" t="str">
        <f t="shared" si="34"/>
        <v>Data Missing</v>
      </c>
      <c r="M260" s="49" t="str">
        <f t="shared" si="34"/>
        <v>Data Missing</v>
      </c>
      <c r="N260" s="52"/>
      <c r="O260" s="53" t="str">
        <f t="shared" si="30"/>
        <v>Data Missing</v>
      </c>
      <c r="P260" s="53" t="str">
        <f t="shared" si="29"/>
        <v>Data Missing</v>
      </c>
    </row>
    <row r="261" spans="1:16" x14ac:dyDescent="0.25">
      <c r="A261" s="7">
        <v>259</v>
      </c>
      <c r="B261" s="46">
        <f t="shared" si="31"/>
        <v>52048</v>
      </c>
      <c r="C261" s="27" t="str">
        <f t="shared" si="35"/>
        <v>Jul</v>
      </c>
      <c r="D261" s="27">
        <f t="shared" si="36"/>
        <v>2042</v>
      </c>
      <c r="E261" s="27" t="str">
        <f>INDEX(Seasons,MATCH($C261,'General Inputs'!$B$21:$B$32,0),1)</f>
        <v>Summer</v>
      </c>
      <c r="H261" s="52"/>
      <c r="I261" s="49" t="str">
        <f>IFERROR('NG Futures'!$H261*HR_Low_Plant/1000,"Data Missing")</f>
        <v>Data Missing</v>
      </c>
      <c r="J261" s="49" t="str">
        <f>IFERROR('NG Futures'!$H261*HR_High_Plant/1000,"Data Missing")</f>
        <v>Data Missing</v>
      </c>
      <c r="K261" s="52"/>
      <c r="L261" s="49" t="str">
        <f t="shared" si="34"/>
        <v>Data Missing</v>
      </c>
      <c r="M261" s="49" t="str">
        <f t="shared" si="34"/>
        <v>Data Missing</v>
      </c>
      <c r="N261" s="52"/>
      <c r="O261" s="53" t="str">
        <f t="shared" si="30"/>
        <v>Data Missing</v>
      </c>
      <c r="P261" s="53" t="str">
        <f t="shared" si="29"/>
        <v>Data Missing</v>
      </c>
    </row>
    <row r="262" spans="1:16" x14ac:dyDescent="0.25">
      <c r="A262" s="7">
        <v>260</v>
      </c>
      <c r="B262" s="46">
        <f t="shared" si="31"/>
        <v>52079</v>
      </c>
      <c r="C262" s="27" t="str">
        <f t="shared" si="35"/>
        <v>Aug</v>
      </c>
      <c r="D262" s="27">
        <f t="shared" si="36"/>
        <v>2042</v>
      </c>
      <c r="E262" s="27" t="str">
        <f>INDEX(Seasons,MATCH($C262,'General Inputs'!$B$21:$B$32,0),1)</f>
        <v>Summer</v>
      </c>
      <c r="H262" s="52"/>
      <c r="I262" s="49" t="str">
        <f>IFERROR('NG Futures'!$H262*HR_Low_Plant/1000,"Data Missing")</f>
        <v>Data Missing</v>
      </c>
      <c r="J262" s="49" t="str">
        <f>IFERROR('NG Futures'!$H262*HR_High_Plant/1000,"Data Missing")</f>
        <v>Data Missing</v>
      </c>
      <c r="K262" s="52"/>
      <c r="L262" s="49" t="str">
        <f t="shared" si="34"/>
        <v>Data Missing</v>
      </c>
      <c r="M262" s="49" t="str">
        <f t="shared" si="34"/>
        <v>Data Missing</v>
      </c>
      <c r="N262" s="52"/>
      <c r="O262" s="53" t="str">
        <f t="shared" si="30"/>
        <v>Data Missing</v>
      </c>
      <c r="P262" s="53" t="str">
        <f t="shared" si="29"/>
        <v>Data Missing</v>
      </c>
    </row>
    <row r="263" spans="1:16" x14ac:dyDescent="0.25">
      <c r="A263" s="7">
        <v>261</v>
      </c>
      <c r="B263" s="46">
        <f t="shared" si="31"/>
        <v>52110</v>
      </c>
      <c r="C263" s="27" t="str">
        <f t="shared" si="35"/>
        <v>Sep</v>
      </c>
      <c r="D263" s="27">
        <f t="shared" si="36"/>
        <v>2042</v>
      </c>
      <c r="E263" s="27" t="str">
        <f>INDEX(Seasons,MATCH($C263,'General Inputs'!$B$21:$B$32,0),1)</f>
        <v>Summer</v>
      </c>
      <c r="H263" s="52"/>
      <c r="I263" s="49" t="str">
        <f>IFERROR('NG Futures'!$H263*HR_Low_Plant/1000,"Data Missing")</f>
        <v>Data Missing</v>
      </c>
      <c r="J263" s="49" t="str">
        <f>IFERROR('NG Futures'!$H263*HR_High_Plant/1000,"Data Missing")</f>
        <v>Data Missing</v>
      </c>
      <c r="K263" s="52"/>
      <c r="L263" s="49" t="str">
        <f t="shared" si="34"/>
        <v>Data Missing</v>
      </c>
      <c r="M263" s="49" t="str">
        <f t="shared" si="34"/>
        <v>Data Missing</v>
      </c>
      <c r="N263" s="52"/>
      <c r="O263" s="53" t="str">
        <f t="shared" si="30"/>
        <v>Data Missing</v>
      </c>
      <c r="P263" s="53" t="str">
        <f t="shared" ref="P263:P266" si="37">IFERROR(J263+M263,"Data Missing")</f>
        <v>Data Missing</v>
      </c>
    </row>
    <row r="264" spans="1:16" x14ac:dyDescent="0.25">
      <c r="A264" s="7">
        <v>262</v>
      </c>
      <c r="B264" s="46">
        <f t="shared" si="31"/>
        <v>52140</v>
      </c>
      <c r="C264" s="27" t="str">
        <f t="shared" si="35"/>
        <v>Oct</v>
      </c>
      <c r="D264" s="27">
        <f t="shared" si="36"/>
        <v>2042</v>
      </c>
      <c r="E264" s="27" t="str">
        <f>INDEX(Seasons,MATCH($C264,'General Inputs'!$B$21:$B$32,0),1)</f>
        <v>Shoulder</v>
      </c>
      <c r="H264" s="52"/>
      <c r="I264" s="49" t="str">
        <f>IFERROR('NG Futures'!$H264*HR_Low_Plant/1000,"Data Missing")</f>
        <v>Data Missing</v>
      </c>
      <c r="J264" s="49" t="str">
        <f>IFERROR('NG Futures'!$H264*HR_High_Plant/1000,"Data Missing")</f>
        <v>Data Missing</v>
      </c>
      <c r="K264" s="52"/>
      <c r="L264" s="49" t="str">
        <f t="shared" si="34"/>
        <v>Data Missing</v>
      </c>
      <c r="M264" s="49" t="str">
        <f t="shared" si="34"/>
        <v>Data Missing</v>
      </c>
      <c r="N264" s="52"/>
      <c r="O264" s="53" t="str">
        <f t="shared" ref="O264:O266" si="38">IFERROR(I264+L264,"Data Missing")</f>
        <v>Data Missing</v>
      </c>
      <c r="P264" s="53" t="str">
        <f t="shared" si="37"/>
        <v>Data Missing</v>
      </c>
    </row>
    <row r="265" spans="1:16" x14ac:dyDescent="0.25">
      <c r="A265" s="7">
        <v>263</v>
      </c>
      <c r="B265" s="46">
        <f t="shared" si="31"/>
        <v>52171</v>
      </c>
      <c r="C265" s="27" t="str">
        <f t="shared" si="35"/>
        <v>Nov</v>
      </c>
      <c r="D265" s="27">
        <f t="shared" si="36"/>
        <v>2042</v>
      </c>
      <c r="E265" s="27" t="str">
        <f>INDEX(Seasons,MATCH($C265,'General Inputs'!$B$21:$B$32,0),1)</f>
        <v>Shoulder</v>
      </c>
      <c r="H265" s="52"/>
      <c r="I265" s="49" t="str">
        <f>IFERROR('NG Futures'!$H265*HR_Low_Plant/1000,"Data Missing")</f>
        <v>Data Missing</v>
      </c>
      <c r="J265" s="49" t="str">
        <f>IFERROR('NG Futures'!$H265*HR_High_Plant/1000,"Data Missing")</f>
        <v>Data Missing</v>
      </c>
      <c r="K265" s="52"/>
      <c r="L265" s="49" t="str">
        <f t="shared" si="34"/>
        <v>Data Missing</v>
      </c>
      <c r="M265" s="49" t="str">
        <f t="shared" si="34"/>
        <v>Data Missing</v>
      </c>
      <c r="N265" s="52"/>
      <c r="O265" s="53" t="str">
        <f t="shared" si="38"/>
        <v>Data Missing</v>
      </c>
      <c r="P265" s="53" t="str">
        <f t="shared" si="37"/>
        <v>Data Missing</v>
      </c>
    </row>
    <row r="266" spans="1:16" x14ac:dyDescent="0.25">
      <c r="A266" s="7">
        <v>264</v>
      </c>
      <c r="B266" s="46">
        <f t="shared" si="31"/>
        <v>52201</v>
      </c>
      <c r="C266" s="27" t="str">
        <f t="shared" si="35"/>
        <v>Dec</v>
      </c>
      <c r="D266" s="27">
        <f t="shared" si="36"/>
        <v>2042</v>
      </c>
      <c r="E266" s="27" t="str">
        <f>INDEX(Seasons,MATCH($C266,'General Inputs'!$B$21:$B$32,0),1)</f>
        <v>Winter</v>
      </c>
      <c r="H266" s="52"/>
      <c r="I266" s="49" t="str">
        <f>IFERROR('NG Futures'!$H266*HR_Low_Plant/1000,"Data Missing")</f>
        <v>Data Missing</v>
      </c>
      <c r="J266" s="49" t="str">
        <f>IFERROR('NG Futures'!$H266*HR_High_Plant/1000,"Data Missing")</f>
        <v>Data Missing</v>
      </c>
      <c r="K266" s="52"/>
      <c r="L266" s="49" t="str">
        <f t="shared" si="34"/>
        <v>Data Missing</v>
      </c>
      <c r="M266" s="49" t="str">
        <f t="shared" si="34"/>
        <v>Data Missing</v>
      </c>
      <c r="N266" s="52"/>
      <c r="O266" s="53" t="str">
        <f t="shared" si="38"/>
        <v>Data Missing</v>
      </c>
      <c r="P266" s="53" t="str">
        <f t="shared" si="37"/>
        <v>Data Missing</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45"/>
  <sheetViews>
    <sheetView zoomScale="140" zoomScaleNormal="140" workbookViewId="0">
      <selection activeCell="J30" sqref="J30"/>
    </sheetView>
  </sheetViews>
  <sheetFormatPr defaultRowHeight="12.75" x14ac:dyDescent="0.2"/>
  <cols>
    <col min="1" max="1" width="6.42578125" style="3" customWidth="1"/>
    <col min="2" max="11" width="12.7109375" style="3" customWidth="1"/>
    <col min="12" max="12" width="9.140625" style="3"/>
    <col min="13" max="13" width="10.28515625" style="3" bestFit="1" customWidth="1"/>
    <col min="14" max="16384" width="9.140625" style="3"/>
  </cols>
  <sheetData>
    <row r="1" spans="2:6" x14ac:dyDescent="0.2">
      <c r="B1" s="201" t="s">
        <v>121</v>
      </c>
      <c r="C1" s="201"/>
      <c r="D1" s="201"/>
      <c r="E1" s="201"/>
    </row>
    <row r="2" spans="2:6" x14ac:dyDescent="0.2">
      <c r="B2" s="201" t="s">
        <v>176</v>
      </c>
      <c r="C2" s="201"/>
      <c r="D2" s="201"/>
      <c r="E2" s="201"/>
    </row>
    <row r="3" spans="2:6" ht="12.75" customHeight="1" x14ac:dyDescent="0.2">
      <c r="B3" s="166" t="s">
        <v>108</v>
      </c>
      <c r="C3" s="166" t="s">
        <v>109</v>
      </c>
      <c r="D3" s="166" t="s">
        <v>173</v>
      </c>
      <c r="E3" s="166" t="s">
        <v>174</v>
      </c>
    </row>
    <row r="4" spans="2:6" x14ac:dyDescent="0.2">
      <c r="B4" s="98" t="s">
        <v>12</v>
      </c>
      <c r="C4" s="131"/>
      <c r="D4" s="131"/>
      <c r="E4" s="131"/>
    </row>
    <row r="5" spans="2:6" x14ac:dyDescent="0.2">
      <c r="B5" s="98" t="s">
        <v>161</v>
      </c>
      <c r="C5" s="131"/>
      <c r="D5" s="131"/>
      <c r="E5" s="131"/>
    </row>
    <row r="6" spans="2:6" x14ac:dyDescent="0.2">
      <c r="B6" s="98" t="s">
        <v>17</v>
      </c>
      <c r="C6" s="131"/>
      <c r="D6" s="131"/>
      <c r="E6" s="131"/>
    </row>
    <row r="7" spans="2:6" x14ac:dyDescent="0.2">
      <c r="B7" s="98" t="s">
        <v>143</v>
      </c>
      <c r="C7" s="131"/>
      <c r="D7" s="131"/>
      <c r="E7" s="131"/>
    </row>
    <row r="8" spans="2:6" x14ac:dyDescent="0.2">
      <c r="B8" s="98" t="s">
        <v>138</v>
      </c>
      <c r="C8" s="131"/>
      <c r="D8" s="131"/>
      <c r="E8" s="131"/>
    </row>
    <row r="9" spans="2:6" x14ac:dyDescent="0.2">
      <c r="B9" s="98" t="s">
        <v>19</v>
      </c>
      <c r="C9" s="131"/>
      <c r="D9" s="131"/>
      <c r="E9" s="131"/>
    </row>
    <row r="10" spans="2:6" x14ac:dyDescent="0.2">
      <c r="B10" s="98" t="s">
        <v>139</v>
      </c>
      <c r="C10" s="131"/>
      <c r="D10" s="131"/>
      <c r="E10" s="131"/>
    </row>
    <row r="12" spans="2:6" x14ac:dyDescent="0.2">
      <c r="B12" s="201" t="s">
        <v>110</v>
      </c>
      <c r="C12" s="201"/>
      <c r="D12" s="201"/>
      <c r="E12" s="201"/>
      <c r="F12" s="201"/>
    </row>
    <row r="13" spans="2:6" x14ac:dyDescent="0.2">
      <c r="B13" s="166" t="s">
        <v>108</v>
      </c>
      <c r="C13" s="166" t="s">
        <v>109</v>
      </c>
      <c r="D13" s="166" t="s">
        <v>173</v>
      </c>
      <c r="E13" s="166" t="s">
        <v>174</v>
      </c>
      <c r="F13" s="166" t="s">
        <v>111</v>
      </c>
    </row>
    <row r="14" spans="2:6" x14ac:dyDescent="0.2">
      <c r="B14" s="98" t="s">
        <v>12</v>
      </c>
      <c r="C14" s="138">
        <f>C4*0.365</f>
        <v>0</v>
      </c>
      <c r="D14" s="138">
        <f t="shared" ref="D14:E14" si="0">D4*0.365</f>
        <v>0</v>
      </c>
      <c r="E14" s="138">
        <f t="shared" si="0"/>
        <v>0</v>
      </c>
      <c r="F14" s="138">
        <f>AVERAGE(C14:E14)</f>
        <v>0</v>
      </c>
    </row>
    <row r="15" spans="2:6" x14ac:dyDescent="0.2">
      <c r="B15" s="98" t="s">
        <v>161</v>
      </c>
      <c r="C15" s="138">
        <f t="shared" ref="C15:E20" si="1">C5*0.365</f>
        <v>0</v>
      </c>
      <c r="D15" s="138">
        <f t="shared" si="1"/>
        <v>0</v>
      </c>
      <c r="E15" s="138">
        <f t="shared" si="1"/>
        <v>0</v>
      </c>
      <c r="F15" s="138">
        <f t="shared" ref="F15:F20" si="2">AVERAGE(C15:E15)</f>
        <v>0</v>
      </c>
    </row>
    <row r="16" spans="2:6" x14ac:dyDescent="0.2">
      <c r="B16" s="98" t="s">
        <v>17</v>
      </c>
      <c r="C16" s="138">
        <f t="shared" si="1"/>
        <v>0</v>
      </c>
      <c r="D16" s="138">
        <f t="shared" si="1"/>
        <v>0</v>
      </c>
      <c r="E16" s="138">
        <f t="shared" si="1"/>
        <v>0</v>
      </c>
      <c r="F16" s="138">
        <f t="shared" si="2"/>
        <v>0</v>
      </c>
    </row>
    <row r="17" spans="2:11" x14ac:dyDescent="0.2">
      <c r="B17" s="98" t="s">
        <v>143</v>
      </c>
      <c r="C17" s="138">
        <f t="shared" si="1"/>
        <v>0</v>
      </c>
      <c r="D17" s="138">
        <f t="shared" si="1"/>
        <v>0</v>
      </c>
      <c r="E17" s="138">
        <f t="shared" si="1"/>
        <v>0</v>
      </c>
      <c r="F17" s="138">
        <f t="shared" si="2"/>
        <v>0</v>
      </c>
    </row>
    <row r="18" spans="2:11" x14ac:dyDescent="0.2">
      <c r="B18" s="98" t="s">
        <v>138</v>
      </c>
      <c r="C18" s="138">
        <f t="shared" si="1"/>
        <v>0</v>
      </c>
      <c r="D18" s="138">
        <f t="shared" si="1"/>
        <v>0</v>
      </c>
      <c r="E18" s="138">
        <f t="shared" si="1"/>
        <v>0</v>
      </c>
      <c r="F18" s="138">
        <f t="shared" si="2"/>
        <v>0</v>
      </c>
    </row>
    <row r="19" spans="2:11" x14ac:dyDescent="0.2">
      <c r="B19" s="98" t="s">
        <v>19</v>
      </c>
      <c r="C19" s="138">
        <f t="shared" si="1"/>
        <v>0</v>
      </c>
      <c r="D19" s="138">
        <f t="shared" si="1"/>
        <v>0</v>
      </c>
      <c r="E19" s="138">
        <f t="shared" si="1"/>
        <v>0</v>
      </c>
      <c r="F19" s="138">
        <f t="shared" si="2"/>
        <v>0</v>
      </c>
    </row>
    <row r="20" spans="2:11" x14ac:dyDescent="0.2">
      <c r="B20" s="98" t="s">
        <v>139</v>
      </c>
      <c r="C20" s="138">
        <f t="shared" si="1"/>
        <v>0</v>
      </c>
      <c r="D20" s="138">
        <f t="shared" si="1"/>
        <v>0</v>
      </c>
      <c r="E20" s="138">
        <f t="shared" si="1"/>
        <v>0</v>
      </c>
      <c r="F20" s="138">
        <f t="shared" si="2"/>
        <v>0</v>
      </c>
    </row>
    <row r="22" spans="2:11" x14ac:dyDescent="0.2">
      <c r="B22" s="201" t="s">
        <v>125</v>
      </c>
      <c r="C22" s="201"/>
      <c r="D22" s="201"/>
      <c r="E22" s="201"/>
      <c r="F22" s="201"/>
      <c r="G22" s="201"/>
      <c r="H22" s="201"/>
      <c r="I22" s="201"/>
      <c r="J22" s="201"/>
      <c r="K22" s="201"/>
    </row>
    <row r="23" spans="2:11" x14ac:dyDescent="0.2">
      <c r="B23" s="166" t="s">
        <v>112</v>
      </c>
      <c r="C23" s="166" t="s">
        <v>113</v>
      </c>
      <c r="D23" s="166" t="s">
        <v>114</v>
      </c>
      <c r="E23" s="166" t="s">
        <v>12</v>
      </c>
      <c r="F23" s="166" t="s">
        <v>161</v>
      </c>
      <c r="G23" s="166" t="s">
        <v>17</v>
      </c>
      <c r="H23" s="166" t="s">
        <v>143</v>
      </c>
      <c r="I23" s="166" t="s">
        <v>138</v>
      </c>
      <c r="J23" s="166" t="s">
        <v>19</v>
      </c>
      <c r="K23" s="166" t="s">
        <v>139</v>
      </c>
    </row>
    <row r="24" spans="2:11" x14ac:dyDescent="0.2">
      <c r="B24" s="100">
        <f>Start_Year_PY</f>
        <v>13</v>
      </c>
      <c r="C24" s="100">
        <f>INDEX('General Inputs'!$G$3:$H$32,MATCH($B24,'General Inputs'!$F$3:$F$32,FALSE),1)</f>
        <v>2021</v>
      </c>
      <c r="D24" s="100">
        <f>INDEX('General Inputs'!$G$3:$H$32,MATCH($B24,'General Inputs'!$F$3:$F$32,FALSE),2)</f>
        <v>2022</v>
      </c>
      <c r="E24" s="168">
        <f>VLOOKUP(E$23,$B$14:$F$20,2,FALSE)</f>
        <v>0</v>
      </c>
      <c r="F24" s="168">
        <f t="shared" ref="F24:K24" si="3">VLOOKUP(F$23,$B$14:$F$20,2,FALSE)</f>
        <v>0</v>
      </c>
      <c r="G24" s="168">
        <f t="shared" si="3"/>
        <v>0</v>
      </c>
      <c r="H24" s="168">
        <f t="shared" si="3"/>
        <v>0</v>
      </c>
      <c r="I24" s="168">
        <f t="shared" si="3"/>
        <v>0</v>
      </c>
      <c r="J24" s="168">
        <f t="shared" si="3"/>
        <v>0</v>
      </c>
      <c r="K24" s="168">
        <f t="shared" si="3"/>
        <v>0</v>
      </c>
    </row>
    <row r="25" spans="2:11" x14ac:dyDescent="0.2">
      <c r="B25" s="100">
        <f>B24+1</f>
        <v>14</v>
      </c>
      <c r="C25" s="100">
        <f>INDEX('General Inputs'!$G$3:$H$32,MATCH($B25,'General Inputs'!$F$3:$F$32,FALSE),1)</f>
        <v>2022</v>
      </c>
      <c r="D25" s="100">
        <f>INDEX('General Inputs'!$G$3:$H$32,MATCH($B25,'General Inputs'!$F$3:$F$32,FALSE),2)</f>
        <v>2023</v>
      </c>
      <c r="E25" s="168">
        <f>VLOOKUP(E$23,$B$14:$F$20,3,FALSE)</f>
        <v>0</v>
      </c>
      <c r="F25" s="168">
        <f t="shared" ref="F25:K25" si="4">VLOOKUP(F$23,$B$14:$F$20,5,FALSE)</f>
        <v>0</v>
      </c>
      <c r="G25" s="168">
        <f t="shared" si="4"/>
        <v>0</v>
      </c>
      <c r="H25" s="168">
        <f t="shared" si="4"/>
        <v>0</v>
      </c>
      <c r="I25" s="168">
        <f t="shared" si="4"/>
        <v>0</v>
      </c>
      <c r="J25" s="168">
        <f t="shared" si="4"/>
        <v>0</v>
      </c>
      <c r="K25" s="168">
        <f t="shared" si="4"/>
        <v>0</v>
      </c>
    </row>
    <row r="26" spans="2:11" x14ac:dyDescent="0.2">
      <c r="B26" s="100">
        <f t="shared" ref="B26:B45" si="5">B25+1</f>
        <v>15</v>
      </c>
      <c r="C26" s="100">
        <f>INDEX('General Inputs'!$G$3:$H$32,MATCH($B26,'General Inputs'!$F$3:$F$32,FALSE),1)</f>
        <v>2023</v>
      </c>
      <c r="D26" s="100">
        <f>INDEX('General Inputs'!$G$3:$H$32,MATCH($B26,'General Inputs'!$F$3:$F$32,FALSE),2)</f>
        <v>2024</v>
      </c>
      <c r="E26" s="168">
        <f>VLOOKUP(E$23,$B$14:$F$20,4,FALSE)</f>
        <v>0</v>
      </c>
      <c r="F26" s="168">
        <f t="shared" ref="F26:K26" si="6">VLOOKUP(F$23,$B$14:$F$20,4,FALSE)</f>
        <v>0</v>
      </c>
      <c r="G26" s="168">
        <f t="shared" si="6"/>
        <v>0</v>
      </c>
      <c r="H26" s="168">
        <f t="shared" si="6"/>
        <v>0</v>
      </c>
      <c r="I26" s="168">
        <f t="shared" si="6"/>
        <v>0</v>
      </c>
      <c r="J26" s="168">
        <f t="shared" si="6"/>
        <v>0</v>
      </c>
      <c r="K26" s="168">
        <f t="shared" si="6"/>
        <v>0</v>
      </c>
    </row>
    <row r="27" spans="2:11" x14ac:dyDescent="0.2">
      <c r="B27" s="100">
        <f t="shared" si="5"/>
        <v>16</v>
      </c>
      <c r="C27" s="100">
        <f>INDEX('General Inputs'!$G$3:$H$32,MATCH($B27,'General Inputs'!$F$3:$F$32,FALSE),1)</f>
        <v>2024</v>
      </c>
      <c r="D27" s="100">
        <f>INDEX('General Inputs'!$G$3:$H$32,MATCH($B27,'General Inputs'!$F$3:$F$32,FALSE),2)</f>
        <v>2025</v>
      </c>
      <c r="E27" s="168" t="str">
        <f t="shared" ref="E27:K27" si="7">IFERROR(VLOOKUP(E$23,$B$14:$F$20,5,FALSE)*(1+BLS_Esc_Rate+Inflation),"Data Missing")</f>
        <v>Data Missing</v>
      </c>
      <c r="F27" s="168" t="str">
        <f t="shared" si="7"/>
        <v>Data Missing</v>
      </c>
      <c r="G27" s="168" t="str">
        <f t="shared" si="7"/>
        <v>Data Missing</v>
      </c>
      <c r="H27" s="168" t="str">
        <f t="shared" si="7"/>
        <v>Data Missing</v>
      </c>
      <c r="I27" s="168" t="str">
        <f t="shared" si="7"/>
        <v>Data Missing</v>
      </c>
      <c r="J27" s="168" t="str">
        <f t="shared" si="7"/>
        <v>Data Missing</v>
      </c>
      <c r="K27" s="168" t="str">
        <f t="shared" si="7"/>
        <v>Data Missing</v>
      </c>
    </row>
    <row r="28" spans="2:11" x14ac:dyDescent="0.2">
      <c r="B28" s="100">
        <f t="shared" si="5"/>
        <v>17</v>
      </c>
      <c r="C28" s="100">
        <f>INDEX('General Inputs'!$G$3:$H$32,MATCH($B28,'General Inputs'!$F$3:$F$32,FALSE),1)</f>
        <v>2025</v>
      </c>
      <c r="D28" s="100">
        <f>INDEX('General Inputs'!$G$3:$H$32,MATCH($B28,'General Inputs'!$F$3:$F$32,FALSE),2)</f>
        <v>2026</v>
      </c>
      <c r="E28" s="170" t="str">
        <f t="shared" ref="E28:E45" si="8">IFERROR(E27*(1+BLS_Esc_Rate+Inflation),"Data Missing")</f>
        <v>Data Missing</v>
      </c>
      <c r="F28" s="170" t="str">
        <f t="shared" ref="F28:F45" si="9">IFERROR(F27*(1+BLS_Esc_Rate+Inflation),"Data Missing")</f>
        <v>Data Missing</v>
      </c>
      <c r="G28" s="170" t="str">
        <f t="shared" ref="G28:G45" si="10">IFERROR(G27*(1+BLS_Esc_Rate+Inflation),"Data Missing")</f>
        <v>Data Missing</v>
      </c>
      <c r="H28" s="170" t="str">
        <f t="shared" ref="H28:H45" si="11">IFERROR(H27*(1+BLS_Esc_Rate+Inflation),"Data Missing")</f>
        <v>Data Missing</v>
      </c>
      <c r="I28" s="170" t="str">
        <f t="shared" ref="I28:I45" si="12">IFERROR(I27*(1+BLS_Esc_Rate+Inflation),"Data Missing")</f>
        <v>Data Missing</v>
      </c>
      <c r="J28" s="170" t="str">
        <f t="shared" ref="J28:J45" si="13">IFERROR(J27*(1+BLS_Esc_Rate+Inflation),"Data Missing")</f>
        <v>Data Missing</v>
      </c>
      <c r="K28" s="170" t="str">
        <f t="shared" ref="K28:K45" si="14">IFERROR(K27*(1+BLS_Esc_Rate+Inflation),"Data Missing")</f>
        <v>Data Missing</v>
      </c>
    </row>
    <row r="29" spans="2:11" x14ac:dyDescent="0.2">
      <c r="B29" s="100">
        <f t="shared" si="5"/>
        <v>18</v>
      </c>
      <c r="C29" s="100">
        <f>INDEX('General Inputs'!$G$3:$H$32,MATCH($B29,'General Inputs'!$F$3:$F$32,FALSE),1)</f>
        <v>2026</v>
      </c>
      <c r="D29" s="100">
        <f>INDEX('General Inputs'!$G$3:$H$32,MATCH($B29,'General Inputs'!$F$3:$F$32,FALSE),2)</f>
        <v>2027</v>
      </c>
      <c r="E29" s="170" t="str">
        <f t="shared" si="8"/>
        <v>Data Missing</v>
      </c>
      <c r="F29" s="170" t="str">
        <f t="shared" si="9"/>
        <v>Data Missing</v>
      </c>
      <c r="G29" s="170" t="str">
        <f t="shared" si="10"/>
        <v>Data Missing</v>
      </c>
      <c r="H29" s="170" t="str">
        <f t="shared" si="11"/>
        <v>Data Missing</v>
      </c>
      <c r="I29" s="170" t="str">
        <f t="shared" si="12"/>
        <v>Data Missing</v>
      </c>
      <c r="J29" s="170" t="str">
        <f t="shared" si="13"/>
        <v>Data Missing</v>
      </c>
      <c r="K29" s="170" t="str">
        <f t="shared" si="14"/>
        <v>Data Missing</v>
      </c>
    </row>
    <row r="30" spans="2:11" x14ac:dyDescent="0.2">
      <c r="B30" s="100">
        <f t="shared" si="5"/>
        <v>19</v>
      </c>
      <c r="C30" s="100">
        <f>INDEX('General Inputs'!$G$3:$H$32,MATCH($B30,'General Inputs'!$F$3:$F$32,FALSE),1)</f>
        <v>2027</v>
      </c>
      <c r="D30" s="100">
        <f>INDEX('General Inputs'!$G$3:$H$32,MATCH($B30,'General Inputs'!$F$3:$F$32,FALSE),2)</f>
        <v>2028</v>
      </c>
      <c r="E30" s="170" t="str">
        <f t="shared" si="8"/>
        <v>Data Missing</v>
      </c>
      <c r="F30" s="170" t="str">
        <f t="shared" si="9"/>
        <v>Data Missing</v>
      </c>
      <c r="G30" s="170" t="str">
        <f t="shared" si="10"/>
        <v>Data Missing</v>
      </c>
      <c r="H30" s="170" t="str">
        <f t="shared" si="11"/>
        <v>Data Missing</v>
      </c>
      <c r="I30" s="170" t="str">
        <f t="shared" si="12"/>
        <v>Data Missing</v>
      </c>
      <c r="J30" s="170" t="str">
        <f t="shared" si="13"/>
        <v>Data Missing</v>
      </c>
      <c r="K30" s="170" t="str">
        <f t="shared" si="14"/>
        <v>Data Missing</v>
      </c>
    </row>
    <row r="31" spans="2:11" x14ac:dyDescent="0.2">
      <c r="B31" s="100">
        <f t="shared" si="5"/>
        <v>20</v>
      </c>
      <c r="C31" s="100">
        <f>INDEX('General Inputs'!$G$3:$H$32,MATCH($B31,'General Inputs'!$F$3:$F$32,FALSE),1)</f>
        <v>2028</v>
      </c>
      <c r="D31" s="100">
        <f>INDEX('General Inputs'!$G$3:$H$32,MATCH($B31,'General Inputs'!$F$3:$F$32,FALSE),2)</f>
        <v>2029</v>
      </c>
      <c r="E31" s="170" t="str">
        <f t="shared" si="8"/>
        <v>Data Missing</v>
      </c>
      <c r="F31" s="170" t="str">
        <f t="shared" si="9"/>
        <v>Data Missing</v>
      </c>
      <c r="G31" s="170" t="str">
        <f t="shared" si="10"/>
        <v>Data Missing</v>
      </c>
      <c r="H31" s="170" t="str">
        <f t="shared" si="11"/>
        <v>Data Missing</v>
      </c>
      <c r="I31" s="170" t="str">
        <f t="shared" si="12"/>
        <v>Data Missing</v>
      </c>
      <c r="J31" s="170" t="str">
        <f t="shared" si="13"/>
        <v>Data Missing</v>
      </c>
      <c r="K31" s="170" t="str">
        <f t="shared" si="14"/>
        <v>Data Missing</v>
      </c>
    </row>
    <row r="32" spans="2:11" x14ac:dyDescent="0.2">
      <c r="B32" s="100">
        <f t="shared" si="5"/>
        <v>21</v>
      </c>
      <c r="C32" s="100">
        <f>INDEX('General Inputs'!$G$3:$H$32,MATCH($B32,'General Inputs'!$F$3:$F$32,FALSE),1)</f>
        <v>2029</v>
      </c>
      <c r="D32" s="100">
        <f>INDEX('General Inputs'!$G$3:$H$32,MATCH($B32,'General Inputs'!$F$3:$F$32,FALSE),2)</f>
        <v>2030</v>
      </c>
      <c r="E32" s="170" t="str">
        <f t="shared" si="8"/>
        <v>Data Missing</v>
      </c>
      <c r="F32" s="170" t="str">
        <f t="shared" si="9"/>
        <v>Data Missing</v>
      </c>
      <c r="G32" s="170" t="str">
        <f t="shared" si="10"/>
        <v>Data Missing</v>
      </c>
      <c r="H32" s="170" t="str">
        <f t="shared" si="11"/>
        <v>Data Missing</v>
      </c>
      <c r="I32" s="170" t="str">
        <f t="shared" si="12"/>
        <v>Data Missing</v>
      </c>
      <c r="J32" s="170" t="str">
        <f t="shared" si="13"/>
        <v>Data Missing</v>
      </c>
      <c r="K32" s="170" t="str">
        <f t="shared" si="14"/>
        <v>Data Missing</v>
      </c>
    </row>
    <row r="33" spans="2:11" x14ac:dyDescent="0.2">
      <c r="B33" s="100">
        <f t="shared" si="5"/>
        <v>22</v>
      </c>
      <c r="C33" s="100">
        <f>INDEX('General Inputs'!$G$3:$H$32,MATCH($B33,'General Inputs'!$F$3:$F$32,FALSE),1)</f>
        <v>2030</v>
      </c>
      <c r="D33" s="100">
        <f>INDEX('General Inputs'!$G$3:$H$32,MATCH($B33,'General Inputs'!$F$3:$F$32,FALSE),2)</f>
        <v>2031</v>
      </c>
      <c r="E33" s="170" t="str">
        <f t="shared" si="8"/>
        <v>Data Missing</v>
      </c>
      <c r="F33" s="170" t="str">
        <f t="shared" si="9"/>
        <v>Data Missing</v>
      </c>
      <c r="G33" s="170" t="str">
        <f t="shared" si="10"/>
        <v>Data Missing</v>
      </c>
      <c r="H33" s="170" t="str">
        <f t="shared" si="11"/>
        <v>Data Missing</v>
      </c>
      <c r="I33" s="170" t="str">
        <f t="shared" si="12"/>
        <v>Data Missing</v>
      </c>
      <c r="J33" s="170" t="str">
        <f t="shared" si="13"/>
        <v>Data Missing</v>
      </c>
      <c r="K33" s="170" t="str">
        <f t="shared" si="14"/>
        <v>Data Missing</v>
      </c>
    </row>
    <row r="34" spans="2:11" x14ac:dyDescent="0.2">
      <c r="B34" s="100">
        <f t="shared" si="5"/>
        <v>23</v>
      </c>
      <c r="C34" s="100">
        <f>INDEX('General Inputs'!$G$3:$H$32,MATCH($B34,'General Inputs'!$F$3:$F$32,FALSE),1)</f>
        <v>2031</v>
      </c>
      <c r="D34" s="100">
        <f>INDEX('General Inputs'!$G$3:$H$32,MATCH($B34,'General Inputs'!$F$3:$F$32,FALSE),2)</f>
        <v>2032</v>
      </c>
      <c r="E34" s="171" t="str">
        <f t="shared" si="8"/>
        <v>Data Missing</v>
      </c>
      <c r="F34" s="171" t="str">
        <f t="shared" si="9"/>
        <v>Data Missing</v>
      </c>
      <c r="G34" s="171" t="str">
        <f t="shared" si="10"/>
        <v>Data Missing</v>
      </c>
      <c r="H34" s="171" t="str">
        <f t="shared" si="11"/>
        <v>Data Missing</v>
      </c>
      <c r="I34" s="171" t="str">
        <f t="shared" si="12"/>
        <v>Data Missing</v>
      </c>
      <c r="J34" s="171" t="str">
        <f t="shared" si="13"/>
        <v>Data Missing</v>
      </c>
      <c r="K34" s="171" t="str">
        <f t="shared" si="14"/>
        <v>Data Missing</v>
      </c>
    </row>
    <row r="35" spans="2:11" x14ac:dyDescent="0.2">
      <c r="B35" s="100">
        <f t="shared" si="5"/>
        <v>24</v>
      </c>
      <c r="C35" s="100">
        <f>INDEX('General Inputs'!$G$3:$H$32,MATCH($B35,'General Inputs'!$F$3:$F$32,FALSE),1)</f>
        <v>2032</v>
      </c>
      <c r="D35" s="100">
        <f>INDEX('General Inputs'!$G$3:$H$32,MATCH($B35,'General Inputs'!$F$3:$F$32,FALSE),2)</f>
        <v>2033</v>
      </c>
      <c r="E35" s="171" t="str">
        <f t="shared" si="8"/>
        <v>Data Missing</v>
      </c>
      <c r="F35" s="171" t="str">
        <f t="shared" si="9"/>
        <v>Data Missing</v>
      </c>
      <c r="G35" s="171" t="str">
        <f t="shared" si="10"/>
        <v>Data Missing</v>
      </c>
      <c r="H35" s="171" t="str">
        <f t="shared" si="11"/>
        <v>Data Missing</v>
      </c>
      <c r="I35" s="171" t="str">
        <f t="shared" si="12"/>
        <v>Data Missing</v>
      </c>
      <c r="J35" s="171" t="str">
        <f t="shared" si="13"/>
        <v>Data Missing</v>
      </c>
      <c r="K35" s="171" t="str">
        <f t="shared" si="14"/>
        <v>Data Missing</v>
      </c>
    </row>
    <row r="36" spans="2:11" x14ac:dyDescent="0.2">
      <c r="B36" s="100">
        <f t="shared" si="5"/>
        <v>25</v>
      </c>
      <c r="C36" s="100">
        <f>INDEX('General Inputs'!$G$3:$H$32,MATCH($B36,'General Inputs'!$F$3:$F$32,FALSE),1)</f>
        <v>2033</v>
      </c>
      <c r="D36" s="100">
        <f>INDEX('General Inputs'!$G$3:$H$32,MATCH($B36,'General Inputs'!$F$3:$F$32,FALSE),2)</f>
        <v>2034</v>
      </c>
      <c r="E36" s="171" t="str">
        <f t="shared" si="8"/>
        <v>Data Missing</v>
      </c>
      <c r="F36" s="171" t="str">
        <f t="shared" si="9"/>
        <v>Data Missing</v>
      </c>
      <c r="G36" s="171" t="str">
        <f t="shared" si="10"/>
        <v>Data Missing</v>
      </c>
      <c r="H36" s="171" t="str">
        <f t="shared" si="11"/>
        <v>Data Missing</v>
      </c>
      <c r="I36" s="171" t="str">
        <f t="shared" si="12"/>
        <v>Data Missing</v>
      </c>
      <c r="J36" s="171" t="str">
        <f t="shared" si="13"/>
        <v>Data Missing</v>
      </c>
      <c r="K36" s="171" t="str">
        <f t="shared" si="14"/>
        <v>Data Missing</v>
      </c>
    </row>
    <row r="37" spans="2:11" x14ac:dyDescent="0.2">
      <c r="B37" s="100">
        <f t="shared" si="5"/>
        <v>26</v>
      </c>
      <c r="C37" s="100">
        <f>INDEX('General Inputs'!$G$3:$H$32,MATCH($B37,'General Inputs'!$F$3:$F$32,FALSE),1)</f>
        <v>2034</v>
      </c>
      <c r="D37" s="100">
        <f>INDEX('General Inputs'!$G$3:$H$32,MATCH($B37,'General Inputs'!$F$3:$F$32,FALSE),2)</f>
        <v>2035</v>
      </c>
      <c r="E37" s="171" t="str">
        <f t="shared" si="8"/>
        <v>Data Missing</v>
      </c>
      <c r="F37" s="171" t="str">
        <f t="shared" si="9"/>
        <v>Data Missing</v>
      </c>
      <c r="G37" s="171" t="str">
        <f t="shared" si="10"/>
        <v>Data Missing</v>
      </c>
      <c r="H37" s="171" t="str">
        <f t="shared" si="11"/>
        <v>Data Missing</v>
      </c>
      <c r="I37" s="171" t="str">
        <f t="shared" si="12"/>
        <v>Data Missing</v>
      </c>
      <c r="J37" s="171" t="str">
        <f t="shared" si="13"/>
        <v>Data Missing</v>
      </c>
      <c r="K37" s="171" t="str">
        <f t="shared" si="14"/>
        <v>Data Missing</v>
      </c>
    </row>
    <row r="38" spans="2:11" x14ac:dyDescent="0.2">
      <c r="B38" s="100">
        <f t="shared" si="5"/>
        <v>27</v>
      </c>
      <c r="C38" s="100">
        <f>INDEX('General Inputs'!$G$3:$H$32,MATCH($B38,'General Inputs'!$F$3:$F$32,FALSE),1)</f>
        <v>2035</v>
      </c>
      <c r="D38" s="100">
        <f>INDEX('General Inputs'!$G$3:$H$32,MATCH($B38,'General Inputs'!$F$3:$F$32,FALSE),2)</f>
        <v>2036</v>
      </c>
      <c r="E38" s="171" t="str">
        <f t="shared" si="8"/>
        <v>Data Missing</v>
      </c>
      <c r="F38" s="171" t="str">
        <f t="shared" si="9"/>
        <v>Data Missing</v>
      </c>
      <c r="G38" s="171" t="str">
        <f t="shared" si="10"/>
        <v>Data Missing</v>
      </c>
      <c r="H38" s="171" t="str">
        <f t="shared" si="11"/>
        <v>Data Missing</v>
      </c>
      <c r="I38" s="171" t="str">
        <f t="shared" si="12"/>
        <v>Data Missing</v>
      </c>
      <c r="J38" s="171" t="str">
        <f t="shared" si="13"/>
        <v>Data Missing</v>
      </c>
      <c r="K38" s="171" t="str">
        <f t="shared" si="14"/>
        <v>Data Missing</v>
      </c>
    </row>
    <row r="39" spans="2:11" x14ac:dyDescent="0.2">
      <c r="B39" s="100">
        <f t="shared" si="5"/>
        <v>28</v>
      </c>
      <c r="C39" s="100">
        <f>INDEX('General Inputs'!$G$3:$H$32,MATCH($B39,'General Inputs'!$F$3:$F$32,FALSE),1)</f>
        <v>2036</v>
      </c>
      <c r="D39" s="100">
        <f>INDEX('General Inputs'!$G$3:$H$32,MATCH($B39,'General Inputs'!$F$3:$F$32,FALSE),2)</f>
        <v>2037</v>
      </c>
      <c r="E39" s="171" t="str">
        <f t="shared" si="8"/>
        <v>Data Missing</v>
      </c>
      <c r="F39" s="171" t="str">
        <f t="shared" si="9"/>
        <v>Data Missing</v>
      </c>
      <c r="G39" s="171" t="str">
        <f t="shared" si="10"/>
        <v>Data Missing</v>
      </c>
      <c r="H39" s="171" t="str">
        <f t="shared" si="11"/>
        <v>Data Missing</v>
      </c>
      <c r="I39" s="171" t="str">
        <f t="shared" si="12"/>
        <v>Data Missing</v>
      </c>
      <c r="J39" s="171" t="str">
        <f t="shared" si="13"/>
        <v>Data Missing</v>
      </c>
      <c r="K39" s="171" t="str">
        <f t="shared" si="14"/>
        <v>Data Missing</v>
      </c>
    </row>
    <row r="40" spans="2:11" x14ac:dyDescent="0.2">
      <c r="B40" s="100">
        <f t="shared" si="5"/>
        <v>29</v>
      </c>
      <c r="C40" s="100">
        <f>INDEX('General Inputs'!$G$3:$H$32,MATCH($B40,'General Inputs'!$F$3:$F$32,FALSE),1)</f>
        <v>2037</v>
      </c>
      <c r="D40" s="100">
        <f>INDEX('General Inputs'!$G$3:$H$32,MATCH($B40,'General Inputs'!$F$3:$F$32,FALSE),2)</f>
        <v>2038</v>
      </c>
      <c r="E40" s="171" t="str">
        <f t="shared" si="8"/>
        <v>Data Missing</v>
      </c>
      <c r="F40" s="171" t="str">
        <f t="shared" si="9"/>
        <v>Data Missing</v>
      </c>
      <c r="G40" s="171" t="str">
        <f t="shared" si="10"/>
        <v>Data Missing</v>
      </c>
      <c r="H40" s="171" t="str">
        <f t="shared" si="11"/>
        <v>Data Missing</v>
      </c>
      <c r="I40" s="171" t="str">
        <f t="shared" si="12"/>
        <v>Data Missing</v>
      </c>
      <c r="J40" s="171" t="str">
        <f t="shared" si="13"/>
        <v>Data Missing</v>
      </c>
      <c r="K40" s="171" t="str">
        <f t="shared" si="14"/>
        <v>Data Missing</v>
      </c>
    </row>
    <row r="41" spans="2:11" x14ac:dyDescent="0.2">
      <c r="B41" s="100">
        <f t="shared" si="5"/>
        <v>30</v>
      </c>
      <c r="C41" s="100">
        <f>INDEX('General Inputs'!$G$3:$H$32,MATCH($B41,'General Inputs'!$F$3:$F$32,FALSE),1)</f>
        <v>2038</v>
      </c>
      <c r="D41" s="100">
        <f>INDEX('General Inputs'!$G$3:$H$32,MATCH($B41,'General Inputs'!$F$3:$F$32,FALSE),2)</f>
        <v>2039</v>
      </c>
      <c r="E41" s="171" t="str">
        <f t="shared" si="8"/>
        <v>Data Missing</v>
      </c>
      <c r="F41" s="171" t="str">
        <f t="shared" si="9"/>
        <v>Data Missing</v>
      </c>
      <c r="G41" s="171" t="str">
        <f t="shared" si="10"/>
        <v>Data Missing</v>
      </c>
      <c r="H41" s="171" t="str">
        <f t="shared" si="11"/>
        <v>Data Missing</v>
      </c>
      <c r="I41" s="171" t="str">
        <f t="shared" si="12"/>
        <v>Data Missing</v>
      </c>
      <c r="J41" s="171" t="str">
        <f t="shared" si="13"/>
        <v>Data Missing</v>
      </c>
      <c r="K41" s="171" t="str">
        <f t="shared" si="14"/>
        <v>Data Missing</v>
      </c>
    </row>
    <row r="42" spans="2:11" x14ac:dyDescent="0.2">
      <c r="B42" s="100">
        <f t="shared" si="5"/>
        <v>31</v>
      </c>
      <c r="C42" s="100">
        <f>INDEX('General Inputs'!$G$3:$H$32,MATCH($B42,'General Inputs'!$F$3:$F$32,FALSE),1)</f>
        <v>2039</v>
      </c>
      <c r="D42" s="100">
        <f>INDEX('General Inputs'!$G$3:$H$32,MATCH($B42,'General Inputs'!$F$3:$F$32,FALSE),2)</f>
        <v>2040</v>
      </c>
      <c r="E42" s="171" t="str">
        <f t="shared" si="8"/>
        <v>Data Missing</v>
      </c>
      <c r="F42" s="171" t="str">
        <f t="shared" si="9"/>
        <v>Data Missing</v>
      </c>
      <c r="G42" s="171" t="str">
        <f t="shared" si="10"/>
        <v>Data Missing</v>
      </c>
      <c r="H42" s="171" t="str">
        <f t="shared" si="11"/>
        <v>Data Missing</v>
      </c>
      <c r="I42" s="171" t="str">
        <f t="shared" si="12"/>
        <v>Data Missing</v>
      </c>
      <c r="J42" s="171" t="str">
        <f t="shared" si="13"/>
        <v>Data Missing</v>
      </c>
      <c r="K42" s="171" t="str">
        <f t="shared" si="14"/>
        <v>Data Missing</v>
      </c>
    </row>
    <row r="43" spans="2:11" x14ac:dyDescent="0.2">
      <c r="B43" s="100">
        <f t="shared" si="5"/>
        <v>32</v>
      </c>
      <c r="C43" s="100">
        <f>INDEX('General Inputs'!$G$3:$H$32,MATCH($B43,'General Inputs'!$F$3:$F$32,FALSE),1)</f>
        <v>2040</v>
      </c>
      <c r="D43" s="100">
        <f>INDEX('General Inputs'!$G$3:$H$32,MATCH($B43,'General Inputs'!$F$3:$F$32,FALSE),2)</f>
        <v>2041</v>
      </c>
      <c r="E43" s="171" t="str">
        <f t="shared" si="8"/>
        <v>Data Missing</v>
      </c>
      <c r="F43" s="171" t="str">
        <f t="shared" si="9"/>
        <v>Data Missing</v>
      </c>
      <c r="G43" s="171" t="str">
        <f t="shared" si="10"/>
        <v>Data Missing</v>
      </c>
      <c r="H43" s="171" t="str">
        <f t="shared" si="11"/>
        <v>Data Missing</v>
      </c>
      <c r="I43" s="171" t="str">
        <f t="shared" si="12"/>
        <v>Data Missing</v>
      </c>
      <c r="J43" s="171" t="str">
        <f t="shared" si="13"/>
        <v>Data Missing</v>
      </c>
      <c r="K43" s="171" t="str">
        <f t="shared" si="14"/>
        <v>Data Missing</v>
      </c>
    </row>
    <row r="44" spans="2:11" x14ac:dyDescent="0.2">
      <c r="B44" s="100">
        <f t="shared" si="5"/>
        <v>33</v>
      </c>
      <c r="C44" s="100">
        <f>INDEX('General Inputs'!$G$3:$H$32,MATCH($B44,'General Inputs'!$F$3:$F$32,FALSE),1)</f>
        <v>2041</v>
      </c>
      <c r="D44" s="100">
        <f>INDEX('General Inputs'!$G$3:$H$32,MATCH($B44,'General Inputs'!$F$3:$F$32,FALSE),2)</f>
        <v>2042</v>
      </c>
      <c r="E44" s="171" t="str">
        <f t="shared" si="8"/>
        <v>Data Missing</v>
      </c>
      <c r="F44" s="171" t="str">
        <f t="shared" si="9"/>
        <v>Data Missing</v>
      </c>
      <c r="G44" s="171" t="str">
        <f t="shared" si="10"/>
        <v>Data Missing</v>
      </c>
      <c r="H44" s="171" t="str">
        <f t="shared" si="11"/>
        <v>Data Missing</v>
      </c>
      <c r="I44" s="171" t="str">
        <f t="shared" si="12"/>
        <v>Data Missing</v>
      </c>
      <c r="J44" s="171" t="str">
        <f t="shared" si="13"/>
        <v>Data Missing</v>
      </c>
      <c r="K44" s="171" t="str">
        <f t="shared" si="14"/>
        <v>Data Missing</v>
      </c>
    </row>
    <row r="45" spans="2:11" x14ac:dyDescent="0.2">
      <c r="B45" s="100">
        <f t="shared" si="5"/>
        <v>34</v>
      </c>
      <c r="C45" s="100">
        <f>INDEX('General Inputs'!$G$3:$H$32,MATCH($B45,'General Inputs'!$F$3:$F$32,FALSE),1)</f>
        <v>2042</v>
      </c>
      <c r="D45" s="100">
        <f>INDEX('General Inputs'!$G$3:$H$32,MATCH($B45,'General Inputs'!$F$3:$F$32,FALSE),2)</f>
        <v>2043</v>
      </c>
      <c r="E45" s="171" t="str">
        <f t="shared" si="8"/>
        <v>Data Missing</v>
      </c>
      <c r="F45" s="171" t="str">
        <f t="shared" si="9"/>
        <v>Data Missing</v>
      </c>
      <c r="G45" s="171" t="str">
        <f t="shared" si="10"/>
        <v>Data Missing</v>
      </c>
      <c r="H45" s="171" t="str">
        <f t="shared" si="11"/>
        <v>Data Missing</v>
      </c>
      <c r="I45" s="171" t="str">
        <f t="shared" si="12"/>
        <v>Data Missing</v>
      </c>
      <c r="J45" s="171" t="str">
        <f t="shared" si="13"/>
        <v>Data Missing</v>
      </c>
      <c r="K45" s="171" t="str">
        <f t="shared" si="14"/>
        <v>Data Missing</v>
      </c>
    </row>
  </sheetData>
  <mergeCells count="4">
    <mergeCell ref="B2:E2"/>
    <mergeCell ref="B12:F12"/>
    <mergeCell ref="B22:K22"/>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23"/>
  <sheetViews>
    <sheetView zoomScale="140" zoomScaleNormal="140" workbookViewId="0">
      <selection activeCell="H34" sqref="H34"/>
    </sheetView>
  </sheetViews>
  <sheetFormatPr defaultRowHeight="12.75" x14ac:dyDescent="0.2"/>
  <cols>
    <col min="1" max="1" width="3.42578125" style="3" customWidth="1"/>
    <col min="2" max="11" width="12.7109375" style="3" customWidth="1"/>
    <col min="12" max="12" width="4.7109375" style="3" customWidth="1"/>
    <col min="13" max="19" width="12.7109375" style="3" customWidth="1"/>
    <col min="20" max="16384" width="9.140625" style="3"/>
  </cols>
  <sheetData>
    <row r="2" spans="2:19" x14ac:dyDescent="0.2">
      <c r="B2" s="201" t="s">
        <v>126</v>
      </c>
      <c r="C2" s="201"/>
      <c r="D2" s="201"/>
      <c r="E2" s="201"/>
      <c r="F2" s="201"/>
      <c r="G2" s="201"/>
      <c r="H2" s="201"/>
      <c r="I2" s="201"/>
      <c r="J2" s="201"/>
      <c r="K2" s="201"/>
      <c r="L2" s="94"/>
      <c r="M2" s="202" t="s">
        <v>127</v>
      </c>
      <c r="N2" s="203"/>
      <c r="O2" s="203"/>
      <c r="P2" s="203"/>
      <c r="Q2" s="203"/>
      <c r="R2" s="203"/>
      <c r="S2" s="204"/>
    </row>
    <row r="3" spans="2:19" x14ac:dyDescent="0.2">
      <c r="B3" s="166" t="s">
        <v>112</v>
      </c>
      <c r="C3" s="166" t="s">
        <v>113</v>
      </c>
      <c r="D3" s="166" t="s">
        <v>114</v>
      </c>
      <c r="E3" s="166" t="s">
        <v>12</v>
      </c>
      <c r="F3" s="166" t="s">
        <v>161</v>
      </c>
      <c r="G3" s="166" t="s">
        <v>17</v>
      </c>
      <c r="H3" s="166" t="s">
        <v>143</v>
      </c>
      <c r="I3" s="166" t="s">
        <v>138</v>
      </c>
      <c r="J3" s="166" t="s">
        <v>19</v>
      </c>
      <c r="K3" s="166" t="s">
        <v>139</v>
      </c>
      <c r="L3" s="94"/>
      <c r="M3" s="166" t="s">
        <v>12</v>
      </c>
      <c r="N3" s="166" t="s">
        <v>161</v>
      </c>
      <c r="O3" s="166" t="s">
        <v>17</v>
      </c>
      <c r="P3" s="166" t="s">
        <v>143</v>
      </c>
      <c r="Q3" s="166" t="s">
        <v>138</v>
      </c>
      <c r="R3" s="166" t="s">
        <v>19</v>
      </c>
      <c r="S3" s="166" t="s">
        <v>139</v>
      </c>
    </row>
    <row r="4" spans="2:19" x14ac:dyDescent="0.2">
      <c r="B4" s="100">
        <f>Start_Year_PY</f>
        <v>13</v>
      </c>
      <c r="C4" s="101">
        <v>2021</v>
      </c>
      <c r="D4" s="101">
        <v>2022</v>
      </c>
      <c r="E4" s="167"/>
      <c r="F4" s="167"/>
      <c r="G4" s="167"/>
      <c r="H4" s="167"/>
      <c r="I4" s="167"/>
      <c r="J4" s="167"/>
      <c r="K4" s="167"/>
      <c r="L4" s="94"/>
      <c r="M4" s="167"/>
      <c r="N4" s="167"/>
      <c r="O4" s="167"/>
      <c r="P4" s="167"/>
      <c r="Q4" s="167"/>
      <c r="R4" s="167"/>
      <c r="S4" s="167"/>
    </row>
    <row r="5" spans="2:19" x14ac:dyDescent="0.2">
      <c r="B5" s="100">
        <f>B4+1</f>
        <v>14</v>
      </c>
      <c r="C5" s="100">
        <f>C4+1</f>
        <v>2022</v>
      </c>
      <c r="D5" s="100">
        <f>D4+1</f>
        <v>2023</v>
      </c>
      <c r="E5" s="168" t="str">
        <f t="shared" ref="E5:E23" si="0">IFERROR(E4*(1+BLS_Esc_Rate+Inflation),"Data Missing")</f>
        <v>Data Missing</v>
      </c>
      <c r="F5" s="168" t="str">
        <f t="shared" ref="F5:F23" si="1">IFERROR(F4*(1+BLS_Esc_Rate+Inflation),"Data Missing")</f>
        <v>Data Missing</v>
      </c>
      <c r="G5" s="168" t="str">
        <f t="shared" ref="G5:G23" si="2">IFERROR(G4*(1+BLS_Esc_Rate+Inflation),"Data Missing")</f>
        <v>Data Missing</v>
      </c>
      <c r="H5" s="168" t="str">
        <f t="shared" ref="H5:H23" si="3">IFERROR(H4*(1+BLS_Esc_Rate+Inflation),"Data Missing")</f>
        <v>Data Missing</v>
      </c>
      <c r="I5" s="168" t="str">
        <f t="shared" ref="I5:I23" si="4">IFERROR(I4*(1+BLS_Esc_Rate+Inflation),"Data Missing")</f>
        <v>Data Missing</v>
      </c>
      <c r="J5" s="168" t="str">
        <f t="shared" ref="J5:J23" si="5">IFERROR(J4*(1+BLS_Esc_Rate+Inflation),"Data Missing")</f>
        <v>Data Missing</v>
      </c>
      <c r="K5" s="168" t="str">
        <f t="shared" ref="K5:K23" si="6">IFERROR(K4*(1+BLS_Esc_Rate+Inflation),"Data Missing")</f>
        <v>Data Missing</v>
      </c>
      <c r="L5" s="169"/>
      <c r="M5" s="168" t="str">
        <f t="shared" ref="M5:M23" si="7">IFERROR(M4*(1+BLS_Esc_Rate+Inflation), "Data Missing")</f>
        <v>Data Missing</v>
      </c>
      <c r="N5" s="168" t="str">
        <f t="shared" ref="N5:N23" si="8">IFERROR(N4*(1+BLS_Esc_Rate+Inflation), "Data Missing")</f>
        <v>Data Missing</v>
      </c>
      <c r="O5" s="168" t="str">
        <f t="shared" ref="O5:O23" si="9">IFERROR(O4*(1+BLS_Esc_Rate+Inflation), "Data Missing")</f>
        <v>Data Missing</v>
      </c>
      <c r="P5" s="168" t="str">
        <f t="shared" ref="P5:P23" si="10">IFERROR(P4*(1+BLS_Esc_Rate+Inflation), "Data Missing")</f>
        <v>Data Missing</v>
      </c>
      <c r="Q5" s="168" t="str">
        <f t="shared" ref="Q5:Q23" si="11">IFERROR(Q4*(1+BLS_Esc_Rate+Inflation), "Data Missing")</f>
        <v>Data Missing</v>
      </c>
      <c r="R5" s="168" t="str">
        <f t="shared" ref="R5:R23" si="12">IFERROR(R4*(1+BLS_Esc_Rate+Inflation), "Data Missing")</f>
        <v>Data Missing</v>
      </c>
      <c r="S5" s="168" t="str">
        <f t="shared" ref="S5:S23" si="13">IFERROR(S4*(1+BLS_Esc_Rate+Inflation), "Data Missing")</f>
        <v>Data Missing</v>
      </c>
    </row>
    <row r="6" spans="2:19" x14ac:dyDescent="0.2">
      <c r="B6" s="100">
        <f t="shared" ref="B6:B23" si="14">B5+1</f>
        <v>15</v>
      </c>
      <c r="C6" s="100">
        <f t="shared" ref="C6:C22" si="15">C5+1</f>
        <v>2023</v>
      </c>
      <c r="D6" s="100">
        <f t="shared" ref="D6:D23" si="16">D5+1</f>
        <v>2024</v>
      </c>
      <c r="E6" s="168" t="str">
        <f t="shared" si="0"/>
        <v>Data Missing</v>
      </c>
      <c r="F6" s="168" t="str">
        <f t="shared" si="1"/>
        <v>Data Missing</v>
      </c>
      <c r="G6" s="168" t="str">
        <f t="shared" si="2"/>
        <v>Data Missing</v>
      </c>
      <c r="H6" s="168" t="str">
        <f t="shared" si="3"/>
        <v>Data Missing</v>
      </c>
      <c r="I6" s="168" t="str">
        <f t="shared" si="4"/>
        <v>Data Missing</v>
      </c>
      <c r="J6" s="168" t="str">
        <f t="shared" si="5"/>
        <v>Data Missing</v>
      </c>
      <c r="K6" s="168" t="str">
        <f t="shared" si="6"/>
        <v>Data Missing</v>
      </c>
      <c r="L6" s="169"/>
      <c r="M6" s="168" t="str">
        <f t="shared" si="7"/>
        <v>Data Missing</v>
      </c>
      <c r="N6" s="168" t="str">
        <f t="shared" si="8"/>
        <v>Data Missing</v>
      </c>
      <c r="O6" s="168" t="str">
        <f t="shared" si="9"/>
        <v>Data Missing</v>
      </c>
      <c r="P6" s="168" t="str">
        <f t="shared" si="10"/>
        <v>Data Missing</v>
      </c>
      <c r="Q6" s="168" t="str">
        <f t="shared" si="11"/>
        <v>Data Missing</v>
      </c>
      <c r="R6" s="168" t="str">
        <f t="shared" si="12"/>
        <v>Data Missing</v>
      </c>
      <c r="S6" s="168" t="str">
        <f t="shared" si="13"/>
        <v>Data Missing</v>
      </c>
    </row>
    <row r="7" spans="2:19" x14ac:dyDescent="0.2">
      <c r="B7" s="100">
        <f t="shared" si="14"/>
        <v>16</v>
      </c>
      <c r="C7" s="100">
        <f t="shared" si="15"/>
        <v>2024</v>
      </c>
      <c r="D7" s="100">
        <f t="shared" si="16"/>
        <v>2025</v>
      </c>
      <c r="E7" s="168" t="str">
        <f t="shared" si="0"/>
        <v>Data Missing</v>
      </c>
      <c r="F7" s="168" t="str">
        <f t="shared" si="1"/>
        <v>Data Missing</v>
      </c>
      <c r="G7" s="168" t="str">
        <f t="shared" si="2"/>
        <v>Data Missing</v>
      </c>
      <c r="H7" s="168" t="str">
        <f t="shared" si="3"/>
        <v>Data Missing</v>
      </c>
      <c r="I7" s="168" t="str">
        <f t="shared" si="4"/>
        <v>Data Missing</v>
      </c>
      <c r="J7" s="168" t="str">
        <f t="shared" si="5"/>
        <v>Data Missing</v>
      </c>
      <c r="K7" s="168" t="str">
        <f t="shared" si="6"/>
        <v>Data Missing</v>
      </c>
      <c r="L7" s="169"/>
      <c r="M7" s="168" t="str">
        <f t="shared" si="7"/>
        <v>Data Missing</v>
      </c>
      <c r="N7" s="168" t="str">
        <f t="shared" si="8"/>
        <v>Data Missing</v>
      </c>
      <c r="O7" s="168" t="str">
        <f t="shared" si="9"/>
        <v>Data Missing</v>
      </c>
      <c r="P7" s="168" t="str">
        <f t="shared" si="10"/>
        <v>Data Missing</v>
      </c>
      <c r="Q7" s="168" t="str">
        <f t="shared" si="11"/>
        <v>Data Missing</v>
      </c>
      <c r="R7" s="168" t="str">
        <f t="shared" si="12"/>
        <v>Data Missing</v>
      </c>
      <c r="S7" s="168" t="str">
        <f t="shared" si="13"/>
        <v>Data Missing</v>
      </c>
    </row>
    <row r="8" spans="2:19" x14ac:dyDescent="0.2">
      <c r="B8" s="100">
        <f t="shared" si="14"/>
        <v>17</v>
      </c>
      <c r="C8" s="100">
        <f t="shared" si="15"/>
        <v>2025</v>
      </c>
      <c r="D8" s="100">
        <f t="shared" si="16"/>
        <v>2026</v>
      </c>
      <c r="E8" s="170" t="str">
        <f t="shared" si="0"/>
        <v>Data Missing</v>
      </c>
      <c r="F8" s="170" t="str">
        <f t="shared" si="1"/>
        <v>Data Missing</v>
      </c>
      <c r="G8" s="170" t="str">
        <f t="shared" si="2"/>
        <v>Data Missing</v>
      </c>
      <c r="H8" s="170" t="str">
        <f t="shared" si="3"/>
        <v>Data Missing</v>
      </c>
      <c r="I8" s="170" t="str">
        <f t="shared" si="4"/>
        <v>Data Missing</v>
      </c>
      <c r="J8" s="170" t="str">
        <f t="shared" si="5"/>
        <v>Data Missing</v>
      </c>
      <c r="K8" s="170" t="str">
        <f t="shared" si="6"/>
        <v>Data Missing</v>
      </c>
      <c r="L8" s="169"/>
      <c r="M8" s="170" t="str">
        <f t="shared" si="7"/>
        <v>Data Missing</v>
      </c>
      <c r="N8" s="170" t="str">
        <f t="shared" si="8"/>
        <v>Data Missing</v>
      </c>
      <c r="O8" s="170" t="str">
        <f t="shared" si="9"/>
        <v>Data Missing</v>
      </c>
      <c r="P8" s="170" t="str">
        <f t="shared" si="10"/>
        <v>Data Missing</v>
      </c>
      <c r="Q8" s="170" t="str">
        <f t="shared" si="11"/>
        <v>Data Missing</v>
      </c>
      <c r="R8" s="170" t="str">
        <f t="shared" si="12"/>
        <v>Data Missing</v>
      </c>
      <c r="S8" s="170" t="str">
        <f t="shared" si="13"/>
        <v>Data Missing</v>
      </c>
    </row>
    <row r="9" spans="2:19" x14ac:dyDescent="0.2">
      <c r="B9" s="100">
        <f t="shared" si="14"/>
        <v>18</v>
      </c>
      <c r="C9" s="100">
        <f t="shared" si="15"/>
        <v>2026</v>
      </c>
      <c r="D9" s="100">
        <f t="shared" si="16"/>
        <v>2027</v>
      </c>
      <c r="E9" s="170" t="str">
        <f t="shared" si="0"/>
        <v>Data Missing</v>
      </c>
      <c r="F9" s="170" t="str">
        <f t="shared" si="1"/>
        <v>Data Missing</v>
      </c>
      <c r="G9" s="170" t="str">
        <f t="shared" si="2"/>
        <v>Data Missing</v>
      </c>
      <c r="H9" s="170" t="str">
        <f t="shared" si="3"/>
        <v>Data Missing</v>
      </c>
      <c r="I9" s="170" t="str">
        <f t="shared" si="4"/>
        <v>Data Missing</v>
      </c>
      <c r="J9" s="170" t="str">
        <f t="shared" si="5"/>
        <v>Data Missing</v>
      </c>
      <c r="K9" s="170" t="str">
        <f t="shared" si="6"/>
        <v>Data Missing</v>
      </c>
      <c r="L9" s="169"/>
      <c r="M9" s="170" t="str">
        <f t="shared" si="7"/>
        <v>Data Missing</v>
      </c>
      <c r="N9" s="170" t="str">
        <f t="shared" si="8"/>
        <v>Data Missing</v>
      </c>
      <c r="O9" s="170" t="str">
        <f t="shared" si="9"/>
        <v>Data Missing</v>
      </c>
      <c r="P9" s="170" t="str">
        <f t="shared" si="10"/>
        <v>Data Missing</v>
      </c>
      <c r="Q9" s="170" t="str">
        <f t="shared" si="11"/>
        <v>Data Missing</v>
      </c>
      <c r="R9" s="170" t="str">
        <f t="shared" si="12"/>
        <v>Data Missing</v>
      </c>
      <c r="S9" s="170" t="str">
        <f t="shared" si="13"/>
        <v>Data Missing</v>
      </c>
    </row>
    <row r="10" spans="2:19" x14ac:dyDescent="0.2">
      <c r="B10" s="100">
        <f t="shared" si="14"/>
        <v>19</v>
      </c>
      <c r="C10" s="100">
        <f t="shared" si="15"/>
        <v>2027</v>
      </c>
      <c r="D10" s="100">
        <f t="shared" si="16"/>
        <v>2028</v>
      </c>
      <c r="E10" s="170" t="str">
        <f t="shared" si="0"/>
        <v>Data Missing</v>
      </c>
      <c r="F10" s="170" t="str">
        <f t="shared" si="1"/>
        <v>Data Missing</v>
      </c>
      <c r="G10" s="170" t="str">
        <f t="shared" si="2"/>
        <v>Data Missing</v>
      </c>
      <c r="H10" s="170" t="str">
        <f t="shared" si="3"/>
        <v>Data Missing</v>
      </c>
      <c r="I10" s="170" t="str">
        <f t="shared" si="4"/>
        <v>Data Missing</v>
      </c>
      <c r="J10" s="170" t="str">
        <f t="shared" si="5"/>
        <v>Data Missing</v>
      </c>
      <c r="K10" s="170" t="str">
        <f t="shared" si="6"/>
        <v>Data Missing</v>
      </c>
      <c r="L10" s="169"/>
      <c r="M10" s="170" t="str">
        <f t="shared" si="7"/>
        <v>Data Missing</v>
      </c>
      <c r="N10" s="170" t="str">
        <f t="shared" si="8"/>
        <v>Data Missing</v>
      </c>
      <c r="O10" s="170" t="str">
        <f t="shared" si="9"/>
        <v>Data Missing</v>
      </c>
      <c r="P10" s="170" t="str">
        <f t="shared" si="10"/>
        <v>Data Missing</v>
      </c>
      <c r="Q10" s="170" t="str">
        <f t="shared" si="11"/>
        <v>Data Missing</v>
      </c>
      <c r="R10" s="170" t="str">
        <f t="shared" si="12"/>
        <v>Data Missing</v>
      </c>
      <c r="S10" s="170" t="str">
        <f t="shared" si="13"/>
        <v>Data Missing</v>
      </c>
    </row>
    <row r="11" spans="2:19" x14ac:dyDescent="0.2">
      <c r="B11" s="100">
        <f t="shared" si="14"/>
        <v>20</v>
      </c>
      <c r="C11" s="100">
        <f t="shared" si="15"/>
        <v>2028</v>
      </c>
      <c r="D11" s="100">
        <f t="shared" si="16"/>
        <v>2029</v>
      </c>
      <c r="E11" s="170" t="str">
        <f t="shared" si="0"/>
        <v>Data Missing</v>
      </c>
      <c r="F11" s="170" t="str">
        <f t="shared" si="1"/>
        <v>Data Missing</v>
      </c>
      <c r="G11" s="170" t="str">
        <f t="shared" si="2"/>
        <v>Data Missing</v>
      </c>
      <c r="H11" s="170" t="str">
        <f t="shared" si="3"/>
        <v>Data Missing</v>
      </c>
      <c r="I11" s="170" t="str">
        <f t="shared" si="4"/>
        <v>Data Missing</v>
      </c>
      <c r="J11" s="170" t="str">
        <f t="shared" si="5"/>
        <v>Data Missing</v>
      </c>
      <c r="K11" s="170" t="str">
        <f t="shared" si="6"/>
        <v>Data Missing</v>
      </c>
      <c r="L11" s="169"/>
      <c r="M11" s="170" t="str">
        <f t="shared" si="7"/>
        <v>Data Missing</v>
      </c>
      <c r="N11" s="170" t="str">
        <f t="shared" si="8"/>
        <v>Data Missing</v>
      </c>
      <c r="O11" s="170" t="str">
        <f t="shared" si="9"/>
        <v>Data Missing</v>
      </c>
      <c r="P11" s="170" t="str">
        <f t="shared" si="10"/>
        <v>Data Missing</v>
      </c>
      <c r="Q11" s="170" t="str">
        <f t="shared" si="11"/>
        <v>Data Missing</v>
      </c>
      <c r="R11" s="170" t="str">
        <f t="shared" si="12"/>
        <v>Data Missing</v>
      </c>
      <c r="S11" s="170" t="str">
        <f t="shared" si="13"/>
        <v>Data Missing</v>
      </c>
    </row>
    <row r="12" spans="2:19" x14ac:dyDescent="0.2">
      <c r="B12" s="100">
        <f t="shared" si="14"/>
        <v>21</v>
      </c>
      <c r="C12" s="100">
        <f t="shared" si="15"/>
        <v>2029</v>
      </c>
      <c r="D12" s="100">
        <f t="shared" si="16"/>
        <v>2030</v>
      </c>
      <c r="E12" s="170" t="str">
        <f t="shared" si="0"/>
        <v>Data Missing</v>
      </c>
      <c r="F12" s="170" t="str">
        <f t="shared" si="1"/>
        <v>Data Missing</v>
      </c>
      <c r="G12" s="170" t="str">
        <f t="shared" si="2"/>
        <v>Data Missing</v>
      </c>
      <c r="H12" s="170" t="str">
        <f t="shared" si="3"/>
        <v>Data Missing</v>
      </c>
      <c r="I12" s="170" t="str">
        <f t="shared" si="4"/>
        <v>Data Missing</v>
      </c>
      <c r="J12" s="170" t="str">
        <f t="shared" si="5"/>
        <v>Data Missing</v>
      </c>
      <c r="K12" s="170" t="str">
        <f t="shared" si="6"/>
        <v>Data Missing</v>
      </c>
      <c r="L12" s="169"/>
      <c r="M12" s="170" t="str">
        <f t="shared" si="7"/>
        <v>Data Missing</v>
      </c>
      <c r="N12" s="170" t="str">
        <f t="shared" si="8"/>
        <v>Data Missing</v>
      </c>
      <c r="O12" s="170" t="str">
        <f t="shared" si="9"/>
        <v>Data Missing</v>
      </c>
      <c r="P12" s="170" t="str">
        <f t="shared" si="10"/>
        <v>Data Missing</v>
      </c>
      <c r="Q12" s="170" t="str">
        <f t="shared" si="11"/>
        <v>Data Missing</v>
      </c>
      <c r="R12" s="170" t="str">
        <f t="shared" si="12"/>
        <v>Data Missing</v>
      </c>
      <c r="S12" s="170" t="str">
        <f t="shared" si="13"/>
        <v>Data Missing</v>
      </c>
    </row>
    <row r="13" spans="2:19" x14ac:dyDescent="0.2">
      <c r="B13" s="100">
        <f t="shared" si="14"/>
        <v>22</v>
      </c>
      <c r="C13" s="100">
        <f t="shared" si="15"/>
        <v>2030</v>
      </c>
      <c r="D13" s="100">
        <f t="shared" si="16"/>
        <v>2031</v>
      </c>
      <c r="E13" s="170" t="str">
        <f t="shared" si="0"/>
        <v>Data Missing</v>
      </c>
      <c r="F13" s="170" t="str">
        <f t="shared" si="1"/>
        <v>Data Missing</v>
      </c>
      <c r="G13" s="170" t="str">
        <f t="shared" si="2"/>
        <v>Data Missing</v>
      </c>
      <c r="H13" s="170" t="str">
        <f t="shared" si="3"/>
        <v>Data Missing</v>
      </c>
      <c r="I13" s="170" t="str">
        <f t="shared" si="4"/>
        <v>Data Missing</v>
      </c>
      <c r="J13" s="170" t="str">
        <f t="shared" si="5"/>
        <v>Data Missing</v>
      </c>
      <c r="K13" s="170" t="str">
        <f t="shared" si="6"/>
        <v>Data Missing</v>
      </c>
      <c r="L13" s="169"/>
      <c r="M13" s="170" t="str">
        <f t="shared" si="7"/>
        <v>Data Missing</v>
      </c>
      <c r="N13" s="170" t="str">
        <f t="shared" si="8"/>
        <v>Data Missing</v>
      </c>
      <c r="O13" s="170" t="str">
        <f t="shared" si="9"/>
        <v>Data Missing</v>
      </c>
      <c r="P13" s="170" t="str">
        <f t="shared" si="10"/>
        <v>Data Missing</v>
      </c>
      <c r="Q13" s="170" t="str">
        <f t="shared" si="11"/>
        <v>Data Missing</v>
      </c>
      <c r="R13" s="170" t="str">
        <f t="shared" si="12"/>
        <v>Data Missing</v>
      </c>
      <c r="S13" s="170" t="str">
        <f t="shared" si="13"/>
        <v>Data Missing</v>
      </c>
    </row>
    <row r="14" spans="2:19" x14ac:dyDescent="0.2">
      <c r="B14" s="100">
        <f t="shared" si="14"/>
        <v>23</v>
      </c>
      <c r="C14" s="100">
        <f t="shared" si="15"/>
        <v>2031</v>
      </c>
      <c r="D14" s="100">
        <f t="shared" si="16"/>
        <v>2032</v>
      </c>
      <c r="E14" s="171" t="str">
        <f t="shared" si="0"/>
        <v>Data Missing</v>
      </c>
      <c r="F14" s="171" t="str">
        <f t="shared" si="1"/>
        <v>Data Missing</v>
      </c>
      <c r="G14" s="171" t="str">
        <f t="shared" si="2"/>
        <v>Data Missing</v>
      </c>
      <c r="H14" s="171" t="str">
        <f t="shared" si="3"/>
        <v>Data Missing</v>
      </c>
      <c r="I14" s="171" t="str">
        <f t="shared" si="4"/>
        <v>Data Missing</v>
      </c>
      <c r="J14" s="171" t="str">
        <f t="shared" si="5"/>
        <v>Data Missing</v>
      </c>
      <c r="K14" s="171" t="str">
        <f t="shared" si="6"/>
        <v>Data Missing</v>
      </c>
      <c r="L14" s="169"/>
      <c r="M14" s="171" t="str">
        <f t="shared" si="7"/>
        <v>Data Missing</v>
      </c>
      <c r="N14" s="171" t="str">
        <f t="shared" si="8"/>
        <v>Data Missing</v>
      </c>
      <c r="O14" s="171" t="str">
        <f t="shared" si="9"/>
        <v>Data Missing</v>
      </c>
      <c r="P14" s="171" t="str">
        <f t="shared" si="10"/>
        <v>Data Missing</v>
      </c>
      <c r="Q14" s="171" t="str">
        <f t="shared" si="11"/>
        <v>Data Missing</v>
      </c>
      <c r="R14" s="171" t="str">
        <f t="shared" si="12"/>
        <v>Data Missing</v>
      </c>
      <c r="S14" s="171" t="str">
        <f t="shared" si="13"/>
        <v>Data Missing</v>
      </c>
    </row>
    <row r="15" spans="2:19" x14ac:dyDescent="0.2">
      <c r="B15" s="100">
        <f t="shared" si="14"/>
        <v>24</v>
      </c>
      <c r="C15" s="100">
        <f t="shared" si="15"/>
        <v>2032</v>
      </c>
      <c r="D15" s="100">
        <f t="shared" si="16"/>
        <v>2033</v>
      </c>
      <c r="E15" s="171" t="str">
        <f t="shared" si="0"/>
        <v>Data Missing</v>
      </c>
      <c r="F15" s="171" t="str">
        <f t="shared" si="1"/>
        <v>Data Missing</v>
      </c>
      <c r="G15" s="171" t="str">
        <f t="shared" si="2"/>
        <v>Data Missing</v>
      </c>
      <c r="H15" s="171" t="str">
        <f t="shared" si="3"/>
        <v>Data Missing</v>
      </c>
      <c r="I15" s="171" t="str">
        <f t="shared" si="4"/>
        <v>Data Missing</v>
      </c>
      <c r="J15" s="171" t="str">
        <f t="shared" si="5"/>
        <v>Data Missing</v>
      </c>
      <c r="K15" s="171" t="str">
        <f t="shared" si="6"/>
        <v>Data Missing</v>
      </c>
      <c r="L15" s="169"/>
      <c r="M15" s="171" t="str">
        <f t="shared" si="7"/>
        <v>Data Missing</v>
      </c>
      <c r="N15" s="171" t="str">
        <f t="shared" si="8"/>
        <v>Data Missing</v>
      </c>
      <c r="O15" s="171" t="str">
        <f t="shared" si="9"/>
        <v>Data Missing</v>
      </c>
      <c r="P15" s="171" t="str">
        <f t="shared" si="10"/>
        <v>Data Missing</v>
      </c>
      <c r="Q15" s="171" t="str">
        <f t="shared" si="11"/>
        <v>Data Missing</v>
      </c>
      <c r="R15" s="171" t="str">
        <f t="shared" si="12"/>
        <v>Data Missing</v>
      </c>
      <c r="S15" s="171" t="str">
        <f t="shared" si="13"/>
        <v>Data Missing</v>
      </c>
    </row>
    <row r="16" spans="2:19" x14ac:dyDescent="0.2">
      <c r="B16" s="100">
        <f t="shared" si="14"/>
        <v>25</v>
      </c>
      <c r="C16" s="100">
        <f t="shared" si="15"/>
        <v>2033</v>
      </c>
      <c r="D16" s="100">
        <f t="shared" si="16"/>
        <v>2034</v>
      </c>
      <c r="E16" s="171" t="str">
        <f t="shared" si="0"/>
        <v>Data Missing</v>
      </c>
      <c r="F16" s="171" t="str">
        <f t="shared" si="1"/>
        <v>Data Missing</v>
      </c>
      <c r="G16" s="171" t="str">
        <f t="shared" si="2"/>
        <v>Data Missing</v>
      </c>
      <c r="H16" s="171" t="str">
        <f t="shared" si="3"/>
        <v>Data Missing</v>
      </c>
      <c r="I16" s="171" t="str">
        <f t="shared" si="4"/>
        <v>Data Missing</v>
      </c>
      <c r="J16" s="171" t="str">
        <f t="shared" si="5"/>
        <v>Data Missing</v>
      </c>
      <c r="K16" s="171" t="str">
        <f t="shared" si="6"/>
        <v>Data Missing</v>
      </c>
      <c r="L16" s="169"/>
      <c r="M16" s="171" t="str">
        <f t="shared" si="7"/>
        <v>Data Missing</v>
      </c>
      <c r="N16" s="171" t="str">
        <f t="shared" si="8"/>
        <v>Data Missing</v>
      </c>
      <c r="O16" s="171" t="str">
        <f t="shared" si="9"/>
        <v>Data Missing</v>
      </c>
      <c r="P16" s="171" t="str">
        <f t="shared" si="10"/>
        <v>Data Missing</v>
      </c>
      <c r="Q16" s="171" t="str">
        <f t="shared" si="11"/>
        <v>Data Missing</v>
      </c>
      <c r="R16" s="171" t="str">
        <f t="shared" si="12"/>
        <v>Data Missing</v>
      </c>
      <c r="S16" s="171" t="str">
        <f t="shared" si="13"/>
        <v>Data Missing</v>
      </c>
    </row>
    <row r="17" spans="2:19" x14ac:dyDescent="0.2">
      <c r="B17" s="100">
        <f t="shared" si="14"/>
        <v>26</v>
      </c>
      <c r="C17" s="100">
        <f t="shared" si="15"/>
        <v>2034</v>
      </c>
      <c r="D17" s="100">
        <f t="shared" si="16"/>
        <v>2035</v>
      </c>
      <c r="E17" s="171" t="str">
        <f t="shared" si="0"/>
        <v>Data Missing</v>
      </c>
      <c r="F17" s="171" t="str">
        <f t="shared" si="1"/>
        <v>Data Missing</v>
      </c>
      <c r="G17" s="171" t="str">
        <f t="shared" si="2"/>
        <v>Data Missing</v>
      </c>
      <c r="H17" s="171" t="str">
        <f t="shared" si="3"/>
        <v>Data Missing</v>
      </c>
      <c r="I17" s="171" t="str">
        <f t="shared" si="4"/>
        <v>Data Missing</v>
      </c>
      <c r="J17" s="171" t="str">
        <f t="shared" si="5"/>
        <v>Data Missing</v>
      </c>
      <c r="K17" s="171" t="str">
        <f t="shared" si="6"/>
        <v>Data Missing</v>
      </c>
      <c r="L17" s="169"/>
      <c r="M17" s="171" t="str">
        <f t="shared" si="7"/>
        <v>Data Missing</v>
      </c>
      <c r="N17" s="171" t="str">
        <f t="shared" si="8"/>
        <v>Data Missing</v>
      </c>
      <c r="O17" s="171" t="str">
        <f t="shared" si="9"/>
        <v>Data Missing</v>
      </c>
      <c r="P17" s="171" t="str">
        <f t="shared" si="10"/>
        <v>Data Missing</v>
      </c>
      <c r="Q17" s="171" t="str">
        <f t="shared" si="11"/>
        <v>Data Missing</v>
      </c>
      <c r="R17" s="171" t="str">
        <f t="shared" si="12"/>
        <v>Data Missing</v>
      </c>
      <c r="S17" s="171" t="str">
        <f t="shared" si="13"/>
        <v>Data Missing</v>
      </c>
    </row>
    <row r="18" spans="2:19" x14ac:dyDescent="0.2">
      <c r="B18" s="100">
        <f t="shared" si="14"/>
        <v>27</v>
      </c>
      <c r="C18" s="100">
        <f t="shared" si="15"/>
        <v>2035</v>
      </c>
      <c r="D18" s="100">
        <f t="shared" si="16"/>
        <v>2036</v>
      </c>
      <c r="E18" s="171" t="str">
        <f t="shared" si="0"/>
        <v>Data Missing</v>
      </c>
      <c r="F18" s="171" t="str">
        <f t="shared" si="1"/>
        <v>Data Missing</v>
      </c>
      <c r="G18" s="171" t="str">
        <f t="shared" si="2"/>
        <v>Data Missing</v>
      </c>
      <c r="H18" s="171" t="str">
        <f t="shared" si="3"/>
        <v>Data Missing</v>
      </c>
      <c r="I18" s="171" t="str">
        <f t="shared" si="4"/>
        <v>Data Missing</v>
      </c>
      <c r="J18" s="171" t="str">
        <f t="shared" si="5"/>
        <v>Data Missing</v>
      </c>
      <c r="K18" s="171" t="str">
        <f t="shared" si="6"/>
        <v>Data Missing</v>
      </c>
      <c r="L18" s="169"/>
      <c r="M18" s="171" t="str">
        <f t="shared" si="7"/>
        <v>Data Missing</v>
      </c>
      <c r="N18" s="171" t="str">
        <f t="shared" si="8"/>
        <v>Data Missing</v>
      </c>
      <c r="O18" s="171" t="str">
        <f t="shared" si="9"/>
        <v>Data Missing</v>
      </c>
      <c r="P18" s="171" t="str">
        <f t="shared" si="10"/>
        <v>Data Missing</v>
      </c>
      <c r="Q18" s="171" t="str">
        <f t="shared" si="11"/>
        <v>Data Missing</v>
      </c>
      <c r="R18" s="171" t="str">
        <f t="shared" si="12"/>
        <v>Data Missing</v>
      </c>
      <c r="S18" s="171" t="str">
        <f t="shared" si="13"/>
        <v>Data Missing</v>
      </c>
    </row>
    <row r="19" spans="2:19" x14ac:dyDescent="0.2">
      <c r="B19" s="100">
        <f t="shared" si="14"/>
        <v>28</v>
      </c>
      <c r="C19" s="100">
        <f t="shared" si="15"/>
        <v>2036</v>
      </c>
      <c r="D19" s="100">
        <f t="shared" si="16"/>
        <v>2037</v>
      </c>
      <c r="E19" s="171" t="str">
        <f t="shared" si="0"/>
        <v>Data Missing</v>
      </c>
      <c r="F19" s="171" t="str">
        <f t="shared" si="1"/>
        <v>Data Missing</v>
      </c>
      <c r="G19" s="171" t="str">
        <f t="shared" si="2"/>
        <v>Data Missing</v>
      </c>
      <c r="H19" s="171" t="str">
        <f t="shared" si="3"/>
        <v>Data Missing</v>
      </c>
      <c r="I19" s="171" t="str">
        <f t="shared" si="4"/>
        <v>Data Missing</v>
      </c>
      <c r="J19" s="171" t="str">
        <f t="shared" si="5"/>
        <v>Data Missing</v>
      </c>
      <c r="K19" s="171" t="str">
        <f t="shared" si="6"/>
        <v>Data Missing</v>
      </c>
      <c r="L19" s="169"/>
      <c r="M19" s="171" t="str">
        <f t="shared" si="7"/>
        <v>Data Missing</v>
      </c>
      <c r="N19" s="171" t="str">
        <f t="shared" si="8"/>
        <v>Data Missing</v>
      </c>
      <c r="O19" s="171" t="str">
        <f t="shared" si="9"/>
        <v>Data Missing</v>
      </c>
      <c r="P19" s="171" t="str">
        <f t="shared" si="10"/>
        <v>Data Missing</v>
      </c>
      <c r="Q19" s="171" t="str">
        <f t="shared" si="11"/>
        <v>Data Missing</v>
      </c>
      <c r="R19" s="171" t="str">
        <f t="shared" si="12"/>
        <v>Data Missing</v>
      </c>
      <c r="S19" s="171" t="str">
        <f t="shared" si="13"/>
        <v>Data Missing</v>
      </c>
    </row>
    <row r="20" spans="2:19" x14ac:dyDescent="0.2">
      <c r="B20" s="100">
        <f t="shared" si="14"/>
        <v>29</v>
      </c>
      <c r="C20" s="100">
        <f t="shared" si="15"/>
        <v>2037</v>
      </c>
      <c r="D20" s="100">
        <f t="shared" si="16"/>
        <v>2038</v>
      </c>
      <c r="E20" s="171" t="str">
        <f t="shared" si="0"/>
        <v>Data Missing</v>
      </c>
      <c r="F20" s="171" t="str">
        <f t="shared" si="1"/>
        <v>Data Missing</v>
      </c>
      <c r="G20" s="171" t="str">
        <f t="shared" si="2"/>
        <v>Data Missing</v>
      </c>
      <c r="H20" s="171" t="str">
        <f t="shared" si="3"/>
        <v>Data Missing</v>
      </c>
      <c r="I20" s="171" t="str">
        <f t="shared" si="4"/>
        <v>Data Missing</v>
      </c>
      <c r="J20" s="171" t="str">
        <f t="shared" si="5"/>
        <v>Data Missing</v>
      </c>
      <c r="K20" s="171" t="str">
        <f t="shared" si="6"/>
        <v>Data Missing</v>
      </c>
      <c r="L20" s="169"/>
      <c r="M20" s="171" t="str">
        <f t="shared" si="7"/>
        <v>Data Missing</v>
      </c>
      <c r="N20" s="171" t="str">
        <f t="shared" si="8"/>
        <v>Data Missing</v>
      </c>
      <c r="O20" s="171" t="str">
        <f t="shared" si="9"/>
        <v>Data Missing</v>
      </c>
      <c r="P20" s="171" t="str">
        <f t="shared" si="10"/>
        <v>Data Missing</v>
      </c>
      <c r="Q20" s="171" t="str">
        <f t="shared" si="11"/>
        <v>Data Missing</v>
      </c>
      <c r="R20" s="171" t="str">
        <f t="shared" si="12"/>
        <v>Data Missing</v>
      </c>
      <c r="S20" s="171" t="str">
        <f t="shared" si="13"/>
        <v>Data Missing</v>
      </c>
    </row>
    <row r="21" spans="2:19" x14ac:dyDescent="0.2">
      <c r="B21" s="100">
        <f t="shared" si="14"/>
        <v>30</v>
      </c>
      <c r="C21" s="100">
        <f t="shared" si="15"/>
        <v>2038</v>
      </c>
      <c r="D21" s="100">
        <f t="shared" si="16"/>
        <v>2039</v>
      </c>
      <c r="E21" s="171" t="str">
        <f t="shared" si="0"/>
        <v>Data Missing</v>
      </c>
      <c r="F21" s="171" t="str">
        <f t="shared" si="1"/>
        <v>Data Missing</v>
      </c>
      <c r="G21" s="171" t="str">
        <f t="shared" si="2"/>
        <v>Data Missing</v>
      </c>
      <c r="H21" s="171" t="str">
        <f t="shared" si="3"/>
        <v>Data Missing</v>
      </c>
      <c r="I21" s="171" t="str">
        <f t="shared" si="4"/>
        <v>Data Missing</v>
      </c>
      <c r="J21" s="171" t="str">
        <f t="shared" si="5"/>
        <v>Data Missing</v>
      </c>
      <c r="K21" s="171" t="str">
        <f t="shared" si="6"/>
        <v>Data Missing</v>
      </c>
      <c r="L21" s="169"/>
      <c r="M21" s="171" t="str">
        <f t="shared" si="7"/>
        <v>Data Missing</v>
      </c>
      <c r="N21" s="171" t="str">
        <f t="shared" si="8"/>
        <v>Data Missing</v>
      </c>
      <c r="O21" s="171" t="str">
        <f t="shared" si="9"/>
        <v>Data Missing</v>
      </c>
      <c r="P21" s="171" t="str">
        <f t="shared" si="10"/>
        <v>Data Missing</v>
      </c>
      <c r="Q21" s="171" t="str">
        <f t="shared" si="11"/>
        <v>Data Missing</v>
      </c>
      <c r="R21" s="171" t="str">
        <f t="shared" si="12"/>
        <v>Data Missing</v>
      </c>
      <c r="S21" s="171" t="str">
        <f t="shared" si="13"/>
        <v>Data Missing</v>
      </c>
    </row>
    <row r="22" spans="2:19" x14ac:dyDescent="0.2">
      <c r="B22" s="100">
        <f t="shared" si="14"/>
        <v>31</v>
      </c>
      <c r="C22" s="100">
        <f t="shared" si="15"/>
        <v>2039</v>
      </c>
      <c r="D22" s="100">
        <f t="shared" si="16"/>
        <v>2040</v>
      </c>
      <c r="E22" s="171" t="str">
        <f t="shared" si="0"/>
        <v>Data Missing</v>
      </c>
      <c r="F22" s="171" t="str">
        <f t="shared" si="1"/>
        <v>Data Missing</v>
      </c>
      <c r="G22" s="171" t="str">
        <f t="shared" si="2"/>
        <v>Data Missing</v>
      </c>
      <c r="H22" s="171" t="str">
        <f t="shared" si="3"/>
        <v>Data Missing</v>
      </c>
      <c r="I22" s="171" t="str">
        <f t="shared" si="4"/>
        <v>Data Missing</v>
      </c>
      <c r="J22" s="171" t="str">
        <f t="shared" si="5"/>
        <v>Data Missing</v>
      </c>
      <c r="K22" s="171" t="str">
        <f t="shared" si="6"/>
        <v>Data Missing</v>
      </c>
      <c r="L22" s="169"/>
      <c r="M22" s="171" t="str">
        <f t="shared" si="7"/>
        <v>Data Missing</v>
      </c>
      <c r="N22" s="171" t="str">
        <f t="shared" si="8"/>
        <v>Data Missing</v>
      </c>
      <c r="O22" s="171" t="str">
        <f t="shared" si="9"/>
        <v>Data Missing</v>
      </c>
      <c r="P22" s="171" t="str">
        <f t="shared" si="10"/>
        <v>Data Missing</v>
      </c>
      <c r="Q22" s="171" t="str">
        <f t="shared" si="11"/>
        <v>Data Missing</v>
      </c>
      <c r="R22" s="171" t="str">
        <f t="shared" si="12"/>
        <v>Data Missing</v>
      </c>
      <c r="S22" s="171" t="str">
        <f t="shared" si="13"/>
        <v>Data Missing</v>
      </c>
    </row>
    <row r="23" spans="2:19" x14ac:dyDescent="0.2">
      <c r="B23" s="100">
        <f t="shared" si="14"/>
        <v>32</v>
      </c>
      <c r="C23" s="100">
        <f>C22+1</f>
        <v>2040</v>
      </c>
      <c r="D23" s="100">
        <f t="shared" si="16"/>
        <v>2041</v>
      </c>
      <c r="E23" s="171" t="str">
        <f t="shared" si="0"/>
        <v>Data Missing</v>
      </c>
      <c r="F23" s="171" t="str">
        <f t="shared" si="1"/>
        <v>Data Missing</v>
      </c>
      <c r="G23" s="171" t="str">
        <f t="shared" si="2"/>
        <v>Data Missing</v>
      </c>
      <c r="H23" s="171" t="str">
        <f t="shared" si="3"/>
        <v>Data Missing</v>
      </c>
      <c r="I23" s="171" t="str">
        <f t="shared" si="4"/>
        <v>Data Missing</v>
      </c>
      <c r="J23" s="171" t="str">
        <f t="shared" si="5"/>
        <v>Data Missing</v>
      </c>
      <c r="K23" s="171" t="str">
        <f t="shared" si="6"/>
        <v>Data Missing</v>
      </c>
      <c r="L23" s="169"/>
      <c r="M23" s="171" t="str">
        <f t="shared" si="7"/>
        <v>Data Missing</v>
      </c>
      <c r="N23" s="171" t="str">
        <f t="shared" si="8"/>
        <v>Data Missing</v>
      </c>
      <c r="O23" s="171" t="str">
        <f t="shared" si="9"/>
        <v>Data Missing</v>
      </c>
      <c r="P23" s="171" t="str">
        <f t="shared" si="10"/>
        <v>Data Missing</v>
      </c>
      <c r="Q23" s="171" t="str">
        <f t="shared" si="11"/>
        <v>Data Missing</v>
      </c>
      <c r="R23" s="171" t="str">
        <f t="shared" si="12"/>
        <v>Data Missing</v>
      </c>
      <c r="S23" s="171" t="str">
        <f t="shared" si="13"/>
        <v>Data Missing</v>
      </c>
    </row>
  </sheetData>
  <mergeCells count="2">
    <mergeCell ref="B2:K2"/>
    <mergeCell ref="M2:S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Z63"/>
  <sheetViews>
    <sheetView topLeftCell="B1" zoomScale="130" zoomScaleNormal="130" workbookViewId="0">
      <selection activeCell="I25" sqref="I25"/>
    </sheetView>
  </sheetViews>
  <sheetFormatPr defaultRowHeight="15" x14ac:dyDescent="0.25"/>
  <cols>
    <col min="1" max="1" width="0" hidden="1" customWidth="1"/>
    <col min="3" max="4" width="0" hidden="1" customWidth="1"/>
    <col min="5" max="5" width="10.28515625" customWidth="1"/>
    <col min="6" max="6" width="3.28515625" customWidth="1"/>
    <col min="7" max="7" width="10.85546875" bestFit="1" customWidth="1"/>
    <col min="8" max="8" width="10.42578125" customWidth="1"/>
    <col min="9" max="9" width="11.42578125" bestFit="1" customWidth="1"/>
    <col min="10" max="10" width="10.5703125" customWidth="1"/>
    <col min="11" max="11" width="11.42578125" bestFit="1" customWidth="1"/>
    <col min="12" max="12" width="3.28515625" customWidth="1"/>
    <col min="13" max="13" width="12.42578125" bestFit="1" customWidth="1"/>
    <col min="14" max="14" width="37.42578125" customWidth="1"/>
  </cols>
  <sheetData>
    <row r="2" spans="1:26" ht="51" x14ac:dyDescent="0.25">
      <c r="A2" s="6" t="s">
        <v>8</v>
      </c>
      <c r="B2" s="6" t="s">
        <v>57</v>
      </c>
      <c r="C2" s="6" t="s">
        <v>6</v>
      </c>
      <c r="D2" s="6" t="s">
        <v>5</v>
      </c>
      <c r="E2" s="18" t="str">
        <f>IFERROR(INDEX('General Inputs'!$C$13:$D$19,MATCH(EDC_NAME,'General Inputs'!$C$13:$C$19,0),2),"NG adjustment")</f>
        <v>NG adjustment</v>
      </c>
      <c r="F2" s="19"/>
      <c r="G2" s="18"/>
      <c r="H2" s="18" t="s">
        <v>55</v>
      </c>
      <c r="I2" s="18" t="s">
        <v>56</v>
      </c>
      <c r="J2" s="18" t="s">
        <v>60</v>
      </c>
      <c r="K2" s="18" t="s">
        <v>61</v>
      </c>
    </row>
    <row r="3" spans="1:26" ht="12.75" customHeight="1" x14ac:dyDescent="0.25">
      <c r="A3" s="7">
        <v>1</v>
      </c>
      <c r="B3" s="26">
        <f t="shared" ref="B3:B13" si="0">DATE(Start_Year-1,A3,1)</f>
        <v>44197</v>
      </c>
      <c r="C3" s="11" t="str">
        <f>CHOOSE(MONTH(B3), "Jan", "Feb", "Mar", "Apr", "May", "Jun", "Jul,", "Aug", "Sep", "Oct", "Nov", "Dec")</f>
        <v>Jan</v>
      </c>
      <c r="D3" s="17">
        <f>YEAR(B3)</f>
        <v>2021</v>
      </c>
      <c r="E3" s="131"/>
      <c r="F3" s="19"/>
      <c r="G3" s="7" t="s">
        <v>42</v>
      </c>
      <c r="H3" s="133" t="str">
        <f>IFERROR(AVERAGE(E3,E15,E27,E39), "Data Missing")</f>
        <v>Data Missing</v>
      </c>
      <c r="I3" s="28" t="str">
        <f>IFERROR(AVERAGEIF('NG Futures'!$C$15:$C$62,Adjustments!G3,'NG Futures'!$F$15:$F$62)/AVERAGE('NG Futures'!$F$15:$F$62),"Data Missing")</f>
        <v>Data Missing</v>
      </c>
      <c r="J3" s="133" t="str">
        <f>IFERROR(AVERAGEIF('Avoided AC'!$C$15:$C$62,$G3,'Avoided AC'!$L$15:$L$62),"Data Missing")</f>
        <v>Data Missing</v>
      </c>
      <c r="K3" s="133" t="str">
        <f>IFERROR(AVERAGEIF('Avoided AC'!$C$15:$C$62,$G3,'Avoided AC'!$M$15:$M$62),"Data Missing")</f>
        <v>Data Missing</v>
      </c>
      <c r="M3" s="95" t="s">
        <v>115</v>
      </c>
      <c r="N3" s="205" t="s">
        <v>129</v>
      </c>
    </row>
    <row r="4" spans="1:26" ht="12.75" customHeight="1" x14ac:dyDescent="0.25">
      <c r="A4" s="7">
        <v>2</v>
      </c>
      <c r="B4" s="26">
        <f t="shared" si="0"/>
        <v>44228</v>
      </c>
      <c r="C4" s="11" t="str">
        <f t="shared" ref="C4:C50" si="1">CHOOSE(MONTH(B4), "Jan", "Feb", "Mar", "Apr", "May", "Jun", "Jul,", "Aug", "Sep", "Oct", "Nov", "Dec")</f>
        <v>Feb</v>
      </c>
      <c r="D4" s="17">
        <f t="shared" ref="D4:D50" si="2">YEAR(B4)</f>
        <v>2021</v>
      </c>
      <c r="E4" s="134"/>
      <c r="F4" s="19"/>
      <c r="G4" s="7" t="s">
        <v>43</v>
      </c>
      <c r="H4" s="133" t="str">
        <f t="shared" ref="H4:H14" si="3">IFERROR(AVERAGE(E4,E16,E28,E40), "Data Missing")</f>
        <v>Data Missing</v>
      </c>
      <c r="I4" s="28" t="str">
        <f>IFERROR(AVERAGEIF('NG Futures'!$C$15:$C$62,Adjustments!G4,'NG Futures'!$F$15:$F$62)/AVERAGE('NG Futures'!$F$15:$F$62),"Data Missing")</f>
        <v>Data Missing</v>
      </c>
      <c r="J4" s="133" t="str">
        <f>IFERROR(AVERAGEIF('Avoided AC'!$C$15:$C$62,$G4,'Avoided AC'!$L$15:$L$62),"Data Missing")</f>
        <v>Data Missing</v>
      </c>
      <c r="K4" s="133" t="str">
        <f>IFERROR(AVERAGEIF('Avoided AC'!$C$15:$C$62,$G4,'Avoided AC'!$M$15:$M$62),"Data Missing")</f>
        <v>Data Missing</v>
      </c>
      <c r="M4" s="3"/>
      <c r="N4" s="206"/>
    </row>
    <row r="5" spans="1:26" ht="12.75" customHeight="1" x14ac:dyDescent="0.25">
      <c r="A5" s="7">
        <v>3</v>
      </c>
      <c r="B5" s="26">
        <f t="shared" si="0"/>
        <v>44256</v>
      </c>
      <c r="C5" s="11" t="str">
        <f t="shared" si="1"/>
        <v>Mar</v>
      </c>
      <c r="D5" s="17">
        <f t="shared" si="2"/>
        <v>2021</v>
      </c>
      <c r="E5" s="134"/>
      <c r="F5" s="19"/>
      <c r="G5" s="7" t="s">
        <v>44</v>
      </c>
      <c r="H5" s="133" t="str">
        <f t="shared" si="3"/>
        <v>Data Missing</v>
      </c>
      <c r="I5" s="28" t="str">
        <f>IFERROR(AVERAGEIF('NG Futures'!$C$15:$C$62,Adjustments!G5,'NG Futures'!$F$15:$F$62)/AVERAGE('NG Futures'!$F$15:$F$62),"Data Missing")</f>
        <v>Data Missing</v>
      </c>
      <c r="J5" s="133" t="str">
        <f>IFERROR(AVERAGEIF('Avoided AC'!$C$15:$C$62,$G5,'Avoided AC'!$L$15:$L$62),"Data Missing")</f>
        <v>Data Missing</v>
      </c>
      <c r="K5" s="133" t="str">
        <f>IFERROR(AVERAGEIF('Avoided AC'!$C$15:$C$62,$G5,'Avoided AC'!$M$15:$M$62),"Data Missing")</f>
        <v>Data Missing</v>
      </c>
      <c r="M5" s="3"/>
      <c r="N5" s="206"/>
    </row>
    <row r="6" spans="1:26" ht="12.75" customHeight="1" x14ac:dyDescent="0.25">
      <c r="A6" s="7">
        <v>4</v>
      </c>
      <c r="B6" s="26">
        <f t="shared" si="0"/>
        <v>44287</v>
      </c>
      <c r="C6" s="11" t="str">
        <f t="shared" si="1"/>
        <v>Apr</v>
      </c>
      <c r="D6" s="17">
        <f t="shared" si="2"/>
        <v>2021</v>
      </c>
      <c r="E6" s="134"/>
      <c r="F6" s="19"/>
      <c r="G6" s="7" t="s">
        <v>45</v>
      </c>
      <c r="H6" s="133" t="str">
        <f t="shared" si="3"/>
        <v>Data Missing</v>
      </c>
      <c r="I6" s="28" t="str">
        <f>IFERROR(AVERAGEIF('NG Futures'!$C$15:$C$62,Adjustments!G6,'NG Futures'!$F$15:$F$62)/AVERAGE('NG Futures'!$F$15:$F$62),"Data Missing")</f>
        <v>Data Missing</v>
      </c>
      <c r="J6" s="133" t="str">
        <f>IFERROR(AVERAGEIF('Avoided AC'!$C$15:$C$62,$G6,'Avoided AC'!$L$15:$L$62),"Data Missing")</f>
        <v>Data Missing</v>
      </c>
      <c r="K6" s="133" t="str">
        <f>IFERROR(AVERAGEIF('Avoided AC'!$C$15:$C$62,$G6,'Avoided AC'!$M$15:$M$62),"Data Missing")</f>
        <v>Data Missing</v>
      </c>
      <c r="M6" s="3"/>
      <c r="N6" s="206"/>
    </row>
    <row r="7" spans="1:26" ht="12.75" customHeight="1" x14ac:dyDescent="0.25">
      <c r="A7" s="7">
        <v>5</v>
      </c>
      <c r="B7" s="26">
        <f t="shared" si="0"/>
        <v>44317</v>
      </c>
      <c r="C7" s="11" t="str">
        <f t="shared" si="1"/>
        <v>May</v>
      </c>
      <c r="D7" s="17">
        <f t="shared" si="2"/>
        <v>2021</v>
      </c>
      <c r="E7" s="134"/>
      <c r="F7" s="19"/>
      <c r="G7" s="7" t="s">
        <v>46</v>
      </c>
      <c r="H7" s="133" t="str">
        <f t="shared" si="3"/>
        <v>Data Missing</v>
      </c>
      <c r="I7" s="28" t="str">
        <f>IFERROR(AVERAGEIF('NG Futures'!$C$15:$C$62,Adjustments!G7,'NG Futures'!$F$15:$F$62)/AVERAGE('NG Futures'!$F$15:$F$62),"Data Missing")</f>
        <v>Data Missing</v>
      </c>
      <c r="J7" s="133" t="str">
        <f>IFERROR(AVERAGEIF('Avoided AC'!$C$15:$C$62,$G7,'Avoided AC'!$L$15:$L$62),"Data Missing")</f>
        <v>Data Missing</v>
      </c>
      <c r="K7" s="133" t="str">
        <f>IFERROR(AVERAGEIF('Avoided AC'!$C$15:$C$62,$G7,'Avoided AC'!$M$15:$M$62),"Data Missing")</f>
        <v>Data Missing</v>
      </c>
      <c r="M7" s="3"/>
      <c r="N7" s="206"/>
    </row>
    <row r="8" spans="1:26" ht="12.75" customHeight="1" x14ac:dyDescent="0.25">
      <c r="A8" s="7">
        <v>6</v>
      </c>
      <c r="B8" s="26">
        <f t="shared" si="0"/>
        <v>44348</v>
      </c>
      <c r="C8" s="11" t="str">
        <f t="shared" si="1"/>
        <v>Jun</v>
      </c>
      <c r="D8" s="17">
        <f t="shared" si="2"/>
        <v>2021</v>
      </c>
      <c r="E8" s="134"/>
      <c r="F8" s="19"/>
      <c r="G8" s="7" t="s">
        <v>47</v>
      </c>
      <c r="H8" s="133" t="str">
        <f t="shared" si="3"/>
        <v>Data Missing</v>
      </c>
      <c r="I8" s="28" t="str">
        <f>IFERROR(AVERAGEIF('NG Futures'!$C$15:$C$62,Adjustments!G8,'NG Futures'!$F$15:$F$62)/AVERAGE('NG Futures'!$F$15:$F$62),"Data Missing")</f>
        <v>Data Missing</v>
      </c>
      <c r="J8" s="133" t="str">
        <f>IFERROR(AVERAGEIF('Avoided AC'!$C$15:$C$62,$G8,'Avoided AC'!$L$15:$L$62),"Data Missing")</f>
        <v>Data Missing</v>
      </c>
      <c r="K8" s="133" t="str">
        <f>IFERROR(AVERAGEIF('Avoided AC'!$C$15:$C$62,$G8,'Avoided AC'!$M$15:$M$62),"Data Missing")</f>
        <v>Data Missing</v>
      </c>
      <c r="M8" s="3"/>
      <c r="N8" s="206"/>
    </row>
    <row r="9" spans="1:26" ht="12.75" customHeight="1" x14ac:dyDescent="0.25">
      <c r="A9" s="7">
        <v>7</v>
      </c>
      <c r="B9" s="26">
        <f t="shared" si="0"/>
        <v>44378</v>
      </c>
      <c r="C9" s="11" t="str">
        <f t="shared" si="1"/>
        <v>Jul,</v>
      </c>
      <c r="D9" s="17">
        <f t="shared" si="2"/>
        <v>2021</v>
      </c>
      <c r="E9" s="134"/>
      <c r="F9" s="19"/>
      <c r="G9" s="7" t="s">
        <v>48</v>
      </c>
      <c r="H9" s="133" t="str">
        <f t="shared" si="3"/>
        <v>Data Missing</v>
      </c>
      <c r="I9" s="28" t="str">
        <f>IFERROR(AVERAGEIF('NG Futures'!$C$15:$C$62,Adjustments!G9,'NG Futures'!$F$15:$F$62)/AVERAGE('NG Futures'!$F$15:$F$62),"Data Missing")</f>
        <v>Data Missing</v>
      </c>
      <c r="J9" s="133" t="str">
        <f>IFERROR(AVERAGEIF('Avoided AC'!$C$15:$C$62,$G9,'Avoided AC'!$L$15:$L$62),"Data Missing")</f>
        <v>Data Missing</v>
      </c>
      <c r="K9" s="133" t="str">
        <f>IFERROR(AVERAGEIF('Avoided AC'!$C$15:$C$62,$G9,'Avoided AC'!$M$15:$M$62),"Data Missing")</f>
        <v>Data Missing</v>
      </c>
      <c r="M9" s="3"/>
      <c r="N9" s="206"/>
      <c r="O9" s="10"/>
      <c r="P9" s="10"/>
      <c r="Q9" s="10"/>
      <c r="R9" s="10"/>
      <c r="S9" s="10"/>
      <c r="T9" s="10"/>
      <c r="U9" s="10"/>
      <c r="V9" s="10"/>
      <c r="W9" s="10"/>
      <c r="X9" s="10"/>
      <c r="Y9" s="10"/>
      <c r="Z9" s="10"/>
    </row>
    <row r="10" spans="1:26" ht="12.75" customHeight="1" x14ac:dyDescent="0.25">
      <c r="A10" s="7">
        <v>8</v>
      </c>
      <c r="B10" s="26">
        <f t="shared" si="0"/>
        <v>44409</v>
      </c>
      <c r="C10" s="11" t="str">
        <f t="shared" si="1"/>
        <v>Aug</v>
      </c>
      <c r="D10" s="17">
        <f t="shared" si="2"/>
        <v>2021</v>
      </c>
      <c r="E10" s="134"/>
      <c r="F10" s="19"/>
      <c r="G10" s="7" t="s">
        <v>49</v>
      </c>
      <c r="H10" s="133" t="str">
        <f t="shared" si="3"/>
        <v>Data Missing</v>
      </c>
      <c r="I10" s="28" t="str">
        <f>IFERROR(AVERAGEIF('NG Futures'!$C$15:$C$62,Adjustments!G10,'NG Futures'!$F$15:$F$62)/AVERAGE('NG Futures'!$F$15:$F$62),"Data Missing")</f>
        <v>Data Missing</v>
      </c>
      <c r="J10" s="133" t="str">
        <f>IFERROR(AVERAGEIF('Avoided AC'!$C$15:$C$62,$G10,'Avoided AC'!$L$15:$L$62),"Data Missing")</f>
        <v>Data Missing</v>
      </c>
      <c r="K10" s="133" t="str">
        <f>IFERROR(AVERAGEIF('Avoided AC'!$C$15:$C$62,$G10,'Avoided AC'!$M$15:$M$62),"Data Missing")</f>
        <v>Data Missing</v>
      </c>
      <c r="N10" s="206"/>
      <c r="O10" s="10"/>
      <c r="P10" s="10"/>
      <c r="Q10" s="10"/>
      <c r="R10" s="10"/>
      <c r="S10" s="10"/>
      <c r="T10" s="10"/>
      <c r="U10" s="10"/>
      <c r="V10" s="10"/>
      <c r="W10" s="10"/>
      <c r="X10" s="10"/>
      <c r="Y10" s="10"/>
      <c r="Z10" s="10"/>
    </row>
    <row r="11" spans="1:26" ht="12.75" customHeight="1" x14ac:dyDescent="0.25">
      <c r="A11" s="7">
        <v>9</v>
      </c>
      <c r="B11" s="26">
        <f t="shared" si="0"/>
        <v>44440</v>
      </c>
      <c r="C11" s="11" t="str">
        <f t="shared" si="1"/>
        <v>Sep</v>
      </c>
      <c r="D11" s="17">
        <f t="shared" si="2"/>
        <v>2021</v>
      </c>
      <c r="E11" s="134"/>
      <c r="F11" s="19"/>
      <c r="G11" s="7" t="s">
        <v>50</v>
      </c>
      <c r="H11" s="133" t="str">
        <f t="shared" si="3"/>
        <v>Data Missing</v>
      </c>
      <c r="I11" s="28" t="str">
        <f>IFERROR(AVERAGEIF('NG Futures'!$C$15:$C$62,Adjustments!G11,'NG Futures'!$F$15:$F$62)/AVERAGE('NG Futures'!$F$15:$F$62),"Data Missing")</f>
        <v>Data Missing</v>
      </c>
      <c r="J11" s="133" t="str">
        <f>IFERROR(AVERAGEIF('Avoided AC'!$C$15:$C$62,$G11,'Avoided AC'!$L$15:$L$62),"Data Missing")</f>
        <v>Data Missing</v>
      </c>
      <c r="K11" s="133" t="str">
        <f>IFERROR(AVERAGEIF('Avoided AC'!$C$15:$C$62,$G11,'Avoided AC'!$M$15:$M$62),"Data Missing")</f>
        <v>Data Missing</v>
      </c>
      <c r="N11" s="206"/>
      <c r="O11" s="10"/>
      <c r="P11" s="10"/>
      <c r="Q11" s="10"/>
      <c r="R11" s="10"/>
      <c r="S11" s="10"/>
      <c r="T11" s="10"/>
      <c r="U11" s="10"/>
      <c r="V11" s="10"/>
      <c r="W11" s="10"/>
    </row>
    <row r="12" spans="1:26" ht="12.75" customHeight="1" x14ac:dyDescent="0.25">
      <c r="A12" s="7">
        <v>10</v>
      </c>
      <c r="B12" s="26">
        <f t="shared" si="0"/>
        <v>44470</v>
      </c>
      <c r="C12" s="11" t="str">
        <f t="shared" si="1"/>
        <v>Oct</v>
      </c>
      <c r="D12" s="17">
        <f t="shared" si="2"/>
        <v>2021</v>
      </c>
      <c r="E12" s="134"/>
      <c r="F12" s="19"/>
      <c r="G12" s="7" t="s">
        <v>51</v>
      </c>
      <c r="H12" s="133" t="str">
        <f t="shared" si="3"/>
        <v>Data Missing</v>
      </c>
      <c r="I12" s="28" t="str">
        <f>IFERROR(AVERAGEIF('NG Futures'!$C$15:$C$62,Adjustments!G12,'NG Futures'!$F$15:$F$62)/AVERAGE('NG Futures'!$F$15:$F$62),"Data Missing")</f>
        <v>Data Missing</v>
      </c>
      <c r="J12" s="133" t="str">
        <f>IFERROR(AVERAGEIF('Avoided AC'!$C$15:$C$62,$G12,'Avoided AC'!$L$15:$L$62),"Data Missing")</f>
        <v>Data Missing</v>
      </c>
      <c r="K12" s="133" t="str">
        <f>IFERROR(AVERAGEIF('Avoided AC'!$C$15:$C$62,$G12,'Avoided AC'!$M$15:$M$62),"Data Missing")</f>
        <v>Data Missing</v>
      </c>
      <c r="N12" s="206"/>
      <c r="O12" s="10"/>
      <c r="P12" s="10"/>
      <c r="Q12" s="10"/>
      <c r="R12" s="10"/>
      <c r="S12" s="10"/>
      <c r="T12" s="10"/>
      <c r="U12" s="10"/>
      <c r="V12" s="10"/>
      <c r="W12" s="10"/>
    </row>
    <row r="13" spans="1:26" ht="12.75" customHeight="1" x14ac:dyDescent="0.25">
      <c r="A13" s="7">
        <v>11</v>
      </c>
      <c r="B13" s="26">
        <f t="shared" si="0"/>
        <v>44501</v>
      </c>
      <c r="C13" s="11" t="str">
        <f t="shared" si="1"/>
        <v>Nov</v>
      </c>
      <c r="D13" s="17">
        <f t="shared" si="2"/>
        <v>2021</v>
      </c>
      <c r="E13" s="134"/>
      <c r="F13" s="19"/>
      <c r="G13" s="7" t="s">
        <v>52</v>
      </c>
      <c r="H13" s="133" t="str">
        <f t="shared" si="3"/>
        <v>Data Missing</v>
      </c>
      <c r="I13" s="28" t="str">
        <f>IFERROR(AVERAGEIF('NG Futures'!$C$15:$C$62,Adjustments!G13,'NG Futures'!$F$15:$F$62)/AVERAGE('NG Futures'!$F$15:$F$62),"Data Missing")</f>
        <v>Data Missing</v>
      </c>
      <c r="J13" s="133" t="str">
        <f>IFERROR(AVERAGEIF('Avoided AC'!$C$15:$C$62,$G13,'Avoided AC'!$L$15:$L$62),"Data Missing")</f>
        <v>Data Missing</v>
      </c>
      <c r="K13" s="133" t="str">
        <f>IFERROR(AVERAGEIF('Avoided AC'!$C$15:$C$62,$G13,'Avoided AC'!$M$15:$M$62),"Data Missing")</f>
        <v>Data Missing</v>
      </c>
      <c r="N13" s="206"/>
      <c r="O13" s="10"/>
      <c r="P13" s="10"/>
      <c r="Q13" s="10"/>
      <c r="R13" s="10"/>
      <c r="S13" s="10"/>
      <c r="T13" s="10"/>
      <c r="U13" s="10"/>
      <c r="V13" s="10"/>
      <c r="W13" s="10"/>
    </row>
    <row r="14" spans="1:26" ht="12.75" customHeight="1" x14ac:dyDescent="0.25">
      <c r="A14" s="7">
        <v>12</v>
      </c>
      <c r="B14" s="26">
        <f t="shared" ref="B14:B49" si="4">DATE(Start_Year-1,A14,1)</f>
        <v>44531</v>
      </c>
      <c r="C14" s="11" t="str">
        <f t="shared" si="1"/>
        <v>Dec</v>
      </c>
      <c r="D14" s="17">
        <f t="shared" si="2"/>
        <v>2021</v>
      </c>
      <c r="E14" s="134"/>
      <c r="F14" s="19"/>
      <c r="G14" s="7" t="s">
        <v>53</v>
      </c>
      <c r="H14" s="133" t="str">
        <f t="shared" si="3"/>
        <v>Data Missing</v>
      </c>
      <c r="I14" s="28" t="str">
        <f>IFERROR(AVERAGEIF('NG Futures'!$C$15:$C$62,Adjustments!G14,'NG Futures'!$F$15:$F$62)/AVERAGE('NG Futures'!$F$15:$F$62),"Data Missing")</f>
        <v>Data Missing</v>
      </c>
      <c r="J14" s="133" t="str">
        <f>IFERROR(AVERAGEIF('Avoided AC'!$C$15:$C$62,$G14,'Avoided AC'!$L$15:$L$62),"Data Missing")</f>
        <v>Data Missing</v>
      </c>
      <c r="K14" s="133" t="str">
        <f>IFERROR(AVERAGEIF('Avoided AC'!$C$15:$C$62,$G14,'Avoided AC'!$M$15:$M$62),"Data Missing")</f>
        <v>Data Missing</v>
      </c>
      <c r="N14" s="207"/>
      <c r="O14" s="10"/>
      <c r="P14" s="10"/>
      <c r="Q14" s="10"/>
      <c r="R14" s="10"/>
      <c r="S14" s="10"/>
      <c r="T14" s="10"/>
      <c r="U14" s="10"/>
      <c r="V14" s="10"/>
      <c r="W14" s="10"/>
    </row>
    <row r="15" spans="1:26" ht="12.75" customHeight="1" x14ac:dyDescent="0.25">
      <c r="A15" s="7">
        <v>13</v>
      </c>
      <c r="B15" s="26">
        <f t="shared" si="4"/>
        <v>44562</v>
      </c>
      <c r="C15" s="11" t="str">
        <f t="shared" si="1"/>
        <v>Jan</v>
      </c>
      <c r="D15" s="17">
        <f t="shared" si="2"/>
        <v>2022</v>
      </c>
      <c r="E15" s="134"/>
      <c r="H15" s="5"/>
      <c r="I15" s="10"/>
      <c r="N15" s="10"/>
      <c r="O15" s="10"/>
      <c r="P15" s="10"/>
      <c r="Q15" s="10"/>
      <c r="R15" s="10"/>
      <c r="S15" s="10"/>
      <c r="T15" s="10"/>
      <c r="U15" s="10"/>
      <c r="V15" s="10"/>
      <c r="W15" s="10"/>
    </row>
    <row r="16" spans="1:26" ht="12.75" customHeight="1" x14ac:dyDescent="0.25">
      <c r="A16" s="7">
        <v>14</v>
      </c>
      <c r="B16" s="26">
        <f t="shared" si="4"/>
        <v>44593</v>
      </c>
      <c r="C16" s="11" t="str">
        <f t="shared" si="1"/>
        <v>Feb</v>
      </c>
      <c r="D16" s="17">
        <f t="shared" si="2"/>
        <v>2022</v>
      </c>
      <c r="E16" s="134"/>
      <c r="H16" s="5"/>
      <c r="I16" s="10"/>
      <c r="N16" s="10"/>
      <c r="O16" s="10"/>
      <c r="P16" s="10"/>
      <c r="Q16" s="10"/>
      <c r="R16" s="10"/>
      <c r="S16" s="10"/>
      <c r="T16" s="10"/>
      <c r="U16" s="10"/>
      <c r="V16" s="10"/>
      <c r="W16" s="10"/>
    </row>
    <row r="17" spans="1:23" ht="12.75" customHeight="1" x14ac:dyDescent="0.25">
      <c r="A17" s="7">
        <v>15</v>
      </c>
      <c r="B17" s="26">
        <f t="shared" si="4"/>
        <v>44621</v>
      </c>
      <c r="C17" s="11" t="str">
        <f t="shared" si="1"/>
        <v>Mar</v>
      </c>
      <c r="D17" s="17">
        <f t="shared" si="2"/>
        <v>2022</v>
      </c>
      <c r="E17" s="134"/>
      <c r="G17" s="10"/>
      <c r="H17" s="10"/>
      <c r="I17" s="10"/>
      <c r="N17" s="10"/>
      <c r="O17" s="10"/>
      <c r="P17" s="10"/>
      <c r="Q17" s="10"/>
      <c r="R17" s="10"/>
      <c r="S17" s="10"/>
      <c r="T17" s="10"/>
      <c r="U17" s="10"/>
      <c r="V17" s="10"/>
      <c r="W17" s="10"/>
    </row>
    <row r="18" spans="1:23" ht="12.75" customHeight="1" x14ac:dyDescent="0.25">
      <c r="A18" s="7">
        <v>16</v>
      </c>
      <c r="B18" s="26">
        <f t="shared" si="4"/>
        <v>44652</v>
      </c>
      <c r="C18" s="11" t="str">
        <f t="shared" si="1"/>
        <v>Apr</v>
      </c>
      <c r="D18" s="17">
        <f t="shared" si="2"/>
        <v>2022</v>
      </c>
      <c r="E18" s="134"/>
      <c r="G18" s="10"/>
      <c r="H18" s="10"/>
      <c r="I18" s="10"/>
      <c r="N18" s="10"/>
      <c r="O18" s="10"/>
      <c r="P18" s="10"/>
      <c r="Q18" s="10"/>
      <c r="R18" s="10"/>
      <c r="S18" s="10"/>
      <c r="T18" s="10"/>
      <c r="U18" s="10"/>
      <c r="V18" s="10"/>
      <c r="W18" s="10"/>
    </row>
    <row r="19" spans="1:23" ht="12.75" customHeight="1" x14ac:dyDescent="0.25">
      <c r="A19" s="7">
        <v>17</v>
      </c>
      <c r="B19" s="26">
        <f t="shared" si="4"/>
        <v>44682</v>
      </c>
      <c r="C19" s="11" t="str">
        <f t="shared" si="1"/>
        <v>May</v>
      </c>
      <c r="D19" s="17">
        <f t="shared" si="2"/>
        <v>2022</v>
      </c>
      <c r="E19" s="134"/>
      <c r="G19" s="10"/>
      <c r="H19" s="10"/>
      <c r="I19" s="10"/>
      <c r="N19" s="10"/>
      <c r="O19" s="10"/>
      <c r="P19" s="10"/>
      <c r="Q19" s="10"/>
      <c r="R19" s="10"/>
      <c r="S19" s="10"/>
      <c r="T19" s="10"/>
      <c r="U19" s="10"/>
      <c r="V19" s="10"/>
      <c r="W19" s="10"/>
    </row>
    <row r="20" spans="1:23" ht="12.75" customHeight="1" x14ac:dyDescent="0.25">
      <c r="A20" s="7">
        <v>18</v>
      </c>
      <c r="B20" s="26">
        <f t="shared" si="4"/>
        <v>44713</v>
      </c>
      <c r="C20" s="11" t="str">
        <f t="shared" si="1"/>
        <v>Jun</v>
      </c>
      <c r="D20" s="17">
        <f t="shared" si="2"/>
        <v>2022</v>
      </c>
      <c r="E20" s="134"/>
      <c r="G20" s="10"/>
      <c r="H20" s="10"/>
      <c r="I20" s="10"/>
      <c r="N20" s="10"/>
      <c r="O20" s="10"/>
      <c r="P20" s="10"/>
      <c r="Q20" s="10"/>
      <c r="R20" s="10"/>
      <c r="S20" s="10"/>
      <c r="T20" s="10"/>
      <c r="U20" s="10"/>
      <c r="V20" s="10"/>
      <c r="W20" s="10"/>
    </row>
    <row r="21" spans="1:23" ht="12.75" customHeight="1" x14ac:dyDescent="0.25">
      <c r="A21" s="7">
        <v>19</v>
      </c>
      <c r="B21" s="26">
        <f t="shared" si="4"/>
        <v>44743</v>
      </c>
      <c r="C21" s="11" t="str">
        <f t="shared" si="1"/>
        <v>Jul,</v>
      </c>
      <c r="D21" s="17">
        <f t="shared" si="2"/>
        <v>2022</v>
      </c>
      <c r="E21" s="134"/>
      <c r="G21" s="10"/>
      <c r="H21" s="10"/>
      <c r="I21" s="10"/>
      <c r="N21" s="10"/>
      <c r="O21" s="10"/>
      <c r="P21" s="10"/>
      <c r="Q21" s="10"/>
      <c r="R21" s="10"/>
      <c r="S21" s="10"/>
      <c r="T21" s="10"/>
      <c r="U21" s="10"/>
      <c r="V21" s="10"/>
      <c r="W21" s="10"/>
    </row>
    <row r="22" spans="1:23" ht="12.75" customHeight="1" x14ac:dyDescent="0.25">
      <c r="A22" s="7">
        <v>20</v>
      </c>
      <c r="B22" s="26">
        <f t="shared" si="4"/>
        <v>44774</v>
      </c>
      <c r="C22" s="11" t="str">
        <f t="shared" si="1"/>
        <v>Aug</v>
      </c>
      <c r="D22" s="17">
        <f t="shared" si="2"/>
        <v>2022</v>
      </c>
      <c r="E22" s="134"/>
      <c r="G22" s="10"/>
      <c r="H22" s="10"/>
      <c r="I22" s="10"/>
      <c r="N22" s="10"/>
      <c r="O22" s="10"/>
      <c r="P22" s="10"/>
      <c r="Q22" s="10"/>
      <c r="R22" s="10"/>
      <c r="S22" s="10"/>
      <c r="T22" s="10"/>
      <c r="U22" s="10"/>
      <c r="V22" s="10"/>
      <c r="W22" s="10"/>
    </row>
    <row r="23" spans="1:23" ht="12.75" customHeight="1" x14ac:dyDescent="0.25">
      <c r="A23" s="7">
        <v>21</v>
      </c>
      <c r="B23" s="26">
        <f t="shared" si="4"/>
        <v>44805</v>
      </c>
      <c r="C23" s="11" t="str">
        <f t="shared" si="1"/>
        <v>Sep</v>
      </c>
      <c r="D23" s="17">
        <f t="shared" si="2"/>
        <v>2022</v>
      </c>
      <c r="E23" s="134"/>
      <c r="G23" s="10"/>
      <c r="H23" s="10"/>
      <c r="I23" s="10"/>
      <c r="N23" s="10"/>
      <c r="O23" s="10"/>
      <c r="P23" s="10"/>
      <c r="Q23" s="10"/>
      <c r="R23" s="10"/>
      <c r="S23" s="10"/>
      <c r="T23" s="10"/>
      <c r="U23" s="10"/>
      <c r="V23" s="10"/>
      <c r="W23" s="10"/>
    </row>
    <row r="24" spans="1:23" ht="12.75" customHeight="1" x14ac:dyDescent="0.25">
      <c r="A24" s="7">
        <v>22</v>
      </c>
      <c r="B24" s="26">
        <f t="shared" si="4"/>
        <v>44835</v>
      </c>
      <c r="C24" s="11" t="str">
        <f t="shared" si="1"/>
        <v>Oct</v>
      </c>
      <c r="D24" s="17">
        <f t="shared" si="2"/>
        <v>2022</v>
      </c>
      <c r="E24" s="134"/>
      <c r="G24" s="10"/>
      <c r="H24" s="10"/>
      <c r="I24" s="10"/>
      <c r="N24" s="10"/>
      <c r="O24" s="10"/>
      <c r="P24" s="10"/>
      <c r="Q24" s="10"/>
      <c r="R24" s="10"/>
      <c r="S24" s="10"/>
      <c r="T24" s="10"/>
      <c r="U24" s="10"/>
      <c r="V24" s="10"/>
      <c r="W24" s="10"/>
    </row>
    <row r="25" spans="1:23" ht="12.75" customHeight="1" x14ac:dyDescent="0.25">
      <c r="A25" s="7">
        <v>23</v>
      </c>
      <c r="B25" s="26">
        <f t="shared" si="4"/>
        <v>44866</v>
      </c>
      <c r="C25" s="11" t="str">
        <f t="shared" si="1"/>
        <v>Nov</v>
      </c>
      <c r="D25" s="17">
        <f t="shared" si="2"/>
        <v>2022</v>
      </c>
      <c r="E25" s="134"/>
      <c r="G25" s="10"/>
      <c r="H25" s="10"/>
      <c r="I25" s="10"/>
      <c r="N25" s="10"/>
      <c r="O25" s="10"/>
      <c r="P25" s="10"/>
      <c r="Q25" s="10"/>
      <c r="R25" s="10"/>
      <c r="S25" s="10"/>
      <c r="T25" s="10"/>
      <c r="U25" s="10"/>
      <c r="V25" s="10"/>
      <c r="W25" s="10"/>
    </row>
    <row r="26" spans="1:23" ht="12.75" customHeight="1" x14ac:dyDescent="0.25">
      <c r="A26" s="7">
        <v>24</v>
      </c>
      <c r="B26" s="26">
        <f t="shared" si="4"/>
        <v>44896</v>
      </c>
      <c r="C26" s="11" t="str">
        <f t="shared" si="1"/>
        <v>Dec</v>
      </c>
      <c r="D26" s="17">
        <f t="shared" si="2"/>
        <v>2022</v>
      </c>
      <c r="E26" s="134"/>
      <c r="G26" s="10"/>
      <c r="H26" s="10"/>
      <c r="I26" s="10"/>
      <c r="N26" s="10"/>
      <c r="O26" s="10"/>
      <c r="P26" s="10"/>
      <c r="Q26" s="10"/>
      <c r="R26" s="10"/>
      <c r="S26" s="10"/>
      <c r="T26" s="10"/>
      <c r="U26" s="10"/>
      <c r="V26" s="10"/>
      <c r="W26" s="10"/>
    </row>
    <row r="27" spans="1:23" ht="12.75" customHeight="1" x14ac:dyDescent="0.25">
      <c r="A27" s="7">
        <v>25</v>
      </c>
      <c r="B27" s="26">
        <f t="shared" si="4"/>
        <v>44927</v>
      </c>
      <c r="C27" s="11" t="str">
        <f t="shared" si="1"/>
        <v>Jan</v>
      </c>
      <c r="D27" s="17">
        <f t="shared" si="2"/>
        <v>2023</v>
      </c>
      <c r="E27" s="134"/>
      <c r="G27" s="10"/>
      <c r="H27" s="10"/>
      <c r="I27" s="10"/>
      <c r="N27" s="10"/>
      <c r="O27" s="10"/>
      <c r="P27" s="10"/>
      <c r="Q27" s="10"/>
      <c r="R27" s="10"/>
      <c r="S27" s="10"/>
      <c r="T27" s="10"/>
      <c r="U27" s="10"/>
      <c r="V27" s="10"/>
      <c r="W27" s="10"/>
    </row>
    <row r="28" spans="1:23" ht="12.75" customHeight="1" x14ac:dyDescent="0.25">
      <c r="A28" s="7">
        <v>26</v>
      </c>
      <c r="B28" s="26">
        <f t="shared" si="4"/>
        <v>44958</v>
      </c>
      <c r="C28" s="11" t="str">
        <f t="shared" si="1"/>
        <v>Feb</v>
      </c>
      <c r="D28" s="17">
        <f t="shared" si="2"/>
        <v>2023</v>
      </c>
      <c r="E28" s="134"/>
      <c r="G28" s="10"/>
      <c r="H28" s="10"/>
      <c r="I28" s="10"/>
      <c r="N28" s="10"/>
      <c r="O28" s="10"/>
      <c r="P28" s="10"/>
      <c r="Q28" s="10"/>
      <c r="R28" s="10"/>
      <c r="S28" s="10"/>
      <c r="T28" s="10"/>
      <c r="U28" s="10"/>
      <c r="V28" s="10"/>
      <c r="W28" s="10"/>
    </row>
    <row r="29" spans="1:23" ht="12.75" customHeight="1" x14ac:dyDescent="0.25">
      <c r="A29" s="7">
        <v>27</v>
      </c>
      <c r="B29" s="26">
        <f t="shared" si="4"/>
        <v>44986</v>
      </c>
      <c r="C29" s="11" t="str">
        <f t="shared" si="1"/>
        <v>Mar</v>
      </c>
      <c r="D29" s="17">
        <f t="shared" si="2"/>
        <v>2023</v>
      </c>
      <c r="E29" s="134"/>
      <c r="G29" s="10"/>
      <c r="H29" s="10"/>
      <c r="I29" s="10"/>
      <c r="N29" s="10"/>
      <c r="O29" s="10"/>
      <c r="P29" s="10"/>
      <c r="Q29" s="10"/>
      <c r="R29" s="10"/>
      <c r="S29" s="10"/>
      <c r="T29" s="10"/>
      <c r="U29" s="10"/>
      <c r="V29" s="10"/>
      <c r="W29" s="10"/>
    </row>
    <row r="30" spans="1:23" ht="12.75" customHeight="1" x14ac:dyDescent="0.25">
      <c r="A30" s="7">
        <v>28</v>
      </c>
      <c r="B30" s="26">
        <f t="shared" si="4"/>
        <v>45017</v>
      </c>
      <c r="C30" s="11" t="str">
        <f t="shared" si="1"/>
        <v>Apr</v>
      </c>
      <c r="D30" s="17">
        <f t="shared" si="2"/>
        <v>2023</v>
      </c>
      <c r="E30" s="134"/>
      <c r="G30" s="10"/>
      <c r="H30" s="10"/>
      <c r="I30" s="10"/>
      <c r="N30" s="10"/>
      <c r="O30" s="10"/>
      <c r="P30" s="10"/>
      <c r="Q30" s="10"/>
      <c r="R30" s="10"/>
      <c r="S30" s="10"/>
      <c r="T30" s="10"/>
      <c r="U30" s="10"/>
      <c r="V30" s="10"/>
      <c r="W30" s="10"/>
    </row>
    <row r="31" spans="1:23" ht="12.75" customHeight="1" x14ac:dyDescent="0.25">
      <c r="A31" s="7">
        <v>29</v>
      </c>
      <c r="B31" s="26">
        <f t="shared" si="4"/>
        <v>45047</v>
      </c>
      <c r="C31" s="11" t="str">
        <f t="shared" si="1"/>
        <v>May</v>
      </c>
      <c r="D31" s="17">
        <f t="shared" si="2"/>
        <v>2023</v>
      </c>
      <c r="E31" s="134"/>
      <c r="G31" s="10"/>
      <c r="H31" s="10"/>
      <c r="I31" s="10"/>
      <c r="N31" s="10"/>
      <c r="O31" s="10"/>
      <c r="P31" s="10"/>
      <c r="Q31" s="10"/>
      <c r="R31" s="10"/>
      <c r="S31" s="10"/>
      <c r="T31" s="10"/>
      <c r="U31" s="10"/>
      <c r="V31" s="10"/>
      <c r="W31" s="10"/>
    </row>
    <row r="32" spans="1:23" ht="12.75" customHeight="1" x14ac:dyDescent="0.25">
      <c r="A32" s="7">
        <v>30</v>
      </c>
      <c r="B32" s="26">
        <f t="shared" si="4"/>
        <v>45078</v>
      </c>
      <c r="C32" s="11" t="str">
        <f t="shared" si="1"/>
        <v>Jun</v>
      </c>
      <c r="D32" s="17">
        <f t="shared" si="2"/>
        <v>2023</v>
      </c>
      <c r="E32" s="134"/>
      <c r="G32" s="10"/>
      <c r="H32" s="10"/>
      <c r="I32" s="10"/>
      <c r="N32" s="10"/>
      <c r="O32" s="10"/>
      <c r="P32" s="10"/>
      <c r="Q32" s="10"/>
      <c r="R32" s="10"/>
      <c r="S32" s="10"/>
      <c r="T32" s="10"/>
      <c r="U32" s="10"/>
      <c r="V32" s="10"/>
      <c r="W32" s="10"/>
    </row>
    <row r="33" spans="1:23" ht="12.75" customHeight="1" x14ac:dyDescent="0.25">
      <c r="A33" s="7">
        <v>31</v>
      </c>
      <c r="B33" s="26">
        <f t="shared" si="4"/>
        <v>45108</v>
      </c>
      <c r="C33" s="11" t="str">
        <f t="shared" si="1"/>
        <v>Jul,</v>
      </c>
      <c r="D33" s="17">
        <f t="shared" si="2"/>
        <v>2023</v>
      </c>
      <c r="E33" s="134"/>
      <c r="G33" s="10"/>
      <c r="H33" s="10"/>
      <c r="I33" s="10"/>
      <c r="N33" s="10"/>
      <c r="O33" s="10"/>
      <c r="P33" s="10"/>
      <c r="Q33" s="10"/>
      <c r="R33" s="10"/>
      <c r="S33" s="10"/>
      <c r="T33" s="10"/>
      <c r="U33" s="10"/>
      <c r="V33" s="10"/>
      <c r="W33" s="10"/>
    </row>
    <row r="34" spans="1:23" ht="12.75" customHeight="1" x14ac:dyDescent="0.25">
      <c r="A34" s="7">
        <v>32</v>
      </c>
      <c r="B34" s="26">
        <f t="shared" si="4"/>
        <v>45139</v>
      </c>
      <c r="C34" s="11" t="str">
        <f t="shared" si="1"/>
        <v>Aug</v>
      </c>
      <c r="D34" s="17">
        <f t="shared" si="2"/>
        <v>2023</v>
      </c>
      <c r="E34" s="134"/>
      <c r="G34" s="10"/>
      <c r="H34" s="10"/>
      <c r="I34" s="10"/>
      <c r="N34" s="10"/>
      <c r="O34" s="10"/>
      <c r="P34" s="10"/>
      <c r="Q34" s="10"/>
      <c r="R34" s="10"/>
      <c r="S34" s="10"/>
      <c r="T34" s="10"/>
      <c r="U34" s="10"/>
      <c r="V34" s="10"/>
      <c r="W34" s="10"/>
    </row>
    <row r="35" spans="1:23" ht="12.75" customHeight="1" x14ac:dyDescent="0.25">
      <c r="A35" s="7">
        <v>33</v>
      </c>
      <c r="B35" s="26">
        <f t="shared" si="4"/>
        <v>45170</v>
      </c>
      <c r="C35" s="11" t="str">
        <f t="shared" si="1"/>
        <v>Sep</v>
      </c>
      <c r="D35" s="17">
        <f t="shared" si="2"/>
        <v>2023</v>
      </c>
      <c r="E35" s="134"/>
      <c r="G35" s="10"/>
      <c r="H35" s="10"/>
      <c r="I35" s="10"/>
      <c r="N35" s="10"/>
      <c r="O35" s="10"/>
      <c r="P35" s="10"/>
      <c r="Q35" s="10"/>
      <c r="R35" s="10"/>
      <c r="S35" s="10"/>
      <c r="T35" s="10"/>
      <c r="U35" s="10"/>
      <c r="V35" s="10"/>
      <c r="W35" s="10"/>
    </row>
    <row r="36" spans="1:23" ht="12.75" customHeight="1" x14ac:dyDescent="0.25">
      <c r="A36" s="7">
        <v>34</v>
      </c>
      <c r="B36" s="26">
        <f t="shared" si="4"/>
        <v>45200</v>
      </c>
      <c r="C36" s="11" t="str">
        <f t="shared" si="1"/>
        <v>Oct</v>
      </c>
      <c r="D36" s="17">
        <f t="shared" si="2"/>
        <v>2023</v>
      </c>
      <c r="E36" s="134"/>
      <c r="G36" s="10"/>
      <c r="H36" s="10"/>
      <c r="I36" s="10"/>
      <c r="N36" s="10"/>
      <c r="O36" s="10"/>
      <c r="P36" s="10"/>
      <c r="Q36" s="10"/>
      <c r="R36" s="10"/>
      <c r="S36" s="10"/>
      <c r="T36" s="10"/>
      <c r="U36" s="10"/>
      <c r="V36" s="10"/>
      <c r="W36" s="10"/>
    </row>
    <row r="37" spans="1:23" ht="12.75" customHeight="1" x14ac:dyDescent="0.25">
      <c r="A37" s="7">
        <v>35</v>
      </c>
      <c r="B37" s="26">
        <f t="shared" si="4"/>
        <v>45231</v>
      </c>
      <c r="C37" s="11" t="str">
        <f t="shared" si="1"/>
        <v>Nov</v>
      </c>
      <c r="D37" s="17">
        <f t="shared" si="2"/>
        <v>2023</v>
      </c>
      <c r="E37" s="134"/>
      <c r="G37" s="10"/>
      <c r="H37" s="10"/>
      <c r="I37" s="10"/>
      <c r="N37" s="10"/>
      <c r="O37" s="10"/>
      <c r="P37" s="10"/>
      <c r="Q37" s="10"/>
      <c r="R37" s="10"/>
      <c r="S37" s="10"/>
      <c r="T37" s="10"/>
      <c r="U37" s="10"/>
      <c r="V37" s="10"/>
      <c r="W37" s="10"/>
    </row>
    <row r="38" spans="1:23" ht="12.75" customHeight="1" x14ac:dyDescent="0.25">
      <c r="A38" s="7">
        <v>36</v>
      </c>
      <c r="B38" s="26">
        <f t="shared" si="4"/>
        <v>45261</v>
      </c>
      <c r="C38" s="11" t="str">
        <f t="shared" si="1"/>
        <v>Dec</v>
      </c>
      <c r="D38" s="17">
        <f t="shared" si="2"/>
        <v>2023</v>
      </c>
      <c r="E38" s="134"/>
      <c r="G38" s="10"/>
      <c r="H38" s="10"/>
      <c r="I38" s="10"/>
      <c r="N38" s="10"/>
      <c r="O38" s="10"/>
      <c r="P38" s="10"/>
      <c r="Q38" s="10"/>
      <c r="R38" s="10"/>
      <c r="S38" s="10"/>
      <c r="T38" s="10"/>
      <c r="U38" s="10"/>
      <c r="V38" s="10"/>
      <c r="W38" s="10"/>
    </row>
    <row r="39" spans="1:23" ht="12.75" customHeight="1" x14ac:dyDescent="0.25">
      <c r="A39" s="7">
        <v>37</v>
      </c>
      <c r="B39" s="26">
        <f t="shared" si="4"/>
        <v>45292</v>
      </c>
      <c r="C39" s="11" t="str">
        <f t="shared" si="1"/>
        <v>Jan</v>
      </c>
      <c r="D39" s="17">
        <f t="shared" si="2"/>
        <v>2024</v>
      </c>
      <c r="E39" s="134"/>
      <c r="G39" s="10"/>
      <c r="H39" s="10"/>
      <c r="I39" s="10"/>
      <c r="N39" s="10"/>
      <c r="O39" s="10"/>
      <c r="P39" s="10"/>
      <c r="Q39" s="10"/>
      <c r="R39" s="10"/>
      <c r="S39" s="10"/>
      <c r="T39" s="10"/>
      <c r="U39" s="10"/>
      <c r="V39" s="10"/>
      <c r="W39" s="10"/>
    </row>
    <row r="40" spans="1:23" ht="12.75" customHeight="1" x14ac:dyDescent="0.25">
      <c r="A40" s="7">
        <v>38</v>
      </c>
      <c r="B40" s="26">
        <f t="shared" si="4"/>
        <v>45323</v>
      </c>
      <c r="C40" s="11" t="str">
        <f t="shared" si="1"/>
        <v>Feb</v>
      </c>
      <c r="D40" s="17">
        <f t="shared" si="2"/>
        <v>2024</v>
      </c>
      <c r="E40" s="134"/>
      <c r="N40" s="10"/>
      <c r="O40" s="10"/>
      <c r="P40" s="10"/>
      <c r="Q40" s="10"/>
      <c r="R40" s="10"/>
      <c r="S40" s="10"/>
      <c r="T40" s="10"/>
      <c r="U40" s="10"/>
      <c r="V40" s="10"/>
      <c r="W40" s="10"/>
    </row>
    <row r="41" spans="1:23" ht="12.75" customHeight="1" x14ac:dyDescent="0.25">
      <c r="A41" s="7">
        <v>39</v>
      </c>
      <c r="B41" s="26">
        <f t="shared" si="4"/>
        <v>45352</v>
      </c>
      <c r="C41" s="11" t="str">
        <f t="shared" si="1"/>
        <v>Mar</v>
      </c>
      <c r="D41" s="17">
        <f t="shared" si="2"/>
        <v>2024</v>
      </c>
      <c r="E41" s="134"/>
      <c r="N41" s="10"/>
      <c r="O41" s="10"/>
      <c r="P41" s="10"/>
      <c r="Q41" s="10"/>
      <c r="R41" s="10"/>
      <c r="S41" s="10"/>
      <c r="T41" s="10"/>
      <c r="U41" s="10"/>
      <c r="V41" s="10"/>
      <c r="W41" s="10"/>
    </row>
    <row r="42" spans="1:23" ht="12.75" customHeight="1" x14ac:dyDescent="0.25">
      <c r="A42" s="7">
        <v>40</v>
      </c>
      <c r="B42" s="26">
        <f t="shared" si="4"/>
        <v>45383</v>
      </c>
      <c r="C42" s="11" t="str">
        <f t="shared" si="1"/>
        <v>Apr</v>
      </c>
      <c r="D42" s="17">
        <f t="shared" si="2"/>
        <v>2024</v>
      </c>
      <c r="E42" s="134"/>
      <c r="N42" s="10"/>
      <c r="O42" s="10"/>
      <c r="P42" s="10"/>
      <c r="Q42" s="10"/>
      <c r="R42" s="10"/>
      <c r="S42" s="10"/>
      <c r="T42" s="10"/>
      <c r="U42" s="10"/>
      <c r="V42" s="10"/>
      <c r="W42" s="10"/>
    </row>
    <row r="43" spans="1:23" ht="12.75" customHeight="1" x14ac:dyDescent="0.25">
      <c r="A43" s="7">
        <v>41</v>
      </c>
      <c r="B43" s="26">
        <f t="shared" si="4"/>
        <v>45413</v>
      </c>
      <c r="C43" s="11" t="str">
        <f t="shared" si="1"/>
        <v>May</v>
      </c>
      <c r="D43" s="17">
        <f t="shared" si="2"/>
        <v>2024</v>
      </c>
      <c r="E43" s="134"/>
      <c r="N43" s="10"/>
      <c r="O43" s="10"/>
      <c r="P43" s="10"/>
      <c r="Q43" s="10"/>
      <c r="R43" s="10"/>
      <c r="S43" s="10"/>
      <c r="T43" s="10"/>
      <c r="U43" s="10"/>
      <c r="V43" s="10"/>
      <c r="W43" s="10"/>
    </row>
    <row r="44" spans="1:23" ht="12.75" customHeight="1" x14ac:dyDescent="0.25">
      <c r="A44" s="7">
        <v>42</v>
      </c>
      <c r="B44" s="26">
        <f t="shared" si="4"/>
        <v>45444</v>
      </c>
      <c r="C44" s="11" t="str">
        <f t="shared" si="1"/>
        <v>Jun</v>
      </c>
      <c r="D44" s="17">
        <f t="shared" si="2"/>
        <v>2024</v>
      </c>
      <c r="E44" s="134"/>
    </row>
    <row r="45" spans="1:23" ht="12.75" customHeight="1" x14ac:dyDescent="0.25">
      <c r="A45" s="7">
        <v>43</v>
      </c>
      <c r="B45" s="26">
        <f t="shared" si="4"/>
        <v>45474</v>
      </c>
      <c r="C45" s="11" t="str">
        <f t="shared" si="1"/>
        <v>Jul,</v>
      </c>
      <c r="D45" s="17">
        <f t="shared" si="2"/>
        <v>2024</v>
      </c>
      <c r="E45" s="134"/>
    </row>
    <row r="46" spans="1:23" ht="12.75" customHeight="1" x14ac:dyDescent="0.25">
      <c r="A46" s="7">
        <v>44</v>
      </c>
      <c r="B46" s="26">
        <f t="shared" si="4"/>
        <v>45505</v>
      </c>
      <c r="C46" s="11" t="str">
        <f t="shared" si="1"/>
        <v>Aug</v>
      </c>
      <c r="D46" s="17">
        <f t="shared" si="2"/>
        <v>2024</v>
      </c>
      <c r="E46" s="134"/>
    </row>
    <row r="47" spans="1:23" ht="12.75" customHeight="1" x14ac:dyDescent="0.25">
      <c r="A47" s="7">
        <v>45</v>
      </c>
      <c r="B47" s="26">
        <f t="shared" si="4"/>
        <v>45536</v>
      </c>
      <c r="C47" s="11" t="str">
        <f t="shared" si="1"/>
        <v>Sep</v>
      </c>
      <c r="D47" s="17">
        <f t="shared" si="2"/>
        <v>2024</v>
      </c>
      <c r="E47" s="134"/>
    </row>
    <row r="48" spans="1:23" ht="12.75" customHeight="1" x14ac:dyDescent="0.25">
      <c r="A48" s="7">
        <v>46</v>
      </c>
      <c r="B48" s="26">
        <f t="shared" si="4"/>
        <v>45566</v>
      </c>
      <c r="C48" s="11" t="str">
        <f t="shared" si="1"/>
        <v>Oct</v>
      </c>
      <c r="D48" s="17">
        <f t="shared" si="2"/>
        <v>2024</v>
      </c>
      <c r="E48" s="134"/>
    </row>
    <row r="49" spans="1:5" ht="12.75" customHeight="1" x14ac:dyDescent="0.25">
      <c r="A49" s="7">
        <v>47</v>
      </c>
      <c r="B49" s="26">
        <f t="shared" si="4"/>
        <v>45597</v>
      </c>
      <c r="C49" s="11" t="str">
        <f t="shared" si="1"/>
        <v>Nov</v>
      </c>
      <c r="D49" s="17">
        <f t="shared" si="2"/>
        <v>2024</v>
      </c>
      <c r="E49" s="134"/>
    </row>
    <row r="50" spans="1:5" ht="12.75" customHeight="1" x14ac:dyDescent="0.25">
      <c r="A50" s="7">
        <v>48</v>
      </c>
      <c r="B50" s="26">
        <f t="shared" ref="B50" si="5">DATE(Start_Year-1,A50,1)</f>
        <v>45627</v>
      </c>
      <c r="C50" s="11" t="str">
        <f t="shared" si="1"/>
        <v>Dec</v>
      </c>
      <c r="D50" s="17">
        <f t="shared" si="2"/>
        <v>2024</v>
      </c>
      <c r="E50" s="134" t="s">
        <v>10</v>
      </c>
    </row>
    <row r="51" spans="1:5" ht="12.75" customHeight="1" x14ac:dyDescent="0.25"/>
    <row r="52" spans="1:5" ht="12.75" customHeight="1" x14ac:dyDescent="0.25"/>
    <row r="53" spans="1:5" ht="12.75" customHeight="1" x14ac:dyDescent="0.25"/>
    <row r="54" spans="1:5" ht="12.75" customHeight="1" x14ac:dyDescent="0.25"/>
    <row r="55" spans="1:5" ht="12.75" customHeight="1" x14ac:dyDescent="0.25"/>
    <row r="56" spans="1:5" ht="12.75" customHeight="1" x14ac:dyDescent="0.25"/>
    <row r="57" spans="1:5" ht="12.75" customHeight="1" x14ac:dyDescent="0.25"/>
    <row r="58" spans="1:5" ht="12.75" customHeight="1" x14ac:dyDescent="0.25"/>
    <row r="59" spans="1:5" ht="12.75" customHeight="1" x14ac:dyDescent="0.25"/>
    <row r="60" spans="1:5" ht="12.75" customHeight="1" x14ac:dyDescent="0.25"/>
    <row r="61" spans="1:5" ht="12.75" customHeight="1" x14ac:dyDescent="0.25"/>
    <row r="62" spans="1:5" ht="12.75" customHeight="1" x14ac:dyDescent="0.25"/>
    <row r="63" spans="1:5" ht="12.75" customHeight="1" x14ac:dyDescent="0.25"/>
  </sheetData>
  <mergeCells count="1">
    <mergeCell ref="N3:N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77FD1F651B04BA516C5D7FD7DE0E0" ma:contentTypeVersion="12" ma:contentTypeDescription="Create a new document." ma:contentTypeScope="" ma:versionID="d087da538e715dad224baa9710e279f0">
  <xsd:schema xmlns:xsd="http://www.w3.org/2001/XMLSchema" xmlns:xs="http://www.w3.org/2001/XMLSchema" xmlns:p="http://schemas.microsoft.com/office/2006/metadata/properties" xmlns:ns2="4b59add9-d06a-49ac-9b55-656851b72f1f" xmlns:ns3="d2c774cc-6baf-4150-b26c-27e20df80dce" targetNamespace="http://schemas.microsoft.com/office/2006/metadata/properties" ma:root="true" ma:fieldsID="549e0b00b5c875708a1e1fbb5043c2e2" ns2:_="" ns3:_="">
    <xsd:import namespace="4b59add9-d06a-49ac-9b55-656851b72f1f"/>
    <xsd:import namespace="d2c774cc-6baf-4150-b26c-27e20df80d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add9-d06a-49ac-9b55-656851b72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c774cc-6baf-4150-b26c-27e20df80d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72E6C1-2549-48C8-B977-BBC4CED07344}">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4b59add9-d06a-49ac-9b55-656851b72f1f"/>
    <ds:schemaRef ds:uri="http://purl.org/dc/terms/"/>
    <ds:schemaRef ds:uri="http://schemas.openxmlformats.org/package/2006/metadata/core-properties"/>
    <ds:schemaRef ds:uri="d2c774cc-6baf-4150-b26c-27e20df80dce"/>
    <ds:schemaRef ds:uri="http://www.w3.org/XML/1998/namespace"/>
  </ds:schemaRefs>
</ds:datastoreItem>
</file>

<file path=customXml/itemProps2.xml><?xml version="1.0" encoding="utf-8"?>
<ds:datastoreItem xmlns:ds="http://schemas.openxmlformats.org/officeDocument/2006/customXml" ds:itemID="{E64C355D-E587-46F7-A839-F1C3C25A0961}">
  <ds:schemaRefs>
    <ds:schemaRef ds:uri="http://schemas.microsoft.com/sharepoint/v3/contenttype/forms"/>
  </ds:schemaRefs>
</ds:datastoreItem>
</file>

<file path=customXml/itemProps3.xml><?xml version="1.0" encoding="utf-8"?>
<ds:datastoreItem xmlns:ds="http://schemas.openxmlformats.org/officeDocument/2006/customXml" ds:itemID="{D864BF77-3497-42F0-9268-07740BD59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add9-d06a-49ac-9b55-656851b72f1f"/>
    <ds:schemaRef ds:uri="d2c774cc-6baf-4150-b26c-27e20df80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General Instructions</vt:lpstr>
      <vt:lpstr>General Inputs</vt:lpstr>
      <vt:lpstr>Outputs</vt:lpstr>
      <vt:lpstr>Elec Futures</vt:lpstr>
      <vt:lpstr>NG Futures</vt:lpstr>
      <vt:lpstr>Avoided AC</vt:lpstr>
      <vt:lpstr>Generation Capacity</vt:lpstr>
      <vt:lpstr>T&amp;D Capacity</vt:lpstr>
      <vt:lpstr>Adjustments</vt:lpstr>
      <vt:lpstr>BLS Input</vt:lpstr>
      <vt:lpstr>AEPS</vt:lpstr>
      <vt:lpstr>BLS_Esc_Rate</vt:lpstr>
      <vt:lpstr>EDC_NAME</vt:lpstr>
      <vt:lpstr>Elec_Off_Peak</vt:lpstr>
      <vt:lpstr>Elec_On_Peak</vt:lpstr>
      <vt:lpstr>ELEC_Zone_Adjust</vt:lpstr>
      <vt:lpstr>Gas_EIA</vt:lpstr>
      <vt:lpstr>HR_High_Plant</vt:lpstr>
      <vt:lpstr>HR_Low_Plant</vt:lpstr>
      <vt:lpstr>Inflation</vt:lpstr>
      <vt:lpstr>NG_Load_Shape</vt:lpstr>
      <vt:lpstr>NG_Zone_Adjust</vt:lpstr>
      <vt:lpstr>Seasons</vt:lpstr>
      <vt:lpstr>Spark_Spread_Off</vt:lpstr>
      <vt:lpstr>Spark_Spread_On</vt:lpstr>
      <vt:lpstr>Start_Year</vt:lpstr>
      <vt:lpstr>Start_Year_PY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B</dc:creator>
  <cp:lastModifiedBy>Edinger, David</cp:lastModifiedBy>
  <dcterms:created xsi:type="dcterms:W3CDTF">2019-05-02T17:45:19Z</dcterms:created>
  <dcterms:modified xsi:type="dcterms:W3CDTF">2019-08-12T17:12:04Z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0x0101009C477FD1F651B04BA516C5D7FD7DE0E0</vt:lpwstr>
  </property>
  <property fmtid="{D5CDD505-2E9C-101B-9397-08002B2CF9AE}" pid="3" name="{A44787D4-0540-4523-9961-78E4036D8C6D}">
    <vt:lpwstr>{0037B4D8-951E-4AA4-809A-DD9CC321F239}</vt:lpwstr>
  </property>
</Properties>
</file>