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alleonard_pa_gov/Documents/Desktop/"/>
    </mc:Choice>
  </mc:AlternateContent>
  <xr:revisionPtr revIDLastSave="0" documentId="8_{7CBFA9CF-B31C-4D1C-9C80-650E9E5F37B3}" xr6:coauthVersionLast="47" xr6:coauthVersionMax="47" xr10:uidLastSave="{00000000-0000-0000-0000-000000000000}"/>
  <bookViews>
    <workbookView xWindow="-23148" yWindow="-108" windowWidth="23256" windowHeight="12576" tabRatio="785" firstSheet="5" activeTab="5" xr2:uid="{00000000-000D-0000-FFFF-FFFF00000000}"/>
  </bookViews>
  <sheets>
    <sheet name="Overall" sheetId="25" r:id="rId1"/>
    <sheet name="Land and Right-of-Ways" sheetId="30" r:id="rId2"/>
    <sheet name="PS Structures and Improvements" sheetId="14" r:id="rId3"/>
    <sheet name="Treatment" sheetId="23" r:id="rId4"/>
    <sheet name="PS Power Generation Equipment" sheetId="28" r:id="rId5"/>
    <sheet name="PS Power Protection and Control" sheetId="27" r:id="rId6"/>
    <sheet name="Pressure" sheetId="20" r:id="rId7"/>
    <sheet name="Force Main" sheetId="13" r:id="rId8"/>
    <sheet name="Gravity " sheetId="10" r:id="rId9"/>
    <sheet name="Services Laterals" sheetId="18" r:id="rId10"/>
    <sheet name="Flow Meters" sheetId="15" r:id="rId11"/>
    <sheet name="PS Pumping Equipment" sheetId="29" r:id="rId12"/>
  </sheets>
  <definedNames>
    <definedName name="_xlnm.Print_Area" localSheetId="10">'Flow Meters'!$B$2:$K$20</definedName>
    <definedName name="_xlnm.Print_Area" localSheetId="7">'Force Main'!$B$2:$N$37</definedName>
    <definedName name="_xlnm.Print_Area" localSheetId="8">'Gravity '!$B$2:$P$233</definedName>
    <definedName name="_xlnm.Print_Area" localSheetId="1">'Land and Right-of-Ways'!$B$2:$I$28</definedName>
    <definedName name="_xlnm.Print_Area" localSheetId="0">Overall!$B$2:$E$29</definedName>
    <definedName name="_xlnm.Print_Area" localSheetId="6">Pressure!$B$2:$P$18</definedName>
    <definedName name="_xlnm.Print_Area" localSheetId="4">'PS Power Generation Equipment'!$B$2:$L$69</definedName>
    <definedName name="_xlnm.Print_Area" localSheetId="5">'PS Power Protection and Control'!$B$2:$L$125</definedName>
    <definedName name="_xlnm.Print_Area" localSheetId="11">'PS Pumping Equipment'!$B$2:$L$88</definedName>
    <definedName name="_xlnm.Print_Area" localSheetId="2">'PS Structures and Improvements'!$B$2:$L$250</definedName>
    <definedName name="_xlnm.Print_Area" localSheetId="9">'Services Laterals'!$B$2:$K$140</definedName>
    <definedName name="_xlnm.Print_Area" localSheetId="3">Treatment!$B$2:$F$27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8" i="10" l="1"/>
  <c r="M198" i="10" s="1"/>
  <c r="P198" i="10" s="1"/>
  <c r="K199" i="10"/>
  <c r="M199" i="10" s="1"/>
  <c r="P199" i="10" s="1"/>
  <c r="G18" i="10"/>
  <c r="E203" i="10"/>
  <c r="E202" i="10"/>
  <c r="M13" i="20"/>
  <c r="P13" i="20" s="1"/>
  <c r="E12" i="20"/>
  <c r="M12" i="20" s="1"/>
  <c r="P12" i="20" s="1"/>
  <c r="P208" i="10" l="1"/>
  <c r="I94" i="27"/>
  <c r="L94" i="27" s="1"/>
  <c r="I179" i="14"/>
  <c r="I180" i="14"/>
  <c r="L180" i="14" s="1"/>
  <c r="I187" i="14"/>
  <c r="L187" i="14" s="1"/>
  <c r="B4" i="30"/>
  <c r="I18" i="30"/>
  <c r="I21" i="30"/>
  <c r="L179" i="14" l="1"/>
  <c r="I28" i="30"/>
  <c r="D13" i="25" s="1"/>
  <c r="D14" i="25" s="1"/>
  <c r="I119" i="27"/>
  <c r="L119" i="27" s="1"/>
  <c r="I48" i="29"/>
  <c r="L48" i="29" s="1"/>
  <c r="L105" i="14"/>
  <c r="I245" i="14"/>
  <c r="L245" i="14" s="1"/>
  <c r="I244" i="14"/>
  <c r="L244" i="14" s="1"/>
  <c r="I243" i="14"/>
  <c r="L243" i="14" s="1"/>
  <c r="I242" i="14"/>
  <c r="L242" i="14" s="1"/>
  <c r="I223" i="14"/>
  <c r="L223" i="14" s="1"/>
  <c r="I222" i="14"/>
  <c r="L222" i="14" s="1"/>
  <c r="I206" i="14"/>
  <c r="L206" i="14" s="1"/>
  <c r="I205" i="14"/>
  <c r="L205" i="14" s="1"/>
  <c r="I204" i="14"/>
  <c r="L204" i="14" s="1"/>
  <c r="I203" i="14"/>
  <c r="L203" i="14" s="1"/>
  <c r="I175" i="14"/>
  <c r="L175" i="14" s="1"/>
  <c r="I174" i="14"/>
  <c r="L174" i="14" s="1"/>
  <c r="I157" i="14"/>
  <c r="L157" i="14" s="1"/>
  <c r="I158" i="14"/>
  <c r="L158" i="14" s="1"/>
  <c r="I141" i="14"/>
  <c r="L141" i="14" s="1"/>
  <c r="I140" i="14"/>
  <c r="L140" i="14" s="1"/>
  <c r="I139" i="14"/>
  <c r="L139" i="14" s="1"/>
  <c r="I138" i="14"/>
  <c r="L138" i="14" s="1"/>
  <c r="I122" i="14"/>
  <c r="L122" i="14" s="1"/>
  <c r="I121" i="14"/>
  <c r="L121" i="14" s="1"/>
  <c r="I120" i="14"/>
  <c r="L120" i="14" s="1"/>
  <c r="I102" i="14"/>
  <c r="L102" i="14" s="1"/>
  <c r="I101" i="14"/>
  <c r="L101" i="14" s="1"/>
  <c r="I100" i="14"/>
  <c r="L100" i="14" s="1"/>
  <c r="I99" i="14"/>
  <c r="L99" i="14" s="1"/>
  <c r="I83" i="14"/>
  <c r="L83" i="14" s="1"/>
  <c r="I82" i="14"/>
  <c r="L82" i="14" s="1"/>
  <c r="I81" i="14"/>
  <c r="L81" i="14" s="1"/>
  <c r="I80" i="14"/>
  <c r="L80" i="14" s="1"/>
  <c r="I79" i="14"/>
  <c r="L79" i="14" s="1"/>
  <c r="I60" i="14"/>
  <c r="L60" i="14" s="1"/>
  <c r="I63" i="14"/>
  <c r="L63" i="14" s="1"/>
  <c r="I62" i="14"/>
  <c r="L62" i="14" s="1"/>
  <c r="I61" i="14"/>
  <c r="L61" i="14" s="1"/>
  <c r="I59" i="14"/>
  <c r="L59" i="14" s="1"/>
  <c r="I43" i="14"/>
  <c r="L43" i="14" s="1"/>
  <c r="I42" i="14"/>
  <c r="L42" i="14" s="1"/>
  <c r="I41" i="14"/>
  <c r="L41" i="14" s="1"/>
  <c r="I25" i="14"/>
  <c r="L25" i="14" s="1"/>
  <c r="I24" i="14"/>
  <c r="L24" i="14" s="1"/>
  <c r="I201" i="14" l="1"/>
  <c r="G13" i="10"/>
  <c r="G14" i="10"/>
  <c r="G15" i="10"/>
  <c r="G16" i="10"/>
  <c r="G17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10" i="10"/>
  <c r="G11" i="10"/>
  <c r="G12" i="10"/>
  <c r="I82" i="29"/>
  <c r="L82" i="29" s="1"/>
  <c r="I75" i="29"/>
  <c r="I71" i="29"/>
  <c r="L71" i="29" s="1"/>
  <c r="I70" i="29"/>
  <c r="I65" i="29"/>
  <c r="L65" i="29" s="1"/>
  <c r="I64" i="29"/>
  <c r="L64" i="29" s="1"/>
  <c r="I31" i="29"/>
  <c r="L31" i="29" s="1"/>
  <c r="I25" i="29"/>
  <c r="L25" i="29" s="1"/>
  <c r="I81" i="29"/>
  <c r="I77" i="29"/>
  <c r="L77" i="29" s="1"/>
  <c r="I76" i="29"/>
  <c r="L76" i="29" s="1"/>
  <c r="I66" i="29"/>
  <c r="L66" i="29" s="1"/>
  <c r="I60" i="29"/>
  <c r="L60" i="29" s="1"/>
  <c r="I59" i="29"/>
  <c r="L59" i="29" s="1"/>
  <c r="I58" i="29"/>
  <c r="I54" i="29"/>
  <c r="L54" i="29" s="1"/>
  <c r="I53" i="29"/>
  <c r="L53" i="29" s="1"/>
  <c r="I52" i="29"/>
  <c r="I47" i="29"/>
  <c r="I43" i="29"/>
  <c r="L43" i="29" s="1"/>
  <c r="I42" i="29"/>
  <c r="I36" i="29"/>
  <c r="L36" i="29" s="1"/>
  <c r="I35" i="29"/>
  <c r="I30" i="29"/>
  <c r="L30" i="29" s="1"/>
  <c r="I29" i="29"/>
  <c r="I24" i="29"/>
  <c r="L24" i="29" s="1"/>
  <c r="I23" i="29"/>
  <c r="I19" i="29"/>
  <c r="L19" i="29" s="1"/>
  <c r="I18" i="29"/>
  <c r="I14" i="29"/>
  <c r="L14" i="29" s="1"/>
  <c r="I13" i="29"/>
  <c r="L13" i="29" s="1"/>
  <c r="I12" i="29"/>
  <c r="B4" i="29"/>
  <c r="I63" i="28"/>
  <c r="I59" i="28"/>
  <c r="I55" i="28"/>
  <c r="I51" i="28"/>
  <c r="I47" i="28"/>
  <c r="I43" i="28"/>
  <c r="I39" i="28"/>
  <c r="I35" i="28"/>
  <c r="I28" i="28"/>
  <c r="I24" i="28"/>
  <c r="I20" i="28"/>
  <c r="I16" i="28"/>
  <c r="I12" i="28"/>
  <c r="B4" i="28"/>
  <c r="I12" i="27"/>
  <c r="I13" i="27"/>
  <c r="L13" i="27" s="1"/>
  <c r="I14" i="27"/>
  <c r="L14" i="27" s="1"/>
  <c r="I15" i="27"/>
  <c r="L15" i="27" s="1"/>
  <c r="I16" i="27"/>
  <c r="L16" i="27" s="1"/>
  <c r="I17" i="27"/>
  <c r="L17" i="27" s="1"/>
  <c r="I118" i="27"/>
  <c r="L118" i="27" s="1"/>
  <c r="I117" i="27"/>
  <c r="L117" i="27" s="1"/>
  <c r="I116" i="27"/>
  <c r="L116" i="27" s="1"/>
  <c r="I115" i="27"/>
  <c r="L115" i="27" s="1"/>
  <c r="I114" i="27"/>
  <c r="I110" i="27"/>
  <c r="L110" i="27" s="1"/>
  <c r="I109" i="27"/>
  <c r="L109" i="27" s="1"/>
  <c r="I108" i="27"/>
  <c r="L108" i="27" s="1"/>
  <c r="I107" i="27"/>
  <c r="L107" i="27" s="1"/>
  <c r="I106" i="27"/>
  <c r="I102" i="27"/>
  <c r="L102" i="27" s="1"/>
  <c r="I101" i="27"/>
  <c r="L101" i="27" s="1"/>
  <c r="I100" i="27"/>
  <c r="L100" i="27" s="1"/>
  <c r="I99" i="27"/>
  <c r="L99" i="27" s="1"/>
  <c r="I98" i="27"/>
  <c r="I93" i="27"/>
  <c r="L93" i="27" s="1"/>
  <c r="I92" i="27"/>
  <c r="L92" i="27" s="1"/>
  <c r="I91" i="27"/>
  <c r="L91" i="27" s="1"/>
  <c r="I90" i="27"/>
  <c r="L90" i="27" s="1"/>
  <c r="I89" i="27"/>
  <c r="I85" i="27"/>
  <c r="L85" i="27" s="1"/>
  <c r="I84" i="27"/>
  <c r="L84" i="27" s="1"/>
  <c r="I83" i="27"/>
  <c r="L83" i="27" s="1"/>
  <c r="I82" i="27"/>
  <c r="L82" i="27" s="1"/>
  <c r="I81" i="27"/>
  <c r="L81" i="27" s="1"/>
  <c r="I80" i="27"/>
  <c r="I76" i="27"/>
  <c r="L76" i="27" s="1"/>
  <c r="I75" i="27"/>
  <c r="L75" i="27" s="1"/>
  <c r="I74" i="27"/>
  <c r="L74" i="27" s="1"/>
  <c r="I73" i="27"/>
  <c r="L73" i="27" s="1"/>
  <c r="I72" i="27"/>
  <c r="L72" i="27" s="1"/>
  <c r="I71" i="27"/>
  <c r="I67" i="27"/>
  <c r="L67" i="27" s="1"/>
  <c r="I66" i="27"/>
  <c r="L66" i="27" s="1"/>
  <c r="I65" i="27"/>
  <c r="L65" i="27" s="1"/>
  <c r="I64" i="27"/>
  <c r="L64" i="27" s="1"/>
  <c r="I63" i="27"/>
  <c r="I68" i="27" s="1"/>
  <c r="I59" i="27"/>
  <c r="L59" i="27" s="1"/>
  <c r="I58" i="27"/>
  <c r="L58" i="27" s="1"/>
  <c r="I57" i="27"/>
  <c r="L57" i="27" s="1"/>
  <c r="I56" i="27"/>
  <c r="L56" i="27" s="1"/>
  <c r="I55" i="27"/>
  <c r="I60" i="27" s="1"/>
  <c r="I49" i="27"/>
  <c r="L49" i="27" s="1"/>
  <c r="I48" i="27"/>
  <c r="L48" i="27" s="1"/>
  <c r="I47" i="27"/>
  <c r="L47" i="27" s="1"/>
  <c r="I46" i="27"/>
  <c r="L46" i="27" s="1"/>
  <c r="I45" i="27"/>
  <c r="I50" i="27" s="1"/>
  <c r="I41" i="27"/>
  <c r="L41" i="27" s="1"/>
  <c r="I40" i="27"/>
  <c r="L40" i="27" s="1"/>
  <c r="I39" i="27"/>
  <c r="L39" i="27" s="1"/>
  <c r="I38" i="27"/>
  <c r="L38" i="27" s="1"/>
  <c r="I37" i="27"/>
  <c r="I42" i="27" s="1"/>
  <c r="I33" i="27"/>
  <c r="L33" i="27" s="1"/>
  <c r="I32" i="27"/>
  <c r="L32" i="27" s="1"/>
  <c r="I31" i="27"/>
  <c r="L31" i="27" s="1"/>
  <c r="I30" i="27"/>
  <c r="L30" i="27" s="1"/>
  <c r="I29" i="27"/>
  <c r="I34" i="27" s="1"/>
  <c r="I25" i="27"/>
  <c r="L25" i="27" s="1"/>
  <c r="I24" i="27"/>
  <c r="L24" i="27" s="1"/>
  <c r="I23" i="27"/>
  <c r="L23" i="27" s="1"/>
  <c r="I22" i="27"/>
  <c r="L22" i="27" s="1"/>
  <c r="I21" i="27"/>
  <c r="I26" i="27" s="1"/>
  <c r="B4" i="27"/>
  <c r="L240" i="14"/>
  <c r="L239" i="14"/>
  <c r="L238" i="14"/>
  <c r="I236" i="14"/>
  <c r="L236" i="14" s="1"/>
  <c r="I235" i="14"/>
  <c r="L235" i="14" s="1"/>
  <c r="I234" i="14"/>
  <c r="L234" i="14" s="1"/>
  <c r="I233" i="14"/>
  <c r="L233" i="14" s="1"/>
  <c r="I232" i="14"/>
  <c r="L232" i="14" s="1"/>
  <c r="I231" i="14"/>
  <c r="I220" i="14"/>
  <c r="L220" i="14" s="1"/>
  <c r="I219" i="14"/>
  <c r="L219" i="14" s="1"/>
  <c r="I218" i="14"/>
  <c r="L218" i="14" s="1"/>
  <c r="I216" i="14"/>
  <c r="L216" i="14" s="1"/>
  <c r="I215" i="14"/>
  <c r="L215" i="14" s="1"/>
  <c r="I214" i="14"/>
  <c r="L214" i="14" s="1"/>
  <c r="I213" i="14"/>
  <c r="L213" i="14" s="1"/>
  <c r="I212" i="14"/>
  <c r="L212" i="14" s="1"/>
  <c r="I211" i="14"/>
  <c r="L201" i="14"/>
  <c r="I200" i="14"/>
  <c r="L200" i="14" s="1"/>
  <c r="I199" i="14"/>
  <c r="L199" i="14" s="1"/>
  <c r="I197" i="14"/>
  <c r="L197" i="14" s="1"/>
  <c r="I196" i="14"/>
  <c r="L196" i="14" s="1"/>
  <c r="I195" i="14"/>
  <c r="L195" i="14" s="1"/>
  <c r="I194" i="14"/>
  <c r="L194" i="14" s="1"/>
  <c r="I193" i="14"/>
  <c r="L193" i="14" s="1"/>
  <c r="I192" i="14"/>
  <c r="I186" i="14"/>
  <c r="L186" i="14" s="1"/>
  <c r="I185" i="14"/>
  <c r="L185" i="14" s="1"/>
  <c r="I184" i="14"/>
  <c r="L184" i="14" s="1"/>
  <c r="I183" i="14"/>
  <c r="L183" i="14" s="1"/>
  <c r="I182" i="14"/>
  <c r="L182" i="14" s="1"/>
  <c r="I181" i="14"/>
  <c r="I172" i="14"/>
  <c r="L172" i="14" s="1"/>
  <c r="I171" i="14"/>
  <c r="L171" i="14" s="1"/>
  <c r="I170" i="14"/>
  <c r="L170" i="14" s="1"/>
  <c r="I169" i="14"/>
  <c r="L169" i="14" s="1"/>
  <c r="I168" i="14"/>
  <c r="L168" i="14" s="1"/>
  <c r="I166" i="14"/>
  <c r="L166" i="14" s="1"/>
  <c r="I165" i="14"/>
  <c r="L165" i="14" s="1"/>
  <c r="I164" i="14"/>
  <c r="L164" i="14" s="1"/>
  <c r="I163" i="14"/>
  <c r="I154" i="14"/>
  <c r="L154" i="14" s="1"/>
  <c r="I153" i="14"/>
  <c r="L153" i="14" s="1"/>
  <c r="I155" i="14"/>
  <c r="L155" i="14" s="1"/>
  <c r="I152" i="14"/>
  <c r="L152" i="14" s="1"/>
  <c r="I151" i="14"/>
  <c r="L151" i="14" s="1"/>
  <c r="I149" i="14"/>
  <c r="L149" i="14" s="1"/>
  <c r="I148" i="14"/>
  <c r="L148" i="14" s="1"/>
  <c r="I147" i="14"/>
  <c r="L147" i="14" s="1"/>
  <c r="I146" i="14"/>
  <c r="I136" i="14"/>
  <c r="L136" i="14" s="1"/>
  <c r="I135" i="14"/>
  <c r="L135" i="14" s="1"/>
  <c r="I134" i="14"/>
  <c r="L134" i="14" s="1"/>
  <c r="I132" i="14"/>
  <c r="L132" i="14" s="1"/>
  <c r="I131" i="14"/>
  <c r="L131" i="14" s="1"/>
  <c r="I130" i="14"/>
  <c r="L130" i="14" s="1"/>
  <c r="I129" i="14"/>
  <c r="L129" i="14" s="1"/>
  <c r="I128" i="14"/>
  <c r="L128" i="14" s="1"/>
  <c r="I127" i="14"/>
  <c r="I118" i="14"/>
  <c r="L118" i="14" s="1"/>
  <c r="I117" i="14"/>
  <c r="L117" i="14" s="1"/>
  <c r="I116" i="14"/>
  <c r="L116" i="14" s="1"/>
  <c r="I114" i="14"/>
  <c r="L114" i="14" s="1"/>
  <c r="I113" i="14"/>
  <c r="L113" i="14" s="1"/>
  <c r="I112" i="14"/>
  <c r="L112" i="14" s="1"/>
  <c r="I111" i="14"/>
  <c r="L111" i="14" s="1"/>
  <c r="I110" i="14"/>
  <c r="L110" i="14" s="1"/>
  <c r="I109" i="14"/>
  <c r="I97" i="14"/>
  <c r="L97" i="14" s="1"/>
  <c r="I96" i="14"/>
  <c r="L96" i="14" s="1"/>
  <c r="I95" i="14"/>
  <c r="L95" i="14" s="1"/>
  <c r="I93" i="14"/>
  <c r="L93" i="14" s="1"/>
  <c r="I92" i="14"/>
  <c r="L92" i="14" s="1"/>
  <c r="I91" i="14"/>
  <c r="L91" i="14" s="1"/>
  <c r="I90" i="14"/>
  <c r="L90" i="14" s="1"/>
  <c r="I89" i="14"/>
  <c r="L89" i="14" s="1"/>
  <c r="I88" i="14"/>
  <c r="I77" i="14"/>
  <c r="L77" i="14" s="1"/>
  <c r="I76" i="14"/>
  <c r="L76" i="14" s="1"/>
  <c r="I75" i="14"/>
  <c r="L75" i="14" s="1"/>
  <c r="I73" i="14"/>
  <c r="L73" i="14" s="1"/>
  <c r="I72" i="14"/>
  <c r="L72" i="14" s="1"/>
  <c r="I71" i="14"/>
  <c r="L71" i="14" s="1"/>
  <c r="I70" i="14"/>
  <c r="L70" i="14" s="1"/>
  <c r="I69" i="14"/>
  <c r="L69" i="14" s="1"/>
  <c r="I68" i="14"/>
  <c r="I53" i="14"/>
  <c r="L53" i="14" s="1"/>
  <c r="I52" i="14"/>
  <c r="I51" i="14"/>
  <c r="L51" i="14" s="1"/>
  <c r="I50" i="14"/>
  <c r="L50" i="14" s="1"/>
  <c r="I49" i="14"/>
  <c r="L49" i="14" s="1"/>
  <c r="I48" i="14"/>
  <c r="I57" i="14"/>
  <c r="L57" i="14" s="1"/>
  <c r="I56" i="14"/>
  <c r="L56" i="14" s="1"/>
  <c r="I55" i="14"/>
  <c r="L55" i="14" s="1"/>
  <c r="I33" i="14"/>
  <c r="L33" i="14" s="1"/>
  <c r="I32" i="14"/>
  <c r="L32" i="14" s="1"/>
  <c r="I39" i="14"/>
  <c r="L39" i="14" s="1"/>
  <c r="I38" i="14"/>
  <c r="L38" i="14" s="1"/>
  <c r="I37" i="14"/>
  <c r="L37" i="14" s="1"/>
  <c r="I35" i="14"/>
  <c r="L35" i="14" s="1"/>
  <c r="I34" i="14"/>
  <c r="L34" i="14" s="1"/>
  <c r="I31" i="14"/>
  <c r="L31" i="14" s="1"/>
  <c r="I30" i="14"/>
  <c r="I14" i="14"/>
  <c r="L14" i="14" s="1"/>
  <c r="I15" i="14"/>
  <c r="L15" i="14" s="1"/>
  <c r="I16" i="14"/>
  <c r="L16" i="14" s="1"/>
  <c r="I18" i="14"/>
  <c r="L18" i="14" s="1"/>
  <c r="I19" i="14"/>
  <c r="L19" i="14" s="1"/>
  <c r="I20" i="14"/>
  <c r="L20" i="14" s="1"/>
  <c r="I21" i="14"/>
  <c r="L21" i="14" s="1"/>
  <c r="I22" i="14"/>
  <c r="L22" i="14" s="1"/>
  <c r="I13" i="14"/>
  <c r="K11" i="10"/>
  <c r="K12" i="10"/>
  <c r="K13" i="10"/>
  <c r="K14" i="10"/>
  <c r="K15" i="10"/>
  <c r="K16" i="10"/>
  <c r="K17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2" i="10"/>
  <c r="K113" i="10"/>
  <c r="K114" i="10"/>
  <c r="K115" i="10"/>
  <c r="K116" i="10"/>
  <c r="K117" i="10"/>
  <c r="K118" i="10"/>
  <c r="K119" i="10"/>
  <c r="K120" i="10"/>
  <c r="K121" i="10"/>
  <c r="K122" i="10"/>
  <c r="K123" i="10"/>
  <c r="K124" i="10"/>
  <c r="K125" i="10"/>
  <c r="K126" i="10"/>
  <c r="K127" i="10"/>
  <c r="K128" i="10"/>
  <c r="K129" i="10"/>
  <c r="K130" i="10"/>
  <c r="K131" i="10"/>
  <c r="K132" i="10"/>
  <c r="K133" i="10"/>
  <c r="K134" i="10"/>
  <c r="K135" i="10"/>
  <c r="K136" i="10"/>
  <c r="K137" i="10"/>
  <c r="K138" i="10"/>
  <c r="K139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K152" i="10"/>
  <c r="K153" i="10"/>
  <c r="K154" i="10"/>
  <c r="K155" i="10"/>
  <c r="K156" i="10"/>
  <c r="K157" i="10"/>
  <c r="K158" i="10"/>
  <c r="K159" i="10"/>
  <c r="K160" i="10"/>
  <c r="K161" i="10"/>
  <c r="K162" i="10"/>
  <c r="K163" i="10"/>
  <c r="K164" i="10"/>
  <c r="K165" i="10"/>
  <c r="K166" i="10"/>
  <c r="K167" i="10"/>
  <c r="K168" i="10"/>
  <c r="K169" i="10"/>
  <c r="K170" i="10"/>
  <c r="K171" i="10"/>
  <c r="K172" i="10"/>
  <c r="K173" i="10"/>
  <c r="K174" i="10"/>
  <c r="K175" i="10"/>
  <c r="K176" i="10"/>
  <c r="K177" i="10"/>
  <c r="K178" i="10"/>
  <c r="K179" i="10"/>
  <c r="K180" i="10"/>
  <c r="K183" i="10"/>
  <c r="K184" i="10"/>
  <c r="K185" i="10"/>
  <c r="K186" i="10"/>
  <c r="K187" i="10"/>
  <c r="K188" i="10"/>
  <c r="K189" i="10"/>
  <c r="K190" i="10"/>
  <c r="K191" i="10"/>
  <c r="K192" i="10"/>
  <c r="K193" i="10"/>
  <c r="K194" i="10"/>
  <c r="K196" i="10"/>
  <c r="K197" i="10"/>
  <c r="K200" i="10"/>
  <c r="K201" i="10"/>
  <c r="K202" i="10"/>
  <c r="K203" i="10"/>
  <c r="K204" i="10"/>
  <c r="K205" i="10"/>
  <c r="K206" i="10"/>
  <c r="K207" i="10"/>
  <c r="K10" i="10"/>
  <c r="L181" i="14" l="1"/>
  <c r="L188" i="14" s="1"/>
  <c r="I188" i="14"/>
  <c r="L89" i="27"/>
  <c r="L95" i="27" s="1"/>
  <c r="I95" i="27"/>
  <c r="I18" i="27"/>
  <c r="I120" i="27"/>
  <c r="L13" i="14"/>
  <c r="L26" i="14" s="1"/>
  <c r="I26" i="14"/>
  <c r="L30" i="14"/>
  <c r="L44" i="14" s="1"/>
  <c r="I44" i="14"/>
  <c r="L67" i="29"/>
  <c r="I67" i="29"/>
  <c r="L35" i="29"/>
  <c r="L37" i="29" s="1"/>
  <c r="I37" i="29"/>
  <c r="L23" i="29"/>
  <c r="L26" i="29" s="1"/>
  <c r="I26" i="29"/>
  <c r="L42" i="29"/>
  <c r="I44" i="29"/>
  <c r="L58" i="29"/>
  <c r="L61" i="29" s="1"/>
  <c r="I61" i="29"/>
  <c r="L81" i="29"/>
  <c r="L83" i="29" s="1"/>
  <c r="I83" i="29"/>
  <c r="L12" i="29"/>
  <c r="I15" i="29"/>
  <c r="L75" i="29"/>
  <c r="L78" i="29" s="1"/>
  <c r="I78" i="29"/>
  <c r="L18" i="29"/>
  <c r="L20" i="29" s="1"/>
  <c r="I20" i="29"/>
  <c r="L70" i="29"/>
  <c r="I72" i="29"/>
  <c r="L29" i="29"/>
  <c r="L32" i="29" s="1"/>
  <c r="I32" i="29"/>
  <c r="L47" i="29"/>
  <c r="L49" i="29" s="1"/>
  <c r="I49" i="29"/>
  <c r="L52" i="29"/>
  <c r="I55" i="29"/>
  <c r="L29" i="27"/>
  <c r="L34" i="27" s="1"/>
  <c r="L98" i="27"/>
  <c r="L103" i="27" s="1"/>
  <c r="I103" i="27"/>
  <c r="L21" i="27"/>
  <c r="L26" i="27" s="1"/>
  <c r="L71" i="27"/>
  <c r="I77" i="27"/>
  <c r="L80" i="27"/>
  <c r="I86" i="27"/>
  <c r="L63" i="27"/>
  <c r="L68" i="27" s="1"/>
  <c r="L12" i="27"/>
  <c r="L18" i="27" s="1"/>
  <c r="L55" i="27"/>
  <c r="L60" i="27" s="1"/>
  <c r="L45" i="27"/>
  <c r="L114" i="27"/>
  <c r="L120" i="27" s="1"/>
  <c r="L37" i="27"/>
  <c r="L106" i="27"/>
  <c r="I111" i="27"/>
  <c r="L24" i="28"/>
  <c r="L25" i="28" s="1"/>
  <c r="I25" i="28"/>
  <c r="L28" i="28"/>
  <c r="L29" i="28" s="1"/>
  <c r="I29" i="28"/>
  <c r="L55" i="28"/>
  <c r="L56" i="28" s="1"/>
  <c r="I56" i="28"/>
  <c r="L52" i="28"/>
  <c r="I52" i="28"/>
  <c r="L35" i="28"/>
  <c r="L36" i="28" s="1"/>
  <c r="I36" i="28"/>
  <c r="L59" i="28"/>
  <c r="L60" i="28" s="1"/>
  <c r="I60" i="28"/>
  <c r="L12" i="28"/>
  <c r="L13" i="28" s="1"/>
  <c r="I13" i="28"/>
  <c r="L39" i="28"/>
  <c r="L40" i="28" s="1"/>
  <c r="I40" i="28"/>
  <c r="L63" i="28"/>
  <c r="L64" i="28" s="1"/>
  <c r="I64" i="28"/>
  <c r="L16" i="28"/>
  <c r="L17" i="28" s="1"/>
  <c r="I17" i="28"/>
  <c r="L43" i="28"/>
  <c r="I44" i="28"/>
  <c r="L20" i="28"/>
  <c r="L21" i="28" s="1"/>
  <c r="I21" i="28"/>
  <c r="L47" i="28"/>
  <c r="L48" i="28" s="1"/>
  <c r="I48" i="28"/>
  <c r="L52" i="14"/>
  <c r="I64" i="14"/>
  <c r="L163" i="14"/>
  <c r="L176" i="14" s="1"/>
  <c r="I176" i="14"/>
  <c r="L231" i="14"/>
  <c r="L246" i="14" s="1"/>
  <c r="I246" i="14"/>
  <c r="L88" i="14"/>
  <c r="L103" i="14" s="1"/>
  <c r="I103" i="14"/>
  <c r="L127" i="14"/>
  <c r="L142" i="14" s="1"/>
  <c r="I142" i="14"/>
  <c r="L192" i="14"/>
  <c r="L207" i="14" s="1"/>
  <c r="I207" i="14"/>
  <c r="L68" i="14"/>
  <c r="L84" i="14" s="1"/>
  <c r="I84" i="14"/>
  <c r="L109" i="14"/>
  <c r="L123" i="14" s="1"/>
  <c r="I123" i="14"/>
  <c r="L146" i="14"/>
  <c r="L159" i="14" s="1"/>
  <c r="I159" i="14"/>
  <c r="L211" i="14"/>
  <c r="L227" i="14" s="1"/>
  <c r="I227" i="14"/>
  <c r="L48" i="14"/>
  <c r="L44" i="29"/>
  <c r="L15" i="29"/>
  <c r="L55" i="29"/>
  <c r="L72" i="29"/>
  <c r="L44" i="28"/>
  <c r="L42" i="27"/>
  <c r="L111" i="27"/>
  <c r="L77" i="27"/>
  <c r="L50" i="27"/>
  <c r="L86" i="27"/>
  <c r="B4" i="15"/>
  <c r="B4" i="18"/>
  <c r="B4" i="10"/>
  <c r="B4" i="13"/>
  <c r="B4" i="20"/>
  <c r="B4" i="23"/>
  <c r="B4" i="14"/>
  <c r="L66" i="28" l="1"/>
  <c r="L64" i="14"/>
  <c r="L85" i="29"/>
  <c r="D26" i="25" s="1"/>
  <c r="D19" i="25"/>
  <c r="L122" i="27"/>
  <c r="D20" i="25" s="1"/>
  <c r="M212" i="10"/>
  <c r="P212" i="10" s="1"/>
  <c r="M213" i="10"/>
  <c r="M214" i="10"/>
  <c r="M215" i="10"/>
  <c r="M218" i="10"/>
  <c r="M219" i="10"/>
  <c r="M220" i="10"/>
  <c r="P220" i="10" s="1"/>
  <c r="M221" i="10"/>
  <c r="M223" i="10"/>
  <c r="M225" i="10"/>
  <c r="M226" i="10"/>
  <c r="P226" i="10" s="1"/>
  <c r="M227" i="10"/>
  <c r="M228" i="10"/>
  <c r="M229" i="10"/>
  <c r="M211" i="10"/>
  <c r="E222" i="10"/>
  <c r="M222" i="10" s="1"/>
  <c r="P222" i="10" s="1"/>
  <c r="E28" i="13"/>
  <c r="K28" i="13"/>
  <c r="N28" i="13" s="1"/>
  <c r="K25" i="13"/>
  <c r="N25" i="13" s="1"/>
  <c r="K23" i="13"/>
  <c r="N23" i="13" s="1"/>
  <c r="K21" i="13"/>
  <c r="N21" i="13" s="1"/>
  <c r="K15" i="13"/>
  <c r="N15" i="13" s="1"/>
  <c r="E13" i="13"/>
  <c r="K13" i="13"/>
  <c r="N13" i="13" s="1"/>
  <c r="K10" i="13"/>
  <c r="N10" i="13" s="1"/>
  <c r="E154" i="10"/>
  <c r="E139" i="10"/>
  <c r="E134" i="10"/>
  <c r="E114" i="10"/>
  <c r="E102" i="10"/>
  <c r="M102" i="10" s="1"/>
  <c r="P102" i="10" s="1"/>
  <c r="E98" i="10"/>
  <c r="E83" i="10"/>
  <c r="E72" i="10"/>
  <c r="E43" i="10"/>
  <c r="E16" i="10"/>
  <c r="P215" i="10"/>
  <c r="E224" i="10"/>
  <c r="M224" i="10" s="1"/>
  <c r="M204" i="10"/>
  <c r="P204" i="10" s="1"/>
  <c r="M202" i="10"/>
  <c r="P202" i="10" s="1"/>
  <c r="E200" i="10"/>
  <c r="M200" i="10"/>
  <c r="P200" i="10" s="1"/>
  <c r="M196" i="10"/>
  <c r="P196" i="10" s="1"/>
  <c r="M192" i="10"/>
  <c r="P192" i="10" s="1"/>
  <c r="E189" i="10"/>
  <c r="M190" i="10"/>
  <c r="P190" i="10" s="1"/>
  <c r="M183" i="10"/>
  <c r="P183" i="10" s="1"/>
  <c r="E179" i="10"/>
  <c r="M179" i="10"/>
  <c r="P179" i="10" s="1"/>
  <c r="M175" i="10"/>
  <c r="P175" i="10" s="1"/>
  <c r="E173" i="10"/>
  <c r="M173" i="10" s="1"/>
  <c r="P173" i="10" s="1"/>
  <c r="M170" i="10"/>
  <c r="P170" i="10" s="1"/>
  <c r="E167" i="10"/>
  <c r="M167" i="10" s="1"/>
  <c r="P167" i="10" s="1"/>
  <c r="E165" i="10"/>
  <c r="M165" i="10"/>
  <c r="P165" i="10" s="1"/>
  <c r="M166" i="10"/>
  <c r="P166" i="10" s="1"/>
  <c r="E163" i="10"/>
  <c r="M163" i="10" s="1"/>
  <c r="P163" i="10" s="1"/>
  <c r="E159" i="10"/>
  <c r="M160" i="10"/>
  <c r="P160" i="10" s="1"/>
  <c r="E157" i="10"/>
  <c r="M158" i="10"/>
  <c r="P158" i="10" s="1"/>
  <c r="M154" i="10"/>
  <c r="P154" i="10" s="1"/>
  <c r="M152" i="10"/>
  <c r="P152" i="10" s="1"/>
  <c r="E148" i="10"/>
  <c r="E147" i="10"/>
  <c r="E144" i="10"/>
  <c r="E142" i="10"/>
  <c r="M143" i="10"/>
  <c r="P143" i="10" s="1"/>
  <c r="E136" i="10"/>
  <c r="E132" i="10"/>
  <c r="E130" i="10"/>
  <c r="E129" i="10"/>
  <c r="E127" i="10"/>
  <c r="E126" i="10"/>
  <c r="E124" i="10"/>
  <c r="E123" i="10"/>
  <c r="E121" i="10"/>
  <c r="M117" i="10"/>
  <c r="P117" i="10" s="1"/>
  <c r="M113" i="10"/>
  <c r="P113" i="10" s="1"/>
  <c r="E110" i="10"/>
  <c r="E108" i="10"/>
  <c r="E106" i="10"/>
  <c r="E105" i="10"/>
  <c r="E104" i="10"/>
  <c r="M104" i="10" s="1"/>
  <c r="P104" i="10" s="1"/>
  <c r="E100" i="10"/>
  <c r="E95" i="10"/>
  <c r="M95" i="10" s="1"/>
  <c r="P95" i="10" s="1"/>
  <c r="E93" i="10"/>
  <c r="M93" i="10" s="1"/>
  <c r="P93" i="10" s="1"/>
  <c r="E88" i="10"/>
  <c r="E86" i="10"/>
  <c r="M81" i="10"/>
  <c r="P81" i="10" s="1"/>
  <c r="E79" i="10"/>
  <c r="E77" i="10"/>
  <c r="M77" i="10" s="1"/>
  <c r="P77" i="10" s="1"/>
  <c r="E75" i="10"/>
  <c r="M75" i="10" s="1"/>
  <c r="P75" i="10" s="1"/>
  <c r="E69" i="10"/>
  <c r="E67" i="10"/>
  <c r="M67" i="10" s="1"/>
  <c r="P67" i="10" s="1"/>
  <c r="E65" i="10"/>
  <c r="E64" i="10"/>
  <c r="E63" i="10"/>
  <c r="E62" i="10"/>
  <c r="E61" i="10"/>
  <c r="E58" i="10"/>
  <c r="E57" i="10"/>
  <c r="E55" i="10"/>
  <c r="E53" i="10"/>
  <c r="E51" i="10"/>
  <c r="M47" i="10"/>
  <c r="P47" i="10" s="1"/>
  <c r="E45" i="10"/>
  <c r="E39" i="10"/>
  <c r="E37" i="10"/>
  <c r="E35" i="10"/>
  <c r="M31" i="10"/>
  <c r="P31" i="10" s="1"/>
  <c r="E29" i="10"/>
  <c r="M25" i="10"/>
  <c r="P25" i="10" s="1"/>
  <c r="E21" i="10"/>
  <c r="E19" i="10"/>
  <c r="M17" i="10"/>
  <c r="P17" i="10" s="1"/>
  <c r="M15" i="10"/>
  <c r="P15" i="10" s="1"/>
  <c r="E12" i="10"/>
  <c r="M13" i="10"/>
  <c r="P13" i="10" s="1"/>
  <c r="E10" i="10"/>
  <c r="L248" i="14" l="1"/>
  <c r="D17" i="25" s="1"/>
  <c r="P224" i="10"/>
  <c r="M146" i="10"/>
  <c r="P146" i="10" s="1"/>
  <c r="M145" i="10"/>
  <c r="P145" i="10" s="1"/>
  <c r="M139" i="10"/>
  <c r="P139" i="10" s="1"/>
  <c r="M138" i="10"/>
  <c r="P138" i="10" s="1"/>
  <c r="M134" i="10"/>
  <c r="P134" i="10" s="1"/>
  <c r="M132" i="10"/>
  <c r="P132" i="10" s="1"/>
  <c r="M127" i="10"/>
  <c r="P127" i="10" s="1"/>
  <c r="M126" i="10"/>
  <c r="P126" i="10" s="1"/>
  <c r="M124" i="10"/>
  <c r="P124" i="10" s="1"/>
  <c r="M123" i="10"/>
  <c r="P123" i="10" s="1"/>
  <c r="M121" i="10"/>
  <c r="P121" i="10" s="1"/>
  <c r="M119" i="10"/>
  <c r="P119" i="10" s="1"/>
  <c r="M116" i="10"/>
  <c r="P116" i="10" s="1"/>
  <c r="M114" i="10"/>
  <c r="P114" i="10" s="1"/>
  <c r="M110" i="10"/>
  <c r="P110" i="10" s="1"/>
  <c r="M108" i="10"/>
  <c r="P108" i="10" s="1"/>
  <c r="M106" i="10"/>
  <c r="P106" i="10" s="1"/>
  <c r="M105" i="10"/>
  <c r="P105" i="10" s="1"/>
  <c r="M100" i="10"/>
  <c r="P100" i="10" s="1"/>
  <c r="M98" i="10"/>
  <c r="P98" i="10" s="1"/>
  <c r="M91" i="10"/>
  <c r="P91" i="10" s="1"/>
  <c r="M88" i="10"/>
  <c r="P88" i="10" s="1"/>
  <c r="M86" i="10"/>
  <c r="P86" i="10" s="1"/>
  <c r="M83" i="10"/>
  <c r="P83" i="10" s="1"/>
  <c r="M72" i="10"/>
  <c r="P72" i="10" s="1"/>
  <c r="M79" i="10"/>
  <c r="P79" i="10" s="1"/>
  <c r="M69" i="10"/>
  <c r="P69" i="10" s="1"/>
  <c r="M65" i="10"/>
  <c r="P65" i="10" s="1"/>
  <c r="M64" i="10"/>
  <c r="P64" i="10" s="1"/>
  <c r="M63" i="10"/>
  <c r="P63" i="10" s="1"/>
  <c r="M62" i="10"/>
  <c r="P62" i="10" s="1"/>
  <c r="M61" i="10"/>
  <c r="P61" i="10" s="1"/>
  <c r="M58" i="10"/>
  <c r="P58" i="10" s="1"/>
  <c r="M55" i="10"/>
  <c r="P55" i="10" s="1"/>
  <c r="M51" i="10"/>
  <c r="P51" i="10" s="1"/>
  <c r="M45" i="10"/>
  <c r="P45" i="10" s="1"/>
  <c r="M43" i="10"/>
  <c r="P43" i="10" s="1"/>
  <c r="M42" i="10"/>
  <c r="P42" i="10" s="1"/>
  <c r="M39" i="10"/>
  <c r="P39" i="10" s="1"/>
  <c r="M37" i="10"/>
  <c r="P37" i="10" s="1"/>
  <c r="M35" i="10"/>
  <c r="P35" i="10" s="1"/>
  <c r="M34" i="10"/>
  <c r="P34" i="10" s="1"/>
  <c r="M30" i="10"/>
  <c r="P30" i="10" s="1"/>
  <c r="M28" i="10"/>
  <c r="P28" i="10" s="1"/>
  <c r="M11" i="10"/>
  <c r="P11" i="10" s="1"/>
  <c r="D9" i="25"/>
  <c r="D11" i="25" s="1"/>
  <c r="P214" i="10"/>
  <c r="P219" i="10"/>
  <c r="P227" i="10"/>
  <c r="P228" i="10"/>
  <c r="P213" i="10"/>
  <c r="K12" i="13" l="1"/>
  <c r="N12" i="13" s="1"/>
  <c r="K14" i="13"/>
  <c r="N14" i="13" s="1"/>
  <c r="K16" i="13"/>
  <c r="N16" i="13" s="1"/>
  <c r="K17" i="13"/>
  <c r="N17" i="13" s="1"/>
  <c r="K19" i="13"/>
  <c r="N19" i="13" s="1"/>
  <c r="K20" i="13"/>
  <c r="N20" i="13" s="1"/>
  <c r="K22" i="13"/>
  <c r="N22" i="13" s="1"/>
  <c r="K24" i="13"/>
  <c r="N24" i="13" s="1"/>
  <c r="K26" i="13"/>
  <c r="N26" i="13" s="1"/>
  <c r="K29" i="13"/>
  <c r="N29" i="13" s="1"/>
  <c r="K30" i="13"/>
  <c r="N30" i="13" s="1"/>
  <c r="K31" i="13"/>
  <c r="N31" i="13" s="1"/>
  <c r="K11" i="13"/>
  <c r="N11" i="13" s="1"/>
  <c r="N33" i="13" l="1"/>
  <c r="M14" i="20"/>
  <c r="P14" i="20" s="1"/>
  <c r="H133" i="18"/>
  <c r="K133" i="18" s="1"/>
  <c r="H134" i="18"/>
  <c r="K134" i="18" s="1"/>
  <c r="H135" i="18"/>
  <c r="K135" i="18" s="1"/>
  <c r="H136" i="18"/>
  <c r="K136" i="18" s="1"/>
  <c r="M207" i="10"/>
  <c r="P207" i="10" s="1"/>
  <c r="M206" i="10"/>
  <c r="P206" i="10" s="1"/>
  <c r="P16" i="20" l="1"/>
  <c r="F26" i="23" l="1"/>
  <c r="D18" i="25" s="1"/>
  <c r="D21" i="25"/>
  <c r="M118" i="10"/>
  <c r="P118" i="10" s="1"/>
  <c r="H76" i="18"/>
  <c r="K76" i="18" s="1"/>
  <c r="K11" i="15"/>
  <c r="K12" i="15"/>
  <c r="K13" i="15"/>
  <c r="K14" i="15"/>
  <c r="K15" i="15"/>
  <c r="K16" i="15"/>
  <c r="K17" i="15"/>
  <c r="K10" i="15"/>
  <c r="M205" i="10"/>
  <c r="P205" i="10" s="1"/>
  <c r="P211" i="10"/>
  <c r="P218" i="10"/>
  <c r="P221" i="10"/>
  <c r="P223" i="10"/>
  <c r="P225" i="10"/>
  <c r="P229" i="10"/>
  <c r="M33" i="10"/>
  <c r="P33" i="10" s="1"/>
  <c r="H22" i="18"/>
  <c r="K22" i="18" s="1"/>
  <c r="H11" i="18"/>
  <c r="K11" i="18" s="1"/>
  <c r="H12" i="18"/>
  <c r="K12" i="18" s="1"/>
  <c r="H13" i="18"/>
  <c r="K13" i="18" s="1"/>
  <c r="H18" i="18"/>
  <c r="K18" i="18" s="1"/>
  <c r="H19" i="18"/>
  <c r="K19" i="18" s="1"/>
  <c r="H20" i="18"/>
  <c r="K20" i="18" s="1"/>
  <c r="H21" i="18"/>
  <c r="K21" i="18" s="1"/>
  <c r="H23" i="18"/>
  <c r="K23" i="18" s="1"/>
  <c r="H24" i="18"/>
  <c r="K24" i="18" s="1"/>
  <c r="H25" i="18"/>
  <c r="K25" i="18" s="1"/>
  <c r="H26" i="18"/>
  <c r="K26" i="18" s="1"/>
  <c r="H27" i="18"/>
  <c r="K27" i="18" s="1"/>
  <c r="H28" i="18"/>
  <c r="K28" i="18" s="1"/>
  <c r="H29" i="18"/>
  <c r="K29" i="18" s="1"/>
  <c r="H30" i="18"/>
  <c r="K30" i="18" s="1"/>
  <c r="H31" i="18"/>
  <c r="K31" i="18" s="1"/>
  <c r="H32" i="18"/>
  <c r="K32" i="18" s="1"/>
  <c r="H33" i="18"/>
  <c r="K33" i="18" s="1"/>
  <c r="H34" i="18"/>
  <c r="K34" i="18" s="1"/>
  <c r="H35" i="18"/>
  <c r="K35" i="18" s="1"/>
  <c r="H36" i="18"/>
  <c r="K36" i="18" s="1"/>
  <c r="H37" i="18"/>
  <c r="K37" i="18" s="1"/>
  <c r="H38" i="18"/>
  <c r="K38" i="18" s="1"/>
  <c r="H39" i="18"/>
  <c r="K39" i="18" s="1"/>
  <c r="H40" i="18"/>
  <c r="K40" i="18" s="1"/>
  <c r="H41" i="18"/>
  <c r="K41" i="18" s="1"/>
  <c r="H42" i="18"/>
  <c r="K42" i="18" s="1"/>
  <c r="H43" i="18"/>
  <c r="K43" i="18" s="1"/>
  <c r="H44" i="18"/>
  <c r="K44" i="18" s="1"/>
  <c r="H45" i="18"/>
  <c r="K45" i="18" s="1"/>
  <c r="H46" i="18"/>
  <c r="K46" i="18" s="1"/>
  <c r="H47" i="18"/>
  <c r="K47" i="18" s="1"/>
  <c r="H48" i="18"/>
  <c r="K48" i="18" s="1"/>
  <c r="H49" i="18"/>
  <c r="K49" i="18" s="1"/>
  <c r="H50" i="18"/>
  <c r="K50" i="18" s="1"/>
  <c r="H51" i="18"/>
  <c r="K51" i="18" s="1"/>
  <c r="H52" i="18"/>
  <c r="K52" i="18" s="1"/>
  <c r="H53" i="18"/>
  <c r="K53" i="18" s="1"/>
  <c r="H54" i="18"/>
  <c r="K54" i="18" s="1"/>
  <c r="H55" i="18"/>
  <c r="K55" i="18" s="1"/>
  <c r="H56" i="18"/>
  <c r="K56" i="18" s="1"/>
  <c r="H57" i="18"/>
  <c r="K57" i="18" s="1"/>
  <c r="H58" i="18"/>
  <c r="K58" i="18" s="1"/>
  <c r="H59" i="18"/>
  <c r="K59" i="18" s="1"/>
  <c r="H60" i="18"/>
  <c r="K60" i="18" s="1"/>
  <c r="H61" i="18"/>
  <c r="K61" i="18" s="1"/>
  <c r="H62" i="18"/>
  <c r="K62" i="18" s="1"/>
  <c r="H63" i="18"/>
  <c r="K63" i="18" s="1"/>
  <c r="H64" i="18"/>
  <c r="K64" i="18" s="1"/>
  <c r="H65" i="18"/>
  <c r="K65" i="18" s="1"/>
  <c r="H66" i="18"/>
  <c r="K66" i="18" s="1"/>
  <c r="H67" i="18"/>
  <c r="K67" i="18" s="1"/>
  <c r="H68" i="18"/>
  <c r="K68" i="18" s="1"/>
  <c r="H69" i="18"/>
  <c r="K69" i="18" s="1"/>
  <c r="H70" i="18"/>
  <c r="K70" i="18" s="1"/>
  <c r="H71" i="18"/>
  <c r="K71" i="18" s="1"/>
  <c r="H73" i="18"/>
  <c r="K73" i="18" s="1"/>
  <c r="H74" i="18"/>
  <c r="K74" i="18" s="1"/>
  <c r="H75" i="18"/>
  <c r="K75" i="18" s="1"/>
  <c r="H77" i="18"/>
  <c r="K77" i="18" s="1"/>
  <c r="H78" i="18"/>
  <c r="K78" i="18" s="1"/>
  <c r="H79" i="18"/>
  <c r="K79" i="18" s="1"/>
  <c r="H80" i="18"/>
  <c r="K80" i="18" s="1"/>
  <c r="H81" i="18"/>
  <c r="K81" i="18" s="1"/>
  <c r="H82" i="18"/>
  <c r="K82" i="18" s="1"/>
  <c r="H83" i="18"/>
  <c r="K83" i="18" s="1"/>
  <c r="H84" i="18"/>
  <c r="K84" i="18" s="1"/>
  <c r="H85" i="18"/>
  <c r="K85" i="18" s="1"/>
  <c r="H86" i="18"/>
  <c r="K86" i="18" s="1"/>
  <c r="H87" i="18"/>
  <c r="K87" i="18" s="1"/>
  <c r="H88" i="18"/>
  <c r="K88" i="18" s="1"/>
  <c r="H89" i="18"/>
  <c r="K89" i="18" s="1"/>
  <c r="H90" i="18"/>
  <c r="K90" i="18" s="1"/>
  <c r="H91" i="18"/>
  <c r="K91" i="18" s="1"/>
  <c r="H92" i="18"/>
  <c r="K92" i="18" s="1"/>
  <c r="H93" i="18"/>
  <c r="K93" i="18" s="1"/>
  <c r="H94" i="18"/>
  <c r="K94" i="18" s="1"/>
  <c r="H95" i="18"/>
  <c r="K95" i="18" s="1"/>
  <c r="H96" i="18"/>
  <c r="K96" i="18" s="1"/>
  <c r="H97" i="18"/>
  <c r="K97" i="18" s="1"/>
  <c r="H98" i="18"/>
  <c r="K98" i="18" s="1"/>
  <c r="H99" i="18"/>
  <c r="K99" i="18" s="1"/>
  <c r="H100" i="18"/>
  <c r="K100" i="18" s="1"/>
  <c r="H101" i="18"/>
  <c r="K101" i="18" s="1"/>
  <c r="H102" i="18"/>
  <c r="K102" i="18" s="1"/>
  <c r="H103" i="18"/>
  <c r="K103" i="18" s="1"/>
  <c r="H104" i="18"/>
  <c r="K104" i="18" s="1"/>
  <c r="H105" i="18"/>
  <c r="K105" i="18" s="1"/>
  <c r="H106" i="18"/>
  <c r="K106" i="18" s="1"/>
  <c r="H107" i="18"/>
  <c r="K107" i="18" s="1"/>
  <c r="H108" i="18"/>
  <c r="K108" i="18" s="1"/>
  <c r="H109" i="18"/>
  <c r="K109" i="18" s="1"/>
  <c r="H110" i="18"/>
  <c r="K110" i="18" s="1"/>
  <c r="H111" i="18"/>
  <c r="K111" i="18" s="1"/>
  <c r="H112" i="18"/>
  <c r="K112" i="18" s="1"/>
  <c r="H113" i="18"/>
  <c r="K113" i="18" s="1"/>
  <c r="H114" i="18"/>
  <c r="K114" i="18" s="1"/>
  <c r="H115" i="18"/>
  <c r="K115" i="18" s="1"/>
  <c r="H116" i="18"/>
  <c r="K116" i="18" s="1"/>
  <c r="H117" i="18"/>
  <c r="K117" i="18" s="1"/>
  <c r="H118" i="18"/>
  <c r="K118" i="18" s="1"/>
  <c r="H120" i="18"/>
  <c r="K120" i="18" s="1"/>
  <c r="H121" i="18"/>
  <c r="K121" i="18" s="1"/>
  <c r="H122" i="18"/>
  <c r="K122" i="18" s="1"/>
  <c r="H123" i="18"/>
  <c r="K123" i="18" s="1"/>
  <c r="H124" i="18"/>
  <c r="K124" i="18" s="1"/>
  <c r="H125" i="18"/>
  <c r="K125" i="18" s="1"/>
  <c r="H126" i="18"/>
  <c r="K126" i="18" s="1"/>
  <c r="H127" i="18"/>
  <c r="K127" i="18" s="1"/>
  <c r="H128" i="18"/>
  <c r="K128" i="18" s="1"/>
  <c r="H130" i="18"/>
  <c r="K130" i="18" s="1"/>
  <c r="H131" i="18"/>
  <c r="K131" i="18" s="1"/>
  <c r="H132" i="18"/>
  <c r="K132" i="18" s="1"/>
  <c r="H10" i="18"/>
  <c r="K10" i="18" s="1"/>
  <c r="M12" i="10"/>
  <c r="P12" i="10" s="1"/>
  <c r="M14" i="10"/>
  <c r="P14" i="10" s="1"/>
  <c r="M16" i="10"/>
  <c r="P16" i="10" s="1"/>
  <c r="M26" i="10"/>
  <c r="P26" i="10" s="1"/>
  <c r="M27" i="10"/>
  <c r="P27" i="10" s="1"/>
  <c r="M29" i="10"/>
  <c r="P29" i="10" s="1"/>
  <c r="M32" i="10"/>
  <c r="P32" i="10" s="1"/>
  <c r="M36" i="10"/>
  <c r="P36" i="10" s="1"/>
  <c r="M38" i="10"/>
  <c r="P38" i="10" s="1"/>
  <c r="M40" i="10"/>
  <c r="P40" i="10" s="1"/>
  <c r="M41" i="10"/>
  <c r="P41" i="10" s="1"/>
  <c r="M44" i="10"/>
  <c r="P44" i="10" s="1"/>
  <c r="M46" i="10"/>
  <c r="P46" i="10" s="1"/>
  <c r="M48" i="10"/>
  <c r="P48" i="10" s="1"/>
  <c r="M49" i="10"/>
  <c r="P49" i="10" s="1"/>
  <c r="M50" i="10"/>
  <c r="P50" i="10" s="1"/>
  <c r="M52" i="10"/>
  <c r="P52" i="10" s="1"/>
  <c r="M53" i="10"/>
  <c r="P53" i="10" s="1"/>
  <c r="M54" i="10"/>
  <c r="P54" i="10" s="1"/>
  <c r="M56" i="10"/>
  <c r="P56" i="10" s="1"/>
  <c r="M57" i="10"/>
  <c r="P57" i="10" s="1"/>
  <c r="M59" i="10"/>
  <c r="P59" i="10" s="1"/>
  <c r="M60" i="10"/>
  <c r="P60" i="10" s="1"/>
  <c r="M66" i="10"/>
  <c r="P66" i="10" s="1"/>
  <c r="M68" i="10"/>
  <c r="P68" i="10" s="1"/>
  <c r="M70" i="10"/>
  <c r="P70" i="10" s="1"/>
  <c r="M71" i="10"/>
  <c r="P71" i="10" s="1"/>
  <c r="M73" i="10"/>
  <c r="P73" i="10" s="1"/>
  <c r="M74" i="10"/>
  <c r="P74" i="10" s="1"/>
  <c r="M76" i="10"/>
  <c r="P76" i="10" s="1"/>
  <c r="M78" i="10"/>
  <c r="P78" i="10" s="1"/>
  <c r="M80" i="10"/>
  <c r="P80" i="10" s="1"/>
  <c r="M82" i="10"/>
  <c r="P82" i="10" s="1"/>
  <c r="M84" i="10"/>
  <c r="P84" i="10" s="1"/>
  <c r="M85" i="10"/>
  <c r="P85" i="10" s="1"/>
  <c r="M87" i="10"/>
  <c r="P87" i="10" s="1"/>
  <c r="M89" i="10"/>
  <c r="P89" i="10" s="1"/>
  <c r="M90" i="10"/>
  <c r="P90" i="10" s="1"/>
  <c r="M92" i="10"/>
  <c r="P92" i="10" s="1"/>
  <c r="M94" i="10"/>
  <c r="P94" i="10" s="1"/>
  <c r="M96" i="10"/>
  <c r="P96" i="10" s="1"/>
  <c r="M97" i="10"/>
  <c r="P97" i="10" s="1"/>
  <c r="M99" i="10"/>
  <c r="P99" i="10" s="1"/>
  <c r="M101" i="10"/>
  <c r="P101" i="10" s="1"/>
  <c r="M103" i="10"/>
  <c r="P103" i="10" s="1"/>
  <c r="M107" i="10"/>
  <c r="P107" i="10" s="1"/>
  <c r="M109" i="10"/>
  <c r="P109" i="10" s="1"/>
  <c r="M112" i="10"/>
  <c r="P112" i="10" s="1"/>
  <c r="M115" i="10"/>
  <c r="P115" i="10" s="1"/>
  <c r="M120" i="10"/>
  <c r="P120" i="10" s="1"/>
  <c r="M122" i="10"/>
  <c r="P122" i="10" s="1"/>
  <c r="M125" i="10"/>
  <c r="P125" i="10" s="1"/>
  <c r="M128" i="10"/>
  <c r="P128" i="10" s="1"/>
  <c r="M129" i="10"/>
  <c r="P129" i="10" s="1"/>
  <c r="M130" i="10"/>
  <c r="P130" i="10" s="1"/>
  <c r="M131" i="10"/>
  <c r="P131" i="10" s="1"/>
  <c r="M133" i="10"/>
  <c r="P133" i="10" s="1"/>
  <c r="M135" i="10"/>
  <c r="P135" i="10" s="1"/>
  <c r="M136" i="10"/>
  <c r="P136" i="10" s="1"/>
  <c r="M137" i="10"/>
  <c r="P137" i="10" s="1"/>
  <c r="M140" i="10"/>
  <c r="P140" i="10" s="1"/>
  <c r="M141" i="10"/>
  <c r="P141" i="10" s="1"/>
  <c r="M142" i="10"/>
  <c r="P142" i="10" s="1"/>
  <c r="M144" i="10"/>
  <c r="P144" i="10" s="1"/>
  <c r="M147" i="10"/>
  <c r="P147" i="10" s="1"/>
  <c r="M148" i="10"/>
  <c r="P148" i="10" s="1"/>
  <c r="M149" i="10"/>
  <c r="P149" i="10" s="1"/>
  <c r="M150" i="10"/>
  <c r="P150" i="10" s="1"/>
  <c r="M151" i="10"/>
  <c r="P151" i="10" s="1"/>
  <c r="M153" i="10"/>
  <c r="P153" i="10" s="1"/>
  <c r="M155" i="10"/>
  <c r="P155" i="10" s="1"/>
  <c r="M156" i="10"/>
  <c r="P156" i="10" s="1"/>
  <c r="M157" i="10"/>
  <c r="P157" i="10" s="1"/>
  <c r="M159" i="10"/>
  <c r="P159" i="10" s="1"/>
  <c r="M161" i="10"/>
  <c r="P161" i="10" s="1"/>
  <c r="M162" i="10"/>
  <c r="P162" i="10" s="1"/>
  <c r="M164" i="10"/>
  <c r="P164" i="10" s="1"/>
  <c r="M168" i="10"/>
  <c r="P168" i="10" s="1"/>
  <c r="M169" i="10"/>
  <c r="P169" i="10" s="1"/>
  <c r="M171" i="10"/>
  <c r="P171" i="10" s="1"/>
  <c r="M172" i="10"/>
  <c r="P172" i="10" s="1"/>
  <c r="M174" i="10"/>
  <c r="P174" i="10" s="1"/>
  <c r="M176" i="10"/>
  <c r="P176" i="10" s="1"/>
  <c r="M177" i="10"/>
  <c r="P177" i="10" s="1"/>
  <c r="M178" i="10"/>
  <c r="P178" i="10" s="1"/>
  <c r="M180" i="10"/>
  <c r="P180" i="10" s="1"/>
  <c r="M184" i="10"/>
  <c r="P184" i="10" s="1"/>
  <c r="M185" i="10"/>
  <c r="P185" i="10" s="1"/>
  <c r="M186" i="10"/>
  <c r="P186" i="10" s="1"/>
  <c r="M187" i="10"/>
  <c r="P187" i="10" s="1"/>
  <c r="M188" i="10"/>
  <c r="P188" i="10" s="1"/>
  <c r="M189" i="10"/>
  <c r="P189" i="10" s="1"/>
  <c r="M191" i="10"/>
  <c r="P191" i="10" s="1"/>
  <c r="M193" i="10"/>
  <c r="P193" i="10" s="1"/>
  <c r="M194" i="10"/>
  <c r="P194" i="10" s="1"/>
  <c r="M197" i="10"/>
  <c r="P197" i="10" s="1"/>
  <c r="M201" i="10"/>
  <c r="P201" i="10" s="1"/>
  <c r="M203" i="10"/>
  <c r="P203" i="10" s="1"/>
  <c r="M10" i="10"/>
  <c r="P10" i="10" s="1"/>
  <c r="K138" i="18" l="1"/>
  <c r="P231" i="10"/>
  <c r="D23" i="25"/>
  <c r="D24" i="25"/>
  <c r="D22" i="25" l="1"/>
  <c r="K19" i="15"/>
  <c r="D25" i="25" s="1"/>
  <c r="D27" i="25" l="1"/>
  <c r="D29" i="25" s="1"/>
</calcChain>
</file>

<file path=xl/sharedStrings.xml><?xml version="1.0" encoding="utf-8"?>
<sst xmlns="http://schemas.openxmlformats.org/spreadsheetml/2006/main" count="1793" uniqueCount="379">
  <si>
    <t>LOWER MAKEFIELD TOWNSHIP, BUCKS COUNTY, PA</t>
  </si>
  <si>
    <t>ORIGINAL COST OF WASTEWATER COLLECTION SYSTEM</t>
  </si>
  <si>
    <t>As of March 22, 2021</t>
  </si>
  <si>
    <t>Acct. No.</t>
  </si>
  <si>
    <t>DESCRIPTION</t>
  </si>
  <si>
    <t>ORIGINAL COST</t>
  </si>
  <si>
    <t>Non-Depreciable System</t>
  </si>
  <si>
    <t>Land and Land Rights</t>
  </si>
  <si>
    <t>TOTAL NON-DEPRECIABLE SYSTEM</t>
  </si>
  <si>
    <t>Depreciable System</t>
  </si>
  <si>
    <t>Land and Right-of-Ways</t>
  </si>
  <si>
    <t>Subtotal</t>
  </si>
  <si>
    <t>Pump Station Structures and Improvements</t>
  </si>
  <si>
    <t>Structures and Improvements - Treatment and Disposal Facilities</t>
  </si>
  <si>
    <t xml:space="preserve">Pump Station Power Generation Equipment </t>
  </si>
  <si>
    <t>Pump Station Power Protection and Control Devises</t>
  </si>
  <si>
    <t>Collection Sewers - Low Pressure</t>
  </si>
  <si>
    <t>Pump Station Force Mains</t>
  </si>
  <si>
    <t>Collection Sewers - Gravity</t>
  </si>
  <si>
    <t>Services to Customers - Laterals</t>
  </si>
  <si>
    <t>Services to Customers - Flow Meters</t>
  </si>
  <si>
    <t>Pump Station Pumping Equipment</t>
  </si>
  <si>
    <t xml:space="preserve">TOTAL </t>
  </si>
  <si>
    <t>Account 353.20</t>
  </si>
  <si>
    <t>Index No.</t>
  </si>
  <si>
    <t>YEAR BUILT</t>
  </si>
  <si>
    <t>QUANTITY</t>
  </si>
  <si>
    <t>UNITS</t>
  </si>
  <si>
    <t>UNIT PRICE</t>
  </si>
  <si>
    <t>Black Rock Road Pumping Station</t>
  </si>
  <si>
    <t>Lot</t>
  </si>
  <si>
    <t>Chanticleer Pump Station</t>
  </si>
  <si>
    <t>Clearview Pump Station</t>
  </si>
  <si>
    <t>Easement</t>
  </si>
  <si>
    <t>Farmview Pump Station</t>
  </si>
  <si>
    <t>Fox Hill Pump Station</t>
  </si>
  <si>
    <t>Heacock Road Pump Station</t>
  </si>
  <si>
    <t>Maplevale Pump Station</t>
  </si>
  <si>
    <t>Oxford Glen / Yardley Oaks Pump Station</t>
  </si>
  <si>
    <t>Sherwood Park Pump Station</t>
  </si>
  <si>
    <t>Silver Lake Pumping Station</t>
  </si>
  <si>
    <t>Stackhouse Drive Pump Station</t>
  </si>
  <si>
    <t>Yardley Estates Pump Station</t>
  </si>
  <si>
    <t>Mill Road Estates Pump Station</t>
  </si>
  <si>
    <t>Brookstone Pump Station</t>
  </si>
  <si>
    <t>Easements</t>
  </si>
  <si>
    <t>N/A</t>
  </si>
  <si>
    <t>Total Account 353.20 Land and Right-of-Ways</t>
  </si>
  <si>
    <t>Account 354.20</t>
  </si>
  <si>
    <t>CURRENT EVALUATION</t>
  </si>
  <si>
    <t>2020 COST INDEX</t>
  </si>
  <si>
    <t>OLD
 COST INDEX</t>
  </si>
  <si>
    <t>Site Work</t>
  </si>
  <si>
    <t>Site Grading and Clearing</t>
  </si>
  <si>
    <t>LS</t>
  </si>
  <si>
    <t>Erosion and Sedimentation Control</t>
  </si>
  <si>
    <t>Driveway</t>
  </si>
  <si>
    <t>Final Grading and Seeding</t>
  </si>
  <si>
    <t>Control Building Including Wet Well and Dry Well</t>
  </si>
  <si>
    <t>Excavation and Backfill</t>
  </si>
  <si>
    <t>Wet Well and Dry Well Structure</t>
  </si>
  <si>
    <t>Control Building Above Wet Well and Dry Well</t>
  </si>
  <si>
    <t>Interior Stairs</t>
  </si>
  <si>
    <t>Plumbing and HVAC</t>
  </si>
  <si>
    <t>Wet Well and Valve Vault</t>
  </si>
  <si>
    <t>Pump Hoist</t>
  </si>
  <si>
    <t>Bar Screen</t>
  </si>
  <si>
    <t>Fencing and Gate</t>
  </si>
  <si>
    <t>1" K Copper Water Service with Yard Hydrant</t>
  </si>
  <si>
    <t>Control Enclosure</t>
  </si>
  <si>
    <t>Foundation</t>
  </si>
  <si>
    <t>USEMCO Control Enclosure</t>
  </si>
  <si>
    <t>Wet Well</t>
  </si>
  <si>
    <t>Precast Concrete Wet Well</t>
  </si>
  <si>
    <t xml:space="preserve">Control Building </t>
  </si>
  <si>
    <t>Precast Concrete Valve Vault</t>
  </si>
  <si>
    <t>Prefabricated Steel Dry Well</t>
  </si>
  <si>
    <t>Heacock Road Pump Station*</t>
  </si>
  <si>
    <t>*</t>
  </si>
  <si>
    <t xml:space="preserve">Wet Well </t>
  </si>
  <si>
    <t>Stackhouse Drive Pump Station*</t>
  </si>
  <si>
    <t>Construction</t>
  </si>
  <si>
    <t>Erosion and Sedimentation Controls</t>
  </si>
  <si>
    <t>Paved Driveway</t>
  </si>
  <si>
    <t>Final Grading, Seeding, and Restoration</t>
  </si>
  <si>
    <t>Precast Wet Well with Lid, Hatch, and Fall Protection Grating</t>
  </si>
  <si>
    <t>Precast Concrete Valve Vault including Lid with Hatch</t>
  </si>
  <si>
    <t>Trash Rack</t>
  </si>
  <si>
    <t>Control Buidling</t>
  </si>
  <si>
    <t>Total Account 354.20 Pump Station Structure and Improvements</t>
  </si>
  <si>
    <t>*Original escrow was used to find original cost</t>
  </si>
  <si>
    <t>**Pump station structure and improvement costs were based off cost estimates listed in Appendix III</t>
  </si>
  <si>
    <t>Account 354.40</t>
  </si>
  <si>
    <t>YEAR</t>
  </si>
  <si>
    <t>Contributions to Morrisvile to Purchase Treatment Capacity/Capacity Increases</t>
  </si>
  <si>
    <t xml:space="preserve"> </t>
  </si>
  <si>
    <t>Contributions to Yardley to Purchase Transmission Capacity/Capacity Increases</t>
  </si>
  <si>
    <t>Total Account 354.40 Structures and Improvements</t>
  </si>
  <si>
    <t>*All values taken from Lower Makefield Makefield Tapping Fee Evaluation 2019</t>
  </si>
  <si>
    <t>Account 355.20</t>
  </si>
  <si>
    <t>Pump Station Power Generation Equipment</t>
  </si>
  <si>
    <t>45 KW Generator and Pad</t>
  </si>
  <si>
    <t>Portable Generator</t>
  </si>
  <si>
    <t>150 KW Generator</t>
  </si>
  <si>
    <t>60 KW Generator</t>
  </si>
  <si>
    <t>75 KW Generator</t>
  </si>
  <si>
    <t>80 KW Generator</t>
  </si>
  <si>
    <t>80 KW Generator and Pad</t>
  </si>
  <si>
    <t>Stackhouse Drive Pump Station**</t>
  </si>
  <si>
    <t>51 KW Generator and Pad</t>
  </si>
  <si>
    <t>**</t>
  </si>
  <si>
    <t>30 KW Generator</t>
  </si>
  <si>
    <t>50 KW Generator</t>
  </si>
  <si>
    <t>Total Account 355.20 Pump Station Power Generation Equipment</t>
  </si>
  <si>
    <t>*Original escrow was used, cost included in Account 354.20, 1.6 Heacock Pumping Station</t>
  </si>
  <si>
    <t>**Original escrow was used to find original cost</t>
  </si>
  <si>
    <t>***Pump station power generation equipment costs were based off cost estimates listed in Appendix III</t>
  </si>
  <si>
    <t>Account 356.20</t>
  </si>
  <si>
    <t>Electric Service</t>
  </si>
  <si>
    <t>Interior Wiring and Pump Power</t>
  </si>
  <si>
    <t>Interior Lighting</t>
  </si>
  <si>
    <t>Automatic Transfer Switch</t>
  </si>
  <si>
    <t>Site Lighting</t>
  </si>
  <si>
    <t>EA</t>
  </si>
  <si>
    <t>Electrical Gear (Wire, Conduit, LP Panel, etc.)</t>
  </si>
  <si>
    <t>Power and Control Wiring</t>
  </si>
  <si>
    <t>Manual Transfer Switch</t>
  </si>
  <si>
    <t>Control Building Electrical</t>
  </si>
  <si>
    <t>Electrical service to the Pump Station</t>
  </si>
  <si>
    <t>Wiring the Pumps and Controls</t>
  </si>
  <si>
    <t>Providing and installing the Flow Meter</t>
  </si>
  <si>
    <t>Conduits from the Control Building, the Wet Well, Valve Vault, and Generator</t>
  </si>
  <si>
    <t>Wiring the new Control Building</t>
  </si>
  <si>
    <t>Electrical Upgrade</t>
  </si>
  <si>
    <t>Total Account 356.20 Pump Station Power Protection and Control Devises</t>
  </si>
  <si>
    <t>***Pump station power protection and control device costs were based off cost estimates listed in Appendix III</t>
  </si>
  <si>
    <t xml:space="preserve">ORIGINAL COST OF WASTEWATER COLLECTION SYSTEM </t>
  </si>
  <si>
    <t>Account 359.20</t>
  </si>
  <si>
    <t>LENGTH 
(FT)</t>
  </si>
  <si>
    <t>DIAMETER 
(IN)</t>
  </si>
  <si>
    <t>PIPE MATERIAL</t>
  </si>
  <si>
    <t>MANHOLES</t>
  </si>
  <si>
    <t>IN ROAD /
OUT OF ROAD</t>
  </si>
  <si>
    <t>COST OF PIPE
PER FT.**</t>
  </si>
  <si>
    <t>COST OF MANHOLES</t>
  </si>
  <si>
    <t>CURRENT 
EVALUATION</t>
  </si>
  <si>
    <t>2020 COST 
INDEX</t>
  </si>
  <si>
    <t>OLD COST 
INDEX</t>
  </si>
  <si>
    <t>Collection Sewers -  Low Pressure</t>
  </si>
  <si>
    <t>St. Ignatius* - Low Pressure</t>
  </si>
  <si>
    <t>SDR-21</t>
  </si>
  <si>
    <t>(Included above)</t>
  </si>
  <si>
    <t>Brookshire - Low Pressure</t>
  </si>
  <si>
    <t>Out of Road</t>
  </si>
  <si>
    <t>Caddis Senior Living Facility</t>
  </si>
  <si>
    <t>In Road</t>
  </si>
  <si>
    <t>Total Account 359.20 Collection Sewers - Pressure</t>
  </si>
  <si>
    <t>**Cost of pipe based off of price index in Appendix II</t>
  </si>
  <si>
    <t xml:space="preserve">  </t>
  </si>
  <si>
    <t>Account 360.20</t>
  </si>
  <si>
    <t>Acct. No</t>
  </si>
  <si>
    <t>LENGTH (FT)</t>
  </si>
  <si>
    <t>DIAMETER (IN)</t>
  </si>
  <si>
    <t>IN ROAD / 
OUT OF ROAD</t>
  </si>
  <si>
    <t>COST OF PIPE 
PER FT.***</t>
  </si>
  <si>
    <t>ORGINAL COST</t>
  </si>
  <si>
    <t>CIP (Class 22)</t>
  </si>
  <si>
    <t>SDR 21**</t>
  </si>
  <si>
    <t>DIP**</t>
  </si>
  <si>
    <t xml:space="preserve">In Road  </t>
  </si>
  <si>
    <t>CIP (Class 24)</t>
  </si>
  <si>
    <t>SDR 21</t>
  </si>
  <si>
    <t>DIP</t>
  </si>
  <si>
    <t>Total Account 360.20 Pump Station Force Mains</t>
  </si>
  <si>
    <t>**If pipe material was unknown, it was assumed to be DIP or SDR-21</t>
  </si>
  <si>
    <t>***Cost of pipe based off of price index in Appendix II</t>
  </si>
  <si>
    <t>Account 361.20</t>
  </si>
  <si>
    <t xml:space="preserve">IN ROAD /
 OUT OF ROAD </t>
  </si>
  <si>
    <t>COST OF PIPE 
PER FT.**</t>
  </si>
  <si>
    <t>CURRENT
EVALUATION</t>
  </si>
  <si>
    <t>2020 COST
INDEX</t>
  </si>
  <si>
    <t>OLD COST
INDEX</t>
  </si>
  <si>
    <t>Collection Sewer - Gravity</t>
  </si>
  <si>
    <t>Stafford Place</t>
  </si>
  <si>
    <t xml:space="preserve">Out of Road </t>
  </si>
  <si>
    <t>Edgehill Gardens</t>
  </si>
  <si>
    <t>Makefield Terrace</t>
  </si>
  <si>
    <t>ERB Tract</t>
  </si>
  <si>
    <t>Oak Tree Farms - Owned by Falls Township</t>
  </si>
  <si>
    <t>Marlboro Manor - Owned by Falls Township</t>
  </si>
  <si>
    <t>Valleywood - Owned by Falls Township</t>
  </si>
  <si>
    <t>Makefield Village - Owned by Falls Township</t>
  </si>
  <si>
    <t>Woodlands (Stony Hill Estates)</t>
  </si>
  <si>
    <t>Rolling Green (Santosa Estates)</t>
  </si>
  <si>
    <t>Big Oak Woods</t>
  </si>
  <si>
    <t>Oxford Oaks Shopping Center</t>
  </si>
  <si>
    <t xml:space="preserve">Regency at Yardley </t>
  </si>
  <si>
    <t>Cornerstone</t>
  </si>
  <si>
    <t>Brookstone</t>
  </si>
  <si>
    <t>Palmer Farms</t>
  </si>
  <si>
    <t>Glenwood</t>
  </si>
  <si>
    <t>West Acres</t>
  </si>
  <si>
    <t>Parktown Estates</t>
  </si>
  <si>
    <t>River Glen</t>
  </si>
  <si>
    <t>Black Rock</t>
  </si>
  <si>
    <t>Bedford Place</t>
  </si>
  <si>
    <t>Penn Valley Terrace</t>
  </si>
  <si>
    <t>Rivergate</t>
  </si>
  <si>
    <t>Belmondo</t>
  </si>
  <si>
    <t>Makefield Chase</t>
  </si>
  <si>
    <t>Clearview Estates</t>
  </si>
  <si>
    <t>Longshore Estates</t>
  </si>
  <si>
    <t>Leedoms Field (Farmview III)</t>
  </si>
  <si>
    <t>Gatefield (Farmview VI)</t>
  </si>
  <si>
    <t>Kimbles field (Farmview V Phase I thru III)</t>
  </si>
  <si>
    <t>Pennsfield (Farmview IV Phase 1 thru III)</t>
  </si>
  <si>
    <t>Dolington Estates I Phase I thru IV</t>
  </si>
  <si>
    <t xml:space="preserve">Dolington Estates II </t>
  </si>
  <si>
    <t>Brookfield (Farmview II)</t>
  </si>
  <si>
    <t>Heather Ridge</t>
  </si>
  <si>
    <t>Yardley Run</t>
  </si>
  <si>
    <t>Lindenhurst</t>
  </si>
  <si>
    <t>Bridle Estates</t>
  </si>
  <si>
    <t xml:space="preserve">Makefield Brook </t>
  </si>
  <si>
    <t>Devonshire</t>
  </si>
  <si>
    <t xml:space="preserve">The Ridings </t>
  </si>
  <si>
    <t xml:space="preserve">Lower Makefield Corporate Center </t>
  </si>
  <si>
    <t>Floral Vale</t>
  </si>
  <si>
    <t>Willow Wisp Farms</t>
  </si>
  <si>
    <t>Polo Run Village</t>
  </si>
  <si>
    <t>Towering Oaks</t>
  </si>
  <si>
    <t>Fairfield (Farmview I)</t>
  </si>
  <si>
    <t>Makefield Brook II</t>
  </si>
  <si>
    <t xml:space="preserve">Buck Creek Development </t>
  </si>
  <si>
    <t xml:space="preserve">Pebble Creek </t>
  </si>
  <si>
    <t>Pine Brook Farms Development</t>
  </si>
  <si>
    <t>Hillwood Terrace</t>
  </si>
  <si>
    <t>Maplevale</t>
  </si>
  <si>
    <t>Estates at Prospect Manor</t>
  </si>
  <si>
    <t>Wilshire Glen</t>
  </si>
  <si>
    <t>Pine Brook Farms II</t>
  </si>
  <si>
    <t>Afton Crest and Buck Creek Estates III</t>
  </si>
  <si>
    <t>Sandy Run III</t>
  </si>
  <si>
    <t>Sandy Run II</t>
  </si>
  <si>
    <t xml:space="preserve">Highview Estates </t>
  </si>
  <si>
    <t>Hunt Estates</t>
  </si>
  <si>
    <t>Scammells Corner*</t>
  </si>
  <si>
    <t>Sandy Run I</t>
  </si>
  <si>
    <t>Yardley Hunt</t>
  </si>
  <si>
    <t>Fox Hill Estates</t>
  </si>
  <si>
    <t>Flowers Field</t>
  </si>
  <si>
    <t>Mirror Lake Farms</t>
  </si>
  <si>
    <t>Polekoff Farms</t>
  </si>
  <si>
    <t>Heacock Meadows</t>
  </si>
  <si>
    <t>Rose Hollow</t>
  </si>
  <si>
    <t>Heacock Meadows Section I</t>
  </si>
  <si>
    <t>Makefield Crossing (Foley Tract and Winterfield)</t>
  </si>
  <si>
    <t xml:space="preserve">Makefield Glen </t>
  </si>
  <si>
    <t>Heritage Oaks</t>
  </si>
  <si>
    <t>Ashley Estates</t>
  </si>
  <si>
    <t xml:space="preserve">Hidden Ponds </t>
  </si>
  <si>
    <t>Stewards Fields at Yardley</t>
  </si>
  <si>
    <t xml:space="preserve">Yardley Estates </t>
  </si>
  <si>
    <t>County Pointe</t>
  </si>
  <si>
    <t>Regency at Yardley II</t>
  </si>
  <si>
    <t>Yardley Corners</t>
  </si>
  <si>
    <t>Tanglewood</t>
  </si>
  <si>
    <t xml:space="preserve">Yardley Meadows </t>
  </si>
  <si>
    <t>Peake Farm</t>
  </si>
  <si>
    <t>Oxford Glen Yardley Oaks</t>
  </si>
  <si>
    <t>Big Oak Bend</t>
  </si>
  <si>
    <t>Stony Hill</t>
  </si>
  <si>
    <t>Meadowbrook</t>
  </si>
  <si>
    <t>Bexely Orchards</t>
  </si>
  <si>
    <t xml:space="preserve">Deerbrook </t>
  </si>
  <si>
    <t>Mill Road Estate</t>
  </si>
  <si>
    <t>Mill Run</t>
  </si>
  <si>
    <t>Hidden Oaks I</t>
  </si>
  <si>
    <t>Hidden Oaks II</t>
  </si>
  <si>
    <t xml:space="preserve">Glen Oak </t>
  </si>
  <si>
    <t>Centential Village</t>
  </si>
  <si>
    <t>Afton Chase</t>
  </si>
  <si>
    <t>Lost Tree (Wyndham II)</t>
  </si>
  <si>
    <t xml:space="preserve">Makefield Lakes </t>
  </si>
  <si>
    <t>Carriage Hill</t>
  </si>
  <si>
    <t>Silver Lake Terrace</t>
  </si>
  <si>
    <t>West Riding</t>
  </si>
  <si>
    <t xml:space="preserve">Edgewood Park </t>
  </si>
  <si>
    <t xml:space="preserve">Queens Grant </t>
  </si>
  <si>
    <t xml:space="preserve">Wyndham I </t>
  </si>
  <si>
    <t xml:space="preserve">Milford Manor </t>
  </si>
  <si>
    <t>Valley Green (Rock Run)</t>
  </si>
  <si>
    <t>Yardley Crest</t>
  </si>
  <si>
    <t>Makefield Heights - Owned by Falls Township</t>
  </si>
  <si>
    <t>Havalue</t>
  </si>
  <si>
    <t>Fairfield Terrace</t>
  </si>
  <si>
    <t xml:space="preserve">Delavue </t>
  </si>
  <si>
    <t>Ochran Tract</t>
  </si>
  <si>
    <t>Makefield Manor</t>
  </si>
  <si>
    <t>Green Acres</t>
  </si>
  <si>
    <t>Wynnewood I</t>
  </si>
  <si>
    <t>Westover</t>
  </si>
  <si>
    <t xml:space="preserve">Wynnewood II </t>
  </si>
  <si>
    <t>Hickory Hills - Owned by Falls Township</t>
  </si>
  <si>
    <t>Sutphin Pines</t>
  </si>
  <si>
    <t xml:space="preserve">Sanctuary </t>
  </si>
  <si>
    <t>Makefield Hamlet</t>
  </si>
  <si>
    <t>Makefield Quarters</t>
  </si>
  <si>
    <t>Loberg Estates</t>
  </si>
  <si>
    <t>Trolio Tract</t>
  </si>
  <si>
    <t>Brookshire</t>
  </si>
  <si>
    <t>SDR-26</t>
  </si>
  <si>
    <t xml:space="preserve">Collection Sewers - Gravity Interceptors </t>
  </si>
  <si>
    <t>Buck Creek Trunk</t>
  </si>
  <si>
    <t>CIP</t>
  </si>
  <si>
    <t>VCP</t>
  </si>
  <si>
    <t>Rock Run</t>
  </si>
  <si>
    <t xml:space="preserve">Rock Run - Owned by Falls Township </t>
  </si>
  <si>
    <t>Rock Run - Owned by Falls Township</t>
  </si>
  <si>
    <t>Canal Interceptor</t>
  </si>
  <si>
    <t>RCP</t>
  </si>
  <si>
    <t>Core Creek Interceptor</t>
  </si>
  <si>
    <t>SDR-35</t>
  </si>
  <si>
    <t>Silver Lake Trunk</t>
  </si>
  <si>
    <t>Yardley Road Trunk</t>
  </si>
  <si>
    <t>Black Rock Road Trunk</t>
  </si>
  <si>
    <t>Taylorsville Trunk</t>
  </si>
  <si>
    <t xml:space="preserve">In Road </t>
  </si>
  <si>
    <t>Total Account 361.20 Collection Sewers - Gravity</t>
  </si>
  <si>
    <t>Account 363.20</t>
  </si>
  <si>
    <t>COUNT</t>
  </si>
  <si>
    <t xml:space="preserve">LATERAL COST** </t>
  </si>
  <si>
    <t xml:space="preserve">ORGINAL COST </t>
  </si>
  <si>
    <t>Lower Makefield Corporate Center</t>
  </si>
  <si>
    <t>Buck Creek Development I &amp; II</t>
  </si>
  <si>
    <t>Heacock Meadows Section II</t>
  </si>
  <si>
    <t>Total Account 363.20 Services to Customers - Laterals</t>
  </si>
  <si>
    <t>*Original escrows was used to find original cost</t>
  </si>
  <si>
    <t>**Cost of laterals based off of price indices in Appendix II</t>
  </si>
  <si>
    <t>TYPE OF METER</t>
  </si>
  <si>
    <t>TYPE OF FLUME</t>
  </si>
  <si>
    <t xml:space="preserve">Belmondo Meter Pit </t>
  </si>
  <si>
    <t>Control Electronics model PDS</t>
  </si>
  <si>
    <t>3" Parshall Flume</t>
  </si>
  <si>
    <t>Buck Creek Meter</t>
  </si>
  <si>
    <t>6" Parshall Flume</t>
  </si>
  <si>
    <t>Delmorr Avenue Meter</t>
  </si>
  <si>
    <t>12" Parshall Flume</t>
  </si>
  <si>
    <t>Derbyshire Road Meter</t>
  </si>
  <si>
    <t>ISCO Signature Series Meter</t>
  </si>
  <si>
    <t>10" Palmer Bowlus Flume</t>
  </si>
  <si>
    <t>East Ferry Road Meter</t>
  </si>
  <si>
    <t>Main Street Meter</t>
  </si>
  <si>
    <t>Sandy Run Meter Pit</t>
  </si>
  <si>
    <t>Big Oak Road Meter</t>
  </si>
  <si>
    <t>8" Round Pipe</t>
  </si>
  <si>
    <t>Total Account 363.20 Services to Customers - Flow Meters</t>
  </si>
  <si>
    <t>*Flow meter costs were based off cost estimates listed in Appendix III</t>
  </si>
  <si>
    <t>Account 371.20</t>
  </si>
  <si>
    <t>Pumps, 20 HP</t>
  </si>
  <si>
    <t>Controls</t>
  </si>
  <si>
    <t>Piping and Valves (Dry Welll)</t>
  </si>
  <si>
    <t>Pumps, 3 HP and Controls</t>
  </si>
  <si>
    <t>Piping and Valves (Wetwell)</t>
  </si>
  <si>
    <t>Pumps, 20 HP and Controls</t>
  </si>
  <si>
    <t>Piping (Wetwell)</t>
  </si>
  <si>
    <t>Vault Piping and Valves</t>
  </si>
  <si>
    <t>Pumps, 15 HP and Controls</t>
  </si>
  <si>
    <t>Pumps, 25 HP and Controls</t>
  </si>
  <si>
    <t>Dry Well Piping</t>
  </si>
  <si>
    <t>Pumps, 7.5 HP and Controls</t>
  </si>
  <si>
    <t>Pumps, 15 HP</t>
  </si>
  <si>
    <t>Pumps, 15 HP (Three Pumps)</t>
  </si>
  <si>
    <t>Pumps, Level Sensors, and Pump Controls</t>
  </si>
  <si>
    <t>Pumps, 10 HP and Controls</t>
  </si>
  <si>
    <t>Pumps, 30 HP and Controls</t>
  </si>
  <si>
    <t>Total Account 371.20 Pump Station Pumping Equipment</t>
  </si>
  <si>
    <t>**Original escrow was used to find the original cost</t>
  </si>
  <si>
    <t>***Pump station pumping equipment costs were based off cost estimates listed in Appendix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</si>
</sst>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.0"/>
    <numFmt numFmtId="166" formatCode="0.000"/>
    <numFmt numFmtId="167" formatCode="0.0000"/>
    <numFmt numFmtId="168" formatCode="&quot;$&quot;#,##0.00"/>
    <numFmt numFmtId="169" formatCode="#,##0.0"/>
  </numFmts>
  <fonts count="3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color rgb="FF202124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0" fillId="0" borderId="34" applyNumberFormat="0" applyFill="0" applyAlignment="0" applyProtection="0"/>
    <xf numFmtId="0" fontId="21" fillId="0" borderId="35" applyNumberFormat="0" applyFill="0" applyAlignment="0" applyProtection="0"/>
    <xf numFmtId="0" fontId="22" fillId="0" borderId="36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6" borderId="37" applyNumberFormat="0" applyAlignment="0" applyProtection="0"/>
    <xf numFmtId="0" fontId="26" fillId="7" borderId="38" applyNumberFormat="0" applyAlignment="0" applyProtection="0"/>
    <xf numFmtId="0" fontId="27" fillId="7" borderId="37" applyNumberFormat="0" applyAlignment="0" applyProtection="0"/>
    <xf numFmtId="0" fontId="28" fillId="0" borderId="39" applyNumberFormat="0" applyFill="0" applyAlignment="0" applyProtection="0"/>
    <xf numFmtId="0" fontId="29" fillId="8" borderId="40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42" applyNumberFormat="0" applyFill="0" applyAlignment="0" applyProtection="0"/>
    <xf numFmtId="0" fontId="3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34" fillId="0" borderId="0" applyNumberFormat="0" applyFill="0" applyBorder="0" applyAlignment="0" applyProtection="0"/>
    <xf numFmtId="0" fontId="35" fillId="5" borderId="0" applyNumberFormat="0" applyBorder="0" applyAlignment="0" applyProtection="0"/>
    <xf numFmtId="0" fontId="1" fillId="9" borderId="41" applyNumberFormat="0" applyFont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33" fillId="33" borderId="0" applyNumberFormat="0" applyBorder="0" applyAlignment="0" applyProtection="0"/>
  </cellStyleXfs>
  <cellXfs count="23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Border="1"/>
    <xf numFmtId="0" fontId="4" fillId="0" borderId="0" xfId="0" applyFont="1"/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165" fontId="7" fillId="0" borderId="13" xfId="0" applyNumberFormat="1" applyFont="1" applyBorder="1" applyAlignment="1">
      <alignment horizontal="right"/>
    </xf>
    <xf numFmtId="2" fontId="7" fillId="0" borderId="13" xfId="0" applyNumberFormat="1" applyFont="1" applyBorder="1" applyAlignment="1">
      <alignment horizontal="right"/>
    </xf>
    <xf numFmtId="44" fontId="9" fillId="0" borderId="15" xfId="1" applyFont="1" applyBorder="1" applyAlignment="1">
      <alignment horizontal="center"/>
    </xf>
    <xf numFmtId="3" fontId="9" fillId="0" borderId="16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2" fontId="7" fillId="0" borderId="18" xfId="0" applyNumberFormat="1" applyFont="1" applyBorder="1" applyAlignment="1">
      <alignment horizontal="right"/>
    </xf>
    <xf numFmtId="165" fontId="7" fillId="0" borderId="13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16" xfId="0" applyFont="1" applyBorder="1"/>
    <xf numFmtId="0" fontId="0" fillId="0" borderId="0" xfId="0"/>
    <xf numFmtId="0" fontId="0" fillId="0" borderId="0" xfId="0"/>
    <xf numFmtId="2" fontId="8" fillId="0" borderId="13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0" fontId="7" fillId="0" borderId="20" xfId="0" applyFont="1" applyBorder="1"/>
    <xf numFmtId="2" fontId="9" fillId="0" borderId="1" xfId="1" applyNumberFormat="1" applyFont="1" applyBorder="1"/>
    <xf numFmtId="0" fontId="9" fillId="0" borderId="1" xfId="1" applyNumberFormat="1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wrapText="1"/>
    </xf>
    <xf numFmtId="2" fontId="9" fillId="0" borderId="21" xfId="1" applyNumberFormat="1" applyFont="1" applyBorder="1"/>
    <xf numFmtId="0" fontId="9" fillId="0" borderId="21" xfId="1" applyNumberFormat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9" fillId="0" borderId="1" xfId="0" applyNumberFormat="1" applyFont="1" applyBorder="1" applyAlignment="1">
      <alignment horizontal="center"/>
    </xf>
    <xf numFmtId="0" fontId="0" fillId="0" borderId="0" xfId="0" applyFont="1"/>
    <xf numFmtId="0" fontId="13" fillId="0" borderId="0" xfId="0" applyFont="1"/>
    <xf numFmtId="44" fontId="9" fillId="0" borderId="21" xfId="1" applyNumberFormat="1" applyFont="1" applyBorder="1" applyAlignment="1">
      <alignment horizontal="center" vertical="center"/>
    </xf>
    <xf numFmtId="44" fontId="9" fillId="0" borderId="1" xfId="1" applyFont="1" applyBorder="1" applyAlignment="1">
      <alignment horizontal="center"/>
    </xf>
    <xf numFmtId="166" fontId="8" fillId="0" borderId="4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23" xfId="1" applyNumberFormat="1" applyFont="1" applyBorder="1" applyAlignment="1">
      <alignment horizontal="center" vertical="center"/>
    </xf>
    <xf numFmtId="44" fontId="9" fillId="0" borderId="23" xfId="1" applyNumberFormat="1" applyFont="1" applyBorder="1" applyAlignment="1">
      <alignment horizontal="center" vertical="center"/>
    </xf>
    <xf numFmtId="0" fontId="10" fillId="0" borderId="21" xfId="0" applyFont="1" applyBorder="1"/>
    <xf numFmtId="0" fontId="8" fillId="0" borderId="21" xfId="0" applyFont="1" applyBorder="1"/>
    <xf numFmtId="3" fontId="0" fillId="0" borderId="0" xfId="0" applyNumberFormat="1" applyAlignment="1">
      <alignment horizontal="center"/>
    </xf>
    <xf numFmtId="0" fontId="14" fillId="0" borderId="0" xfId="0" applyFont="1"/>
    <xf numFmtId="3" fontId="2" fillId="0" borderId="0" xfId="2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7" fillId="0" borderId="1" xfId="0" applyFont="1" applyBorder="1"/>
    <xf numFmtId="0" fontId="15" fillId="0" borderId="0" xfId="3"/>
    <xf numFmtId="0" fontId="0" fillId="0" borderId="0" xfId="0"/>
    <xf numFmtId="44" fontId="9" fillId="0" borderId="21" xfId="1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44" fontId="9" fillId="0" borderId="21" xfId="1" applyFont="1" applyBorder="1"/>
    <xf numFmtId="44" fontId="9" fillId="0" borderId="1" xfId="1" applyFont="1" applyBorder="1" applyAlignment="1">
      <alignment horizontal="center" vertical="center"/>
    </xf>
    <xf numFmtId="44" fontId="0" fillId="0" borderId="0" xfId="1" applyFont="1"/>
    <xf numFmtId="44" fontId="12" fillId="0" borderId="0" xfId="1" applyFont="1" applyFill="1" applyBorder="1" applyAlignment="1">
      <alignment horizontal="center" vertical="center"/>
    </xf>
    <xf numFmtId="44" fontId="12" fillId="0" borderId="21" xfId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 vertical="center"/>
    </xf>
    <xf numFmtId="2" fontId="9" fillId="0" borderId="3" xfId="1" applyNumberFormat="1" applyFont="1" applyBorder="1"/>
    <xf numFmtId="44" fontId="9" fillId="0" borderId="3" xfId="1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/>
    </xf>
    <xf numFmtId="0" fontId="9" fillId="0" borderId="16" xfId="1" applyNumberFormat="1" applyFont="1" applyBorder="1" applyAlignment="1">
      <alignment horizontal="center" vertical="center"/>
    </xf>
    <xf numFmtId="44" fontId="9" fillId="0" borderId="15" xfId="1" applyNumberFormat="1" applyFont="1" applyBorder="1" applyAlignment="1">
      <alignment horizontal="center" vertical="center"/>
    </xf>
    <xf numFmtId="0" fontId="9" fillId="0" borderId="16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2" fontId="8" fillId="2" borderId="2" xfId="0" applyNumberFormat="1" applyFont="1" applyFill="1" applyBorder="1" applyAlignment="1">
      <alignment horizontal="center"/>
    </xf>
    <xf numFmtId="0" fontId="10" fillId="2" borderId="2" xfId="0" applyFont="1" applyFill="1" applyBorder="1"/>
    <xf numFmtId="0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2" xfId="1" applyNumberFormat="1" applyFont="1" applyFill="1" applyBorder="1" applyAlignment="1">
      <alignment horizontal="center" vertical="center"/>
    </xf>
    <xf numFmtId="44" fontId="9" fillId="2" borderId="2" xfId="1" applyFont="1" applyFill="1" applyBorder="1" applyAlignment="1">
      <alignment horizontal="center" vertical="center"/>
    </xf>
    <xf numFmtId="44" fontId="9" fillId="2" borderId="6" xfId="1" applyFont="1" applyFill="1" applyBorder="1" applyAlignment="1">
      <alignment horizontal="center" vertical="center"/>
    </xf>
    <xf numFmtId="44" fontId="7" fillId="2" borderId="11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/>
    </xf>
    <xf numFmtId="7" fontId="3" fillId="2" borderId="2" xfId="1" applyNumberFormat="1" applyFont="1" applyFill="1" applyBorder="1" applyAlignment="1">
      <alignment horizontal="right"/>
    </xf>
    <xf numFmtId="7" fontId="3" fillId="2" borderId="10" xfId="1" applyNumberFormat="1" applyFont="1" applyFill="1" applyBorder="1" applyAlignment="1"/>
    <xf numFmtId="7" fontId="7" fillId="2" borderId="4" xfId="1" applyNumberFormat="1" applyFont="1" applyFill="1" applyBorder="1" applyAlignment="1">
      <alignment horizontal="right"/>
    </xf>
    <xf numFmtId="0" fontId="0" fillId="2" borderId="2" xfId="0" applyFill="1" applyBorder="1"/>
    <xf numFmtId="0" fontId="9" fillId="2" borderId="6" xfId="1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44" fontId="12" fillId="0" borderId="0" xfId="1" applyFont="1" applyFill="1"/>
    <xf numFmtId="44" fontId="4" fillId="0" borderId="0" xfId="1" applyFont="1" applyFill="1"/>
    <xf numFmtId="44" fontId="0" fillId="0" borderId="0" xfId="1" applyFont="1" applyFill="1"/>
    <xf numFmtId="44" fontId="9" fillId="2" borderId="0" xfId="1" applyFont="1" applyFill="1" applyBorder="1" applyAlignment="1">
      <alignment horizontal="center" vertical="center"/>
    </xf>
    <xf numFmtId="44" fontId="9" fillId="0" borderId="16" xfId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4" fontId="9" fillId="0" borderId="1" xfId="0" applyNumberFormat="1" applyFont="1" applyBorder="1" applyAlignment="1">
      <alignment horizontal="center"/>
    </xf>
    <xf numFmtId="44" fontId="9" fillId="0" borderId="3" xfId="1" applyFont="1" applyBorder="1" applyAlignment="1">
      <alignment horizontal="center" vertical="center"/>
    </xf>
    <xf numFmtId="44" fontId="9" fillId="0" borderId="16" xfId="0" applyNumberFormat="1" applyFont="1" applyBorder="1" applyAlignment="1">
      <alignment horizontal="center"/>
    </xf>
    <xf numFmtId="44" fontId="9" fillId="0" borderId="19" xfId="1" applyFont="1" applyBorder="1"/>
    <xf numFmtId="2" fontId="7" fillId="2" borderId="0" xfId="0" applyNumberFormat="1" applyFont="1" applyFill="1" applyBorder="1" applyAlignment="1">
      <alignment horizontal="right"/>
    </xf>
    <xf numFmtId="2" fontId="8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9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1" applyNumberFormat="1" applyFont="1" applyFill="1" applyBorder="1" applyAlignment="1">
      <alignment horizontal="center" vertical="center"/>
    </xf>
    <xf numFmtId="2" fontId="7" fillId="0" borderId="29" xfId="0" applyNumberFormat="1" applyFont="1" applyBorder="1" applyAlignment="1">
      <alignment horizontal="right"/>
    </xf>
    <xf numFmtId="2" fontId="8" fillId="0" borderId="2" xfId="0" applyNumberFormat="1" applyFont="1" applyBorder="1" applyAlignment="1">
      <alignment horizontal="center"/>
    </xf>
    <xf numFmtId="0" fontId="10" fillId="0" borderId="17" xfId="0" applyFont="1" applyBorder="1"/>
    <xf numFmtId="3" fontId="9" fillId="0" borderId="17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7" xfId="0" applyNumberFormat="1" applyFont="1" applyBorder="1" applyAlignment="1">
      <alignment horizontal="center"/>
    </xf>
    <xf numFmtId="44" fontId="9" fillId="0" borderId="17" xfId="1" applyFont="1" applyBorder="1" applyAlignment="1">
      <alignment horizontal="center"/>
    </xf>
    <xf numFmtId="44" fontId="9" fillId="0" borderId="17" xfId="0" applyNumberFormat="1" applyFont="1" applyBorder="1" applyAlignment="1">
      <alignment horizontal="center"/>
    </xf>
    <xf numFmtId="0" fontId="9" fillId="0" borderId="26" xfId="1" applyNumberFormat="1" applyFont="1" applyBorder="1" applyAlignment="1">
      <alignment horizontal="center" vertical="center"/>
    </xf>
    <xf numFmtId="44" fontId="9" fillId="0" borderId="27" xfId="1" applyNumberFormat="1" applyFont="1" applyBorder="1" applyAlignment="1">
      <alignment horizontal="center" vertical="center"/>
    </xf>
    <xf numFmtId="44" fontId="9" fillId="0" borderId="26" xfId="1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/>
    </xf>
    <xf numFmtId="0" fontId="0" fillId="2" borderId="6" xfId="0" applyFill="1" applyBorder="1"/>
    <xf numFmtId="44" fontId="8" fillId="2" borderId="11" xfId="1" applyFont="1" applyFill="1" applyBorder="1"/>
    <xf numFmtId="44" fontId="7" fillId="2" borderId="11" xfId="1" applyFont="1" applyFill="1" applyBorder="1" applyAlignment="1">
      <alignment vertical="center"/>
    </xf>
    <xf numFmtId="0" fontId="9" fillId="2" borderId="6" xfId="0" applyFont="1" applyFill="1" applyBorder="1" applyAlignment="1">
      <alignment horizontal="center"/>
    </xf>
    <xf numFmtId="44" fontId="8" fillId="2" borderId="11" xfId="0" applyNumberFormat="1" applyFont="1" applyFill="1" applyBorder="1"/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9" fillId="0" borderId="1" xfId="0" applyNumberFormat="1" applyFont="1" applyBorder="1" applyAlignment="1">
      <alignment horizontal="left"/>
    </xf>
    <xf numFmtId="0" fontId="9" fillId="0" borderId="16" xfId="0" applyNumberFormat="1" applyFont="1" applyBorder="1" applyAlignment="1">
      <alignment horizontal="left"/>
    </xf>
    <xf numFmtId="2" fontId="0" fillId="0" borderId="0" xfId="0" applyNumberFormat="1"/>
    <xf numFmtId="165" fontId="7" fillId="0" borderId="18" xfId="0" applyNumberFormat="1" applyFont="1" applyBorder="1" applyAlignment="1">
      <alignment horizontal="right"/>
    </xf>
    <xf numFmtId="165" fontId="7" fillId="0" borderId="29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168" fontId="9" fillId="0" borderId="1" xfId="1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44" fontId="9" fillId="0" borderId="3" xfId="1" applyFont="1" applyBorder="1"/>
    <xf numFmtId="0" fontId="8" fillId="0" borderId="1" xfId="0" applyFont="1" applyBorder="1"/>
    <xf numFmtId="0" fontId="18" fillId="0" borderId="21" xfId="0" applyFont="1" applyBorder="1" applyAlignment="1">
      <alignment horizontal="left"/>
    </xf>
    <xf numFmtId="0" fontId="6" fillId="0" borderId="0" xfId="0" applyFont="1"/>
    <xf numFmtId="0" fontId="17" fillId="0" borderId="21" xfId="0" applyFont="1" applyBorder="1" applyAlignment="1">
      <alignment horizontal="left"/>
    </xf>
    <xf numFmtId="0" fontId="6" fillId="0" borderId="1" xfId="0" applyFont="1" applyBorder="1"/>
    <xf numFmtId="0" fontId="19" fillId="0" borderId="1" xfId="0" applyFont="1" applyBorder="1"/>
    <xf numFmtId="0" fontId="9" fillId="0" borderId="3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44" fontId="7" fillId="0" borderId="3" xfId="1" applyFont="1" applyBorder="1" applyAlignment="1">
      <alignment horizontal="center" vertical="center"/>
    </xf>
    <xf numFmtId="44" fontId="7" fillId="0" borderId="3" xfId="1" applyNumberFormat="1" applyFont="1" applyBorder="1" applyAlignment="1">
      <alignment horizontal="center" vertical="center"/>
    </xf>
    <xf numFmtId="0" fontId="6" fillId="0" borderId="16" xfId="0" applyFont="1" applyBorder="1"/>
    <xf numFmtId="0" fontId="7" fillId="0" borderId="16" xfId="1" applyNumberFormat="1" applyFont="1" applyBorder="1" applyAlignment="1">
      <alignment horizontal="center" vertical="center"/>
    </xf>
    <xf numFmtId="44" fontId="7" fillId="0" borderId="15" xfId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/>
    </xf>
    <xf numFmtId="0" fontId="6" fillId="0" borderId="17" xfId="0" applyFont="1" applyBorder="1"/>
    <xf numFmtId="0" fontId="9" fillId="0" borderId="17" xfId="1" applyNumberFormat="1" applyFont="1" applyBorder="1" applyAlignment="1">
      <alignment horizontal="center" vertical="center"/>
    </xf>
    <xf numFmtId="44" fontId="9" fillId="0" borderId="17" xfId="1" applyFont="1" applyBorder="1" applyAlignment="1">
      <alignment horizontal="center" vertical="center"/>
    </xf>
    <xf numFmtId="44" fontId="9" fillId="0" borderId="27" xfId="1" applyFont="1" applyBorder="1" applyAlignment="1">
      <alignment horizontal="center" vertical="center"/>
    </xf>
    <xf numFmtId="0" fontId="17" fillId="0" borderId="16" xfId="0" applyFont="1" applyBorder="1" applyAlignment="1">
      <alignment horizontal="left"/>
    </xf>
    <xf numFmtId="168" fontId="9" fillId="0" borderId="16" xfId="1" applyNumberFormat="1" applyFont="1" applyBorder="1" applyAlignment="1">
      <alignment horizontal="center"/>
    </xf>
    <xf numFmtId="3" fontId="9" fillId="0" borderId="21" xfId="0" applyNumberFormat="1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68" fontId="9" fillId="0" borderId="17" xfId="1" applyNumberFormat="1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44" fontId="9" fillId="0" borderId="23" xfId="1" applyFont="1" applyBorder="1" applyAlignment="1">
      <alignment horizontal="center" vertical="center"/>
    </xf>
    <xf numFmtId="44" fontId="9" fillId="0" borderId="26" xfId="1" applyFont="1" applyBorder="1" applyAlignment="1">
      <alignment horizontal="center" vertical="center"/>
    </xf>
    <xf numFmtId="0" fontId="0" fillId="0" borderId="0" xfId="0"/>
    <xf numFmtId="0" fontId="0" fillId="0" borderId="0" xfId="0"/>
    <xf numFmtId="44" fontId="7" fillId="0" borderId="1" xfId="1" applyFont="1" applyBorder="1" applyAlignment="1">
      <alignment horizontal="center" vertical="center"/>
    </xf>
    <xf numFmtId="3" fontId="17" fillId="0" borderId="1" xfId="2" applyNumberFormat="1" applyFont="1" applyFill="1" applyBorder="1" applyAlignment="1">
      <alignment horizontal="center"/>
    </xf>
    <xf numFmtId="0" fontId="17" fillId="0" borderId="28" xfId="0" applyFont="1" applyBorder="1" applyAlignment="1">
      <alignment horizontal="center"/>
    </xf>
    <xf numFmtId="7" fontId="17" fillId="0" borderId="21" xfId="1" applyNumberFormat="1" applyFont="1" applyFill="1" applyBorder="1"/>
    <xf numFmtId="7" fontId="17" fillId="0" borderId="21" xfId="1" applyNumberFormat="1" applyFont="1" applyFill="1" applyBorder="1" applyAlignment="1">
      <alignment horizontal="right"/>
    </xf>
    <xf numFmtId="0" fontId="18" fillId="0" borderId="1" xfId="0" applyFont="1" applyBorder="1" applyAlignment="1">
      <alignment horizontal="left"/>
    </xf>
    <xf numFmtId="44" fontId="7" fillId="0" borderId="16" xfId="1" applyFont="1" applyBorder="1" applyAlignment="1">
      <alignment horizontal="center" vertical="center"/>
    </xf>
    <xf numFmtId="0" fontId="0" fillId="0" borderId="0" xfId="0"/>
    <xf numFmtId="0" fontId="8" fillId="0" borderId="0" xfId="0" applyFont="1" applyBorder="1" applyAlignment="1">
      <alignment horizontal="right"/>
    </xf>
    <xf numFmtId="7" fontId="36" fillId="2" borderId="4" xfId="1" applyNumberFormat="1" applyFont="1" applyFill="1" applyBorder="1" applyAlignment="1">
      <alignment horizontal="right"/>
    </xf>
    <xf numFmtId="0" fontId="8" fillId="0" borderId="21" xfId="0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169" fontId="9" fillId="0" borderId="1" xfId="0" applyNumberFormat="1" applyFont="1" applyBorder="1" applyAlignment="1">
      <alignment horizontal="center"/>
    </xf>
    <xf numFmtId="0" fontId="0" fillId="0" borderId="0" xfId="0"/>
    <xf numFmtId="0" fontId="6" fillId="0" borderId="0" xfId="0" applyFont="1" applyBorder="1" applyAlignment="1">
      <alignment horizontal="left"/>
    </xf>
    <xf numFmtId="44" fontId="9" fillId="0" borderId="21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7" fillId="0" borderId="21" xfId="1" applyFont="1" applyBorder="1" applyAlignment="1">
      <alignment horizontal="center"/>
    </xf>
    <xf numFmtId="44" fontId="7" fillId="0" borderId="8" xfId="1" applyFont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8" xfId="0" applyFont="1" applyFill="1" applyBorder="1" applyAlignment="1">
      <alignment horizontal="center"/>
    </xf>
    <xf numFmtId="44" fontId="2" fillId="2" borderId="2" xfId="1" quotePrefix="1" applyFont="1" applyFill="1" applyBorder="1" applyAlignment="1">
      <alignment horizontal="center" vertical="center"/>
    </xf>
    <xf numFmtId="44" fontId="2" fillId="2" borderId="6" xfId="1" quotePrefix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0" xfId="0" applyAlignment="1"/>
    <xf numFmtId="164" fontId="7" fillId="2" borderId="7" xfId="0" applyNumberFormat="1" applyFont="1" applyFill="1" applyBorder="1" applyAlignment="1">
      <alignment horizontal="center"/>
    </xf>
    <xf numFmtId="164" fontId="7" fillId="2" borderId="0" xfId="0" applyNumberFormat="1" applyFont="1" applyFill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  <xf numFmtId="164" fontId="7" fillId="2" borderId="4" xfId="0" applyNumberFormat="1" applyFont="1" applyFill="1" applyBorder="1" applyAlignment="1">
      <alignment horizontal="center"/>
    </xf>
    <xf numFmtId="164" fontId="7" fillId="2" borderId="11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44" fontId="7" fillId="2" borderId="4" xfId="1" quotePrefix="1" applyFont="1" applyFill="1" applyBorder="1" applyAlignment="1">
      <alignment horizontal="center" vertical="center"/>
    </xf>
    <xf numFmtId="44" fontId="7" fillId="2" borderId="11" xfId="1" quotePrefix="1" applyFont="1" applyFill="1" applyBorder="1" applyAlignment="1">
      <alignment horizontal="center" vertical="center"/>
    </xf>
    <xf numFmtId="44" fontId="36" fillId="2" borderId="4" xfId="1" quotePrefix="1" applyFont="1" applyFill="1" applyBorder="1" applyAlignment="1">
      <alignment horizontal="center" vertical="center"/>
    </xf>
    <xf numFmtId="44" fontId="36" fillId="2" borderId="11" xfId="1" quotePrefix="1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167" fontId="7" fillId="2" borderId="10" xfId="0" applyNumberFormat="1" applyFont="1" applyFill="1" applyBorder="1" applyAlignment="1">
      <alignment horizontal="center"/>
    </xf>
    <xf numFmtId="167" fontId="7" fillId="2" borderId="4" xfId="0" applyNumberFormat="1" applyFont="1" applyFill="1" applyBorder="1" applyAlignment="1">
      <alignment horizontal="center"/>
    </xf>
    <xf numFmtId="167" fontId="7" fillId="2" borderId="11" xfId="0" applyNumberFormat="1" applyFont="1" applyFill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2" borderId="10" xfId="1" applyNumberFormat="1" applyFont="1" applyFill="1" applyBorder="1" applyAlignment="1">
      <alignment horizontal="right" vertical="center"/>
    </xf>
    <xf numFmtId="0" fontId="7" fillId="2" borderId="4" xfId="1" applyNumberFormat="1" applyFont="1" applyFill="1" applyBorder="1" applyAlignment="1">
      <alignment horizontal="right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</cellXfs>
  <cellStyles count="46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40" xr:uid="{D3AB1A71-27F6-482C-B543-B59EB8493B3C}"/>
    <cellStyle name="60% - Accent2 2" xfId="41" xr:uid="{07FC8544-8CC5-49B8-9879-488FBF05E4A4}"/>
    <cellStyle name="60% - Accent3 2" xfId="42" xr:uid="{F11159B2-5C3C-4AC7-B562-95B8E504C23B}"/>
    <cellStyle name="60% - Accent4 2" xfId="43" xr:uid="{203FAF86-BBE0-47AE-8863-417DF20CE26C}"/>
    <cellStyle name="60% - Accent5 2" xfId="44" xr:uid="{002C099B-11A3-4ECD-A308-274EBC33E08C}"/>
    <cellStyle name="60% - Accent6 2" xfId="45" xr:uid="{C43457F6-A1EA-4465-9E10-3C5BDF534C69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9" builtinId="27" customBuiltin="1"/>
    <cellStyle name="Calculation" xfId="12" builtinId="22" customBuiltin="1"/>
    <cellStyle name="Check Cell" xfId="14" builtinId="23" customBuiltin="1"/>
    <cellStyle name="Comma" xfId="2" builtinId="3"/>
    <cellStyle name="Currency" xfId="1" builtinId="4"/>
    <cellStyle name="Explanatory Text" xfId="16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3" builtinId="8"/>
    <cellStyle name="Input" xfId="10" builtinId="20" customBuiltin="1"/>
    <cellStyle name="Linked Cell" xfId="13" builtinId="24" customBuiltin="1"/>
    <cellStyle name="Neutral 2" xfId="38" xr:uid="{126EB7A3-0402-4A71-B8BC-7F7DB471ABDE}"/>
    <cellStyle name="Normal" xfId="0" builtinId="0"/>
    <cellStyle name="Normal 2" xfId="36" xr:uid="{FA7EA978-14C9-41C9-B682-135D8214FCF5}"/>
    <cellStyle name="Note 2" xfId="39" xr:uid="{BC3C7326-14DA-4996-ADA8-519A0CBFC675}"/>
    <cellStyle name="Output" xfId="11" builtinId="21" customBuiltin="1"/>
    <cellStyle name="Title 2" xfId="37" xr:uid="{C357D9B1-F784-4910-AFEE-C80241350160}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C91A7-C9CD-47C1-9191-DC929CDE2748}">
  <sheetPr>
    <pageSetUpPr fitToPage="1"/>
  </sheetPr>
  <dimension ref="A1:O33"/>
  <sheetViews>
    <sheetView view="pageBreakPreview" topLeftCell="A7" zoomScale="85" zoomScaleNormal="85" zoomScaleSheetLayoutView="85" workbookViewId="0">
      <selection activeCell="C35" sqref="C35"/>
    </sheetView>
  </sheetViews>
  <sheetFormatPr defaultColWidth="13.875" defaultRowHeight="14.25" x14ac:dyDescent="0.2"/>
  <cols>
    <col min="1" max="1" width="13.875" style="25"/>
    <col min="2" max="2" width="19" style="25" customWidth="1"/>
    <col min="3" max="3" width="123.375" style="25" customWidth="1"/>
    <col min="4" max="4" width="15.25" style="1" customWidth="1"/>
    <col min="5" max="5" width="14.125" style="1" customWidth="1"/>
    <col min="6" max="6" width="13.875" style="25"/>
    <col min="7" max="7" width="26.375" style="25" customWidth="1"/>
    <col min="8" max="8" width="11.5" style="25" bestFit="1" customWidth="1"/>
    <col min="9" max="9" width="82.625" style="25" bestFit="1" customWidth="1"/>
    <col min="10" max="10" width="13.875" style="25"/>
    <col min="11" max="11" width="8.25" style="25" bestFit="1" customWidth="1"/>
    <col min="12" max="12" width="24.75" style="25" bestFit="1" customWidth="1"/>
    <col min="13" max="13" width="16.625" style="25" bestFit="1" customWidth="1"/>
    <col min="14" max="14" width="19" style="25" customWidth="1"/>
    <col min="15" max="16384" width="13.875" style="25"/>
  </cols>
  <sheetData>
    <row r="1" spans="2:14" ht="20.25" customHeight="1" thickBot="1" x14ac:dyDescent="0.25">
      <c r="B1" s="171"/>
      <c r="C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2:14" ht="18" x14ac:dyDescent="0.25">
      <c r="B2" s="177" t="s">
        <v>0</v>
      </c>
      <c r="C2" s="178"/>
      <c r="D2" s="178"/>
      <c r="E2" s="179"/>
      <c r="F2" s="171"/>
      <c r="G2" s="171"/>
      <c r="H2" s="171"/>
      <c r="I2" s="171"/>
      <c r="J2" s="171"/>
      <c r="K2" s="171"/>
      <c r="L2" s="171"/>
      <c r="M2" s="171"/>
      <c r="N2" s="171"/>
    </row>
    <row r="3" spans="2:14" ht="18" x14ac:dyDescent="0.25">
      <c r="B3" s="180" t="s">
        <v>1</v>
      </c>
      <c r="C3" s="181"/>
      <c r="D3" s="181"/>
      <c r="E3" s="182"/>
      <c r="F3" s="171"/>
      <c r="G3" s="171"/>
      <c r="H3" s="171"/>
      <c r="I3" s="186"/>
      <c r="J3" s="186"/>
      <c r="K3" s="186"/>
      <c r="L3" s="186"/>
      <c r="M3" s="186"/>
      <c r="N3" s="186"/>
    </row>
    <row r="4" spans="2:14" ht="18.75" customHeight="1" x14ac:dyDescent="0.25">
      <c r="B4" s="187" t="s">
        <v>2</v>
      </c>
      <c r="C4" s="188"/>
      <c r="D4" s="188"/>
      <c r="E4" s="189"/>
      <c r="F4" s="171"/>
      <c r="G4" s="171"/>
      <c r="H4" s="171"/>
      <c r="I4" s="171"/>
      <c r="J4" s="171"/>
      <c r="K4" s="171"/>
      <c r="L4" s="171"/>
      <c r="M4" s="171"/>
      <c r="N4" s="171"/>
    </row>
    <row r="5" spans="2:14" ht="15" customHeight="1" thickBot="1" x14ac:dyDescent="0.3">
      <c r="B5" s="190"/>
      <c r="C5" s="191"/>
      <c r="D5" s="191"/>
      <c r="E5" s="192"/>
      <c r="F5" s="171"/>
      <c r="G5" s="1"/>
      <c r="H5" s="1"/>
      <c r="I5" s="1"/>
      <c r="J5" s="1"/>
      <c r="K5" s="1"/>
      <c r="L5" s="1"/>
      <c r="M5" s="1"/>
      <c r="N5" s="1"/>
    </row>
    <row r="6" spans="2:14" s="2" customFormat="1" ht="18" customHeight="1" x14ac:dyDescent="0.25">
      <c r="B6" s="193" t="s">
        <v>3</v>
      </c>
      <c r="C6" s="195" t="s">
        <v>4</v>
      </c>
      <c r="D6" s="197" t="s">
        <v>5</v>
      </c>
      <c r="E6" s="198"/>
      <c r="G6" s="171"/>
      <c r="H6" s="171"/>
      <c r="I6" s="171"/>
      <c r="J6" s="171"/>
      <c r="K6" s="171"/>
      <c r="L6" s="171"/>
      <c r="M6" s="171"/>
      <c r="N6" s="171"/>
    </row>
    <row r="7" spans="2:14" s="2" customFormat="1" ht="18" customHeight="1" x14ac:dyDescent="0.25">
      <c r="B7" s="194"/>
      <c r="C7" s="196"/>
      <c r="D7" s="199"/>
      <c r="E7" s="200"/>
      <c r="G7" s="171"/>
      <c r="H7" s="171"/>
      <c r="I7" s="171"/>
      <c r="J7" s="171"/>
      <c r="K7" s="171"/>
      <c r="L7" s="171"/>
      <c r="M7" s="171"/>
      <c r="N7" s="171"/>
    </row>
    <row r="8" spans="2:14" s="48" customFormat="1" ht="18" hidden="1" x14ac:dyDescent="0.25">
      <c r="B8" s="45"/>
      <c r="C8" s="41" t="s">
        <v>6</v>
      </c>
      <c r="D8" s="173"/>
      <c r="E8" s="174"/>
      <c r="F8" s="171"/>
      <c r="G8" s="171"/>
      <c r="H8" s="171"/>
      <c r="I8" s="171"/>
      <c r="J8" s="171"/>
      <c r="K8" s="171"/>
      <c r="L8" s="171"/>
      <c r="M8" s="171"/>
      <c r="N8" s="171"/>
    </row>
    <row r="9" spans="2:14" s="48" customFormat="1" ht="18" hidden="1" x14ac:dyDescent="0.25">
      <c r="B9" s="45">
        <v>353.2</v>
      </c>
      <c r="C9" s="40" t="s">
        <v>7</v>
      </c>
      <c r="D9" s="173" t="e">
        <f>#REF!</f>
        <v>#REF!</v>
      </c>
      <c r="E9" s="174"/>
      <c r="F9" s="171"/>
      <c r="G9" s="171"/>
      <c r="H9" s="171"/>
      <c r="I9" s="171"/>
      <c r="J9" s="171"/>
      <c r="K9" s="171"/>
      <c r="L9" s="171"/>
      <c r="M9" s="171"/>
      <c r="N9" s="171"/>
    </row>
    <row r="10" spans="2:14" s="48" customFormat="1" hidden="1" x14ac:dyDescent="0.2">
      <c r="B10" s="76"/>
      <c r="C10" s="77"/>
      <c r="D10" s="183"/>
      <c r="E10" s="184"/>
      <c r="F10" s="171"/>
      <c r="G10" s="1"/>
      <c r="H10" s="1"/>
      <c r="I10" s="1"/>
      <c r="J10" s="1"/>
      <c r="K10" s="1"/>
      <c r="L10" s="1"/>
      <c r="M10" s="1"/>
      <c r="N10" s="1"/>
    </row>
    <row r="11" spans="2:14" s="48" customFormat="1" ht="18.75" hidden="1" thickBot="1" x14ac:dyDescent="0.3">
      <c r="B11" s="78"/>
      <c r="C11" s="79" t="s">
        <v>8</v>
      </c>
      <c r="D11" s="201" t="e">
        <f>D9</f>
        <v>#REF!</v>
      </c>
      <c r="E11" s="202"/>
      <c r="F11" s="171"/>
      <c r="G11" s="1"/>
      <c r="H11" s="1"/>
      <c r="I11" s="1"/>
      <c r="J11" s="1"/>
      <c r="K11" s="1"/>
      <c r="L11" s="1"/>
      <c r="M11" s="1"/>
      <c r="N11" s="1"/>
    </row>
    <row r="12" spans="2:14" ht="18" x14ac:dyDescent="0.25">
      <c r="B12" s="14"/>
      <c r="C12" s="41" t="s">
        <v>9</v>
      </c>
      <c r="D12" s="173"/>
      <c r="E12" s="174"/>
      <c r="F12" s="171"/>
      <c r="G12" s="171"/>
      <c r="H12" s="171"/>
      <c r="I12" s="171"/>
      <c r="J12" s="171"/>
      <c r="K12" s="171"/>
      <c r="L12" s="171"/>
      <c r="M12" s="171"/>
      <c r="N12" s="171"/>
    </row>
    <row r="13" spans="2:14" ht="18" x14ac:dyDescent="0.25">
      <c r="B13" s="45">
        <v>353.2</v>
      </c>
      <c r="C13" s="40" t="s">
        <v>10</v>
      </c>
      <c r="D13" s="173">
        <f>'Land and Right-of-Ways'!I28</f>
        <v>646</v>
      </c>
      <c r="E13" s="174"/>
      <c r="F13" s="171"/>
      <c r="G13" s="171"/>
      <c r="H13" s="171"/>
      <c r="I13" s="171"/>
      <c r="J13" s="171"/>
      <c r="K13" s="171"/>
      <c r="L13" s="171"/>
      <c r="M13" s="171"/>
      <c r="N13" s="171"/>
    </row>
    <row r="14" spans="2:14" s="163" customFormat="1" ht="18" x14ac:dyDescent="0.25">
      <c r="B14" s="45"/>
      <c r="C14" s="166" t="s">
        <v>11</v>
      </c>
      <c r="D14" s="175">
        <f>D13</f>
        <v>646</v>
      </c>
      <c r="E14" s="176"/>
      <c r="F14" s="171"/>
      <c r="G14" s="171"/>
      <c r="H14" s="171"/>
      <c r="I14" s="171"/>
      <c r="J14" s="171"/>
      <c r="K14" s="171"/>
      <c r="L14" s="171"/>
      <c r="M14" s="171"/>
      <c r="N14" s="171"/>
    </row>
    <row r="15" spans="2:14" s="163" customFormat="1" ht="18" x14ac:dyDescent="0.25">
      <c r="B15" s="45"/>
      <c r="C15" s="40"/>
      <c r="D15" s="173"/>
      <c r="E15" s="174"/>
      <c r="F15" s="171"/>
      <c r="G15" s="171"/>
      <c r="H15" s="171"/>
      <c r="I15" s="171"/>
      <c r="J15" s="171"/>
      <c r="K15" s="171"/>
      <c r="L15" s="171"/>
      <c r="M15" s="171"/>
      <c r="N15" s="171"/>
    </row>
    <row r="16" spans="2:14" s="163" customFormat="1" ht="18" x14ac:dyDescent="0.25">
      <c r="B16" s="14"/>
      <c r="C16" s="41" t="s">
        <v>9</v>
      </c>
      <c r="D16" s="173"/>
      <c r="E16" s="174"/>
      <c r="F16" s="171"/>
      <c r="G16" s="171"/>
      <c r="H16" s="171"/>
      <c r="I16" s="171"/>
      <c r="J16" s="171"/>
      <c r="K16" s="171"/>
      <c r="L16" s="171"/>
      <c r="M16" s="171"/>
      <c r="N16" s="171"/>
    </row>
    <row r="17" spans="1:15" s="163" customFormat="1" ht="18" x14ac:dyDescent="0.25">
      <c r="A17" s="171"/>
      <c r="B17" s="45">
        <v>354.2</v>
      </c>
      <c r="C17" s="40" t="s">
        <v>12</v>
      </c>
      <c r="D17" s="173">
        <f>'PS Structures and Improvements'!L248</f>
        <v>2213536.778792135</v>
      </c>
      <c r="E17" s="174"/>
      <c r="F17" s="171"/>
      <c r="G17" s="171"/>
      <c r="H17" s="171"/>
      <c r="I17" s="171"/>
      <c r="J17" s="171"/>
      <c r="K17" s="171"/>
      <c r="L17" s="171"/>
      <c r="M17" s="171"/>
      <c r="N17" s="171"/>
      <c r="O17" s="171"/>
    </row>
    <row r="18" spans="1:15" s="48" customFormat="1" ht="18" x14ac:dyDescent="0.25">
      <c r="A18" s="171"/>
      <c r="B18" s="45">
        <v>354.4</v>
      </c>
      <c r="C18" s="40" t="s">
        <v>13</v>
      </c>
      <c r="D18" s="173">
        <f>Treatment!F26</f>
        <v>2186739</v>
      </c>
      <c r="E18" s="174"/>
      <c r="F18" s="171"/>
      <c r="G18" s="171"/>
      <c r="H18" s="171"/>
      <c r="I18" s="171"/>
      <c r="J18" s="171"/>
      <c r="K18" s="171"/>
      <c r="L18" s="171"/>
      <c r="M18" s="171"/>
      <c r="N18" s="171"/>
      <c r="O18" s="171"/>
    </row>
    <row r="19" spans="1:15" ht="18" x14ac:dyDescent="0.25">
      <c r="A19" s="171"/>
      <c r="B19" s="45">
        <v>355.2</v>
      </c>
      <c r="C19" s="40" t="s">
        <v>14</v>
      </c>
      <c r="D19" s="173">
        <f>'PS Power Generation Equipment'!L66</f>
        <v>292281.68890449428</v>
      </c>
      <c r="E19" s="174"/>
      <c r="F19" s="171"/>
      <c r="G19" s="171"/>
      <c r="H19" s="171"/>
      <c r="I19" s="171"/>
      <c r="J19" s="171"/>
      <c r="K19" s="171"/>
      <c r="L19" s="171"/>
      <c r="M19" s="171"/>
      <c r="N19" s="171"/>
      <c r="O19" s="171"/>
    </row>
    <row r="20" spans="1:15" s="169" customFormat="1" ht="18" x14ac:dyDescent="0.25">
      <c r="A20" s="171"/>
      <c r="B20" s="45">
        <v>356.2</v>
      </c>
      <c r="C20" s="40" t="s">
        <v>15</v>
      </c>
      <c r="D20" s="173">
        <f>'PS Power Protection and Control'!L122</f>
        <v>506720.07022471918</v>
      </c>
      <c r="E20" s="174"/>
      <c r="F20" s="171"/>
      <c r="G20" s="171"/>
      <c r="H20" s="171"/>
      <c r="I20" s="171"/>
      <c r="J20" s="171"/>
      <c r="K20" s="171"/>
      <c r="L20" s="171"/>
      <c r="M20" s="171"/>
      <c r="N20" s="171"/>
      <c r="O20" s="171"/>
    </row>
    <row r="21" spans="1:15" ht="18" x14ac:dyDescent="0.25">
      <c r="A21" s="171"/>
      <c r="B21" s="45">
        <v>359.2</v>
      </c>
      <c r="C21" s="40" t="s">
        <v>16</v>
      </c>
      <c r="D21" s="173">
        <f>Pressure!P16</f>
        <v>354372.85186095512</v>
      </c>
      <c r="E21" s="174"/>
      <c r="F21" s="171"/>
      <c r="G21" s="1"/>
      <c r="H21" s="1"/>
      <c r="I21" s="1"/>
      <c r="J21" s="1"/>
      <c r="K21" s="1"/>
      <c r="L21" s="1"/>
      <c r="M21" s="1"/>
      <c r="N21" s="1"/>
      <c r="O21" s="171"/>
    </row>
    <row r="22" spans="1:15" ht="18" x14ac:dyDescent="0.25">
      <c r="A22" s="171"/>
      <c r="B22" s="45">
        <v>360.2</v>
      </c>
      <c r="C22" s="40" t="s">
        <v>17</v>
      </c>
      <c r="D22" s="173">
        <f>'Force Main'!N33</f>
        <v>837435.80898876395</v>
      </c>
      <c r="E22" s="174"/>
      <c r="F22" s="171"/>
      <c r="G22" s="1"/>
      <c r="H22" s="1"/>
      <c r="I22" s="1"/>
      <c r="J22" s="1"/>
      <c r="K22" s="1"/>
      <c r="L22" s="1"/>
      <c r="M22" s="1"/>
      <c r="N22" s="1"/>
      <c r="O22" s="171"/>
    </row>
    <row r="23" spans="1:15" ht="18" x14ac:dyDescent="0.25">
      <c r="A23" s="171"/>
      <c r="B23" s="45">
        <v>361.2</v>
      </c>
      <c r="C23" s="40" t="s">
        <v>18</v>
      </c>
      <c r="D23" s="173">
        <f>'Gravity '!P231</f>
        <v>22142440.897032987</v>
      </c>
      <c r="E23" s="174"/>
      <c r="F23" s="171"/>
      <c r="G23" s="171"/>
      <c r="H23" s="171"/>
      <c r="I23" s="171"/>
      <c r="J23" s="171"/>
      <c r="K23" s="171"/>
      <c r="L23" s="171"/>
      <c r="M23" s="171"/>
      <c r="N23" s="171"/>
      <c r="O23" s="171"/>
    </row>
    <row r="24" spans="1:15" ht="18" x14ac:dyDescent="0.25">
      <c r="A24" s="171"/>
      <c r="B24" s="45">
        <v>363.2</v>
      </c>
      <c r="C24" s="40" t="s">
        <v>19</v>
      </c>
      <c r="D24" s="173">
        <f>'Services Laterals'!K138</f>
        <v>2286076.9838483147</v>
      </c>
      <c r="E24" s="174"/>
      <c r="F24" s="171"/>
      <c r="G24" s="171"/>
      <c r="H24" s="171"/>
      <c r="I24" s="171"/>
      <c r="J24" s="171"/>
      <c r="K24" s="171"/>
      <c r="L24" s="171"/>
      <c r="M24" s="171"/>
      <c r="N24" s="171"/>
      <c r="O24" s="171"/>
    </row>
    <row r="25" spans="1:15" ht="18" x14ac:dyDescent="0.25">
      <c r="A25" s="171"/>
      <c r="B25" s="45">
        <v>363.2</v>
      </c>
      <c r="C25" s="40" t="s">
        <v>20</v>
      </c>
      <c r="D25" s="173">
        <f>'Flow Meters'!K19</f>
        <v>308281.0305477528</v>
      </c>
      <c r="E25" s="174"/>
      <c r="F25" s="171"/>
      <c r="G25" s="171"/>
      <c r="H25" s="171"/>
      <c r="I25" s="171"/>
      <c r="J25" s="171"/>
      <c r="K25" s="171"/>
      <c r="L25" s="171"/>
      <c r="M25" s="171"/>
      <c r="N25" s="171"/>
      <c r="O25" s="171"/>
    </row>
    <row r="26" spans="1:15" s="123" customFormat="1" ht="18" x14ac:dyDescent="0.25">
      <c r="A26" s="171"/>
      <c r="B26" s="45">
        <v>371.2</v>
      </c>
      <c r="C26" s="40" t="s">
        <v>21</v>
      </c>
      <c r="D26" s="173">
        <f>'PS Pumping Equipment'!L85</f>
        <v>875393.06811797747</v>
      </c>
      <c r="E26" s="174"/>
      <c r="F26" s="171"/>
      <c r="G26" s="171"/>
      <c r="H26" s="171"/>
      <c r="I26" s="171"/>
      <c r="J26" s="171"/>
      <c r="K26" s="171"/>
      <c r="L26" s="171"/>
      <c r="M26" s="171"/>
      <c r="N26" s="171"/>
      <c r="O26" s="171"/>
    </row>
    <row r="27" spans="1:15" s="163" customFormat="1" ht="18.75" thickBot="1" x14ac:dyDescent="0.3">
      <c r="A27" s="171"/>
      <c r="B27" s="45"/>
      <c r="C27" s="164" t="s">
        <v>11</v>
      </c>
      <c r="D27" s="175">
        <f>SUM(D17:E26)</f>
        <v>32003278.178318098</v>
      </c>
      <c r="E27" s="176"/>
      <c r="F27" s="171"/>
      <c r="G27" s="171"/>
      <c r="H27" s="171"/>
      <c r="I27" s="171"/>
      <c r="J27" s="171"/>
      <c r="K27" s="171"/>
      <c r="L27" s="171"/>
      <c r="M27" s="171"/>
      <c r="N27" s="171"/>
      <c r="O27" s="171"/>
    </row>
    <row r="28" spans="1:15" ht="15" x14ac:dyDescent="0.25">
      <c r="A28" s="44"/>
      <c r="B28" s="76"/>
      <c r="C28" s="77"/>
      <c r="D28" s="183"/>
      <c r="E28" s="184"/>
      <c r="F28" s="171"/>
      <c r="G28" s="171"/>
      <c r="H28" s="171"/>
      <c r="I28" s="1"/>
      <c r="J28" s="42"/>
      <c r="K28" s="171"/>
      <c r="L28" s="1"/>
      <c r="M28" s="42"/>
      <c r="N28" s="171"/>
      <c r="O28" s="43"/>
    </row>
    <row r="29" spans="1:15" ht="21" thickBot="1" x14ac:dyDescent="0.35">
      <c r="A29" s="44"/>
      <c r="B29" s="78"/>
      <c r="C29" s="165" t="s">
        <v>22</v>
      </c>
      <c r="D29" s="203">
        <f>SUM(D14,D27)</f>
        <v>32003924.178318098</v>
      </c>
      <c r="E29" s="204"/>
      <c r="F29" s="171"/>
      <c r="G29" s="171"/>
      <c r="H29" s="171"/>
      <c r="I29" s="1"/>
      <c r="J29" s="42"/>
      <c r="K29" s="171"/>
      <c r="L29" s="1"/>
      <c r="M29" s="42"/>
      <c r="N29" s="171"/>
      <c r="O29" s="171"/>
    </row>
    <row r="30" spans="1:15" x14ac:dyDescent="0.2">
      <c r="A30" s="171"/>
      <c r="B30" s="185"/>
      <c r="C30" s="185"/>
      <c r="D30" s="185"/>
      <c r="E30" s="185"/>
      <c r="F30" s="171"/>
      <c r="G30" s="171"/>
      <c r="H30" s="171"/>
      <c r="I30" s="171"/>
      <c r="J30" s="171"/>
      <c r="K30" s="171"/>
      <c r="L30" s="171"/>
      <c r="M30" s="171"/>
      <c r="N30" s="171"/>
      <c r="O30" s="171"/>
    </row>
    <row r="31" spans="1:15" x14ac:dyDescent="0.2">
      <c r="A31" s="171"/>
      <c r="B31" s="171"/>
      <c r="C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</row>
    <row r="32" spans="1:15" x14ac:dyDescent="0.2">
      <c r="A32" s="171"/>
      <c r="B32" s="171"/>
      <c r="C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</row>
    <row r="33" spans="3:3" x14ac:dyDescent="0.2">
      <c r="C33" s="171"/>
    </row>
  </sheetData>
  <mergeCells count="31">
    <mergeCell ref="D27:E27"/>
    <mergeCell ref="B30:E30"/>
    <mergeCell ref="I3:N3"/>
    <mergeCell ref="B4:E4"/>
    <mergeCell ref="B5:E5"/>
    <mergeCell ref="B6:B7"/>
    <mergeCell ref="C6:C7"/>
    <mergeCell ref="D6:E7"/>
    <mergeCell ref="D12:E12"/>
    <mergeCell ref="D13:E13"/>
    <mergeCell ref="D19:E19"/>
    <mergeCell ref="D11:E11"/>
    <mergeCell ref="D18:E18"/>
    <mergeCell ref="D28:E28"/>
    <mergeCell ref="D29:E29"/>
    <mergeCell ref="D21:E21"/>
    <mergeCell ref="D22:E22"/>
    <mergeCell ref="D23:E23"/>
    <mergeCell ref="D24:E24"/>
    <mergeCell ref="D25:E25"/>
    <mergeCell ref="D26:E26"/>
    <mergeCell ref="B2:E2"/>
    <mergeCell ref="B3:E3"/>
    <mergeCell ref="D8:E8"/>
    <mergeCell ref="D9:E9"/>
    <mergeCell ref="D10:E10"/>
    <mergeCell ref="D20:E20"/>
    <mergeCell ref="D16:E16"/>
    <mergeCell ref="D17:E17"/>
    <mergeCell ref="D14:E14"/>
    <mergeCell ref="D15:E15"/>
  </mergeCells>
  <printOptions horizontalCentered="1"/>
  <pageMargins left="0.7" right="0.7" top="1.2" bottom="0.75" header="0.3" footer="0.3"/>
  <pageSetup scale="69" fitToHeight="0" orientation="landscape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57FE-84F4-4608-A81E-8C162355AE9E}">
  <sheetPr>
    <pageSetUpPr fitToPage="1"/>
  </sheetPr>
  <dimension ref="B1:T142"/>
  <sheetViews>
    <sheetView view="pageBreakPreview" zoomScale="70" zoomScaleNormal="70" zoomScaleSheetLayoutView="70" workbookViewId="0">
      <selection activeCell="I134" sqref="I134"/>
    </sheetView>
  </sheetViews>
  <sheetFormatPr defaultColWidth="13.875" defaultRowHeight="14.25" x14ac:dyDescent="0.2"/>
  <cols>
    <col min="1" max="1" width="13.875" style="18"/>
    <col min="2" max="2" width="11.5" style="18" bestFit="1" customWidth="1"/>
    <col min="3" max="3" width="11.5" style="18" customWidth="1"/>
    <col min="4" max="4" width="51.375" style="18" customWidth="1"/>
    <col min="5" max="5" width="13.25" style="18" customWidth="1"/>
    <col min="6" max="6" width="14.375" style="18" customWidth="1"/>
    <col min="7" max="7" width="21.25" style="25" customWidth="1"/>
    <col min="8" max="9" width="16" style="25" bestFit="1" customWidth="1"/>
    <col min="10" max="10" width="16" style="18" bestFit="1" customWidth="1"/>
    <col min="11" max="11" width="18.625" style="18" customWidth="1"/>
    <col min="12" max="12" width="13.875" style="18"/>
    <col min="13" max="13" width="26.375" style="18" customWidth="1"/>
    <col min="14" max="14" width="11.5" style="18" bestFit="1" customWidth="1"/>
    <col min="15" max="15" width="82.625" style="18" bestFit="1" customWidth="1"/>
    <col min="16" max="16" width="13.875" style="18"/>
    <col min="17" max="17" width="8.25" style="18" bestFit="1" customWidth="1"/>
    <col min="18" max="18" width="24.75" style="18" bestFit="1" customWidth="1"/>
    <col min="19" max="19" width="16.625" style="18" bestFit="1" customWidth="1"/>
    <col min="20" max="20" width="19" style="18" customWidth="1"/>
    <col min="21" max="16384" width="13.875" style="18"/>
  </cols>
  <sheetData>
    <row r="1" spans="2:20" ht="20.25" customHeight="1" thickBot="1" x14ac:dyDescent="0.25"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2:20" ht="18" x14ac:dyDescent="0.25">
      <c r="B2" s="177" t="s">
        <v>0</v>
      </c>
      <c r="C2" s="178"/>
      <c r="D2" s="178"/>
      <c r="E2" s="178"/>
      <c r="F2" s="178"/>
      <c r="G2" s="178"/>
      <c r="H2" s="178"/>
      <c r="I2" s="178"/>
      <c r="J2" s="178"/>
      <c r="K2" s="179"/>
      <c r="L2" s="171"/>
      <c r="M2" s="171"/>
      <c r="N2" s="171"/>
      <c r="O2" s="171"/>
      <c r="P2" s="171"/>
      <c r="Q2" s="171"/>
      <c r="R2" s="171"/>
      <c r="S2" s="171"/>
      <c r="T2" s="171"/>
    </row>
    <row r="3" spans="2:20" ht="18" x14ac:dyDescent="0.25">
      <c r="B3" s="180" t="s">
        <v>1</v>
      </c>
      <c r="C3" s="226"/>
      <c r="D3" s="226"/>
      <c r="E3" s="226"/>
      <c r="F3" s="226"/>
      <c r="G3" s="226"/>
      <c r="H3" s="226"/>
      <c r="I3" s="226"/>
      <c r="J3" s="226"/>
      <c r="K3" s="182"/>
      <c r="L3" s="186"/>
      <c r="M3" s="186"/>
      <c r="N3" s="186"/>
      <c r="O3" s="186"/>
      <c r="P3" s="186"/>
      <c r="Q3" s="186"/>
      <c r="R3" s="186"/>
      <c r="S3" s="186"/>
      <c r="T3" s="186"/>
    </row>
    <row r="4" spans="2:20" ht="15" customHeight="1" x14ac:dyDescent="0.25">
      <c r="B4" s="187" t="str">
        <f>Overall!B4</f>
        <v>As of March 22, 2021</v>
      </c>
      <c r="C4" s="205"/>
      <c r="D4" s="205"/>
      <c r="E4" s="205"/>
      <c r="F4" s="205"/>
      <c r="G4" s="205"/>
      <c r="H4" s="205"/>
      <c r="I4" s="205"/>
      <c r="J4" s="205"/>
      <c r="K4" s="189"/>
      <c r="L4" s="186"/>
      <c r="M4" s="186"/>
      <c r="N4" s="186"/>
      <c r="O4" s="186"/>
      <c r="P4" s="186"/>
      <c r="Q4" s="186"/>
      <c r="R4" s="186"/>
      <c r="S4" s="186"/>
      <c r="T4" s="186"/>
    </row>
    <row r="5" spans="2:20" ht="15" customHeight="1" x14ac:dyDescent="0.25">
      <c r="B5" s="187"/>
      <c r="C5" s="205"/>
      <c r="D5" s="205"/>
      <c r="E5" s="205"/>
      <c r="F5" s="205"/>
      <c r="G5" s="205"/>
      <c r="H5" s="205"/>
      <c r="I5" s="205"/>
      <c r="J5" s="205"/>
      <c r="K5" s="189"/>
      <c r="L5" s="171"/>
      <c r="M5" s="186"/>
      <c r="N5" s="186"/>
      <c r="O5" s="171"/>
      <c r="P5" s="171"/>
      <c r="Q5" s="171"/>
      <c r="R5" s="171"/>
      <c r="S5" s="171"/>
      <c r="T5" s="171"/>
    </row>
    <row r="6" spans="2:20" ht="15" customHeight="1" thickBot="1" x14ac:dyDescent="0.3">
      <c r="B6" s="190" t="s">
        <v>329</v>
      </c>
      <c r="C6" s="191"/>
      <c r="D6" s="191"/>
      <c r="E6" s="191"/>
      <c r="F6" s="191"/>
      <c r="G6" s="191"/>
      <c r="H6" s="191"/>
      <c r="I6" s="191"/>
      <c r="J6" s="191"/>
      <c r="K6" s="192"/>
      <c r="L6" s="171"/>
      <c r="M6" s="186"/>
      <c r="N6" s="186"/>
      <c r="O6" s="171"/>
      <c r="P6" s="171"/>
      <c r="Q6" s="171"/>
      <c r="R6" s="171"/>
      <c r="S6" s="171"/>
      <c r="T6" s="171"/>
    </row>
    <row r="7" spans="2:20" s="2" customFormat="1" ht="18" customHeight="1" x14ac:dyDescent="0.25">
      <c r="B7" s="228" t="s">
        <v>3</v>
      </c>
      <c r="C7" s="212" t="s">
        <v>24</v>
      </c>
      <c r="D7" s="221" t="s">
        <v>4</v>
      </c>
      <c r="E7" s="213" t="s">
        <v>330</v>
      </c>
      <c r="F7" s="221" t="s">
        <v>93</v>
      </c>
      <c r="G7" s="222" t="s">
        <v>331</v>
      </c>
      <c r="H7" s="222" t="s">
        <v>49</v>
      </c>
      <c r="I7" s="222" t="s">
        <v>180</v>
      </c>
      <c r="J7" s="222" t="s">
        <v>181</v>
      </c>
      <c r="K7" s="216" t="s">
        <v>332</v>
      </c>
      <c r="L7" s="171"/>
      <c r="M7" s="171"/>
      <c r="N7" s="171"/>
      <c r="O7" s="186"/>
      <c r="P7" s="186"/>
      <c r="Q7" s="186"/>
      <c r="R7" s="186"/>
      <c r="S7" s="186"/>
      <c r="T7" s="186"/>
    </row>
    <row r="8" spans="2:20" s="2" customFormat="1" ht="18" customHeight="1" x14ac:dyDescent="0.25">
      <c r="B8" s="194"/>
      <c r="C8" s="199"/>
      <c r="D8" s="197"/>
      <c r="E8" s="197"/>
      <c r="F8" s="197"/>
      <c r="G8" s="197"/>
      <c r="H8" s="197"/>
      <c r="I8" s="197"/>
      <c r="J8" s="197"/>
      <c r="K8" s="198"/>
      <c r="L8" s="171"/>
      <c r="M8" s="171"/>
      <c r="N8" s="171"/>
      <c r="O8" s="186"/>
      <c r="P8" s="186"/>
      <c r="Q8" s="186"/>
      <c r="R8" s="186"/>
      <c r="S8" s="186"/>
      <c r="T8" s="186"/>
    </row>
    <row r="9" spans="2:20" ht="18" x14ac:dyDescent="0.25">
      <c r="B9" s="19">
        <v>363.2</v>
      </c>
      <c r="C9" s="20"/>
      <c r="D9" s="22" t="s">
        <v>19</v>
      </c>
      <c r="E9" s="46"/>
      <c r="F9" s="23"/>
      <c r="G9" s="27"/>
      <c r="H9" s="27"/>
      <c r="I9" s="27"/>
      <c r="J9" s="27"/>
      <c r="K9" s="60"/>
      <c r="L9" s="186"/>
      <c r="M9" s="186"/>
      <c r="N9" s="186"/>
      <c r="O9" s="171"/>
      <c r="P9" s="186"/>
      <c r="Q9" s="186"/>
      <c r="R9" s="186"/>
      <c r="S9" s="186"/>
      <c r="T9" s="171"/>
    </row>
    <row r="10" spans="2:20" ht="18" x14ac:dyDescent="0.25">
      <c r="B10" s="9"/>
      <c r="C10" s="20">
        <v>5.0999999999999996</v>
      </c>
      <c r="D10" s="15" t="s">
        <v>183</v>
      </c>
      <c r="E10" s="88">
        <v>9</v>
      </c>
      <c r="F10" s="88">
        <v>1968</v>
      </c>
      <c r="G10" s="49">
        <v>750</v>
      </c>
      <c r="H10" s="34">
        <f>E10*G10</f>
        <v>6750</v>
      </c>
      <c r="I10" s="28">
        <v>11392</v>
      </c>
      <c r="J10" s="28">
        <v>1155</v>
      </c>
      <c r="K10" s="61">
        <f>H10*(J10/I10)</f>
        <v>684.36183286516848</v>
      </c>
      <c r="L10" s="186"/>
      <c r="M10" s="186"/>
      <c r="N10" s="186"/>
      <c r="O10" s="171"/>
      <c r="P10" s="186"/>
      <c r="Q10" s="186"/>
      <c r="R10" s="186"/>
      <c r="S10" s="186"/>
      <c r="T10" s="171"/>
    </row>
    <row r="11" spans="2:20" ht="18" x14ac:dyDescent="0.25">
      <c r="B11" s="8"/>
      <c r="C11" s="20">
        <v>5.2</v>
      </c>
      <c r="D11" s="15" t="s">
        <v>185</v>
      </c>
      <c r="E11" s="88">
        <v>34</v>
      </c>
      <c r="F11" s="88">
        <v>1988</v>
      </c>
      <c r="G11" s="49">
        <v>750</v>
      </c>
      <c r="H11" s="34">
        <f t="shared" ref="H11:H74" si="0">E11*G11</f>
        <v>25500</v>
      </c>
      <c r="I11" s="28">
        <v>11392</v>
      </c>
      <c r="J11" s="28">
        <v>4519</v>
      </c>
      <c r="K11" s="61">
        <f t="shared" ref="K11:K74" si="1">H11*(J11/I11)</f>
        <v>10115.387991573034</v>
      </c>
      <c r="L11" s="171"/>
      <c r="M11" s="186"/>
      <c r="N11" s="186"/>
      <c r="O11" s="171"/>
      <c r="P11" s="171"/>
      <c r="Q11" s="171"/>
      <c r="R11" s="171"/>
      <c r="S11" s="171"/>
      <c r="T11" s="171"/>
    </row>
    <row r="12" spans="2:20" ht="18" x14ac:dyDescent="0.25">
      <c r="B12" s="8"/>
      <c r="C12" s="20">
        <v>5.3</v>
      </c>
      <c r="D12" s="15" t="s">
        <v>186</v>
      </c>
      <c r="E12" s="88">
        <v>16</v>
      </c>
      <c r="F12" s="88">
        <v>1968</v>
      </c>
      <c r="G12" s="49">
        <v>750</v>
      </c>
      <c r="H12" s="34">
        <f t="shared" si="0"/>
        <v>12000</v>
      </c>
      <c r="I12" s="28">
        <v>11392</v>
      </c>
      <c r="J12" s="28">
        <v>1155</v>
      </c>
      <c r="K12" s="61">
        <f t="shared" si="1"/>
        <v>1216.6432584269662</v>
      </c>
      <c r="L12" s="171"/>
      <c r="M12" s="186"/>
      <c r="N12" s="186"/>
      <c r="O12" s="171"/>
      <c r="P12" s="171"/>
      <c r="Q12" s="171"/>
      <c r="R12" s="171"/>
      <c r="S12" s="171"/>
      <c r="T12" s="171"/>
    </row>
    <row r="13" spans="2:20" ht="18" x14ac:dyDescent="0.25">
      <c r="B13" s="8"/>
      <c r="C13" s="20">
        <v>5.4</v>
      </c>
      <c r="D13" s="15" t="s">
        <v>187</v>
      </c>
      <c r="E13" s="88">
        <v>13</v>
      </c>
      <c r="F13" s="88">
        <v>1997</v>
      </c>
      <c r="G13" s="49">
        <v>750</v>
      </c>
      <c r="H13" s="34">
        <f t="shared" si="0"/>
        <v>9750</v>
      </c>
      <c r="I13" s="28">
        <v>11392</v>
      </c>
      <c r="J13" s="28">
        <v>5826</v>
      </c>
      <c r="K13" s="61">
        <f t="shared" si="1"/>
        <v>4986.2622893258431</v>
      </c>
      <c r="L13" s="171"/>
      <c r="M13" s="171"/>
      <c r="N13" s="171"/>
      <c r="O13" s="171"/>
      <c r="P13" s="171"/>
      <c r="Q13" s="171"/>
      <c r="R13" s="171"/>
      <c r="S13" s="171"/>
      <c r="T13" s="171"/>
    </row>
    <row r="14" spans="2:20" ht="18" x14ac:dyDescent="0.25">
      <c r="B14" s="8"/>
      <c r="C14" s="20">
        <v>5.5</v>
      </c>
      <c r="D14" s="15" t="s">
        <v>188</v>
      </c>
      <c r="E14" s="88">
        <v>14</v>
      </c>
      <c r="F14" s="88">
        <v>1965</v>
      </c>
      <c r="G14" s="49"/>
      <c r="H14" s="34"/>
      <c r="I14" s="28"/>
      <c r="J14" s="28"/>
      <c r="K14" s="61"/>
      <c r="L14" s="171"/>
      <c r="M14" s="171"/>
      <c r="N14" s="171"/>
      <c r="O14" s="171"/>
      <c r="P14" s="171"/>
      <c r="Q14" s="171"/>
      <c r="R14" s="171"/>
      <c r="S14" s="171"/>
      <c r="T14" s="171"/>
    </row>
    <row r="15" spans="2:20" ht="18" x14ac:dyDescent="0.25">
      <c r="B15" s="8"/>
      <c r="C15" s="20">
        <v>5.6</v>
      </c>
      <c r="D15" s="15" t="s">
        <v>189</v>
      </c>
      <c r="E15" s="88">
        <v>14</v>
      </c>
      <c r="F15" s="88">
        <v>1955</v>
      </c>
      <c r="G15" s="49"/>
      <c r="H15" s="34"/>
      <c r="I15" s="28"/>
      <c r="J15" s="28"/>
      <c r="K15" s="61"/>
      <c r="L15" s="186"/>
      <c r="M15" s="186"/>
      <c r="N15" s="186"/>
      <c r="O15" s="171"/>
      <c r="P15" s="171"/>
      <c r="Q15" s="171"/>
      <c r="R15" s="171"/>
      <c r="S15" s="171"/>
      <c r="T15" s="171"/>
    </row>
    <row r="16" spans="2:20" ht="18" x14ac:dyDescent="0.25">
      <c r="B16" s="8"/>
      <c r="C16" s="20">
        <v>5.7</v>
      </c>
      <c r="D16" s="15" t="s">
        <v>190</v>
      </c>
      <c r="E16" s="88">
        <v>27</v>
      </c>
      <c r="F16" s="88">
        <v>1965</v>
      </c>
      <c r="G16" s="49"/>
      <c r="H16" s="34"/>
      <c r="I16" s="28"/>
      <c r="J16" s="28"/>
      <c r="K16" s="61"/>
      <c r="L16" s="186"/>
      <c r="M16" s="186"/>
      <c r="N16" s="186"/>
      <c r="O16" s="171"/>
      <c r="P16" s="171"/>
      <c r="Q16" s="171"/>
      <c r="R16" s="171"/>
      <c r="S16" s="171"/>
      <c r="T16" s="171"/>
    </row>
    <row r="17" spans="2:14" ht="18" x14ac:dyDescent="0.25">
      <c r="B17" s="8"/>
      <c r="C17" s="20">
        <v>5.8</v>
      </c>
      <c r="D17" s="15" t="s">
        <v>191</v>
      </c>
      <c r="E17" s="88">
        <v>14</v>
      </c>
      <c r="F17" s="88">
        <v>1955</v>
      </c>
      <c r="G17" s="49"/>
      <c r="H17" s="34"/>
      <c r="I17" s="28"/>
      <c r="J17" s="28"/>
      <c r="K17" s="61"/>
      <c r="L17" s="171"/>
      <c r="M17" s="186"/>
      <c r="N17" s="186"/>
    </row>
    <row r="18" spans="2:14" ht="18" x14ac:dyDescent="0.25">
      <c r="B18" s="8"/>
      <c r="C18" s="20">
        <v>5.9</v>
      </c>
      <c r="D18" s="15" t="s">
        <v>192</v>
      </c>
      <c r="E18" s="88">
        <v>51</v>
      </c>
      <c r="F18" s="88">
        <v>1995</v>
      </c>
      <c r="G18" s="49">
        <v>750</v>
      </c>
      <c r="H18" s="34">
        <f t="shared" si="0"/>
        <v>38250</v>
      </c>
      <c r="I18" s="28">
        <v>11392</v>
      </c>
      <c r="J18" s="28">
        <v>5471</v>
      </c>
      <c r="K18" s="61">
        <f t="shared" si="1"/>
        <v>18369.535639044945</v>
      </c>
      <c r="L18" s="171"/>
      <c r="M18" s="186"/>
      <c r="N18" s="186"/>
    </row>
    <row r="19" spans="2:14" ht="18" x14ac:dyDescent="0.25">
      <c r="B19" s="9"/>
      <c r="C19" s="12">
        <v>5.0999999999999996</v>
      </c>
      <c r="D19" s="15" t="s">
        <v>193</v>
      </c>
      <c r="E19" s="88">
        <v>27</v>
      </c>
      <c r="F19" s="88">
        <v>2003</v>
      </c>
      <c r="G19" s="49">
        <v>750</v>
      </c>
      <c r="H19" s="34">
        <f t="shared" si="0"/>
        <v>20250</v>
      </c>
      <c r="I19" s="28">
        <v>11392</v>
      </c>
      <c r="J19" s="28">
        <v>6695</v>
      </c>
      <c r="K19" s="61">
        <f t="shared" si="1"/>
        <v>11900.785639044943</v>
      </c>
      <c r="L19" s="171"/>
      <c r="M19" s="171"/>
      <c r="N19" s="171"/>
    </row>
    <row r="20" spans="2:14" ht="18" x14ac:dyDescent="0.25">
      <c r="B20" s="9"/>
      <c r="C20" s="12">
        <v>5.1100000000000003</v>
      </c>
      <c r="D20" s="15" t="s">
        <v>194</v>
      </c>
      <c r="E20" s="88">
        <v>124</v>
      </c>
      <c r="F20" s="88">
        <v>1975</v>
      </c>
      <c r="G20" s="49">
        <v>750</v>
      </c>
      <c r="H20" s="34">
        <f t="shared" si="0"/>
        <v>93000</v>
      </c>
      <c r="I20" s="28">
        <v>11392</v>
      </c>
      <c r="J20" s="28">
        <v>2212</v>
      </c>
      <c r="K20" s="61">
        <f t="shared" si="1"/>
        <v>18057.935393258427</v>
      </c>
      <c r="L20" s="171"/>
      <c r="M20" s="171"/>
      <c r="N20" s="171"/>
    </row>
    <row r="21" spans="2:14" ht="18" x14ac:dyDescent="0.25">
      <c r="B21" s="9"/>
      <c r="C21" s="12">
        <v>5.12</v>
      </c>
      <c r="D21" s="15" t="s">
        <v>195</v>
      </c>
      <c r="E21" s="88">
        <v>6</v>
      </c>
      <c r="F21" s="88">
        <v>2006</v>
      </c>
      <c r="G21" s="49">
        <v>750</v>
      </c>
      <c r="H21" s="34">
        <f t="shared" si="0"/>
        <v>4500</v>
      </c>
      <c r="I21" s="28">
        <v>11392</v>
      </c>
      <c r="J21" s="28">
        <v>7751</v>
      </c>
      <c r="K21" s="61">
        <f t="shared" si="1"/>
        <v>3061.7538623595506</v>
      </c>
      <c r="L21" s="186"/>
      <c r="M21" s="186"/>
      <c r="N21" s="186"/>
    </row>
    <row r="22" spans="2:14" ht="18" x14ac:dyDescent="0.25">
      <c r="B22" s="9"/>
      <c r="C22" s="12">
        <v>5.13</v>
      </c>
      <c r="D22" s="15" t="s">
        <v>196</v>
      </c>
      <c r="E22" s="88">
        <v>65</v>
      </c>
      <c r="F22" s="88">
        <v>2014</v>
      </c>
      <c r="G22" s="49">
        <v>750</v>
      </c>
      <c r="H22" s="34">
        <f t="shared" si="0"/>
        <v>48750</v>
      </c>
      <c r="I22" s="28">
        <v>11392</v>
      </c>
      <c r="J22" s="28">
        <v>9806</v>
      </c>
      <c r="K22" s="61">
        <f t="shared" si="1"/>
        <v>41963.000351123599</v>
      </c>
      <c r="L22" s="186"/>
      <c r="M22" s="186"/>
      <c r="N22" s="186"/>
    </row>
    <row r="23" spans="2:14" ht="18" x14ac:dyDescent="0.25">
      <c r="B23" s="9"/>
      <c r="C23" s="12">
        <v>5.14</v>
      </c>
      <c r="D23" s="15" t="s">
        <v>197</v>
      </c>
      <c r="E23" s="88">
        <v>17</v>
      </c>
      <c r="F23" s="88">
        <v>1996</v>
      </c>
      <c r="G23" s="49">
        <v>750</v>
      </c>
      <c r="H23" s="34">
        <f t="shared" si="0"/>
        <v>12750</v>
      </c>
      <c r="I23" s="28">
        <v>11392</v>
      </c>
      <c r="J23" s="28">
        <v>5620</v>
      </c>
      <c r="K23" s="61">
        <f t="shared" si="1"/>
        <v>6289.9403089887637</v>
      </c>
      <c r="L23" s="171"/>
      <c r="M23" s="186"/>
      <c r="N23" s="186"/>
    </row>
    <row r="24" spans="2:14" ht="18" x14ac:dyDescent="0.25">
      <c r="B24" s="9"/>
      <c r="C24" s="12">
        <v>5.15</v>
      </c>
      <c r="D24" s="15" t="s">
        <v>198</v>
      </c>
      <c r="E24" s="88">
        <v>39</v>
      </c>
      <c r="F24" s="88">
        <v>1995</v>
      </c>
      <c r="G24" s="49">
        <v>750</v>
      </c>
      <c r="H24" s="34">
        <f t="shared" si="0"/>
        <v>29250</v>
      </c>
      <c r="I24" s="28">
        <v>11392</v>
      </c>
      <c r="J24" s="28">
        <v>5471</v>
      </c>
      <c r="K24" s="61">
        <f t="shared" si="1"/>
        <v>14047.291959269663</v>
      </c>
      <c r="L24" s="171"/>
      <c r="M24" s="186"/>
      <c r="N24" s="186"/>
    </row>
    <row r="25" spans="2:14" ht="18" x14ac:dyDescent="0.25">
      <c r="B25" s="9"/>
      <c r="C25" s="12">
        <v>5.16</v>
      </c>
      <c r="D25" s="15" t="s">
        <v>199</v>
      </c>
      <c r="E25" s="88">
        <v>174</v>
      </c>
      <c r="F25" s="88">
        <v>1996</v>
      </c>
      <c r="G25" s="49">
        <v>750</v>
      </c>
      <c r="H25" s="34">
        <f t="shared" si="0"/>
        <v>130500</v>
      </c>
      <c r="I25" s="28">
        <v>11392</v>
      </c>
      <c r="J25" s="28">
        <v>5620</v>
      </c>
      <c r="K25" s="61">
        <f t="shared" si="1"/>
        <v>64379.389044943819</v>
      </c>
      <c r="L25" s="171"/>
      <c r="M25" s="171"/>
      <c r="N25" s="171"/>
    </row>
    <row r="26" spans="2:14" ht="18" x14ac:dyDescent="0.25">
      <c r="B26" s="9"/>
      <c r="C26" s="12">
        <v>5.17</v>
      </c>
      <c r="D26" s="15" t="s">
        <v>200</v>
      </c>
      <c r="E26" s="88">
        <v>32</v>
      </c>
      <c r="F26" s="88">
        <v>1950</v>
      </c>
      <c r="G26" s="49">
        <v>750</v>
      </c>
      <c r="H26" s="34">
        <f t="shared" si="0"/>
        <v>24000</v>
      </c>
      <c r="I26" s="28">
        <v>11392</v>
      </c>
      <c r="J26" s="28">
        <v>510</v>
      </c>
      <c r="K26" s="61">
        <f t="shared" si="1"/>
        <v>1074.4382022471912</v>
      </c>
      <c r="L26" s="171"/>
      <c r="M26" s="171"/>
      <c r="N26" s="171"/>
    </row>
    <row r="27" spans="2:14" ht="18" x14ac:dyDescent="0.25">
      <c r="B27" s="9"/>
      <c r="C27" s="12">
        <v>5.1800000000000104</v>
      </c>
      <c r="D27" s="15" t="s">
        <v>201</v>
      </c>
      <c r="E27" s="88">
        <v>43</v>
      </c>
      <c r="F27" s="88">
        <v>1945</v>
      </c>
      <c r="G27" s="49">
        <v>750</v>
      </c>
      <c r="H27" s="34">
        <f t="shared" si="0"/>
        <v>32250</v>
      </c>
      <c r="I27" s="28">
        <v>11392</v>
      </c>
      <c r="J27" s="28">
        <v>308</v>
      </c>
      <c r="K27" s="61">
        <f t="shared" si="1"/>
        <v>871.92766853932585</v>
      </c>
      <c r="L27" s="186"/>
      <c r="M27" s="186"/>
      <c r="N27" s="186"/>
    </row>
    <row r="28" spans="2:14" ht="18" x14ac:dyDescent="0.25">
      <c r="B28" s="9"/>
      <c r="C28" s="12">
        <v>5.1900000000000102</v>
      </c>
      <c r="D28" s="15" t="s">
        <v>202</v>
      </c>
      <c r="E28" s="88">
        <v>96</v>
      </c>
      <c r="F28" s="88">
        <v>1970</v>
      </c>
      <c r="G28" s="49">
        <v>750</v>
      </c>
      <c r="H28" s="34">
        <f t="shared" si="0"/>
        <v>72000</v>
      </c>
      <c r="I28" s="28">
        <v>11392</v>
      </c>
      <c r="J28" s="28">
        <v>1381</v>
      </c>
      <c r="K28" s="61">
        <f t="shared" si="1"/>
        <v>8728.2303370786522</v>
      </c>
      <c r="L28" s="186"/>
      <c r="M28" s="186"/>
      <c r="N28" s="186"/>
    </row>
    <row r="29" spans="2:14" ht="18" x14ac:dyDescent="0.25">
      <c r="B29" s="9"/>
      <c r="C29" s="12">
        <v>5.2000000000000099</v>
      </c>
      <c r="D29" s="15" t="s">
        <v>203</v>
      </c>
      <c r="E29" s="88">
        <v>135</v>
      </c>
      <c r="F29" s="88">
        <v>1955</v>
      </c>
      <c r="G29" s="49">
        <v>750</v>
      </c>
      <c r="H29" s="34">
        <f t="shared" si="0"/>
        <v>101250</v>
      </c>
      <c r="I29" s="28">
        <v>11392</v>
      </c>
      <c r="J29" s="28">
        <v>660</v>
      </c>
      <c r="K29" s="61">
        <f t="shared" si="1"/>
        <v>5865.9585674157306</v>
      </c>
      <c r="L29" s="171"/>
      <c r="M29" s="171"/>
      <c r="N29" s="171"/>
    </row>
    <row r="30" spans="2:14" ht="18" x14ac:dyDescent="0.25">
      <c r="B30" s="9"/>
      <c r="C30" s="12">
        <v>5.2100000000000097</v>
      </c>
      <c r="D30" s="15" t="s">
        <v>204</v>
      </c>
      <c r="E30" s="88">
        <v>2</v>
      </c>
      <c r="F30" s="88">
        <v>1955</v>
      </c>
      <c r="G30" s="49">
        <v>750</v>
      </c>
      <c r="H30" s="34">
        <f t="shared" si="0"/>
        <v>1500</v>
      </c>
      <c r="I30" s="28">
        <v>11392</v>
      </c>
      <c r="J30" s="28">
        <v>660</v>
      </c>
      <c r="K30" s="61">
        <f t="shared" si="1"/>
        <v>86.903089887640448</v>
      </c>
      <c r="L30" s="171"/>
      <c r="M30" s="171"/>
      <c r="N30" s="171"/>
    </row>
    <row r="31" spans="2:14" ht="18" x14ac:dyDescent="0.25">
      <c r="B31" s="9"/>
      <c r="C31" s="12">
        <v>5.2200000000000104</v>
      </c>
      <c r="D31" s="15" t="s">
        <v>205</v>
      </c>
      <c r="E31" s="88">
        <v>19</v>
      </c>
      <c r="F31" s="88">
        <v>1955</v>
      </c>
      <c r="G31" s="49">
        <v>750</v>
      </c>
      <c r="H31" s="34">
        <f t="shared" si="0"/>
        <v>14250</v>
      </c>
      <c r="I31" s="28">
        <v>11392</v>
      </c>
      <c r="J31" s="28">
        <v>660</v>
      </c>
      <c r="K31" s="61">
        <f t="shared" si="1"/>
        <v>825.57935393258435</v>
      </c>
      <c r="L31" s="171"/>
      <c r="M31" s="171"/>
      <c r="N31" s="171"/>
    </row>
    <row r="32" spans="2:14" ht="18" x14ac:dyDescent="0.25">
      <c r="B32" s="9"/>
      <c r="C32" s="12">
        <v>5.2300000000000102</v>
      </c>
      <c r="D32" s="15" t="s">
        <v>206</v>
      </c>
      <c r="E32" s="88">
        <v>120</v>
      </c>
      <c r="F32" s="88">
        <v>1955</v>
      </c>
      <c r="G32" s="49">
        <v>750</v>
      </c>
      <c r="H32" s="34">
        <f t="shared" si="0"/>
        <v>90000</v>
      </c>
      <c r="I32" s="28">
        <v>11392</v>
      </c>
      <c r="J32" s="28">
        <v>660</v>
      </c>
      <c r="K32" s="61">
        <f t="shared" si="1"/>
        <v>5214.1853932584272</v>
      </c>
      <c r="L32" s="171"/>
      <c r="M32" s="171"/>
      <c r="N32" s="171"/>
    </row>
    <row r="33" spans="2:11" ht="18" x14ac:dyDescent="0.25">
      <c r="B33" s="9"/>
      <c r="C33" s="12">
        <v>5.24000000000001</v>
      </c>
      <c r="D33" s="15" t="s">
        <v>207</v>
      </c>
      <c r="E33" s="88">
        <v>44</v>
      </c>
      <c r="F33" s="88">
        <v>1995</v>
      </c>
      <c r="G33" s="49">
        <v>750</v>
      </c>
      <c r="H33" s="34">
        <f t="shared" si="0"/>
        <v>33000</v>
      </c>
      <c r="I33" s="28">
        <v>11392</v>
      </c>
      <c r="J33" s="28">
        <v>5471</v>
      </c>
      <c r="K33" s="61">
        <f t="shared" si="1"/>
        <v>15848.226825842698</v>
      </c>
    </row>
    <row r="34" spans="2:11" ht="18" x14ac:dyDescent="0.25">
      <c r="B34" s="9"/>
      <c r="C34" s="12">
        <v>5.2500000000000098</v>
      </c>
      <c r="D34" s="15" t="s">
        <v>208</v>
      </c>
      <c r="E34" s="88">
        <v>195</v>
      </c>
      <c r="F34" s="88">
        <v>1966</v>
      </c>
      <c r="G34" s="49">
        <v>750</v>
      </c>
      <c r="H34" s="34">
        <f t="shared" si="0"/>
        <v>146250</v>
      </c>
      <c r="I34" s="28">
        <v>11392</v>
      </c>
      <c r="J34" s="28">
        <v>1019</v>
      </c>
      <c r="K34" s="61">
        <f t="shared" si="1"/>
        <v>13081.877633426966</v>
      </c>
    </row>
    <row r="35" spans="2:11" ht="18" x14ac:dyDescent="0.25">
      <c r="B35" s="9"/>
      <c r="C35" s="12">
        <v>5.2600000000000096</v>
      </c>
      <c r="D35" s="15" t="s">
        <v>209</v>
      </c>
      <c r="E35" s="88">
        <v>59</v>
      </c>
      <c r="F35" s="88">
        <v>1978</v>
      </c>
      <c r="G35" s="49">
        <v>750</v>
      </c>
      <c r="H35" s="34">
        <f t="shared" si="0"/>
        <v>44250</v>
      </c>
      <c r="I35" s="28">
        <v>11392</v>
      </c>
      <c r="J35" s="28">
        <v>2776</v>
      </c>
      <c r="K35" s="61">
        <f t="shared" si="1"/>
        <v>10782.830056179775</v>
      </c>
    </row>
    <row r="36" spans="2:11" ht="18" x14ac:dyDescent="0.25">
      <c r="B36" s="9"/>
      <c r="C36" s="12">
        <v>5.2700000000000102</v>
      </c>
      <c r="D36" s="15" t="s">
        <v>210</v>
      </c>
      <c r="E36" s="88">
        <v>63</v>
      </c>
      <c r="F36" s="88">
        <v>2002</v>
      </c>
      <c r="G36" s="49">
        <v>750</v>
      </c>
      <c r="H36" s="34">
        <f t="shared" si="0"/>
        <v>47250</v>
      </c>
      <c r="I36" s="28">
        <v>11392</v>
      </c>
      <c r="J36" s="28">
        <v>6538</v>
      </c>
      <c r="K36" s="61">
        <f t="shared" si="1"/>
        <v>27117.319171348314</v>
      </c>
    </row>
    <row r="37" spans="2:11" ht="18" x14ac:dyDescent="0.25">
      <c r="B37" s="9"/>
      <c r="C37" s="12">
        <v>5.28000000000001</v>
      </c>
      <c r="D37" s="15" t="s">
        <v>211</v>
      </c>
      <c r="E37" s="88">
        <v>58</v>
      </c>
      <c r="F37" s="88">
        <v>1998</v>
      </c>
      <c r="G37" s="49">
        <v>750</v>
      </c>
      <c r="H37" s="34">
        <f t="shared" si="0"/>
        <v>43500</v>
      </c>
      <c r="I37" s="28">
        <v>11392</v>
      </c>
      <c r="J37" s="28">
        <v>5920</v>
      </c>
      <c r="K37" s="61">
        <f t="shared" si="1"/>
        <v>22605.337078651686</v>
      </c>
    </row>
    <row r="38" spans="2:11" ht="18" x14ac:dyDescent="0.25">
      <c r="B38" s="9"/>
      <c r="C38" s="12">
        <v>5.2900000000000098</v>
      </c>
      <c r="D38" s="15" t="s">
        <v>212</v>
      </c>
      <c r="E38" s="88">
        <v>23</v>
      </c>
      <c r="F38" s="88">
        <v>1998</v>
      </c>
      <c r="G38" s="49">
        <v>750</v>
      </c>
      <c r="H38" s="34">
        <f t="shared" si="0"/>
        <v>17250</v>
      </c>
      <c r="I38" s="28">
        <v>11392</v>
      </c>
      <c r="J38" s="28">
        <v>5920</v>
      </c>
      <c r="K38" s="61">
        <f t="shared" si="1"/>
        <v>8964.1853932584272</v>
      </c>
    </row>
    <row r="39" spans="2:11" ht="18" x14ac:dyDescent="0.25">
      <c r="B39" s="9"/>
      <c r="C39" s="12">
        <v>5.3000000000000096</v>
      </c>
      <c r="D39" s="15" t="s">
        <v>213</v>
      </c>
      <c r="E39" s="88">
        <v>24</v>
      </c>
      <c r="F39" s="88">
        <v>2000</v>
      </c>
      <c r="G39" s="49">
        <v>750</v>
      </c>
      <c r="H39" s="34">
        <f t="shared" si="0"/>
        <v>18000</v>
      </c>
      <c r="I39" s="28">
        <v>11392</v>
      </c>
      <c r="J39" s="28">
        <v>6221</v>
      </c>
      <c r="K39" s="61">
        <f t="shared" si="1"/>
        <v>9829.5294943820227</v>
      </c>
    </row>
    <row r="40" spans="2:11" ht="18" x14ac:dyDescent="0.25">
      <c r="B40" s="9"/>
      <c r="C40" s="12">
        <v>5.3100000000000103</v>
      </c>
      <c r="D40" s="15" t="s">
        <v>214</v>
      </c>
      <c r="E40" s="88">
        <v>65</v>
      </c>
      <c r="F40" s="88">
        <v>2000</v>
      </c>
      <c r="G40" s="49">
        <v>750</v>
      </c>
      <c r="H40" s="34">
        <f t="shared" si="0"/>
        <v>48750</v>
      </c>
      <c r="I40" s="28">
        <v>11392</v>
      </c>
      <c r="J40" s="28">
        <v>6221</v>
      </c>
      <c r="K40" s="61">
        <f t="shared" si="1"/>
        <v>26621.642380617981</v>
      </c>
    </row>
    <row r="41" spans="2:11" ht="18" x14ac:dyDescent="0.25">
      <c r="B41" s="9"/>
      <c r="C41" s="12">
        <v>5.3200000000000101</v>
      </c>
      <c r="D41" s="15" t="s">
        <v>215</v>
      </c>
      <c r="E41" s="88">
        <v>81</v>
      </c>
      <c r="F41" s="88">
        <v>1988</v>
      </c>
      <c r="G41" s="49">
        <v>750</v>
      </c>
      <c r="H41" s="34">
        <f t="shared" si="0"/>
        <v>60750</v>
      </c>
      <c r="I41" s="28">
        <v>11392</v>
      </c>
      <c r="J41" s="28">
        <v>4519</v>
      </c>
      <c r="K41" s="61">
        <f t="shared" si="1"/>
        <v>24098.424332865168</v>
      </c>
    </row>
    <row r="42" spans="2:11" ht="18" x14ac:dyDescent="0.25">
      <c r="B42" s="9"/>
      <c r="C42" s="12">
        <v>5.3300000000000196</v>
      </c>
      <c r="D42" s="15" t="s">
        <v>216</v>
      </c>
      <c r="E42" s="88">
        <v>106</v>
      </c>
      <c r="F42" s="88">
        <v>2002</v>
      </c>
      <c r="G42" s="49">
        <v>750</v>
      </c>
      <c r="H42" s="34">
        <f t="shared" si="0"/>
        <v>79500</v>
      </c>
      <c r="I42" s="28">
        <v>11392</v>
      </c>
      <c r="J42" s="28">
        <v>6538</v>
      </c>
      <c r="K42" s="61">
        <f t="shared" si="1"/>
        <v>45625.965589887644</v>
      </c>
    </row>
    <row r="43" spans="2:11" ht="18" x14ac:dyDescent="0.25">
      <c r="B43" s="9"/>
      <c r="C43" s="12">
        <v>5.3400000000000203</v>
      </c>
      <c r="D43" s="15" t="s">
        <v>217</v>
      </c>
      <c r="E43" s="88">
        <v>44</v>
      </c>
      <c r="F43" s="88">
        <v>2002</v>
      </c>
      <c r="G43" s="49">
        <v>750</v>
      </c>
      <c r="H43" s="34">
        <f t="shared" si="0"/>
        <v>33000</v>
      </c>
      <c r="I43" s="28">
        <v>11392</v>
      </c>
      <c r="J43" s="28">
        <v>6538</v>
      </c>
      <c r="K43" s="61">
        <f t="shared" si="1"/>
        <v>18939.080056179777</v>
      </c>
    </row>
    <row r="44" spans="2:11" ht="18" x14ac:dyDescent="0.25">
      <c r="B44" s="9"/>
      <c r="C44" s="12">
        <v>5.3500000000000201</v>
      </c>
      <c r="D44" s="15" t="s">
        <v>218</v>
      </c>
      <c r="E44" s="88">
        <v>82</v>
      </c>
      <c r="F44" s="88">
        <v>1998</v>
      </c>
      <c r="G44" s="49">
        <v>750</v>
      </c>
      <c r="H44" s="34">
        <f t="shared" si="0"/>
        <v>61500</v>
      </c>
      <c r="I44" s="28">
        <v>11392</v>
      </c>
      <c r="J44" s="28">
        <v>5920</v>
      </c>
      <c r="K44" s="61">
        <f t="shared" si="1"/>
        <v>31959.26966292135</v>
      </c>
    </row>
    <row r="45" spans="2:11" ht="18" x14ac:dyDescent="0.25">
      <c r="B45" s="9"/>
      <c r="C45" s="12">
        <v>5.3600000000000199</v>
      </c>
      <c r="D45" s="15" t="s">
        <v>219</v>
      </c>
      <c r="E45" s="88">
        <v>83</v>
      </c>
      <c r="F45" s="88">
        <v>1995</v>
      </c>
      <c r="G45" s="49">
        <v>750</v>
      </c>
      <c r="H45" s="34">
        <f t="shared" si="0"/>
        <v>62250</v>
      </c>
      <c r="I45" s="28">
        <v>11392</v>
      </c>
      <c r="J45" s="28">
        <v>5471</v>
      </c>
      <c r="K45" s="61">
        <f t="shared" si="1"/>
        <v>29895.518785112359</v>
      </c>
    </row>
    <row r="46" spans="2:11" ht="18" x14ac:dyDescent="0.25">
      <c r="B46" s="9"/>
      <c r="C46" s="12">
        <v>5.3700000000000196</v>
      </c>
      <c r="D46" s="15" t="s">
        <v>220</v>
      </c>
      <c r="E46" s="88">
        <v>153</v>
      </c>
      <c r="F46" s="88">
        <v>1995</v>
      </c>
      <c r="G46" s="49">
        <v>750</v>
      </c>
      <c r="H46" s="34">
        <f t="shared" si="0"/>
        <v>114750</v>
      </c>
      <c r="I46" s="28">
        <v>11392</v>
      </c>
      <c r="J46" s="28">
        <v>5471</v>
      </c>
      <c r="K46" s="61">
        <f t="shared" si="1"/>
        <v>55108.606917134835</v>
      </c>
    </row>
    <row r="47" spans="2:11" ht="18.75" thickBot="1" x14ac:dyDescent="0.3">
      <c r="B47" s="13"/>
      <c r="C47" s="62">
        <v>5.3800000000000203</v>
      </c>
      <c r="D47" s="16" t="s">
        <v>221</v>
      </c>
      <c r="E47" s="116">
        <v>50</v>
      </c>
      <c r="F47" s="116">
        <v>2003</v>
      </c>
      <c r="G47" s="152">
        <v>750</v>
      </c>
      <c r="H47" s="39">
        <f t="shared" si="0"/>
        <v>37500</v>
      </c>
      <c r="I47" s="38">
        <v>11392</v>
      </c>
      <c r="J47" s="38">
        <v>6695</v>
      </c>
      <c r="K47" s="64">
        <f t="shared" si="1"/>
        <v>22038.491924157304</v>
      </c>
    </row>
    <row r="48" spans="2:11" ht="18" x14ac:dyDescent="0.25">
      <c r="B48" s="99"/>
      <c r="C48" s="100">
        <v>5.3900000000000201</v>
      </c>
      <c r="D48" s="101" t="s">
        <v>222</v>
      </c>
      <c r="E48" s="117">
        <v>75</v>
      </c>
      <c r="F48" s="117">
        <v>2003</v>
      </c>
      <c r="G48" s="153">
        <v>750</v>
      </c>
      <c r="H48" s="109">
        <f t="shared" si="0"/>
        <v>56250</v>
      </c>
      <c r="I48" s="107">
        <v>11392</v>
      </c>
      <c r="J48" s="107">
        <v>6695</v>
      </c>
      <c r="K48" s="108">
        <f t="shared" si="1"/>
        <v>33057.737886235955</v>
      </c>
    </row>
    <row r="49" spans="2:11" ht="18" x14ac:dyDescent="0.25">
      <c r="B49" s="9"/>
      <c r="C49" s="12">
        <v>5.4000000000000199</v>
      </c>
      <c r="D49" s="15" t="s">
        <v>223</v>
      </c>
      <c r="E49" s="88">
        <v>44</v>
      </c>
      <c r="F49" s="88">
        <v>1990</v>
      </c>
      <c r="G49" s="49">
        <v>750</v>
      </c>
      <c r="H49" s="34">
        <f t="shared" si="0"/>
        <v>33000</v>
      </c>
      <c r="I49" s="28">
        <v>11392</v>
      </c>
      <c r="J49" s="28">
        <v>4732</v>
      </c>
      <c r="K49" s="61">
        <f t="shared" si="1"/>
        <v>13707.51404494382</v>
      </c>
    </row>
    <row r="50" spans="2:11" ht="18" x14ac:dyDescent="0.25">
      <c r="B50" s="9"/>
      <c r="C50" s="12">
        <v>5.4100000000000197</v>
      </c>
      <c r="D50" s="15" t="s">
        <v>224</v>
      </c>
      <c r="E50" s="88">
        <v>36</v>
      </c>
      <c r="F50" s="88">
        <v>2003</v>
      </c>
      <c r="G50" s="49">
        <v>750</v>
      </c>
      <c r="H50" s="34">
        <f t="shared" si="0"/>
        <v>27000</v>
      </c>
      <c r="I50" s="28">
        <v>11392</v>
      </c>
      <c r="J50" s="28">
        <v>6695</v>
      </c>
      <c r="K50" s="61">
        <f t="shared" si="1"/>
        <v>15867.714185393259</v>
      </c>
    </row>
    <row r="51" spans="2:11" ht="18" x14ac:dyDescent="0.25">
      <c r="B51" s="9"/>
      <c r="C51" s="12">
        <v>5.4200000000000204</v>
      </c>
      <c r="D51" s="15" t="s">
        <v>225</v>
      </c>
      <c r="E51" s="88">
        <v>39</v>
      </c>
      <c r="F51" s="88">
        <v>1999</v>
      </c>
      <c r="G51" s="49">
        <v>750</v>
      </c>
      <c r="H51" s="34">
        <f t="shared" si="0"/>
        <v>29250</v>
      </c>
      <c r="I51" s="28">
        <v>11392</v>
      </c>
      <c r="J51" s="28">
        <v>6059</v>
      </c>
      <c r="K51" s="61">
        <f t="shared" si="1"/>
        <v>15557.035639044943</v>
      </c>
    </row>
    <row r="52" spans="2:11" ht="18" x14ac:dyDescent="0.25">
      <c r="B52" s="9"/>
      <c r="C52" s="12">
        <v>5.4300000000000201</v>
      </c>
      <c r="D52" s="15" t="s">
        <v>333</v>
      </c>
      <c r="E52" s="88">
        <v>6</v>
      </c>
      <c r="F52" s="88">
        <v>1998</v>
      </c>
      <c r="G52" s="49">
        <v>750</v>
      </c>
      <c r="H52" s="34">
        <f t="shared" si="0"/>
        <v>4500</v>
      </c>
      <c r="I52" s="28">
        <v>11392</v>
      </c>
      <c r="J52" s="28">
        <v>5920</v>
      </c>
      <c r="K52" s="61">
        <f t="shared" si="1"/>
        <v>2338.4831460674159</v>
      </c>
    </row>
    <row r="53" spans="2:11" ht="18" x14ac:dyDescent="0.25">
      <c r="B53" s="9"/>
      <c r="C53" s="12">
        <v>5.4400000000000199</v>
      </c>
      <c r="D53" s="15" t="s">
        <v>227</v>
      </c>
      <c r="E53" s="88">
        <v>19</v>
      </c>
      <c r="F53" s="88">
        <v>1990</v>
      </c>
      <c r="G53" s="49">
        <v>750</v>
      </c>
      <c r="H53" s="34">
        <f t="shared" si="0"/>
        <v>14250</v>
      </c>
      <c r="I53" s="28">
        <v>11392</v>
      </c>
      <c r="J53" s="28">
        <v>4732</v>
      </c>
      <c r="K53" s="61">
        <f t="shared" si="1"/>
        <v>5919.1537921348308</v>
      </c>
    </row>
    <row r="54" spans="2:11" ht="18" x14ac:dyDescent="0.25">
      <c r="B54" s="9"/>
      <c r="C54" s="12">
        <v>5.4500000000000197</v>
      </c>
      <c r="D54" s="15" t="s">
        <v>228</v>
      </c>
      <c r="E54" s="88">
        <v>20</v>
      </c>
      <c r="F54" s="88">
        <v>1997</v>
      </c>
      <c r="G54" s="49">
        <v>750</v>
      </c>
      <c r="H54" s="34">
        <f t="shared" si="0"/>
        <v>15000</v>
      </c>
      <c r="I54" s="28">
        <v>11392</v>
      </c>
      <c r="J54" s="28">
        <v>5826</v>
      </c>
      <c r="K54" s="61">
        <f t="shared" si="1"/>
        <v>7671.1727528089887</v>
      </c>
    </row>
    <row r="55" spans="2:11" ht="18" x14ac:dyDescent="0.25">
      <c r="B55" s="9"/>
      <c r="C55" s="12">
        <v>5.4600000000000204</v>
      </c>
      <c r="D55" s="15" t="s">
        <v>229</v>
      </c>
      <c r="E55" s="88">
        <v>12</v>
      </c>
      <c r="F55" s="88">
        <v>1984</v>
      </c>
      <c r="G55" s="49">
        <v>750</v>
      </c>
      <c r="H55" s="34">
        <f t="shared" si="0"/>
        <v>9000</v>
      </c>
      <c r="I55" s="28">
        <v>11392</v>
      </c>
      <c r="J55" s="28">
        <v>4148</v>
      </c>
      <c r="K55" s="61">
        <f t="shared" si="1"/>
        <v>3277.0365168539329</v>
      </c>
    </row>
    <row r="56" spans="2:11" ht="18" x14ac:dyDescent="0.25">
      <c r="B56" s="9"/>
      <c r="C56" s="12">
        <v>5.4700000000000202</v>
      </c>
      <c r="D56" s="15" t="s">
        <v>230</v>
      </c>
      <c r="E56" s="88">
        <v>7</v>
      </c>
      <c r="F56" s="88">
        <v>2018</v>
      </c>
      <c r="G56" s="49">
        <v>750</v>
      </c>
      <c r="H56" s="34">
        <f t="shared" si="0"/>
        <v>5250</v>
      </c>
      <c r="I56" s="28">
        <v>11392</v>
      </c>
      <c r="J56" s="28">
        <v>11062</v>
      </c>
      <c r="K56" s="61">
        <f t="shared" si="1"/>
        <v>5097.9195926966295</v>
      </c>
    </row>
    <row r="57" spans="2:11" ht="18" x14ac:dyDescent="0.25">
      <c r="B57" s="9"/>
      <c r="C57" s="12">
        <v>5.4800000000000297</v>
      </c>
      <c r="D57" s="15" t="s">
        <v>231</v>
      </c>
      <c r="E57" s="88">
        <v>67</v>
      </c>
      <c r="F57" s="88">
        <v>1999</v>
      </c>
      <c r="G57" s="49">
        <v>750</v>
      </c>
      <c r="H57" s="34">
        <f t="shared" si="0"/>
        <v>50250</v>
      </c>
      <c r="I57" s="28">
        <v>11392</v>
      </c>
      <c r="J57" s="28">
        <v>6059</v>
      </c>
      <c r="K57" s="61">
        <f t="shared" si="1"/>
        <v>26726.189431179773</v>
      </c>
    </row>
    <row r="58" spans="2:11" ht="18" x14ac:dyDescent="0.25">
      <c r="B58" s="9"/>
      <c r="C58" s="12">
        <v>5.4900000000000304</v>
      </c>
      <c r="D58" s="15" t="s">
        <v>232</v>
      </c>
      <c r="E58" s="88">
        <v>47</v>
      </c>
      <c r="F58" s="88">
        <v>1995</v>
      </c>
      <c r="G58" s="49">
        <v>750</v>
      </c>
      <c r="H58" s="34">
        <f t="shared" si="0"/>
        <v>35250</v>
      </c>
      <c r="I58" s="28">
        <v>11392</v>
      </c>
      <c r="J58" s="28">
        <v>5471</v>
      </c>
      <c r="K58" s="61">
        <f t="shared" si="1"/>
        <v>16928.787745786518</v>
      </c>
    </row>
    <row r="59" spans="2:11" ht="18" x14ac:dyDescent="0.25">
      <c r="B59" s="9"/>
      <c r="C59" s="12">
        <v>5.5000000000000302</v>
      </c>
      <c r="D59" s="15" t="s">
        <v>334</v>
      </c>
      <c r="E59" s="88">
        <v>35</v>
      </c>
      <c r="F59" s="88">
        <v>1980</v>
      </c>
      <c r="G59" s="49">
        <v>750</v>
      </c>
      <c r="H59" s="34">
        <f t="shared" si="0"/>
        <v>26250</v>
      </c>
      <c r="I59" s="28">
        <v>11392</v>
      </c>
      <c r="J59" s="28">
        <v>3237</v>
      </c>
      <c r="K59" s="61">
        <f t="shared" si="1"/>
        <v>7458.8527036516853</v>
      </c>
    </row>
    <row r="60" spans="2:11" ht="18" x14ac:dyDescent="0.25">
      <c r="B60" s="9"/>
      <c r="C60" s="12">
        <v>5.51000000000003</v>
      </c>
      <c r="D60" s="15" t="s">
        <v>234</v>
      </c>
      <c r="E60" s="88">
        <v>117</v>
      </c>
      <c r="F60" s="88">
        <v>1985</v>
      </c>
      <c r="G60" s="49">
        <v>750</v>
      </c>
      <c r="H60" s="34">
        <f t="shared" si="0"/>
        <v>87750</v>
      </c>
      <c r="I60" s="28">
        <v>11392</v>
      </c>
      <c r="J60" s="28">
        <v>4182</v>
      </c>
      <c r="K60" s="61">
        <f t="shared" si="1"/>
        <v>32213.000351123595</v>
      </c>
    </row>
    <row r="61" spans="2:11" ht="18" x14ac:dyDescent="0.25">
      <c r="B61" s="9"/>
      <c r="C61" s="12">
        <v>5.5200000000000298</v>
      </c>
      <c r="D61" s="15" t="s">
        <v>235</v>
      </c>
      <c r="E61" s="88">
        <v>55</v>
      </c>
      <c r="F61" s="88">
        <v>1955</v>
      </c>
      <c r="G61" s="49">
        <v>750</v>
      </c>
      <c r="H61" s="34">
        <f t="shared" si="0"/>
        <v>41250</v>
      </c>
      <c r="I61" s="28">
        <v>11392</v>
      </c>
      <c r="J61" s="28">
        <v>660</v>
      </c>
      <c r="K61" s="61">
        <f t="shared" si="1"/>
        <v>2389.8349719101125</v>
      </c>
    </row>
    <row r="62" spans="2:11" ht="18" x14ac:dyDescent="0.25">
      <c r="B62" s="9"/>
      <c r="C62" s="12">
        <v>5.5300000000000296</v>
      </c>
      <c r="D62" s="15" t="s">
        <v>236</v>
      </c>
      <c r="E62" s="88">
        <v>29</v>
      </c>
      <c r="F62" s="88">
        <v>1965</v>
      </c>
      <c r="G62" s="49">
        <v>750</v>
      </c>
      <c r="H62" s="34">
        <f t="shared" si="0"/>
        <v>21750</v>
      </c>
      <c r="I62" s="28">
        <v>11392</v>
      </c>
      <c r="J62" s="28">
        <v>971</v>
      </c>
      <c r="K62" s="61">
        <f t="shared" si="1"/>
        <v>1853.8667485955057</v>
      </c>
    </row>
    <row r="63" spans="2:11" ht="18" x14ac:dyDescent="0.25">
      <c r="B63" s="9"/>
      <c r="C63" s="12">
        <v>5.5400000000000302</v>
      </c>
      <c r="D63" s="15" t="s">
        <v>237</v>
      </c>
      <c r="E63" s="88">
        <v>37</v>
      </c>
      <c r="F63" s="88">
        <v>1955</v>
      </c>
      <c r="G63" s="49">
        <v>750</v>
      </c>
      <c r="H63" s="34">
        <f t="shared" si="0"/>
        <v>27750</v>
      </c>
      <c r="I63" s="28">
        <v>11392</v>
      </c>
      <c r="J63" s="28">
        <v>660</v>
      </c>
      <c r="K63" s="61">
        <f t="shared" si="1"/>
        <v>1607.7071629213483</v>
      </c>
    </row>
    <row r="64" spans="2:11" ht="18" x14ac:dyDescent="0.25">
      <c r="B64" s="9"/>
      <c r="C64" s="12">
        <v>5.55000000000003</v>
      </c>
      <c r="D64" s="15" t="s">
        <v>238</v>
      </c>
      <c r="E64" s="88">
        <v>22</v>
      </c>
      <c r="F64" s="88">
        <v>2005</v>
      </c>
      <c r="G64" s="49">
        <v>750</v>
      </c>
      <c r="H64" s="34">
        <f t="shared" si="0"/>
        <v>16500</v>
      </c>
      <c r="I64" s="28">
        <v>11392</v>
      </c>
      <c r="J64" s="28">
        <v>7446</v>
      </c>
      <c r="K64" s="61">
        <f t="shared" si="1"/>
        <v>10784.67345505618</v>
      </c>
    </row>
    <row r="65" spans="2:12" ht="18" x14ac:dyDescent="0.25">
      <c r="B65" s="9"/>
      <c r="C65" s="12">
        <v>5.5600000000000298</v>
      </c>
      <c r="D65" s="15" t="s">
        <v>239</v>
      </c>
      <c r="E65" s="88">
        <v>29</v>
      </c>
      <c r="F65" s="88">
        <v>2004</v>
      </c>
      <c r="G65" s="49">
        <v>750</v>
      </c>
      <c r="H65" s="34">
        <f t="shared" si="0"/>
        <v>21750</v>
      </c>
      <c r="I65" s="28">
        <v>11392</v>
      </c>
      <c r="J65" s="28">
        <v>7115</v>
      </c>
      <c r="K65" s="61">
        <f t="shared" si="1"/>
        <v>13584.203827247191</v>
      </c>
      <c r="L65" s="171"/>
    </row>
    <row r="66" spans="2:12" ht="18" x14ac:dyDescent="0.25">
      <c r="B66" s="9"/>
      <c r="C66" s="12">
        <v>5.5700000000000296</v>
      </c>
      <c r="D66" s="15" t="s">
        <v>240</v>
      </c>
      <c r="E66" s="88">
        <v>22</v>
      </c>
      <c r="F66" s="88">
        <v>1960</v>
      </c>
      <c r="G66" s="49">
        <v>750</v>
      </c>
      <c r="H66" s="34">
        <f t="shared" si="0"/>
        <v>16500</v>
      </c>
      <c r="I66" s="28">
        <v>11392</v>
      </c>
      <c r="J66" s="28">
        <v>824</v>
      </c>
      <c r="K66" s="61">
        <f t="shared" si="1"/>
        <v>1193.4691011235955</v>
      </c>
      <c r="L66" s="171"/>
    </row>
    <row r="67" spans="2:12" ht="18" x14ac:dyDescent="0.25">
      <c r="B67" s="9"/>
      <c r="C67" s="12">
        <v>5.5800000000000303</v>
      </c>
      <c r="D67" s="15" t="s">
        <v>241</v>
      </c>
      <c r="E67" s="88">
        <v>74</v>
      </c>
      <c r="F67" s="88">
        <v>1980</v>
      </c>
      <c r="G67" s="49">
        <v>750</v>
      </c>
      <c r="H67" s="34">
        <f t="shared" si="0"/>
        <v>55500</v>
      </c>
      <c r="I67" s="28">
        <v>11392</v>
      </c>
      <c r="J67" s="28">
        <v>3237</v>
      </c>
      <c r="K67" s="61">
        <f t="shared" si="1"/>
        <v>15770.145716292134</v>
      </c>
      <c r="L67" s="171"/>
    </row>
    <row r="68" spans="2:12" ht="18" x14ac:dyDescent="0.25">
      <c r="B68" s="9"/>
      <c r="C68" s="12">
        <v>5.5900000000000301</v>
      </c>
      <c r="D68" s="15" t="s">
        <v>242</v>
      </c>
      <c r="E68" s="88">
        <v>109</v>
      </c>
      <c r="F68" s="88">
        <v>1970</v>
      </c>
      <c r="G68" s="49">
        <v>750</v>
      </c>
      <c r="H68" s="34">
        <f t="shared" si="0"/>
        <v>81750</v>
      </c>
      <c r="I68" s="28">
        <v>11392</v>
      </c>
      <c r="J68" s="28">
        <v>1381</v>
      </c>
      <c r="K68" s="61">
        <f t="shared" si="1"/>
        <v>9910.1781952247202</v>
      </c>
      <c r="L68" s="171"/>
    </row>
    <row r="69" spans="2:12" ht="18" x14ac:dyDescent="0.25">
      <c r="B69" s="9"/>
      <c r="C69" s="12">
        <v>5.6000000000000298</v>
      </c>
      <c r="D69" s="15" t="s">
        <v>243</v>
      </c>
      <c r="E69" s="88">
        <v>4</v>
      </c>
      <c r="F69" s="88">
        <v>1970</v>
      </c>
      <c r="G69" s="49">
        <v>750</v>
      </c>
      <c r="H69" s="34">
        <f t="shared" si="0"/>
        <v>3000</v>
      </c>
      <c r="I69" s="28">
        <v>11392</v>
      </c>
      <c r="J69" s="28">
        <v>1381</v>
      </c>
      <c r="K69" s="61">
        <f t="shared" si="1"/>
        <v>363.67626404494382</v>
      </c>
      <c r="L69" s="171"/>
    </row>
    <row r="70" spans="2:12" ht="18" x14ac:dyDescent="0.25">
      <c r="B70" s="9"/>
      <c r="C70" s="12">
        <v>5.6100000000000296</v>
      </c>
      <c r="D70" s="15" t="s">
        <v>244</v>
      </c>
      <c r="E70" s="88">
        <v>45</v>
      </c>
      <c r="F70" s="88">
        <v>1991</v>
      </c>
      <c r="G70" s="49">
        <v>750</v>
      </c>
      <c r="H70" s="34">
        <f t="shared" si="0"/>
        <v>33750</v>
      </c>
      <c r="I70" s="28">
        <v>11392</v>
      </c>
      <c r="J70" s="28">
        <v>4835</v>
      </c>
      <c r="K70" s="61">
        <f t="shared" si="1"/>
        <v>14324.196804775282</v>
      </c>
      <c r="L70" s="171"/>
    </row>
    <row r="71" spans="2:12" ht="18" x14ac:dyDescent="0.25">
      <c r="B71" s="9"/>
      <c r="C71" s="12">
        <v>5.6200000000000303</v>
      </c>
      <c r="D71" s="15" t="s">
        <v>245</v>
      </c>
      <c r="E71" s="88">
        <v>46</v>
      </c>
      <c r="F71" s="88">
        <v>1985</v>
      </c>
      <c r="G71" s="49">
        <v>750</v>
      </c>
      <c r="H71" s="34">
        <f t="shared" si="0"/>
        <v>34500</v>
      </c>
      <c r="I71" s="28">
        <v>11392</v>
      </c>
      <c r="J71" s="28">
        <v>4182</v>
      </c>
      <c r="K71" s="61">
        <f t="shared" si="1"/>
        <v>12664.940308988764</v>
      </c>
      <c r="L71" s="171"/>
    </row>
    <row r="72" spans="2:12" ht="18" x14ac:dyDescent="0.25">
      <c r="B72" s="9"/>
      <c r="C72" s="12">
        <v>5.6300000000000399</v>
      </c>
      <c r="D72" s="15" t="s">
        <v>246</v>
      </c>
      <c r="E72" s="88">
        <v>23</v>
      </c>
      <c r="F72" s="88">
        <v>2012</v>
      </c>
      <c r="G72" s="49" t="s">
        <v>78</v>
      </c>
      <c r="H72" s="34" t="s">
        <v>78</v>
      </c>
      <c r="I72" s="28" t="s">
        <v>78</v>
      </c>
      <c r="J72" s="28" t="s">
        <v>78</v>
      </c>
      <c r="K72" s="61">
        <v>47500</v>
      </c>
      <c r="L72" s="47"/>
    </row>
    <row r="73" spans="2:12" ht="18" x14ac:dyDescent="0.25">
      <c r="B73" s="9"/>
      <c r="C73" s="12">
        <v>5.6400000000000396</v>
      </c>
      <c r="D73" s="15" t="s">
        <v>247</v>
      </c>
      <c r="E73" s="88">
        <v>37</v>
      </c>
      <c r="F73" s="88">
        <v>1970</v>
      </c>
      <c r="G73" s="49">
        <v>750</v>
      </c>
      <c r="H73" s="34">
        <f t="shared" si="0"/>
        <v>27750</v>
      </c>
      <c r="I73" s="28">
        <v>11392</v>
      </c>
      <c r="J73" s="28">
        <v>1381</v>
      </c>
      <c r="K73" s="61">
        <f t="shared" si="1"/>
        <v>3364.0054424157306</v>
      </c>
      <c r="L73" s="171"/>
    </row>
    <row r="74" spans="2:12" ht="18" x14ac:dyDescent="0.25">
      <c r="B74" s="9"/>
      <c r="C74" s="12">
        <v>5.6500000000000403</v>
      </c>
      <c r="D74" s="15" t="s">
        <v>248</v>
      </c>
      <c r="E74" s="88">
        <v>557</v>
      </c>
      <c r="F74" s="88">
        <v>1980</v>
      </c>
      <c r="G74" s="49">
        <v>750</v>
      </c>
      <c r="H74" s="34">
        <f t="shared" si="0"/>
        <v>417750</v>
      </c>
      <c r="I74" s="28">
        <v>11392</v>
      </c>
      <c r="J74" s="28">
        <v>3237</v>
      </c>
      <c r="K74" s="61">
        <f t="shared" si="1"/>
        <v>118702.3130266854</v>
      </c>
      <c r="L74" s="171"/>
    </row>
    <row r="75" spans="2:12" ht="18" x14ac:dyDescent="0.25">
      <c r="B75" s="9"/>
      <c r="C75" s="12">
        <v>5.6600000000000401</v>
      </c>
      <c r="D75" s="15" t="s">
        <v>249</v>
      </c>
      <c r="E75" s="88">
        <v>96</v>
      </c>
      <c r="F75" s="88">
        <v>1985</v>
      </c>
      <c r="G75" s="49">
        <v>750</v>
      </c>
      <c r="H75" s="34">
        <f t="shared" ref="H75:H136" si="2">E75*G75</f>
        <v>72000</v>
      </c>
      <c r="I75" s="28">
        <v>11392</v>
      </c>
      <c r="J75" s="28">
        <v>4182</v>
      </c>
      <c r="K75" s="61">
        <f t="shared" ref="K75:K136" si="3">H75*(J75/I75)</f>
        <v>26431.1797752809</v>
      </c>
      <c r="L75" s="171"/>
    </row>
    <row r="76" spans="2:12" ht="18" x14ac:dyDescent="0.25">
      <c r="B76" s="9"/>
      <c r="C76" s="12">
        <v>5.6700000000000399</v>
      </c>
      <c r="D76" s="15" t="s">
        <v>250</v>
      </c>
      <c r="E76" s="88">
        <v>41</v>
      </c>
      <c r="F76" s="88">
        <v>2016</v>
      </c>
      <c r="G76" s="49">
        <v>750</v>
      </c>
      <c r="H76" s="34">
        <f t="shared" si="2"/>
        <v>30750</v>
      </c>
      <c r="I76" s="28">
        <v>11392</v>
      </c>
      <c r="J76" s="28">
        <v>10339</v>
      </c>
      <c r="K76" s="61">
        <f t="shared" si="3"/>
        <v>27907.676439606741</v>
      </c>
      <c r="L76" s="171"/>
    </row>
    <row r="77" spans="2:12" ht="18" x14ac:dyDescent="0.25">
      <c r="B77" s="9"/>
      <c r="C77" s="12">
        <v>5.6800000000000397</v>
      </c>
      <c r="D77" s="15" t="s">
        <v>251</v>
      </c>
      <c r="E77" s="88">
        <v>103</v>
      </c>
      <c r="F77" s="88">
        <v>1980</v>
      </c>
      <c r="G77" s="49">
        <v>750</v>
      </c>
      <c r="H77" s="34">
        <f t="shared" si="2"/>
        <v>77250</v>
      </c>
      <c r="I77" s="28">
        <v>11392</v>
      </c>
      <c r="J77" s="28">
        <v>3237</v>
      </c>
      <c r="K77" s="61">
        <f t="shared" si="3"/>
        <v>21950.337956460673</v>
      </c>
      <c r="L77" s="171"/>
    </row>
    <row r="78" spans="2:12" ht="18" x14ac:dyDescent="0.25">
      <c r="B78" s="9"/>
      <c r="C78" s="12">
        <v>5.6900000000000404</v>
      </c>
      <c r="D78" s="15" t="s">
        <v>252</v>
      </c>
      <c r="E78" s="88">
        <v>34</v>
      </c>
      <c r="F78" s="88">
        <v>1985</v>
      </c>
      <c r="G78" s="49">
        <v>750</v>
      </c>
      <c r="H78" s="34">
        <f t="shared" si="2"/>
        <v>25500</v>
      </c>
      <c r="I78" s="28">
        <v>11392</v>
      </c>
      <c r="J78" s="28">
        <v>4182</v>
      </c>
      <c r="K78" s="61">
        <f t="shared" si="3"/>
        <v>9361.0428370786522</v>
      </c>
      <c r="L78" s="171"/>
    </row>
    <row r="79" spans="2:12" ht="18" x14ac:dyDescent="0.25">
      <c r="B79" s="9"/>
      <c r="C79" s="12">
        <v>5.7000000000000401</v>
      </c>
      <c r="D79" s="15" t="s">
        <v>335</v>
      </c>
      <c r="E79" s="88">
        <v>344</v>
      </c>
      <c r="F79" s="88">
        <v>1985</v>
      </c>
      <c r="G79" s="49">
        <v>750</v>
      </c>
      <c r="H79" s="34">
        <f t="shared" si="2"/>
        <v>258000</v>
      </c>
      <c r="I79" s="28">
        <v>11392</v>
      </c>
      <c r="J79" s="28">
        <v>4182</v>
      </c>
      <c r="K79" s="61">
        <f t="shared" si="3"/>
        <v>94711.72752808989</v>
      </c>
      <c r="L79" s="171"/>
    </row>
    <row r="80" spans="2:12" ht="18" x14ac:dyDescent="0.25">
      <c r="B80" s="9"/>
      <c r="C80" s="12">
        <v>5.7100000000000399</v>
      </c>
      <c r="D80" s="15" t="s">
        <v>254</v>
      </c>
      <c r="E80" s="88">
        <v>95</v>
      </c>
      <c r="F80" s="88">
        <v>1985</v>
      </c>
      <c r="G80" s="49">
        <v>750</v>
      </c>
      <c r="H80" s="34">
        <f t="shared" si="2"/>
        <v>71250</v>
      </c>
      <c r="I80" s="28">
        <v>11392</v>
      </c>
      <c r="J80" s="28">
        <v>4182</v>
      </c>
      <c r="K80" s="61">
        <f t="shared" si="3"/>
        <v>26155.854985955055</v>
      </c>
      <c r="L80" s="171"/>
    </row>
    <row r="81" spans="2:12" ht="18" x14ac:dyDescent="0.25">
      <c r="B81" s="9"/>
      <c r="C81" s="12">
        <v>5.7200000000000397</v>
      </c>
      <c r="D81" s="15" t="s">
        <v>255</v>
      </c>
      <c r="E81" s="88">
        <v>100</v>
      </c>
      <c r="F81" s="88">
        <v>1985</v>
      </c>
      <c r="G81" s="49">
        <v>750</v>
      </c>
      <c r="H81" s="34">
        <f t="shared" si="2"/>
        <v>75000</v>
      </c>
      <c r="I81" s="28">
        <v>11392</v>
      </c>
      <c r="J81" s="28">
        <v>4182</v>
      </c>
      <c r="K81" s="61">
        <f t="shared" si="3"/>
        <v>27532.478932584268</v>
      </c>
      <c r="L81" s="171"/>
    </row>
    <row r="82" spans="2:12" ht="18" x14ac:dyDescent="0.25">
      <c r="B82" s="9"/>
      <c r="C82" s="12">
        <v>5.7300000000000404</v>
      </c>
      <c r="D82" s="15" t="s">
        <v>256</v>
      </c>
      <c r="E82" s="88">
        <v>70</v>
      </c>
      <c r="F82" s="88">
        <v>2003</v>
      </c>
      <c r="G82" s="49">
        <v>750</v>
      </c>
      <c r="H82" s="34">
        <f t="shared" si="2"/>
        <v>52500</v>
      </c>
      <c r="I82" s="28">
        <v>11392</v>
      </c>
      <c r="J82" s="28">
        <v>6695</v>
      </c>
      <c r="K82" s="61">
        <f t="shared" si="3"/>
        <v>30853.888693820227</v>
      </c>
      <c r="L82" s="171"/>
    </row>
    <row r="83" spans="2:12" ht="18" x14ac:dyDescent="0.25">
      <c r="B83" s="9"/>
      <c r="C83" s="12">
        <v>5.7400000000000402</v>
      </c>
      <c r="D83" s="15" t="s">
        <v>257</v>
      </c>
      <c r="E83" s="88">
        <v>137</v>
      </c>
      <c r="F83" s="88">
        <v>1996</v>
      </c>
      <c r="G83" s="49">
        <v>750</v>
      </c>
      <c r="H83" s="34">
        <f t="shared" si="2"/>
        <v>102750</v>
      </c>
      <c r="I83" s="28">
        <v>11392</v>
      </c>
      <c r="J83" s="28">
        <v>5620</v>
      </c>
      <c r="K83" s="61">
        <f t="shared" si="3"/>
        <v>50689.518960674155</v>
      </c>
      <c r="L83" s="171"/>
    </row>
    <row r="84" spans="2:12" ht="18" x14ac:dyDescent="0.25">
      <c r="B84" s="9"/>
      <c r="C84" s="12">
        <v>5.75000000000004</v>
      </c>
      <c r="D84" s="15" t="s">
        <v>258</v>
      </c>
      <c r="E84" s="88">
        <v>55</v>
      </c>
      <c r="F84" s="88">
        <v>1990</v>
      </c>
      <c r="G84" s="49">
        <v>750</v>
      </c>
      <c r="H84" s="34">
        <f t="shared" si="2"/>
        <v>41250</v>
      </c>
      <c r="I84" s="28">
        <v>11392</v>
      </c>
      <c r="J84" s="28">
        <v>4732</v>
      </c>
      <c r="K84" s="61">
        <f t="shared" si="3"/>
        <v>17134.392556179773</v>
      </c>
      <c r="L84" s="171"/>
    </row>
    <row r="85" spans="2:12" ht="18" x14ac:dyDescent="0.25">
      <c r="B85" s="9"/>
      <c r="C85" s="12">
        <v>5.7600000000000398</v>
      </c>
      <c r="D85" s="15" t="s">
        <v>259</v>
      </c>
      <c r="E85" s="88">
        <v>59</v>
      </c>
      <c r="F85" s="88">
        <v>1997</v>
      </c>
      <c r="G85" s="49">
        <v>750</v>
      </c>
      <c r="H85" s="34">
        <f t="shared" si="2"/>
        <v>44250</v>
      </c>
      <c r="I85" s="28">
        <v>11392</v>
      </c>
      <c r="J85" s="28">
        <v>5826</v>
      </c>
      <c r="K85" s="61">
        <f t="shared" si="3"/>
        <v>22629.959620786518</v>
      </c>
      <c r="L85" s="171"/>
    </row>
    <row r="86" spans="2:12" ht="18" x14ac:dyDescent="0.25">
      <c r="B86" s="9"/>
      <c r="C86" s="12">
        <v>5.7700000000000404</v>
      </c>
      <c r="D86" s="15" t="s">
        <v>260</v>
      </c>
      <c r="E86" s="88">
        <v>29</v>
      </c>
      <c r="F86" s="88">
        <v>2003</v>
      </c>
      <c r="G86" s="49">
        <v>750</v>
      </c>
      <c r="H86" s="34">
        <f t="shared" si="2"/>
        <v>21750</v>
      </c>
      <c r="I86" s="28">
        <v>11392</v>
      </c>
      <c r="J86" s="28">
        <v>6695</v>
      </c>
      <c r="K86" s="61">
        <f t="shared" si="3"/>
        <v>12782.325316011236</v>
      </c>
      <c r="L86" s="171"/>
    </row>
    <row r="87" spans="2:12" ht="18" x14ac:dyDescent="0.25">
      <c r="B87" s="9"/>
      <c r="C87" s="12">
        <v>5.78000000000005</v>
      </c>
      <c r="D87" s="15" t="s">
        <v>261</v>
      </c>
      <c r="E87" s="88">
        <v>26</v>
      </c>
      <c r="F87" s="88">
        <v>2002</v>
      </c>
      <c r="G87" s="49">
        <v>750</v>
      </c>
      <c r="H87" s="34">
        <f t="shared" si="2"/>
        <v>19500</v>
      </c>
      <c r="I87" s="28">
        <v>11392</v>
      </c>
      <c r="J87" s="28">
        <v>6538</v>
      </c>
      <c r="K87" s="61">
        <f t="shared" si="3"/>
        <v>11191.274578651686</v>
      </c>
      <c r="L87" s="171"/>
    </row>
    <row r="88" spans="2:12" ht="18" x14ac:dyDescent="0.25">
      <c r="B88" s="9"/>
      <c r="C88" s="12">
        <v>5.7900000000000498</v>
      </c>
      <c r="D88" s="15" t="s">
        <v>262</v>
      </c>
      <c r="E88" s="88">
        <v>37</v>
      </c>
      <c r="F88" s="88">
        <v>1999</v>
      </c>
      <c r="G88" s="49">
        <v>750</v>
      </c>
      <c r="H88" s="34">
        <f t="shared" si="2"/>
        <v>27750</v>
      </c>
      <c r="I88" s="28">
        <v>11392</v>
      </c>
      <c r="J88" s="28">
        <v>6059</v>
      </c>
      <c r="K88" s="61">
        <f t="shared" si="3"/>
        <v>14759.238939606741</v>
      </c>
      <c r="L88" s="171"/>
    </row>
    <row r="89" spans="2:12" ht="18" x14ac:dyDescent="0.25">
      <c r="B89" s="9"/>
      <c r="C89" s="12">
        <v>5.8000000000000496</v>
      </c>
      <c r="D89" s="15" t="s">
        <v>263</v>
      </c>
      <c r="E89" s="88">
        <v>4</v>
      </c>
      <c r="F89" s="88">
        <v>2003</v>
      </c>
      <c r="G89" s="49">
        <v>750</v>
      </c>
      <c r="H89" s="34">
        <f t="shared" si="2"/>
        <v>3000</v>
      </c>
      <c r="I89" s="28">
        <v>11392</v>
      </c>
      <c r="J89" s="28">
        <v>6695</v>
      </c>
      <c r="K89" s="61">
        <f t="shared" si="3"/>
        <v>1763.0793539325844</v>
      </c>
      <c r="L89" s="171"/>
    </row>
    <row r="90" spans="2:12" ht="18" x14ac:dyDescent="0.25">
      <c r="B90" s="9"/>
      <c r="C90" s="12">
        <v>5.8100000000000502</v>
      </c>
      <c r="D90" s="15" t="s">
        <v>264</v>
      </c>
      <c r="E90" s="88">
        <v>214</v>
      </c>
      <c r="F90" s="88">
        <v>2014</v>
      </c>
      <c r="G90" s="49">
        <v>750</v>
      </c>
      <c r="H90" s="34">
        <f t="shared" si="2"/>
        <v>160500</v>
      </c>
      <c r="I90" s="28">
        <v>11392</v>
      </c>
      <c r="J90" s="28">
        <v>9806</v>
      </c>
      <c r="K90" s="61">
        <f t="shared" si="3"/>
        <v>138155.10884831462</v>
      </c>
      <c r="L90" s="29"/>
    </row>
    <row r="91" spans="2:12" ht="18" x14ac:dyDescent="0.25">
      <c r="B91" s="9"/>
      <c r="C91" s="12">
        <v>5.82000000000005</v>
      </c>
      <c r="D91" s="15" t="s">
        <v>265</v>
      </c>
      <c r="E91" s="88">
        <v>147</v>
      </c>
      <c r="F91" s="88">
        <v>1985</v>
      </c>
      <c r="G91" s="49">
        <v>750</v>
      </c>
      <c r="H91" s="34">
        <f t="shared" si="2"/>
        <v>110250</v>
      </c>
      <c r="I91" s="28">
        <v>11392</v>
      </c>
      <c r="J91" s="28">
        <v>4182</v>
      </c>
      <c r="K91" s="61">
        <f t="shared" si="3"/>
        <v>40472.744030898873</v>
      </c>
      <c r="L91" s="171"/>
    </row>
    <row r="92" spans="2:12" ht="18" x14ac:dyDescent="0.25">
      <c r="B92" s="9"/>
      <c r="C92" s="12">
        <v>5.8300000000000498</v>
      </c>
      <c r="D92" s="15" t="s">
        <v>266</v>
      </c>
      <c r="E92" s="88">
        <v>211</v>
      </c>
      <c r="F92" s="88">
        <v>1985</v>
      </c>
      <c r="G92" s="49">
        <v>750</v>
      </c>
      <c r="H92" s="34">
        <f t="shared" si="2"/>
        <v>158250</v>
      </c>
      <c r="I92" s="28">
        <v>11392</v>
      </c>
      <c r="J92" s="28">
        <v>4182</v>
      </c>
      <c r="K92" s="61">
        <f t="shared" si="3"/>
        <v>58093.530547752809</v>
      </c>
      <c r="L92" s="171"/>
    </row>
    <row r="93" spans="2:12" ht="18.75" thickBot="1" x14ac:dyDescent="0.3">
      <c r="B93" s="13"/>
      <c r="C93" s="62">
        <v>5.8400000000000496</v>
      </c>
      <c r="D93" s="16" t="s">
        <v>267</v>
      </c>
      <c r="E93" s="116">
        <v>56</v>
      </c>
      <c r="F93" s="116">
        <v>1985</v>
      </c>
      <c r="G93" s="152">
        <v>750</v>
      </c>
      <c r="H93" s="39">
        <f t="shared" si="2"/>
        <v>42000</v>
      </c>
      <c r="I93" s="38">
        <v>11392</v>
      </c>
      <c r="J93" s="38">
        <v>4182</v>
      </c>
      <c r="K93" s="64">
        <f t="shared" si="3"/>
        <v>15418.188202247191</v>
      </c>
      <c r="L93" s="171"/>
    </row>
    <row r="94" spans="2:12" ht="18" x14ac:dyDescent="0.25">
      <c r="B94" s="99"/>
      <c r="C94" s="100">
        <v>5.8500000000000503</v>
      </c>
      <c r="D94" s="101" t="s">
        <v>268</v>
      </c>
      <c r="E94" s="117">
        <v>33</v>
      </c>
      <c r="F94" s="117">
        <v>2004</v>
      </c>
      <c r="G94" s="153">
        <v>750</v>
      </c>
      <c r="H94" s="109">
        <f t="shared" si="2"/>
        <v>24750</v>
      </c>
      <c r="I94" s="107">
        <v>11392</v>
      </c>
      <c r="J94" s="107">
        <v>7115</v>
      </c>
      <c r="K94" s="108">
        <f t="shared" si="3"/>
        <v>15457.887113764045</v>
      </c>
      <c r="L94" s="171"/>
    </row>
    <row r="95" spans="2:12" ht="18" x14ac:dyDescent="0.25">
      <c r="B95" s="9"/>
      <c r="C95" s="12">
        <v>5.8600000000000501</v>
      </c>
      <c r="D95" s="15" t="s">
        <v>269</v>
      </c>
      <c r="E95" s="88">
        <v>276</v>
      </c>
      <c r="F95" s="88">
        <v>1982</v>
      </c>
      <c r="G95" s="49">
        <v>750</v>
      </c>
      <c r="H95" s="34">
        <f t="shared" si="2"/>
        <v>207000</v>
      </c>
      <c r="I95" s="28">
        <v>11392</v>
      </c>
      <c r="J95" s="28">
        <v>3825</v>
      </c>
      <c r="K95" s="61">
        <f t="shared" si="3"/>
        <v>69502.721207865165</v>
      </c>
      <c r="L95" s="171"/>
    </row>
    <row r="96" spans="2:12" ht="18" x14ac:dyDescent="0.25">
      <c r="B96" s="9"/>
      <c r="C96" s="12">
        <v>5.8700000000000498</v>
      </c>
      <c r="D96" s="15" t="s">
        <v>270</v>
      </c>
      <c r="E96" s="88">
        <v>140</v>
      </c>
      <c r="F96" s="88">
        <v>1985</v>
      </c>
      <c r="G96" s="49">
        <v>750</v>
      </c>
      <c r="H96" s="34">
        <f t="shared" si="2"/>
        <v>105000</v>
      </c>
      <c r="I96" s="28">
        <v>11392</v>
      </c>
      <c r="J96" s="28">
        <v>4182</v>
      </c>
      <c r="K96" s="61">
        <f t="shared" si="3"/>
        <v>38545.470505617981</v>
      </c>
      <c r="L96" s="171"/>
    </row>
    <row r="97" spans="2:11" ht="18" x14ac:dyDescent="0.25">
      <c r="B97" s="9"/>
      <c r="C97" s="12">
        <v>5.8800000000000496</v>
      </c>
      <c r="D97" s="15" t="s">
        <v>271</v>
      </c>
      <c r="E97" s="88">
        <v>120</v>
      </c>
      <c r="F97" s="88">
        <v>1970</v>
      </c>
      <c r="G97" s="49">
        <v>750</v>
      </c>
      <c r="H97" s="34">
        <f t="shared" si="2"/>
        <v>90000</v>
      </c>
      <c r="I97" s="28">
        <v>11392</v>
      </c>
      <c r="J97" s="28">
        <v>1381</v>
      </c>
      <c r="K97" s="61">
        <f t="shared" si="3"/>
        <v>10910.287921348316</v>
      </c>
    </row>
    <row r="98" spans="2:11" ht="18" x14ac:dyDescent="0.25">
      <c r="B98" s="9"/>
      <c r="C98" s="12">
        <v>5.8900000000000503</v>
      </c>
      <c r="D98" s="15" t="s">
        <v>272</v>
      </c>
      <c r="E98" s="88">
        <v>50</v>
      </c>
      <c r="F98" s="88">
        <v>1994</v>
      </c>
      <c r="G98" s="49">
        <v>750</v>
      </c>
      <c r="H98" s="34">
        <f t="shared" si="2"/>
        <v>37500</v>
      </c>
      <c r="I98" s="28">
        <v>11392</v>
      </c>
      <c r="J98" s="28">
        <v>5408</v>
      </c>
      <c r="K98" s="61">
        <f t="shared" si="3"/>
        <v>17801.966292134832</v>
      </c>
    </row>
    <row r="99" spans="2:11" ht="18" x14ac:dyDescent="0.25">
      <c r="B99" s="9"/>
      <c r="C99" s="12">
        <v>5.9000000000000501</v>
      </c>
      <c r="D99" s="15" t="s">
        <v>273</v>
      </c>
      <c r="E99" s="88">
        <v>48</v>
      </c>
      <c r="F99" s="88">
        <v>1994</v>
      </c>
      <c r="G99" s="49">
        <v>750</v>
      </c>
      <c r="H99" s="34">
        <f t="shared" si="2"/>
        <v>36000</v>
      </c>
      <c r="I99" s="28">
        <v>11392</v>
      </c>
      <c r="J99" s="28">
        <v>5408</v>
      </c>
      <c r="K99" s="61">
        <f t="shared" si="3"/>
        <v>17089.887640449437</v>
      </c>
    </row>
    <row r="100" spans="2:11" ht="18" x14ac:dyDescent="0.25">
      <c r="B100" s="9"/>
      <c r="C100" s="12">
        <v>5.9100000000000499</v>
      </c>
      <c r="D100" s="15" t="s">
        <v>274</v>
      </c>
      <c r="E100" s="88">
        <v>17</v>
      </c>
      <c r="F100" s="88">
        <v>2005</v>
      </c>
      <c r="G100" s="49">
        <v>750</v>
      </c>
      <c r="H100" s="34">
        <f t="shared" si="2"/>
        <v>12750</v>
      </c>
      <c r="I100" s="28">
        <v>11392</v>
      </c>
      <c r="J100" s="28">
        <v>7446</v>
      </c>
      <c r="K100" s="61">
        <f t="shared" si="3"/>
        <v>8333.6113061797751</v>
      </c>
    </row>
    <row r="101" spans="2:11" ht="18" x14ac:dyDescent="0.25">
      <c r="B101" s="9"/>
      <c r="C101" s="12">
        <v>5.9200000000000497</v>
      </c>
      <c r="D101" s="15" t="s">
        <v>275</v>
      </c>
      <c r="E101" s="88">
        <v>47</v>
      </c>
      <c r="F101" s="88">
        <v>2003</v>
      </c>
      <c r="G101" s="49">
        <v>750</v>
      </c>
      <c r="H101" s="34">
        <f t="shared" si="2"/>
        <v>35250</v>
      </c>
      <c r="I101" s="28">
        <v>11392</v>
      </c>
      <c r="J101" s="28">
        <v>6695</v>
      </c>
      <c r="K101" s="61">
        <f t="shared" si="3"/>
        <v>20716.182408707864</v>
      </c>
    </row>
    <row r="102" spans="2:11" ht="18" x14ac:dyDescent="0.25">
      <c r="B102" s="9"/>
      <c r="C102" s="12">
        <v>5.9300000000000601</v>
      </c>
      <c r="D102" s="15" t="s">
        <v>276</v>
      </c>
      <c r="E102" s="88">
        <v>34</v>
      </c>
      <c r="F102" s="88">
        <v>1995</v>
      </c>
      <c r="G102" s="49">
        <v>750</v>
      </c>
      <c r="H102" s="34">
        <f t="shared" si="2"/>
        <v>25500</v>
      </c>
      <c r="I102" s="28">
        <v>11392</v>
      </c>
      <c r="J102" s="28">
        <v>5471</v>
      </c>
      <c r="K102" s="61">
        <f t="shared" si="3"/>
        <v>12246.357092696629</v>
      </c>
    </row>
    <row r="103" spans="2:11" ht="18" x14ac:dyDescent="0.25">
      <c r="B103" s="9"/>
      <c r="C103" s="12">
        <v>5.9400000000000599</v>
      </c>
      <c r="D103" s="15" t="s">
        <v>277</v>
      </c>
      <c r="E103" s="88">
        <v>129</v>
      </c>
      <c r="F103" s="88">
        <v>1995</v>
      </c>
      <c r="G103" s="49">
        <v>750</v>
      </c>
      <c r="H103" s="34">
        <f t="shared" si="2"/>
        <v>96750</v>
      </c>
      <c r="I103" s="28">
        <v>11392</v>
      </c>
      <c r="J103" s="28">
        <v>5471</v>
      </c>
      <c r="K103" s="61">
        <f t="shared" si="3"/>
        <v>46464.119557584272</v>
      </c>
    </row>
    <row r="104" spans="2:11" ht="18" x14ac:dyDescent="0.25">
      <c r="B104" s="9"/>
      <c r="C104" s="12">
        <v>5.9500000000000597</v>
      </c>
      <c r="D104" s="15" t="s">
        <v>278</v>
      </c>
      <c r="E104" s="88">
        <v>48</v>
      </c>
      <c r="F104" s="88">
        <v>1995</v>
      </c>
      <c r="G104" s="49">
        <v>750</v>
      </c>
      <c r="H104" s="34">
        <f t="shared" si="2"/>
        <v>36000</v>
      </c>
      <c r="I104" s="28">
        <v>11392</v>
      </c>
      <c r="J104" s="28">
        <v>5471</v>
      </c>
      <c r="K104" s="61">
        <f t="shared" si="3"/>
        <v>17288.974719101123</v>
      </c>
    </row>
    <row r="105" spans="2:11" ht="18" x14ac:dyDescent="0.25">
      <c r="B105" s="9"/>
      <c r="C105" s="12">
        <v>5.9600000000000604</v>
      </c>
      <c r="D105" s="15" t="s">
        <v>279</v>
      </c>
      <c r="E105" s="88">
        <v>15</v>
      </c>
      <c r="F105" s="88">
        <v>1995</v>
      </c>
      <c r="G105" s="49">
        <v>750</v>
      </c>
      <c r="H105" s="34">
        <f t="shared" si="2"/>
        <v>11250</v>
      </c>
      <c r="I105" s="28">
        <v>11392</v>
      </c>
      <c r="J105" s="28">
        <v>5471</v>
      </c>
      <c r="K105" s="61">
        <f t="shared" si="3"/>
        <v>5402.8045997191011</v>
      </c>
    </row>
    <row r="106" spans="2:11" ht="18" x14ac:dyDescent="0.25">
      <c r="B106" s="9"/>
      <c r="C106" s="12">
        <v>5.9700000000000601</v>
      </c>
      <c r="D106" s="15" t="s">
        <v>280</v>
      </c>
      <c r="E106" s="88">
        <v>90</v>
      </c>
      <c r="F106" s="88">
        <v>1995</v>
      </c>
      <c r="G106" s="49">
        <v>750</v>
      </c>
      <c r="H106" s="34">
        <f t="shared" si="2"/>
        <v>67500</v>
      </c>
      <c r="I106" s="28">
        <v>11392</v>
      </c>
      <c r="J106" s="28">
        <v>5471</v>
      </c>
      <c r="K106" s="61">
        <f t="shared" si="3"/>
        <v>32416.827598314609</v>
      </c>
    </row>
    <row r="107" spans="2:11" ht="18" x14ac:dyDescent="0.25">
      <c r="B107" s="9"/>
      <c r="C107" s="12">
        <v>5.9800000000000599</v>
      </c>
      <c r="D107" s="15" t="s">
        <v>281</v>
      </c>
      <c r="E107" s="88">
        <v>14</v>
      </c>
      <c r="F107" s="88">
        <v>2011</v>
      </c>
      <c r="G107" s="49">
        <v>750</v>
      </c>
      <c r="H107" s="34">
        <f t="shared" si="2"/>
        <v>10500</v>
      </c>
      <c r="I107" s="28">
        <v>11392</v>
      </c>
      <c r="J107" s="28">
        <v>9070</v>
      </c>
      <c r="K107" s="61">
        <f t="shared" si="3"/>
        <v>8359.8139044943819</v>
      </c>
    </row>
    <row r="108" spans="2:11" ht="18" x14ac:dyDescent="0.25">
      <c r="B108" s="9"/>
      <c r="C108" s="12">
        <v>5.9900000000000597</v>
      </c>
      <c r="D108" s="15" t="s">
        <v>282</v>
      </c>
      <c r="E108" s="88">
        <v>10</v>
      </c>
      <c r="F108" s="88">
        <v>2000</v>
      </c>
      <c r="G108" s="49">
        <v>750</v>
      </c>
      <c r="H108" s="34">
        <f t="shared" si="2"/>
        <v>7500</v>
      </c>
      <c r="I108" s="28">
        <v>11392</v>
      </c>
      <c r="J108" s="28">
        <v>6221</v>
      </c>
      <c r="K108" s="61">
        <f t="shared" si="3"/>
        <v>4095.6372893258431</v>
      </c>
    </row>
    <row r="109" spans="2:11" ht="18" x14ac:dyDescent="0.25">
      <c r="B109" s="9"/>
      <c r="C109" s="21">
        <v>5.0999999999999996</v>
      </c>
      <c r="D109" s="15" t="s">
        <v>283</v>
      </c>
      <c r="E109" s="88">
        <v>67</v>
      </c>
      <c r="F109" s="88">
        <v>1960</v>
      </c>
      <c r="G109" s="49">
        <v>750</v>
      </c>
      <c r="H109" s="34">
        <f t="shared" si="2"/>
        <v>50250</v>
      </c>
      <c r="I109" s="28">
        <v>11392</v>
      </c>
      <c r="J109" s="28">
        <v>824</v>
      </c>
      <c r="K109" s="61">
        <f t="shared" si="3"/>
        <v>3634.6558988764041</v>
      </c>
    </row>
    <row r="110" spans="2:11" ht="18" x14ac:dyDescent="0.25">
      <c r="B110" s="9"/>
      <c r="C110" s="21">
        <v>5.101</v>
      </c>
      <c r="D110" s="15" t="s">
        <v>284</v>
      </c>
      <c r="E110" s="88">
        <v>53</v>
      </c>
      <c r="F110" s="88">
        <v>1968</v>
      </c>
      <c r="G110" s="49">
        <v>750</v>
      </c>
      <c r="H110" s="34">
        <f t="shared" si="2"/>
        <v>39750</v>
      </c>
      <c r="I110" s="28">
        <v>11392</v>
      </c>
      <c r="J110" s="28">
        <v>1155</v>
      </c>
      <c r="K110" s="61">
        <f t="shared" si="3"/>
        <v>4030.1307935393256</v>
      </c>
    </row>
    <row r="111" spans="2:11" ht="18" x14ac:dyDescent="0.25">
      <c r="B111" s="9"/>
      <c r="C111" s="21">
        <v>5.1020000000000003</v>
      </c>
      <c r="D111" s="15" t="s">
        <v>285</v>
      </c>
      <c r="E111" s="88">
        <v>46</v>
      </c>
      <c r="F111" s="88">
        <v>1968</v>
      </c>
      <c r="G111" s="49">
        <v>750</v>
      </c>
      <c r="H111" s="34">
        <f t="shared" si="2"/>
        <v>34500</v>
      </c>
      <c r="I111" s="28">
        <v>11392</v>
      </c>
      <c r="J111" s="28">
        <v>1155</v>
      </c>
      <c r="K111" s="61">
        <f t="shared" si="3"/>
        <v>3497.8493679775279</v>
      </c>
    </row>
    <row r="112" spans="2:11" ht="18" x14ac:dyDescent="0.25">
      <c r="B112" s="9"/>
      <c r="C112" s="21">
        <v>5.1029999999999998</v>
      </c>
      <c r="D112" s="15" t="s">
        <v>286</v>
      </c>
      <c r="E112" s="88">
        <v>40</v>
      </c>
      <c r="F112" s="88">
        <v>1968</v>
      </c>
      <c r="G112" s="49">
        <v>750</v>
      </c>
      <c r="H112" s="34">
        <f t="shared" si="2"/>
        <v>30000</v>
      </c>
      <c r="I112" s="28">
        <v>11392</v>
      </c>
      <c r="J112" s="28">
        <v>1155</v>
      </c>
      <c r="K112" s="61">
        <f t="shared" si="3"/>
        <v>3041.6081460674154</v>
      </c>
    </row>
    <row r="113" spans="2:11" ht="18" x14ac:dyDescent="0.25">
      <c r="B113" s="9"/>
      <c r="C113" s="21">
        <v>5.1040000000000001</v>
      </c>
      <c r="D113" s="15" t="s">
        <v>287</v>
      </c>
      <c r="E113" s="88">
        <v>37</v>
      </c>
      <c r="F113" s="88">
        <v>1970</v>
      </c>
      <c r="G113" s="49">
        <v>750</v>
      </c>
      <c r="H113" s="34">
        <f t="shared" si="2"/>
        <v>27750</v>
      </c>
      <c r="I113" s="28">
        <v>11392</v>
      </c>
      <c r="J113" s="28">
        <v>1381</v>
      </c>
      <c r="K113" s="61">
        <f t="shared" si="3"/>
        <v>3364.0054424157306</v>
      </c>
    </row>
    <row r="114" spans="2:11" ht="18" x14ac:dyDescent="0.25">
      <c r="B114" s="9"/>
      <c r="C114" s="21">
        <v>5.1050000000000004</v>
      </c>
      <c r="D114" s="15" t="s">
        <v>288</v>
      </c>
      <c r="E114" s="88">
        <v>227</v>
      </c>
      <c r="F114" s="88">
        <v>1975</v>
      </c>
      <c r="G114" s="49">
        <v>750</v>
      </c>
      <c r="H114" s="34">
        <f t="shared" si="2"/>
        <v>170250</v>
      </c>
      <c r="I114" s="28">
        <v>11392</v>
      </c>
      <c r="J114" s="28">
        <v>2212</v>
      </c>
      <c r="K114" s="61">
        <f t="shared" si="3"/>
        <v>33057.6720505618</v>
      </c>
    </row>
    <row r="115" spans="2:11" ht="18" x14ac:dyDescent="0.25">
      <c r="B115" s="9"/>
      <c r="C115" s="21">
        <v>5.1059999999999999</v>
      </c>
      <c r="D115" s="15" t="s">
        <v>289</v>
      </c>
      <c r="E115" s="88">
        <v>115</v>
      </c>
      <c r="F115" s="88">
        <v>2000</v>
      </c>
      <c r="G115" s="49">
        <v>750</v>
      </c>
      <c r="H115" s="34">
        <f t="shared" si="2"/>
        <v>86250</v>
      </c>
      <c r="I115" s="28">
        <v>11392</v>
      </c>
      <c r="J115" s="28">
        <v>6221</v>
      </c>
      <c r="K115" s="61">
        <f t="shared" si="3"/>
        <v>47099.828827247198</v>
      </c>
    </row>
    <row r="116" spans="2:11" ht="18" x14ac:dyDescent="0.25">
      <c r="B116" s="9"/>
      <c r="C116" s="21">
        <v>5.1070000000000002</v>
      </c>
      <c r="D116" s="15" t="s">
        <v>290</v>
      </c>
      <c r="E116" s="88">
        <v>53</v>
      </c>
      <c r="F116" s="88">
        <v>1965</v>
      </c>
      <c r="G116" s="49">
        <v>750</v>
      </c>
      <c r="H116" s="34">
        <f t="shared" si="2"/>
        <v>39750</v>
      </c>
      <c r="I116" s="28">
        <v>11392</v>
      </c>
      <c r="J116" s="28">
        <v>971</v>
      </c>
      <c r="K116" s="61">
        <f t="shared" si="3"/>
        <v>3388.1012991573034</v>
      </c>
    </row>
    <row r="117" spans="2:11" ht="18" x14ac:dyDescent="0.25">
      <c r="B117" s="9"/>
      <c r="C117" s="21">
        <v>5.1079999999999997</v>
      </c>
      <c r="D117" s="15" t="s">
        <v>290</v>
      </c>
      <c r="E117" s="88">
        <v>43</v>
      </c>
      <c r="F117" s="88">
        <v>2000</v>
      </c>
      <c r="G117" s="49">
        <v>750</v>
      </c>
      <c r="H117" s="34">
        <f t="shared" si="2"/>
        <v>32250</v>
      </c>
      <c r="I117" s="28">
        <v>11392</v>
      </c>
      <c r="J117" s="28">
        <v>6221</v>
      </c>
      <c r="K117" s="61">
        <f t="shared" si="3"/>
        <v>17611.240344101127</v>
      </c>
    </row>
    <row r="118" spans="2:11" ht="18" x14ac:dyDescent="0.25">
      <c r="B118" s="9"/>
      <c r="C118" s="21">
        <v>5.109</v>
      </c>
      <c r="D118" s="15" t="s">
        <v>292</v>
      </c>
      <c r="E118" s="88">
        <v>101</v>
      </c>
      <c r="F118" s="88">
        <v>1995</v>
      </c>
      <c r="G118" s="49">
        <v>750</v>
      </c>
      <c r="H118" s="34">
        <f t="shared" si="2"/>
        <v>75750</v>
      </c>
      <c r="I118" s="28">
        <v>11392</v>
      </c>
      <c r="J118" s="28">
        <v>5471</v>
      </c>
      <c r="K118" s="61">
        <f t="shared" si="3"/>
        <v>36378.884304775282</v>
      </c>
    </row>
    <row r="119" spans="2:11" ht="18" x14ac:dyDescent="0.25">
      <c r="B119" s="9"/>
      <c r="C119" s="21">
        <v>5.1100000000000003</v>
      </c>
      <c r="D119" s="15" t="s">
        <v>293</v>
      </c>
      <c r="E119" s="88">
        <v>12</v>
      </c>
      <c r="F119" s="88">
        <v>1956</v>
      </c>
      <c r="G119" s="49"/>
      <c r="H119" s="34"/>
      <c r="I119" s="28"/>
      <c r="J119" s="28"/>
      <c r="K119" s="61"/>
    </row>
    <row r="120" spans="2:11" ht="18" x14ac:dyDescent="0.25">
      <c r="B120" s="9"/>
      <c r="C120" s="21">
        <v>5.1109999999999998</v>
      </c>
      <c r="D120" s="15" t="s">
        <v>294</v>
      </c>
      <c r="E120" s="88">
        <v>6</v>
      </c>
      <c r="F120" s="88">
        <v>1968</v>
      </c>
      <c r="G120" s="49">
        <v>750</v>
      </c>
      <c r="H120" s="34">
        <f t="shared" si="2"/>
        <v>4500</v>
      </c>
      <c r="I120" s="28">
        <v>11392</v>
      </c>
      <c r="J120" s="28">
        <v>1155</v>
      </c>
      <c r="K120" s="61">
        <f t="shared" si="3"/>
        <v>456.24122191011236</v>
      </c>
    </row>
    <row r="121" spans="2:11" ht="18" x14ac:dyDescent="0.25">
      <c r="B121" s="9"/>
      <c r="C121" s="21">
        <v>5.1120000000000001</v>
      </c>
      <c r="D121" s="15" t="s">
        <v>295</v>
      </c>
      <c r="E121" s="88">
        <v>29</v>
      </c>
      <c r="F121" s="88">
        <v>1968</v>
      </c>
      <c r="G121" s="49">
        <v>750</v>
      </c>
      <c r="H121" s="34">
        <f t="shared" si="2"/>
        <v>21750</v>
      </c>
      <c r="I121" s="28">
        <v>11392</v>
      </c>
      <c r="J121" s="28">
        <v>1155</v>
      </c>
      <c r="K121" s="61">
        <f t="shared" si="3"/>
        <v>2205.1659058988762</v>
      </c>
    </row>
    <row r="122" spans="2:11" ht="18" x14ac:dyDescent="0.25">
      <c r="B122" s="9"/>
      <c r="C122" s="21">
        <v>5.1130000000000004</v>
      </c>
      <c r="D122" s="15" t="s">
        <v>296</v>
      </c>
      <c r="E122" s="88">
        <v>98</v>
      </c>
      <c r="F122" s="88">
        <v>1968</v>
      </c>
      <c r="G122" s="49">
        <v>750</v>
      </c>
      <c r="H122" s="34">
        <f t="shared" si="2"/>
        <v>73500</v>
      </c>
      <c r="I122" s="28">
        <v>11392</v>
      </c>
      <c r="J122" s="28">
        <v>1155</v>
      </c>
      <c r="K122" s="61">
        <f t="shared" si="3"/>
        <v>7451.9399578651683</v>
      </c>
    </row>
    <row r="123" spans="2:11" ht="18" x14ac:dyDescent="0.25">
      <c r="B123" s="9"/>
      <c r="C123" s="21">
        <v>5.1139999999999999</v>
      </c>
      <c r="D123" s="15" t="s">
        <v>297</v>
      </c>
      <c r="E123" s="88">
        <v>33</v>
      </c>
      <c r="F123" s="88">
        <v>1975</v>
      </c>
      <c r="G123" s="49">
        <v>750</v>
      </c>
      <c r="H123" s="34">
        <f t="shared" si="2"/>
        <v>24750</v>
      </c>
      <c r="I123" s="28">
        <v>11392</v>
      </c>
      <c r="J123" s="28">
        <v>2212</v>
      </c>
      <c r="K123" s="61">
        <f t="shared" si="3"/>
        <v>4805.740870786517</v>
      </c>
    </row>
    <row r="124" spans="2:11" ht="18" x14ac:dyDescent="0.25">
      <c r="B124" s="9"/>
      <c r="C124" s="21">
        <v>5.1150000000000002</v>
      </c>
      <c r="D124" s="15" t="s">
        <v>298</v>
      </c>
      <c r="E124" s="88">
        <v>53</v>
      </c>
      <c r="F124" s="88">
        <v>1955</v>
      </c>
      <c r="G124" s="49">
        <v>750</v>
      </c>
      <c r="H124" s="34">
        <f t="shared" si="2"/>
        <v>39750</v>
      </c>
      <c r="I124" s="28">
        <v>11392</v>
      </c>
      <c r="J124" s="28">
        <v>660</v>
      </c>
      <c r="K124" s="61">
        <f t="shared" si="3"/>
        <v>2302.9318820224721</v>
      </c>
    </row>
    <row r="125" spans="2:11" ht="18" x14ac:dyDescent="0.25">
      <c r="B125" s="9"/>
      <c r="C125" s="21">
        <v>5.1159999999999997</v>
      </c>
      <c r="D125" s="15" t="s">
        <v>299</v>
      </c>
      <c r="E125" s="88">
        <v>29</v>
      </c>
      <c r="F125" s="88">
        <v>1980</v>
      </c>
      <c r="G125" s="49">
        <v>750</v>
      </c>
      <c r="H125" s="34">
        <f t="shared" si="2"/>
        <v>21750</v>
      </c>
      <c r="I125" s="28">
        <v>11392</v>
      </c>
      <c r="J125" s="28">
        <v>3237</v>
      </c>
      <c r="K125" s="61">
        <f t="shared" si="3"/>
        <v>6180.1922401685397</v>
      </c>
    </row>
    <row r="126" spans="2:11" ht="18" x14ac:dyDescent="0.25">
      <c r="B126" s="9"/>
      <c r="C126" s="21">
        <v>5.1170000000000098</v>
      </c>
      <c r="D126" s="15" t="s">
        <v>300</v>
      </c>
      <c r="E126" s="88">
        <v>114</v>
      </c>
      <c r="F126" s="88">
        <v>1980</v>
      </c>
      <c r="G126" s="49">
        <v>750</v>
      </c>
      <c r="H126" s="34">
        <f t="shared" si="2"/>
        <v>85500</v>
      </c>
      <c r="I126" s="28">
        <v>11392</v>
      </c>
      <c r="J126" s="28">
        <v>3237</v>
      </c>
      <c r="K126" s="61">
        <f t="shared" si="3"/>
        <v>24294.548806179777</v>
      </c>
    </row>
    <row r="127" spans="2:11" ht="18" x14ac:dyDescent="0.25">
      <c r="B127" s="9"/>
      <c r="C127" s="21">
        <v>5.1180000000000101</v>
      </c>
      <c r="D127" s="15" t="s">
        <v>301</v>
      </c>
      <c r="E127" s="88">
        <v>126</v>
      </c>
      <c r="F127" s="88">
        <v>1980</v>
      </c>
      <c r="G127" s="49">
        <v>750</v>
      </c>
      <c r="H127" s="34">
        <f t="shared" si="2"/>
        <v>94500</v>
      </c>
      <c r="I127" s="28">
        <v>11392</v>
      </c>
      <c r="J127" s="28">
        <v>3237</v>
      </c>
      <c r="K127" s="61">
        <f t="shared" si="3"/>
        <v>26851.869733146068</v>
      </c>
    </row>
    <row r="128" spans="2:11" ht="18" x14ac:dyDescent="0.25">
      <c r="B128" s="9"/>
      <c r="C128" s="21">
        <v>5.1190000000000104</v>
      </c>
      <c r="D128" s="15" t="s">
        <v>302</v>
      </c>
      <c r="E128" s="88">
        <v>61</v>
      </c>
      <c r="F128" s="88">
        <v>1980</v>
      </c>
      <c r="G128" s="49">
        <v>750</v>
      </c>
      <c r="H128" s="34">
        <f t="shared" si="2"/>
        <v>45750</v>
      </c>
      <c r="I128" s="28">
        <v>11392</v>
      </c>
      <c r="J128" s="28">
        <v>3237</v>
      </c>
      <c r="K128" s="61">
        <f t="shared" si="3"/>
        <v>12999.714712078652</v>
      </c>
    </row>
    <row r="129" spans="2:12" ht="18" x14ac:dyDescent="0.25">
      <c r="B129" s="9"/>
      <c r="C129" s="21">
        <v>5.1200000000000099</v>
      </c>
      <c r="D129" s="15" t="s">
        <v>303</v>
      </c>
      <c r="E129" s="88">
        <v>106</v>
      </c>
      <c r="F129" s="88">
        <v>1970</v>
      </c>
      <c r="G129" s="49"/>
      <c r="H129" s="34"/>
      <c r="I129" s="28"/>
      <c r="J129" s="28"/>
      <c r="K129" s="61"/>
      <c r="L129" s="171"/>
    </row>
    <row r="130" spans="2:12" ht="18" x14ac:dyDescent="0.25">
      <c r="B130" s="9"/>
      <c r="C130" s="21">
        <v>5.1210000000000102</v>
      </c>
      <c r="D130" s="15" t="s">
        <v>304</v>
      </c>
      <c r="E130" s="88">
        <v>36</v>
      </c>
      <c r="F130" s="88">
        <v>1968</v>
      </c>
      <c r="G130" s="49">
        <v>750</v>
      </c>
      <c r="H130" s="34">
        <f t="shared" si="2"/>
        <v>27000</v>
      </c>
      <c r="I130" s="28">
        <v>11392</v>
      </c>
      <c r="J130" s="28">
        <v>1155</v>
      </c>
      <c r="K130" s="61">
        <f t="shared" si="3"/>
        <v>2737.4473314606739</v>
      </c>
      <c r="L130" s="171"/>
    </row>
    <row r="131" spans="2:12" ht="18" x14ac:dyDescent="0.25">
      <c r="B131" s="9"/>
      <c r="C131" s="21">
        <v>5.1220000000000097</v>
      </c>
      <c r="D131" s="15" t="s">
        <v>305</v>
      </c>
      <c r="E131" s="88">
        <v>25</v>
      </c>
      <c r="F131" s="88">
        <v>1999</v>
      </c>
      <c r="G131" s="49">
        <v>750</v>
      </c>
      <c r="H131" s="34">
        <f t="shared" si="2"/>
        <v>18750</v>
      </c>
      <c r="I131" s="28">
        <v>11392</v>
      </c>
      <c r="J131" s="28">
        <v>6059</v>
      </c>
      <c r="K131" s="61">
        <f t="shared" si="3"/>
        <v>9972.4587429775274</v>
      </c>
      <c r="L131" s="171"/>
    </row>
    <row r="132" spans="2:12" ht="18" x14ac:dyDescent="0.25">
      <c r="B132" s="9"/>
      <c r="C132" s="21">
        <v>5.12300000000001</v>
      </c>
      <c r="D132" s="15" t="s">
        <v>306</v>
      </c>
      <c r="E132" s="88">
        <v>9</v>
      </c>
      <c r="F132" s="88">
        <v>1980</v>
      </c>
      <c r="G132" s="49">
        <v>750</v>
      </c>
      <c r="H132" s="34">
        <f t="shared" si="2"/>
        <v>6750</v>
      </c>
      <c r="I132" s="28">
        <v>11392</v>
      </c>
      <c r="J132" s="28">
        <v>3237</v>
      </c>
      <c r="K132" s="61">
        <f t="shared" si="3"/>
        <v>1917.990695224719</v>
      </c>
      <c r="L132" s="171"/>
    </row>
    <row r="133" spans="2:12" s="25" customFormat="1" ht="18" x14ac:dyDescent="0.25">
      <c r="B133" s="9"/>
      <c r="C133" s="21">
        <v>5.1240000000000103</v>
      </c>
      <c r="D133" s="15" t="s">
        <v>307</v>
      </c>
      <c r="E133" s="88">
        <v>21</v>
      </c>
      <c r="F133" s="88">
        <v>2020</v>
      </c>
      <c r="G133" s="49">
        <v>750</v>
      </c>
      <c r="H133" s="34">
        <f t="shared" si="2"/>
        <v>15750</v>
      </c>
      <c r="I133" s="28">
        <v>11392</v>
      </c>
      <c r="J133" s="28">
        <v>11392</v>
      </c>
      <c r="K133" s="61">
        <f t="shared" si="3"/>
        <v>15750</v>
      </c>
      <c r="L133" s="171"/>
    </row>
    <row r="134" spans="2:12" s="25" customFormat="1" ht="18" x14ac:dyDescent="0.25">
      <c r="B134" s="9"/>
      <c r="C134" s="21">
        <v>5.125</v>
      </c>
      <c r="D134" s="15" t="s">
        <v>308</v>
      </c>
      <c r="E134" s="88">
        <v>15</v>
      </c>
      <c r="F134" s="88">
        <v>1995</v>
      </c>
      <c r="G134" s="49">
        <v>750</v>
      </c>
      <c r="H134" s="34">
        <f t="shared" si="2"/>
        <v>11250</v>
      </c>
      <c r="I134" s="28">
        <v>11392</v>
      </c>
      <c r="J134" s="28">
        <v>5471</v>
      </c>
      <c r="K134" s="61">
        <f t="shared" si="3"/>
        <v>5402.8045997191011</v>
      </c>
      <c r="L134" s="171"/>
    </row>
    <row r="135" spans="2:12" s="25" customFormat="1" ht="18" x14ac:dyDescent="0.25">
      <c r="B135" s="9"/>
      <c r="C135" s="21">
        <v>5.1260000000000003</v>
      </c>
      <c r="D135" s="15" t="s">
        <v>309</v>
      </c>
      <c r="E135" s="88">
        <v>5</v>
      </c>
      <c r="F135" s="88">
        <v>2011</v>
      </c>
      <c r="G135" s="49">
        <v>750</v>
      </c>
      <c r="H135" s="34">
        <f t="shared" si="2"/>
        <v>3750</v>
      </c>
      <c r="I135" s="28">
        <v>11392</v>
      </c>
      <c r="J135" s="28">
        <v>9070</v>
      </c>
      <c r="K135" s="61">
        <f t="shared" si="3"/>
        <v>2985.6478230337079</v>
      </c>
      <c r="L135" s="171"/>
    </row>
    <row r="136" spans="2:12" ht="18.75" thickBot="1" x14ac:dyDescent="0.3">
      <c r="B136" s="13"/>
      <c r="C136" s="36">
        <v>5.1269999999999998</v>
      </c>
      <c r="D136" s="15" t="s">
        <v>310</v>
      </c>
      <c r="E136" s="116">
        <v>20</v>
      </c>
      <c r="F136" s="88">
        <v>2011</v>
      </c>
      <c r="G136" s="49">
        <v>750</v>
      </c>
      <c r="H136" s="34">
        <f t="shared" si="2"/>
        <v>15000</v>
      </c>
      <c r="I136" s="38">
        <v>11392</v>
      </c>
      <c r="J136" s="38">
        <v>9070</v>
      </c>
      <c r="K136" s="61">
        <f t="shared" si="3"/>
        <v>11942.591292134832</v>
      </c>
      <c r="L136" s="171"/>
    </row>
    <row r="137" spans="2:12" s="25" customFormat="1" ht="11.25" customHeight="1" x14ac:dyDescent="0.25">
      <c r="B137" s="67"/>
      <c r="C137" s="68"/>
      <c r="D137" s="69"/>
      <c r="E137" s="70"/>
      <c r="F137" s="71"/>
      <c r="G137" s="73"/>
      <c r="H137" s="73"/>
      <c r="I137" s="73"/>
      <c r="J137" s="73"/>
      <c r="K137" s="81"/>
      <c r="L137" s="29"/>
    </row>
    <row r="138" spans="2:12" s="25" customFormat="1" ht="14.25" customHeight="1" thickBot="1" x14ac:dyDescent="0.25">
      <c r="B138" s="214" t="s">
        <v>336</v>
      </c>
      <c r="C138" s="215"/>
      <c r="D138" s="215"/>
      <c r="E138" s="215"/>
      <c r="F138" s="215"/>
      <c r="G138" s="215"/>
      <c r="H138" s="215"/>
      <c r="I138" s="215"/>
      <c r="J138" s="215"/>
      <c r="K138" s="75">
        <f>SUM(K7:K136)</f>
        <v>2286076.9838483147</v>
      </c>
      <c r="L138" s="171"/>
    </row>
    <row r="139" spans="2:12" s="25" customFormat="1" ht="15" x14ac:dyDescent="0.2">
      <c r="B139" s="225" t="s">
        <v>337</v>
      </c>
      <c r="C139" s="225"/>
      <c r="D139" s="225"/>
      <c r="E139" s="225"/>
      <c r="F139" s="225"/>
      <c r="G139" s="225"/>
      <c r="H139" s="225"/>
      <c r="I139" s="225"/>
      <c r="J139" s="225"/>
      <c r="K139" s="225"/>
      <c r="L139" s="171"/>
    </row>
    <row r="140" spans="2:12" ht="15" x14ac:dyDescent="0.2">
      <c r="B140" s="225" t="s">
        <v>338</v>
      </c>
      <c r="C140" s="225"/>
      <c r="D140" s="225"/>
      <c r="E140" s="225"/>
      <c r="F140" s="225"/>
      <c r="G140" s="225"/>
      <c r="H140" s="225"/>
      <c r="I140" s="225"/>
      <c r="J140" s="225"/>
      <c r="K140" s="225"/>
      <c r="L140" s="171"/>
    </row>
    <row r="141" spans="2:12" x14ac:dyDescent="0.2">
      <c r="B141" s="3"/>
      <c r="C141" s="3"/>
      <c r="D141" s="3"/>
      <c r="E141" s="3"/>
      <c r="F141" s="171"/>
      <c r="G141" s="171"/>
      <c r="H141" s="171"/>
      <c r="I141" s="171"/>
      <c r="J141" s="171"/>
      <c r="K141" s="171"/>
      <c r="L141" s="171"/>
    </row>
    <row r="142" spans="2:12" x14ac:dyDescent="0.2">
      <c r="B142" s="171"/>
      <c r="C142" s="171"/>
      <c r="D142" s="171"/>
      <c r="E142" s="171"/>
      <c r="F142" s="4"/>
      <c r="G142" s="4"/>
      <c r="H142" s="4"/>
      <c r="I142" s="4"/>
      <c r="J142" s="4"/>
      <c r="K142" s="4"/>
      <c r="L142" s="171"/>
    </row>
  </sheetData>
  <mergeCells count="44">
    <mergeCell ref="B140:K140"/>
    <mergeCell ref="L27:N27"/>
    <mergeCell ref="L28:N28"/>
    <mergeCell ref="L16:N16"/>
    <mergeCell ref="M17:M18"/>
    <mergeCell ref="N17:N18"/>
    <mergeCell ref="L22:N22"/>
    <mergeCell ref="M23:M24"/>
    <mergeCell ref="N23:N24"/>
    <mergeCell ref="L21:N21"/>
    <mergeCell ref="B139:K139"/>
    <mergeCell ref="B138:J138"/>
    <mergeCell ref="L15:N15"/>
    <mergeCell ref="L3:N3"/>
    <mergeCell ref="L4:N4"/>
    <mergeCell ref="M5:M6"/>
    <mergeCell ref="N5:N6"/>
    <mergeCell ref="L9:N9"/>
    <mergeCell ref="R9:R10"/>
    <mergeCell ref="S9:S10"/>
    <mergeCell ref="M11:M12"/>
    <mergeCell ref="N11:N12"/>
    <mergeCell ref="L10:N10"/>
    <mergeCell ref="B2:K2"/>
    <mergeCell ref="B3:K3"/>
    <mergeCell ref="O3:T3"/>
    <mergeCell ref="B4:K4"/>
    <mergeCell ref="O4:T4"/>
    <mergeCell ref="O7:T7"/>
    <mergeCell ref="O8:T8"/>
    <mergeCell ref="P9:P10"/>
    <mergeCell ref="B5:K5"/>
    <mergeCell ref="B7:B8"/>
    <mergeCell ref="C7:C8"/>
    <mergeCell ref="I7:I8"/>
    <mergeCell ref="H7:H8"/>
    <mergeCell ref="G7:G8"/>
    <mergeCell ref="B6:K6"/>
    <mergeCell ref="D7:D8"/>
    <mergeCell ref="E7:E8"/>
    <mergeCell ref="F7:F8"/>
    <mergeCell ref="J7:J8"/>
    <mergeCell ref="K7:K8"/>
    <mergeCell ref="Q9:Q10"/>
  </mergeCells>
  <printOptions horizontalCentered="1"/>
  <pageMargins left="0.7" right="0.7" top="1.2" bottom="0.75" header="0.3" footer="0.3"/>
  <pageSetup scale="59" fitToHeight="0" orientation="landscape" r:id="rId1"/>
  <headerFooter>
    <oddFooter>Page &amp;P of &amp;N</oddFooter>
  </headerFooter>
  <rowBreaks count="2" manualBreakCount="2">
    <brk id="47" min="1" max="10" man="1"/>
    <brk id="93" min="1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F4ACA-DD34-4A73-94A3-31620C76EFA8}">
  <sheetPr>
    <pageSetUpPr fitToPage="1"/>
  </sheetPr>
  <dimension ref="B1:R20"/>
  <sheetViews>
    <sheetView view="pageBreakPreview" zoomScale="70" zoomScaleNormal="70" zoomScaleSheetLayoutView="70" workbookViewId="0">
      <selection activeCell="L15" sqref="L15"/>
    </sheetView>
  </sheetViews>
  <sheetFormatPr defaultColWidth="13.875" defaultRowHeight="14.25" x14ac:dyDescent="0.2"/>
  <cols>
    <col min="1" max="1" width="13.875" style="18"/>
    <col min="2" max="2" width="11.5" style="18" bestFit="1" customWidth="1"/>
    <col min="3" max="3" width="11.5" style="18" customWidth="1"/>
    <col min="4" max="4" width="42.625" style="18" customWidth="1"/>
    <col min="5" max="5" width="15.5" style="1" customWidth="1"/>
    <col min="6" max="6" width="38.25" style="1" customWidth="1"/>
    <col min="7" max="7" width="31.25" style="1" customWidth="1"/>
    <col min="8" max="8" width="17.875" style="1" customWidth="1"/>
    <col min="9" max="10" width="16" style="1" bestFit="1" customWidth="1"/>
    <col min="11" max="11" width="24.625" style="1" customWidth="1"/>
    <col min="12" max="12" width="22.125" style="18" customWidth="1"/>
    <col min="13" max="13" width="21.125" style="18" customWidth="1"/>
    <col min="14" max="14" width="13.875" style="18"/>
    <col min="15" max="15" width="8.25" style="18" bestFit="1" customWidth="1"/>
    <col min="16" max="16" width="24.75" style="18" bestFit="1" customWidth="1"/>
    <col min="17" max="17" width="16.625" style="18" bestFit="1" customWidth="1"/>
    <col min="18" max="18" width="19" style="18" customWidth="1"/>
    <col min="19" max="16384" width="13.875" style="18"/>
  </cols>
  <sheetData>
    <row r="1" spans="2:18" ht="20.25" customHeight="1" thickBot="1" x14ac:dyDescent="0.25">
      <c r="B1" s="171"/>
      <c r="C1" s="171"/>
      <c r="D1" s="171"/>
      <c r="L1" s="171"/>
      <c r="M1" s="171"/>
      <c r="N1" s="171"/>
      <c r="O1" s="171"/>
      <c r="P1" s="171"/>
      <c r="Q1" s="171"/>
      <c r="R1" s="171"/>
    </row>
    <row r="2" spans="2:18" ht="18" x14ac:dyDescent="0.25">
      <c r="B2" s="177" t="s">
        <v>0</v>
      </c>
      <c r="C2" s="178"/>
      <c r="D2" s="178"/>
      <c r="E2" s="178"/>
      <c r="F2" s="178"/>
      <c r="G2" s="178"/>
      <c r="H2" s="178"/>
      <c r="I2" s="178"/>
      <c r="J2" s="178"/>
      <c r="K2" s="179"/>
      <c r="L2" s="171"/>
      <c r="M2" s="171"/>
      <c r="N2" s="171"/>
      <c r="O2" s="171"/>
      <c r="P2" s="171"/>
      <c r="Q2" s="171"/>
      <c r="R2" s="171"/>
    </row>
    <row r="3" spans="2:18" ht="18" x14ac:dyDescent="0.25">
      <c r="B3" s="180" t="s">
        <v>1</v>
      </c>
      <c r="C3" s="226"/>
      <c r="D3" s="226"/>
      <c r="E3" s="226"/>
      <c r="F3" s="226"/>
      <c r="G3" s="226"/>
      <c r="H3" s="226"/>
      <c r="I3" s="226"/>
      <c r="J3" s="226"/>
      <c r="K3" s="182"/>
      <c r="L3" s="171"/>
      <c r="M3" s="186"/>
      <c r="N3" s="186"/>
      <c r="O3" s="186"/>
      <c r="P3" s="186"/>
      <c r="Q3" s="186"/>
      <c r="R3" s="186"/>
    </row>
    <row r="4" spans="2:18" ht="15" customHeight="1" x14ac:dyDescent="0.25">
      <c r="B4" s="187" t="str">
        <f>Overall!B4</f>
        <v>As of March 22, 2021</v>
      </c>
      <c r="C4" s="205"/>
      <c r="D4" s="205"/>
      <c r="E4" s="205"/>
      <c r="F4" s="205"/>
      <c r="G4" s="205"/>
      <c r="H4" s="205"/>
      <c r="I4" s="205"/>
      <c r="J4" s="205"/>
      <c r="K4" s="189"/>
      <c r="L4" s="171"/>
      <c r="M4" s="186"/>
      <c r="N4" s="186"/>
      <c r="O4" s="186"/>
      <c r="P4" s="186"/>
      <c r="Q4" s="186"/>
      <c r="R4" s="186"/>
    </row>
    <row r="5" spans="2:18" ht="15" customHeight="1" x14ac:dyDescent="0.25">
      <c r="B5" s="187"/>
      <c r="C5" s="205"/>
      <c r="D5" s="205"/>
      <c r="E5" s="205"/>
      <c r="F5" s="205"/>
      <c r="G5" s="205"/>
      <c r="H5" s="205"/>
      <c r="I5" s="205"/>
      <c r="J5" s="205"/>
      <c r="K5" s="189"/>
      <c r="L5" s="171"/>
      <c r="M5" s="171"/>
      <c r="N5" s="171"/>
      <c r="O5" s="171"/>
      <c r="P5" s="171"/>
      <c r="Q5" s="171"/>
      <c r="R5" s="171"/>
    </row>
    <row r="6" spans="2:18" ht="15" customHeight="1" thickBot="1" x14ac:dyDescent="0.3">
      <c r="B6" s="190" t="s">
        <v>329</v>
      </c>
      <c r="C6" s="191"/>
      <c r="D6" s="191"/>
      <c r="E6" s="191"/>
      <c r="F6" s="191"/>
      <c r="G6" s="191"/>
      <c r="H6" s="191"/>
      <c r="I6" s="191"/>
      <c r="J6" s="191"/>
      <c r="K6" s="192"/>
      <c r="L6" s="171"/>
      <c r="M6" s="171"/>
      <c r="N6" s="171"/>
      <c r="O6" s="171"/>
      <c r="P6" s="171"/>
      <c r="Q6" s="171"/>
      <c r="R6" s="171"/>
    </row>
    <row r="7" spans="2:18" s="2" customFormat="1" ht="18" customHeight="1" x14ac:dyDescent="0.25">
      <c r="B7" s="228" t="s">
        <v>3</v>
      </c>
      <c r="C7" s="212" t="s">
        <v>24</v>
      </c>
      <c r="D7" s="221" t="s">
        <v>4</v>
      </c>
      <c r="E7" s="221" t="s">
        <v>25</v>
      </c>
      <c r="F7" s="222" t="s">
        <v>339</v>
      </c>
      <c r="G7" s="222" t="s">
        <v>340</v>
      </c>
      <c r="H7" s="222" t="s">
        <v>179</v>
      </c>
      <c r="I7" s="222" t="s">
        <v>180</v>
      </c>
      <c r="J7" s="222" t="s">
        <v>181</v>
      </c>
      <c r="K7" s="231" t="s">
        <v>5</v>
      </c>
      <c r="M7" s="186"/>
      <c r="N7" s="186"/>
      <c r="O7" s="186"/>
      <c r="P7" s="186"/>
      <c r="Q7" s="186"/>
      <c r="R7" s="186"/>
    </row>
    <row r="8" spans="2:18" s="2" customFormat="1" ht="18" customHeight="1" x14ac:dyDescent="0.25">
      <c r="B8" s="194"/>
      <c r="C8" s="199"/>
      <c r="D8" s="197"/>
      <c r="E8" s="197"/>
      <c r="F8" s="197"/>
      <c r="G8" s="197"/>
      <c r="H8" s="197"/>
      <c r="I8" s="197"/>
      <c r="J8" s="197"/>
      <c r="K8" s="198"/>
      <c r="M8" s="186"/>
      <c r="N8" s="186"/>
      <c r="O8" s="186"/>
      <c r="P8" s="186"/>
      <c r="Q8" s="186"/>
      <c r="R8" s="186"/>
    </row>
    <row r="9" spans="2:18" ht="18" x14ac:dyDescent="0.25">
      <c r="B9" s="19">
        <v>363.2</v>
      </c>
      <c r="C9" s="20">
        <v>6</v>
      </c>
      <c r="D9" s="22" t="s">
        <v>20</v>
      </c>
      <c r="E9" s="5"/>
      <c r="F9" s="5"/>
      <c r="G9" s="5"/>
      <c r="H9" s="5"/>
      <c r="I9" s="5"/>
      <c r="J9" s="5"/>
      <c r="K9" s="110"/>
      <c r="L9" s="171"/>
      <c r="M9" s="171"/>
      <c r="N9" s="186"/>
      <c r="O9" s="186"/>
      <c r="P9" s="186"/>
      <c r="Q9" s="186"/>
      <c r="R9" s="171"/>
    </row>
    <row r="10" spans="2:18" ht="18" x14ac:dyDescent="0.25">
      <c r="B10" s="9"/>
      <c r="C10" s="20">
        <v>6.1</v>
      </c>
      <c r="D10" s="15" t="s">
        <v>341</v>
      </c>
      <c r="E10" s="31">
        <v>1966</v>
      </c>
      <c r="F10" s="118" t="s">
        <v>342</v>
      </c>
      <c r="G10" s="118" t="s">
        <v>343</v>
      </c>
      <c r="H10" s="35">
        <v>65000</v>
      </c>
      <c r="I10" s="31">
        <v>11392</v>
      </c>
      <c r="J10" s="31">
        <v>1019</v>
      </c>
      <c r="K10" s="7">
        <f>H10*(J10/I10)</f>
        <v>5814.1678370786512</v>
      </c>
      <c r="L10" s="171"/>
      <c r="M10" s="171"/>
      <c r="N10" s="186"/>
      <c r="O10" s="186"/>
      <c r="P10" s="186"/>
      <c r="Q10" s="186"/>
      <c r="R10" s="171"/>
    </row>
    <row r="11" spans="2:18" ht="18" x14ac:dyDescent="0.25">
      <c r="B11" s="8"/>
      <c r="C11" s="20">
        <v>6.2</v>
      </c>
      <c r="D11" s="15" t="s">
        <v>344</v>
      </c>
      <c r="E11" s="31">
        <v>1996</v>
      </c>
      <c r="F11" s="118" t="s">
        <v>342</v>
      </c>
      <c r="G11" s="118" t="s">
        <v>345</v>
      </c>
      <c r="H11" s="35">
        <v>105000</v>
      </c>
      <c r="I11" s="31">
        <v>11392</v>
      </c>
      <c r="J11" s="31">
        <v>5620</v>
      </c>
      <c r="K11" s="7">
        <f t="shared" ref="K11:K17" si="0">H11*(J11/I11)</f>
        <v>51799.508426966291</v>
      </c>
      <c r="L11" s="30"/>
      <c r="M11" s="171"/>
      <c r="N11" s="171"/>
      <c r="O11" s="171"/>
      <c r="P11" s="171"/>
      <c r="Q11" s="171"/>
      <c r="R11" s="171"/>
    </row>
    <row r="12" spans="2:18" ht="18" x14ac:dyDescent="0.25">
      <c r="B12" s="8"/>
      <c r="C12" s="20">
        <v>6.3</v>
      </c>
      <c r="D12" s="15" t="s">
        <v>346</v>
      </c>
      <c r="E12" s="31">
        <v>1994</v>
      </c>
      <c r="F12" s="118" t="s">
        <v>342</v>
      </c>
      <c r="G12" s="118" t="s">
        <v>347</v>
      </c>
      <c r="H12" s="35">
        <v>225000</v>
      </c>
      <c r="I12" s="31">
        <v>11392</v>
      </c>
      <c r="J12" s="31">
        <v>5408</v>
      </c>
      <c r="K12" s="7">
        <f t="shared" si="0"/>
        <v>106811.79775280898</v>
      </c>
      <c r="L12" s="171"/>
      <c r="M12" s="171"/>
      <c r="N12" s="171"/>
      <c r="O12" s="171"/>
      <c r="P12" s="171"/>
      <c r="Q12" s="171"/>
      <c r="R12" s="171"/>
    </row>
    <row r="13" spans="2:18" ht="18" x14ac:dyDescent="0.25">
      <c r="B13" s="8"/>
      <c r="C13" s="20">
        <v>6.4</v>
      </c>
      <c r="D13" s="15" t="s">
        <v>348</v>
      </c>
      <c r="E13" s="31">
        <v>1988</v>
      </c>
      <c r="F13" s="118" t="s">
        <v>349</v>
      </c>
      <c r="G13" s="118" t="s">
        <v>350</v>
      </c>
      <c r="H13" s="35">
        <v>165000</v>
      </c>
      <c r="I13" s="31">
        <v>11392</v>
      </c>
      <c r="J13" s="31">
        <v>4519</v>
      </c>
      <c r="K13" s="7">
        <f t="shared" si="0"/>
        <v>65452.510533707864</v>
      </c>
      <c r="L13" s="171"/>
      <c r="M13" s="171"/>
      <c r="N13" s="171"/>
      <c r="O13" s="171"/>
      <c r="P13" s="171"/>
      <c r="Q13" s="171"/>
      <c r="R13" s="171"/>
    </row>
    <row r="14" spans="2:18" ht="18" x14ac:dyDescent="0.25">
      <c r="B14" s="8"/>
      <c r="C14" s="20">
        <v>6.5</v>
      </c>
      <c r="D14" s="15" t="s">
        <v>351</v>
      </c>
      <c r="E14" s="31">
        <v>1966</v>
      </c>
      <c r="F14" s="118" t="s">
        <v>349</v>
      </c>
      <c r="G14" s="118" t="s">
        <v>347</v>
      </c>
      <c r="H14" s="35">
        <v>225000</v>
      </c>
      <c r="I14" s="31">
        <v>11392</v>
      </c>
      <c r="J14" s="31">
        <v>1019</v>
      </c>
      <c r="K14" s="7">
        <f t="shared" si="0"/>
        <v>20125.965589887641</v>
      </c>
      <c r="L14" s="171"/>
      <c r="M14" s="171"/>
      <c r="N14" s="171"/>
      <c r="O14" s="171"/>
      <c r="P14" s="171"/>
      <c r="Q14" s="171"/>
      <c r="R14" s="171"/>
    </row>
    <row r="15" spans="2:18" ht="18" x14ac:dyDescent="0.25">
      <c r="B15" s="9"/>
      <c r="C15" s="20">
        <v>6.6</v>
      </c>
      <c r="D15" s="15" t="s">
        <v>352</v>
      </c>
      <c r="E15" s="31">
        <v>1966</v>
      </c>
      <c r="F15" s="118" t="s">
        <v>342</v>
      </c>
      <c r="G15" s="118" t="s">
        <v>345</v>
      </c>
      <c r="H15" s="35">
        <v>105000</v>
      </c>
      <c r="I15" s="31">
        <v>11392</v>
      </c>
      <c r="J15" s="31">
        <v>1019</v>
      </c>
      <c r="K15" s="7">
        <f t="shared" si="0"/>
        <v>9392.117275280898</v>
      </c>
      <c r="L15" s="171"/>
      <c r="M15" s="171"/>
      <c r="N15" s="171"/>
      <c r="O15" s="171"/>
      <c r="P15" s="171"/>
      <c r="Q15" s="171"/>
      <c r="R15" s="171"/>
    </row>
    <row r="16" spans="2:18" ht="18" x14ac:dyDescent="0.25">
      <c r="B16" s="9"/>
      <c r="C16" s="20">
        <v>6.7</v>
      </c>
      <c r="D16" s="15" t="s">
        <v>353</v>
      </c>
      <c r="E16" s="31">
        <v>1979</v>
      </c>
      <c r="F16" s="118" t="s">
        <v>349</v>
      </c>
      <c r="G16" s="118" t="s">
        <v>345</v>
      </c>
      <c r="H16" s="35">
        <v>105000</v>
      </c>
      <c r="I16" s="31">
        <v>11392</v>
      </c>
      <c r="J16" s="31">
        <v>3003</v>
      </c>
      <c r="K16" s="7">
        <f t="shared" si="0"/>
        <v>27678.634129213482</v>
      </c>
      <c r="L16" s="171"/>
      <c r="M16" s="171"/>
      <c r="N16" s="171"/>
      <c r="O16" s="171"/>
      <c r="P16" s="171"/>
      <c r="Q16" s="171"/>
      <c r="R16" s="171"/>
    </row>
    <row r="17" spans="2:13" ht="18.75" thickBot="1" x14ac:dyDescent="0.3">
      <c r="B17" s="13"/>
      <c r="C17" s="66">
        <v>6.8</v>
      </c>
      <c r="D17" s="16" t="s">
        <v>354</v>
      </c>
      <c r="E17" s="65">
        <v>2017</v>
      </c>
      <c r="F17" s="119" t="s">
        <v>342</v>
      </c>
      <c r="G17" s="119" t="s">
        <v>355</v>
      </c>
      <c r="H17" s="87">
        <v>22500</v>
      </c>
      <c r="I17" s="65">
        <v>11392</v>
      </c>
      <c r="J17" s="65">
        <v>10737</v>
      </c>
      <c r="K17" s="10">
        <f t="shared" si="0"/>
        <v>21206.32900280899</v>
      </c>
      <c r="L17" s="171"/>
      <c r="M17" s="171"/>
    </row>
    <row r="18" spans="2:13" s="25" customFormat="1" ht="18" x14ac:dyDescent="0.25">
      <c r="B18" s="67"/>
      <c r="C18" s="68"/>
      <c r="D18" s="69"/>
      <c r="E18" s="70"/>
      <c r="F18" s="71"/>
      <c r="G18" s="71"/>
      <c r="H18" s="71"/>
      <c r="I18" s="71"/>
      <c r="J18" s="71"/>
      <c r="K18" s="74"/>
      <c r="L18" s="171"/>
      <c r="M18" s="29"/>
    </row>
    <row r="19" spans="2:13" s="25" customFormat="1" ht="18.75" thickBot="1" x14ac:dyDescent="0.25">
      <c r="B19" s="214" t="s">
        <v>356</v>
      </c>
      <c r="C19" s="215"/>
      <c r="D19" s="215"/>
      <c r="E19" s="215"/>
      <c r="F19" s="215"/>
      <c r="G19" s="215"/>
      <c r="H19" s="215"/>
      <c r="I19" s="215"/>
      <c r="J19" s="215"/>
      <c r="K19" s="113">
        <f>SUM(K9:K17)</f>
        <v>308281.0305477528</v>
      </c>
      <c r="L19" s="171"/>
      <c r="M19" s="171"/>
    </row>
    <row r="20" spans="2:13" x14ac:dyDescent="0.2">
      <c r="B20" s="206" t="s">
        <v>357</v>
      </c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171"/>
    </row>
  </sheetData>
  <mergeCells count="25">
    <mergeCell ref="B20:L20"/>
    <mergeCell ref="B2:K2"/>
    <mergeCell ref="B3:K3"/>
    <mergeCell ref="M7:R7"/>
    <mergeCell ref="M8:R8"/>
    <mergeCell ref="N9:N10"/>
    <mergeCell ref="O9:O10"/>
    <mergeCell ref="P9:P10"/>
    <mergeCell ref="Q9:Q10"/>
    <mergeCell ref="M3:R3"/>
    <mergeCell ref="B4:K4"/>
    <mergeCell ref="M4:R4"/>
    <mergeCell ref="B5:K5"/>
    <mergeCell ref="J7:J8"/>
    <mergeCell ref="K7:K8"/>
    <mergeCell ref="B6:K6"/>
    <mergeCell ref="D7:D8"/>
    <mergeCell ref="E7:E8"/>
    <mergeCell ref="B19:J19"/>
    <mergeCell ref="B7:B8"/>
    <mergeCell ref="C7:C8"/>
    <mergeCell ref="I7:I8"/>
    <mergeCell ref="H7:H8"/>
    <mergeCell ref="G7:G8"/>
    <mergeCell ref="F7:F8"/>
  </mergeCells>
  <printOptions horizontalCentered="1"/>
  <pageMargins left="0.7" right="0.7" top="1.2" bottom="0.75" header="0.3" footer="0.3"/>
  <pageSetup scale="49" orientation="landscape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4CA77-7AD7-4081-AC4B-FB6ABD063526}">
  <sheetPr>
    <pageSetUpPr fitToPage="1"/>
  </sheetPr>
  <dimension ref="B1:U89"/>
  <sheetViews>
    <sheetView view="pageBreakPreview" zoomScale="70" zoomScaleNormal="70" zoomScaleSheetLayoutView="70" workbookViewId="0">
      <selection activeCell="I18" sqref="I18:I19"/>
    </sheetView>
  </sheetViews>
  <sheetFormatPr defaultColWidth="13.875" defaultRowHeight="14.25" x14ac:dyDescent="0.2"/>
  <cols>
    <col min="1" max="1" width="13.875" style="124"/>
    <col min="2" max="2" width="11.5" style="124" customWidth="1"/>
    <col min="3" max="3" width="13.375" style="124" customWidth="1"/>
    <col min="4" max="4" width="66.375" style="124" customWidth="1"/>
    <col min="5" max="5" width="16.25" style="1" customWidth="1"/>
    <col min="6" max="6" width="15.125" style="1" customWidth="1"/>
    <col min="7" max="7" width="13" style="1" customWidth="1"/>
    <col min="8" max="8" width="18.5" style="124" bestFit="1" customWidth="1"/>
    <col min="9" max="9" width="17.875" style="124" bestFit="1" customWidth="1"/>
    <col min="10" max="10" width="16" style="124" bestFit="1" customWidth="1"/>
    <col min="11" max="11" width="16.875" style="124" customWidth="1"/>
    <col min="12" max="12" width="22.375" style="124" customWidth="1"/>
    <col min="13" max="13" width="13.875" style="124"/>
    <col min="14" max="14" width="12.25" style="124" customWidth="1"/>
    <col min="15" max="15" width="43.125" style="124" customWidth="1"/>
    <col min="16" max="16" width="16" style="124" customWidth="1"/>
    <col min="17" max="17" width="13.875" style="124"/>
    <col min="18" max="18" width="8.25" style="124" bestFit="1" customWidth="1"/>
    <col min="19" max="19" width="24.75" style="124" bestFit="1" customWidth="1"/>
    <col min="20" max="20" width="16.625" style="124" bestFit="1" customWidth="1"/>
    <col min="21" max="21" width="19" style="124" customWidth="1"/>
    <col min="22" max="16384" width="13.875" style="124"/>
  </cols>
  <sheetData>
    <row r="1" spans="2:21" ht="20.25" customHeight="1" thickBot="1" x14ac:dyDescent="0.25">
      <c r="B1" s="171"/>
      <c r="C1" s="171"/>
      <c r="D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</row>
    <row r="2" spans="2:21" ht="18" x14ac:dyDescent="0.25">
      <c r="B2" s="177" t="s">
        <v>0</v>
      </c>
      <c r="C2" s="178"/>
      <c r="D2" s="178"/>
      <c r="E2" s="178"/>
      <c r="F2" s="178"/>
      <c r="G2" s="178"/>
      <c r="H2" s="178"/>
      <c r="I2" s="178"/>
      <c r="J2" s="178"/>
      <c r="K2" s="178"/>
      <c r="L2" s="179"/>
      <c r="M2" s="171"/>
      <c r="N2" s="171"/>
      <c r="O2" s="171"/>
      <c r="P2" s="171"/>
      <c r="Q2" s="171"/>
      <c r="R2" s="171"/>
      <c r="S2" s="171"/>
      <c r="T2" s="171"/>
      <c r="U2" s="171"/>
    </row>
    <row r="3" spans="2:21" ht="18" x14ac:dyDescent="0.25">
      <c r="B3" s="180" t="s">
        <v>1</v>
      </c>
      <c r="C3" s="226"/>
      <c r="D3" s="226"/>
      <c r="E3" s="226"/>
      <c r="F3" s="226"/>
      <c r="G3" s="226"/>
      <c r="H3" s="226"/>
      <c r="I3" s="226"/>
      <c r="J3" s="226"/>
      <c r="K3" s="226"/>
      <c r="L3" s="182"/>
      <c r="M3" s="171"/>
      <c r="N3" s="171"/>
      <c r="O3" s="171"/>
      <c r="P3" s="186"/>
      <c r="Q3" s="186"/>
      <c r="R3" s="186"/>
      <c r="S3" s="186"/>
      <c r="T3" s="186"/>
      <c r="U3" s="186"/>
    </row>
    <row r="4" spans="2:21" ht="15" customHeight="1" x14ac:dyDescent="0.25">
      <c r="B4" s="187" t="str">
        <f>Overall!B4</f>
        <v>As of March 22, 2021</v>
      </c>
      <c r="C4" s="205"/>
      <c r="D4" s="205"/>
      <c r="E4" s="205"/>
      <c r="F4" s="205"/>
      <c r="G4" s="205"/>
      <c r="H4" s="205"/>
      <c r="I4" s="205"/>
      <c r="J4" s="205"/>
      <c r="K4" s="205"/>
      <c r="L4" s="189"/>
      <c r="M4" s="171"/>
      <c r="N4" s="171"/>
      <c r="O4" s="171"/>
      <c r="P4" s="186"/>
      <c r="Q4" s="186"/>
      <c r="R4" s="186"/>
      <c r="S4" s="186"/>
      <c r="T4" s="186"/>
      <c r="U4" s="186"/>
    </row>
    <row r="5" spans="2:21" ht="15" customHeight="1" x14ac:dyDescent="0.25">
      <c r="B5" s="187"/>
      <c r="C5" s="205"/>
      <c r="D5" s="205"/>
      <c r="E5" s="205"/>
      <c r="F5" s="205"/>
      <c r="G5" s="205"/>
      <c r="H5" s="205"/>
      <c r="I5" s="205"/>
      <c r="J5" s="205"/>
      <c r="K5" s="205"/>
      <c r="L5" s="189"/>
      <c r="M5" s="171"/>
      <c r="N5" s="171"/>
      <c r="O5" s="171"/>
      <c r="P5" s="171"/>
      <c r="Q5" s="171"/>
      <c r="R5" s="171"/>
      <c r="S5" s="171"/>
      <c r="T5" s="171"/>
      <c r="U5" s="171"/>
    </row>
    <row r="6" spans="2:21" ht="15" customHeight="1" thickBot="1" x14ac:dyDescent="0.3">
      <c r="B6" s="207" t="s">
        <v>358</v>
      </c>
      <c r="C6" s="208"/>
      <c r="D6" s="208"/>
      <c r="E6" s="208"/>
      <c r="F6" s="208"/>
      <c r="G6" s="208"/>
      <c r="H6" s="208"/>
      <c r="I6" s="208"/>
      <c r="J6" s="208"/>
      <c r="K6" s="208"/>
      <c r="L6" s="209"/>
      <c r="M6" s="171"/>
      <c r="N6" s="171"/>
      <c r="O6" s="171"/>
      <c r="P6" s="171"/>
      <c r="Q6" s="171"/>
      <c r="R6" s="171"/>
      <c r="S6" s="171"/>
      <c r="T6" s="171"/>
      <c r="U6" s="171"/>
    </row>
    <row r="7" spans="2:21" s="2" customFormat="1" ht="18" customHeight="1" x14ac:dyDescent="0.25">
      <c r="B7" s="210" t="s">
        <v>3</v>
      </c>
      <c r="C7" s="212" t="s">
        <v>24</v>
      </c>
      <c r="D7" s="213" t="s">
        <v>4</v>
      </c>
      <c r="E7" s="213" t="s">
        <v>25</v>
      </c>
      <c r="F7" s="213" t="s">
        <v>26</v>
      </c>
      <c r="G7" s="213" t="s">
        <v>27</v>
      </c>
      <c r="H7" s="213" t="s">
        <v>28</v>
      </c>
      <c r="I7" s="222" t="s">
        <v>49</v>
      </c>
      <c r="J7" s="222" t="s">
        <v>50</v>
      </c>
      <c r="K7" s="222" t="s">
        <v>51</v>
      </c>
      <c r="L7" s="216" t="s">
        <v>5</v>
      </c>
      <c r="P7" s="186"/>
      <c r="Q7" s="186"/>
      <c r="R7" s="186"/>
      <c r="S7" s="186"/>
      <c r="T7" s="186"/>
      <c r="U7" s="186"/>
    </row>
    <row r="8" spans="2:21" s="2" customFormat="1" ht="18" customHeight="1" x14ac:dyDescent="0.25">
      <c r="B8" s="211"/>
      <c r="C8" s="199"/>
      <c r="D8" s="197"/>
      <c r="E8" s="197"/>
      <c r="F8" s="197"/>
      <c r="G8" s="197"/>
      <c r="H8" s="197"/>
      <c r="I8" s="219"/>
      <c r="J8" s="219"/>
      <c r="K8" s="219"/>
      <c r="L8" s="217"/>
      <c r="P8" s="186"/>
      <c r="Q8" s="186"/>
      <c r="R8" s="186"/>
      <c r="S8" s="186"/>
      <c r="T8" s="186"/>
      <c r="U8" s="186"/>
    </row>
    <row r="9" spans="2:21" ht="18" x14ac:dyDescent="0.25">
      <c r="B9" s="19">
        <v>371.2</v>
      </c>
      <c r="C9" s="20">
        <v>1</v>
      </c>
      <c r="D9" s="22" t="s">
        <v>21</v>
      </c>
      <c r="E9" s="5"/>
      <c r="F9" s="5"/>
      <c r="G9" s="6"/>
      <c r="H9" s="23"/>
      <c r="I9" s="52"/>
      <c r="J9" s="52"/>
      <c r="K9" s="52"/>
      <c r="L9" s="92"/>
      <c r="M9" s="171"/>
      <c r="N9" s="33"/>
      <c r="O9" s="171"/>
      <c r="P9" s="171"/>
      <c r="Q9" s="186"/>
      <c r="R9" s="186"/>
      <c r="S9" s="186"/>
      <c r="T9" s="186"/>
      <c r="U9" s="171"/>
    </row>
    <row r="10" spans="2:21" ht="18" x14ac:dyDescent="0.25">
      <c r="B10" s="19"/>
      <c r="C10" s="20"/>
      <c r="D10" s="46"/>
      <c r="E10" s="5"/>
      <c r="F10" s="5"/>
      <c r="G10" s="6"/>
      <c r="H10" s="23"/>
      <c r="I10" s="52"/>
      <c r="J10" s="52"/>
      <c r="K10" s="52"/>
      <c r="L10" s="127"/>
      <c r="M10" s="171"/>
      <c r="N10" s="33"/>
      <c r="O10" s="171"/>
      <c r="P10" s="171"/>
      <c r="Q10" s="186"/>
      <c r="R10" s="186"/>
      <c r="S10" s="186"/>
      <c r="T10" s="186"/>
      <c r="U10" s="171"/>
    </row>
    <row r="11" spans="2:21" ht="18" x14ac:dyDescent="0.25">
      <c r="B11" s="9"/>
      <c r="C11" s="20">
        <v>1.1000000000000001</v>
      </c>
      <c r="D11" s="128" t="s">
        <v>29</v>
      </c>
      <c r="E11" s="31">
        <v>1964</v>
      </c>
      <c r="F11" s="31"/>
      <c r="G11" s="6"/>
      <c r="H11" s="24"/>
      <c r="I11" s="53"/>
      <c r="J11" s="3"/>
      <c r="K11" s="24"/>
      <c r="L11" s="134"/>
      <c r="M11" s="171"/>
      <c r="N11" s="171"/>
      <c r="O11" s="171"/>
      <c r="P11" s="171"/>
      <c r="Q11" s="186"/>
      <c r="R11" s="186"/>
      <c r="S11" s="186"/>
      <c r="T11" s="186"/>
      <c r="U11" s="171"/>
    </row>
    <row r="12" spans="2:21" ht="18" x14ac:dyDescent="0.25">
      <c r="B12" s="9"/>
      <c r="C12" s="20"/>
      <c r="D12" s="126" t="s">
        <v>359</v>
      </c>
      <c r="E12" s="31"/>
      <c r="F12" s="31">
        <v>1</v>
      </c>
      <c r="G12" s="6" t="s">
        <v>54</v>
      </c>
      <c r="H12" s="53">
        <v>87500</v>
      </c>
      <c r="I12" s="53">
        <f t="shared" ref="I12:I14" si="0">H12*F12</f>
        <v>87500</v>
      </c>
      <c r="J12" s="24">
        <v>11392</v>
      </c>
      <c r="K12" s="24">
        <v>936</v>
      </c>
      <c r="L12" s="61">
        <f>I12*(K12/J12)</f>
        <v>7189.2556179775283</v>
      </c>
      <c r="M12" s="171"/>
      <c r="N12" s="171"/>
      <c r="O12" s="171"/>
      <c r="P12" s="171"/>
      <c r="Q12" s="171"/>
      <c r="R12" s="171"/>
      <c r="S12" s="171"/>
      <c r="T12" s="171"/>
      <c r="U12" s="171"/>
    </row>
    <row r="13" spans="2:21" ht="18" x14ac:dyDescent="0.25">
      <c r="B13" s="9"/>
      <c r="C13" s="20"/>
      <c r="D13" s="126" t="s">
        <v>360</v>
      </c>
      <c r="E13" s="31"/>
      <c r="F13" s="31">
        <v>1</v>
      </c>
      <c r="G13" s="6" t="s">
        <v>54</v>
      </c>
      <c r="H13" s="53">
        <v>68500</v>
      </c>
      <c r="I13" s="53">
        <f t="shared" si="0"/>
        <v>68500</v>
      </c>
      <c r="J13" s="24">
        <v>11392</v>
      </c>
      <c r="K13" s="24">
        <v>936</v>
      </c>
      <c r="L13" s="61">
        <f t="shared" ref="L13:L14" si="1">I13*(K13/J13)</f>
        <v>5628.160112359551</v>
      </c>
      <c r="M13" s="171"/>
      <c r="N13" s="171"/>
      <c r="O13" s="171"/>
      <c r="P13" s="171"/>
      <c r="Q13" s="171"/>
      <c r="R13" s="171"/>
      <c r="S13" s="171"/>
      <c r="T13" s="171"/>
      <c r="U13" s="171"/>
    </row>
    <row r="14" spans="2:21" ht="18" x14ac:dyDescent="0.25">
      <c r="B14" s="9"/>
      <c r="C14" s="20"/>
      <c r="D14" s="126" t="s">
        <v>361</v>
      </c>
      <c r="E14" s="31"/>
      <c r="F14" s="31">
        <v>1</v>
      </c>
      <c r="G14" s="6" t="s">
        <v>54</v>
      </c>
      <c r="H14" s="53">
        <v>78500</v>
      </c>
      <c r="I14" s="53">
        <f t="shared" si="0"/>
        <v>78500</v>
      </c>
      <c r="J14" s="24">
        <v>11392</v>
      </c>
      <c r="K14" s="24">
        <v>936</v>
      </c>
      <c r="L14" s="61">
        <f t="shared" si="1"/>
        <v>6449.7893258426975</v>
      </c>
      <c r="M14" s="171"/>
      <c r="N14" s="171"/>
      <c r="O14" s="171"/>
      <c r="P14" s="171"/>
      <c r="Q14" s="171"/>
      <c r="R14" s="171"/>
      <c r="S14" s="171"/>
      <c r="T14" s="171"/>
      <c r="U14" s="171"/>
    </row>
    <row r="15" spans="2:21" ht="18" x14ac:dyDescent="0.25">
      <c r="B15" s="9"/>
      <c r="C15" s="20"/>
      <c r="D15" s="132"/>
      <c r="E15" s="31"/>
      <c r="F15" s="31"/>
      <c r="G15" s="6"/>
      <c r="H15" s="135" t="s">
        <v>11</v>
      </c>
      <c r="I15" s="156">
        <f>SUM(I12:I14)</f>
        <v>234500</v>
      </c>
      <c r="J15" s="24"/>
      <c r="K15" s="135" t="s">
        <v>11</v>
      </c>
      <c r="L15" s="136">
        <f>SUM(L12:L14)</f>
        <v>19267.205056179777</v>
      </c>
      <c r="M15" s="171"/>
      <c r="N15" s="171"/>
      <c r="O15" s="171"/>
      <c r="P15" s="171"/>
      <c r="Q15" s="171"/>
      <c r="R15" s="171"/>
      <c r="S15" s="171"/>
      <c r="T15" s="171"/>
      <c r="U15" s="171"/>
    </row>
    <row r="16" spans="2:21" ht="18" x14ac:dyDescent="0.25">
      <c r="B16" s="9"/>
      <c r="C16" s="20"/>
      <c r="D16" s="132"/>
      <c r="E16" s="31"/>
      <c r="F16" s="31"/>
      <c r="G16" s="6"/>
      <c r="H16" s="24"/>
      <c r="I16" s="53"/>
      <c r="J16" s="24"/>
      <c r="K16" s="24"/>
      <c r="L16" s="90"/>
      <c r="M16" s="171"/>
      <c r="N16" s="171"/>
      <c r="O16" s="171"/>
      <c r="P16" s="171"/>
      <c r="Q16" s="171"/>
      <c r="R16" s="171"/>
      <c r="S16" s="171"/>
      <c r="T16" s="171"/>
      <c r="U16" s="171"/>
    </row>
    <row r="17" spans="2:16" ht="18" x14ac:dyDescent="0.25">
      <c r="B17" s="8"/>
      <c r="C17" s="20">
        <v>1.2</v>
      </c>
      <c r="D17" s="128" t="s">
        <v>31</v>
      </c>
      <c r="E17" s="31">
        <v>1965</v>
      </c>
      <c r="F17" s="31"/>
      <c r="G17" s="6"/>
      <c r="H17" s="24"/>
      <c r="I17" s="53"/>
      <c r="J17" s="24"/>
      <c r="K17" s="24"/>
      <c r="L17" s="90"/>
      <c r="M17" s="171"/>
      <c r="N17" s="171"/>
      <c r="O17" s="171"/>
      <c r="P17" s="171"/>
    </row>
    <row r="18" spans="2:16" ht="18" x14ac:dyDescent="0.25">
      <c r="B18" s="9"/>
      <c r="C18" s="20"/>
      <c r="D18" s="126" t="s">
        <v>362</v>
      </c>
      <c r="E18" s="31"/>
      <c r="F18" s="31">
        <v>1</v>
      </c>
      <c r="G18" s="6" t="s">
        <v>54</v>
      </c>
      <c r="H18" s="53">
        <v>27500</v>
      </c>
      <c r="I18" s="53">
        <f t="shared" ref="I18:I19" si="2">H18*F18</f>
        <v>27500</v>
      </c>
      <c r="J18" s="24">
        <v>11392</v>
      </c>
      <c r="K18" s="24">
        <v>971</v>
      </c>
      <c r="L18" s="61">
        <f t="shared" ref="L18:L19" si="3">I18*(K18/J18)</f>
        <v>2343.9694522471909</v>
      </c>
      <c r="M18" s="171"/>
      <c r="N18" s="171"/>
      <c r="O18" s="171"/>
      <c r="P18" s="171"/>
    </row>
    <row r="19" spans="2:16" ht="18" x14ac:dyDescent="0.25">
      <c r="B19" s="9"/>
      <c r="C19" s="20"/>
      <c r="D19" s="126" t="s">
        <v>363</v>
      </c>
      <c r="E19" s="31"/>
      <c r="F19" s="31">
        <v>1</v>
      </c>
      <c r="G19" s="6" t="s">
        <v>54</v>
      </c>
      <c r="H19" s="53">
        <v>4500</v>
      </c>
      <c r="I19" s="53">
        <f t="shared" si="2"/>
        <v>4500</v>
      </c>
      <c r="J19" s="24">
        <v>11392</v>
      </c>
      <c r="K19" s="24">
        <v>971</v>
      </c>
      <c r="L19" s="61">
        <f t="shared" si="3"/>
        <v>383.55863764044943</v>
      </c>
      <c r="M19" s="171"/>
      <c r="N19" s="171"/>
      <c r="O19" s="171"/>
      <c r="P19" s="171"/>
    </row>
    <row r="20" spans="2:16" ht="18" x14ac:dyDescent="0.25">
      <c r="B20" s="9"/>
      <c r="C20" s="20"/>
      <c r="D20" s="131"/>
      <c r="E20" s="31"/>
      <c r="F20" s="31"/>
      <c r="G20" s="6"/>
      <c r="H20" s="135" t="s">
        <v>11</v>
      </c>
      <c r="I20" s="156">
        <f>SUM(I17:I19)</f>
        <v>32000</v>
      </c>
      <c r="J20" s="24"/>
      <c r="K20" s="135" t="s">
        <v>11</v>
      </c>
      <c r="L20" s="136">
        <f>SUM(L18:L19)</f>
        <v>2727.5280898876404</v>
      </c>
      <c r="M20" s="171"/>
      <c r="N20" s="171"/>
      <c r="O20" s="171"/>
      <c r="P20" s="171"/>
    </row>
    <row r="21" spans="2:16" ht="18" x14ac:dyDescent="0.25">
      <c r="B21" s="9"/>
      <c r="C21" s="20"/>
      <c r="D21" s="132"/>
      <c r="E21" s="31"/>
      <c r="F21" s="31"/>
      <c r="G21" s="6"/>
      <c r="H21" s="24"/>
      <c r="I21" s="53"/>
      <c r="J21" s="24"/>
      <c r="K21" s="24"/>
      <c r="L21" s="90"/>
      <c r="M21" s="171"/>
      <c r="N21" s="171"/>
      <c r="O21" s="171"/>
      <c r="P21" s="171"/>
    </row>
    <row r="22" spans="2:16" ht="18" x14ac:dyDescent="0.25">
      <c r="B22" s="8"/>
      <c r="C22" s="20">
        <v>1.3</v>
      </c>
      <c r="D22" s="128" t="s">
        <v>32</v>
      </c>
      <c r="E22" s="31">
        <v>1965</v>
      </c>
      <c r="F22" s="31"/>
      <c r="G22" s="6"/>
      <c r="H22" s="24"/>
      <c r="I22" s="53"/>
      <c r="J22" s="24"/>
      <c r="K22" s="24"/>
      <c r="L22" s="90"/>
      <c r="M22" s="30"/>
      <c r="N22" s="30"/>
      <c r="O22" s="30"/>
      <c r="P22" s="30"/>
    </row>
    <row r="23" spans="2:16" ht="18" x14ac:dyDescent="0.25">
      <c r="B23" s="9"/>
      <c r="C23" s="20"/>
      <c r="D23" s="131" t="s">
        <v>364</v>
      </c>
      <c r="E23" s="31"/>
      <c r="F23" s="31">
        <v>1</v>
      </c>
      <c r="G23" s="6" t="s">
        <v>54</v>
      </c>
      <c r="H23" s="53">
        <v>175000</v>
      </c>
      <c r="I23" s="53">
        <f t="shared" ref="I23:I24" si="4">H23*F23</f>
        <v>175000</v>
      </c>
      <c r="J23" s="24">
        <v>11392</v>
      </c>
      <c r="K23" s="24">
        <v>971</v>
      </c>
      <c r="L23" s="61">
        <f t="shared" ref="L23:L24" si="5">I23*(K23/J23)</f>
        <v>14916.169241573034</v>
      </c>
      <c r="M23" s="171"/>
      <c r="N23" s="171"/>
      <c r="O23" s="171"/>
      <c r="P23" s="171"/>
    </row>
    <row r="24" spans="2:16" ht="18" x14ac:dyDescent="0.25">
      <c r="B24" s="9"/>
      <c r="C24" s="20"/>
      <c r="D24" s="131" t="s">
        <v>365</v>
      </c>
      <c r="E24" s="31"/>
      <c r="F24" s="31">
        <v>1</v>
      </c>
      <c r="G24" s="6" t="s">
        <v>54</v>
      </c>
      <c r="H24" s="53">
        <v>8500</v>
      </c>
      <c r="I24" s="53">
        <f t="shared" si="4"/>
        <v>8500</v>
      </c>
      <c r="J24" s="24">
        <v>11392</v>
      </c>
      <c r="K24" s="24">
        <v>971</v>
      </c>
      <c r="L24" s="61">
        <f t="shared" si="5"/>
        <v>724.49964887640454</v>
      </c>
      <c r="M24" s="171"/>
      <c r="N24" s="171"/>
      <c r="O24" s="171"/>
      <c r="P24" s="171"/>
    </row>
    <row r="25" spans="2:16" ht="18" x14ac:dyDescent="0.25">
      <c r="B25" s="9"/>
      <c r="C25" s="20"/>
      <c r="D25" s="131" t="s">
        <v>366</v>
      </c>
      <c r="E25" s="31"/>
      <c r="F25" s="31">
        <v>1</v>
      </c>
      <c r="G25" s="6" t="s">
        <v>54</v>
      </c>
      <c r="H25" s="53">
        <v>17000</v>
      </c>
      <c r="I25" s="53">
        <f t="shared" ref="I25" si="6">H25*F25</f>
        <v>17000</v>
      </c>
      <c r="J25" s="24">
        <v>11392</v>
      </c>
      <c r="K25" s="24">
        <v>971</v>
      </c>
      <c r="L25" s="61">
        <f t="shared" ref="L25" si="7">I25*(K25/J25)</f>
        <v>1448.9992977528091</v>
      </c>
      <c r="M25" s="171"/>
      <c r="N25" s="171"/>
      <c r="O25" s="171"/>
      <c r="P25" s="171"/>
    </row>
    <row r="26" spans="2:16" ht="18" x14ac:dyDescent="0.25">
      <c r="B26" s="9"/>
      <c r="C26" s="20"/>
      <c r="D26" s="132"/>
      <c r="E26" s="31"/>
      <c r="F26" s="31"/>
      <c r="G26" s="6"/>
      <c r="H26" s="135" t="s">
        <v>11</v>
      </c>
      <c r="I26" s="156">
        <f>SUM(I23:I25)</f>
        <v>200500</v>
      </c>
      <c r="J26" s="24"/>
      <c r="K26" s="135" t="s">
        <v>11</v>
      </c>
      <c r="L26" s="136">
        <f>SUM(L23:L25)</f>
        <v>17089.668188202246</v>
      </c>
      <c r="M26" s="171"/>
      <c r="N26" s="171"/>
      <c r="O26" s="171"/>
      <c r="P26" s="171"/>
    </row>
    <row r="27" spans="2:16" ht="18" x14ac:dyDescent="0.25">
      <c r="B27" s="9"/>
      <c r="C27" s="20"/>
      <c r="D27" s="132"/>
      <c r="E27" s="31"/>
      <c r="F27" s="31"/>
      <c r="G27" s="6"/>
      <c r="H27" s="24"/>
      <c r="I27" s="53"/>
      <c r="J27" s="24"/>
      <c r="K27" s="24"/>
      <c r="L27" s="90"/>
      <c r="M27" s="171"/>
      <c r="N27" s="171"/>
      <c r="O27" s="171"/>
      <c r="P27" s="171"/>
    </row>
    <row r="28" spans="2:16" ht="18" x14ac:dyDescent="0.25">
      <c r="B28" s="8"/>
      <c r="C28" s="20">
        <v>1.4</v>
      </c>
      <c r="D28" s="128" t="s">
        <v>34</v>
      </c>
      <c r="E28" s="31">
        <v>1978</v>
      </c>
      <c r="F28" s="31"/>
      <c r="G28" s="6"/>
      <c r="H28" s="24"/>
      <c r="I28" s="53"/>
      <c r="J28" s="24"/>
      <c r="K28" s="24"/>
      <c r="L28" s="90"/>
      <c r="M28" s="171"/>
      <c r="N28" s="171"/>
      <c r="O28" s="171"/>
      <c r="P28" s="171"/>
    </row>
    <row r="29" spans="2:16" ht="18" x14ac:dyDescent="0.25">
      <c r="B29" s="9"/>
      <c r="C29" s="20"/>
      <c r="D29" s="126" t="s">
        <v>367</v>
      </c>
      <c r="E29" s="31"/>
      <c r="F29" s="31">
        <v>1</v>
      </c>
      <c r="G29" s="6" t="s">
        <v>54</v>
      </c>
      <c r="H29" s="53">
        <v>155000</v>
      </c>
      <c r="I29" s="53">
        <f t="shared" ref="I29:I30" si="8">H29*F29</f>
        <v>155000</v>
      </c>
      <c r="J29" s="24">
        <v>11392</v>
      </c>
      <c r="K29" s="24">
        <v>2776</v>
      </c>
      <c r="L29" s="61">
        <f t="shared" ref="L29:L30" si="9">I29*(K29/J29)</f>
        <v>37770.365168539327</v>
      </c>
      <c r="M29" s="171"/>
      <c r="N29" s="171"/>
      <c r="O29" s="171"/>
      <c r="P29" s="171"/>
    </row>
    <row r="30" spans="2:16" ht="18" x14ac:dyDescent="0.25">
      <c r="B30" s="9"/>
      <c r="C30" s="20"/>
      <c r="D30" s="126" t="s">
        <v>365</v>
      </c>
      <c r="E30" s="31"/>
      <c r="F30" s="31">
        <v>1</v>
      </c>
      <c r="G30" s="6" t="s">
        <v>54</v>
      </c>
      <c r="H30" s="53">
        <v>8500</v>
      </c>
      <c r="I30" s="53">
        <f t="shared" si="8"/>
        <v>8500</v>
      </c>
      <c r="J30" s="24">
        <v>11392</v>
      </c>
      <c r="K30" s="24">
        <v>2776</v>
      </c>
      <c r="L30" s="61">
        <f t="shared" si="9"/>
        <v>2071.2780898876404</v>
      </c>
      <c r="M30" s="171"/>
      <c r="N30" s="171"/>
      <c r="O30" s="171"/>
      <c r="P30" s="171"/>
    </row>
    <row r="31" spans="2:16" ht="18" x14ac:dyDescent="0.25">
      <c r="B31" s="9"/>
      <c r="C31" s="20"/>
      <c r="D31" s="126" t="s">
        <v>366</v>
      </c>
      <c r="E31" s="31"/>
      <c r="F31" s="31">
        <v>1</v>
      </c>
      <c r="G31" s="6" t="s">
        <v>54</v>
      </c>
      <c r="H31" s="53">
        <v>17000</v>
      </c>
      <c r="I31" s="53">
        <f t="shared" ref="I31" si="10">H31*F31</f>
        <v>17000</v>
      </c>
      <c r="J31" s="24">
        <v>11392</v>
      </c>
      <c r="K31" s="24">
        <v>2776</v>
      </c>
      <c r="L31" s="61">
        <f t="shared" ref="L31" si="11">I31*(K31/J31)</f>
        <v>4142.5561797752807</v>
      </c>
      <c r="M31" s="171"/>
      <c r="N31" s="171"/>
      <c r="O31" s="171"/>
      <c r="P31" s="171"/>
    </row>
    <row r="32" spans="2:16" ht="18.75" thickBot="1" x14ac:dyDescent="0.3">
      <c r="B32" s="13"/>
      <c r="C32" s="66"/>
      <c r="D32" s="146"/>
      <c r="E32" s="65"/>
      <c r="F32" s="65"/>
      <c r="G32" s="37"/>
      <c r="H32" s="139" t="s">
        <v>11</v>
      </c>
      <c r="I32" s="162">
        <f>SUM(I29:I31)</f>
        <v>180500</v>
      </c>
      <c r="J32" s="63"/>
      <c r="K32" s="139" t="s">
        <v>11</v>
      </c>
      <c r="L32" s="140">
        <f>SUM(L29:L31)</f>
        <v>43984.199438202246</v>
      </c>
      <c r="M32" s="171"/>
      <c r="N32" s="171"/>
      <c r="O32" s="171"/>
      <c r="P32" s="171"/>
    </row>
    <row r="33" spans="2:14" ht="18" x14ac:dyDescent="0.25">
      <c r="B33" s="99"/>
      <c r="C33" s="141"/>
      <c r="D33" s="142"/>
      <c r="E33" s="104"/>
      <c r="F33" s="104"/>
      <c r="G33" s="103"/>
      <c r="H33" s="143"/>
      <c r="I33" s="144"/>
      <c r="J33" s="143"/>
      <c r="K33" s="143"/>
      <c r="L33" s="145"/>
      <c r="M33" s="171"/>
      <c r="N33" s="171"/>
    </row>
    <row r="34" spans="2:14" ht="18" x14ac:dyDescent="0.25">
      <c r="B34" s="8"/>
      <c r="C34" s="20">
        <v>1.5</v>
      </c>
      <c r="D34" s="128" t="s">
        <v>35</v>
      </c>
      <c r="E34" s="31">
        <v>1978</v>
      </c>
      <c r="F34" s="31"/>
      <c r="G34" s="6"/>
      <c r="H34" s="24"/>
      <c r="I34" s="53"/>
      <c r="J34" s="24"/>
      <c r="K34" s="24"/>
      <c r="L34" s="90"/>
      <c r="M34" s="171"/>
      <c r="N34" s="171"/>
    </row>
    <row r="35" spans="2:14" ht="18" x14ac:dyDescent="0.25">
      <c r="B35" s="9"/>
      <c r="C35" s="20"/>
      <c r="D35" s="126" t="s">
        <v>368</v>
      </c>
      <c r="E35" s="31"/>
      <c r="F35" s="31">
        <v>1</v>
      </c>
      <c r="G35" s="6" t="s">
        <v>54</v>
      </c>
      <c r="H35" s="53">
        <v>175000</v>
      </c>
      <c r="I35" s="53">
        <f t="shared" ref="I35:I36" si="12">H35*F35</f>
        <v>175000</v>
      </c>
      <c r="J35" s="24">
        <v>11392</v>
      </c>
      <c r="K35" s="24">
        <v>2776</v>
      </c>
      <c r="L35" s="61">
        <f t="shared" ref="L35:L36" si="13">I35*(K35/J35)</f>
        <v>42643.960674157301</v>
      </c>
      <c r="M35" s="171"/>
      <c r="N35" s="171"/>
    </row>
    <row r="36" spans="2:14" ht="18" x14ac:dyDescent="0.25">
      <c r="B36" s="9"/>
      <c r="C36" s="20"/>
      <c r="D36" s="126" t="s">
        <v>369</v>
      </c>
      <c r="E36" s="31"/>
      <c r="F36" s="31">
        <v>1</v>
      </c>
      <c r="G36" s="6" t="s">
        <v>54</v>
      </c>
      <c r="H36" s="53">
        <v>27500</v>
      </c>
      <c r="I36" s="53">
        <f t="shared" si="12"/>
        <v>27500</v>
      </c>
      <c r="J36" s="24">
        <v>11392</v>
      </c>
      <c r="K36" s="24">
        <v>2776</v>
      </c>
      <c r="L36" s="61">
        <f t="shared" si="13"/>
        <v>6701.1938202247193</v>
      </c>
      <c r="M36" s="171"/>
      <c r="N36" s="171"/>
    </row>
    <row r="37" spans="2:14" ht="18" x14ac:dyDescent="0.25">
      <c r="B37" s="9"/>
      <c r="C37" s="20"/>
      <c r="D37" s="132"/>
      <c r="E37" s="31"/>
      <c r="F37" s="31"/>
      <c r="G37" s="6"/>
      <c r="H37" s="135" t="s">
        <v>11</v>
      </c>
      <c r="I37" s="156">
        <f>SUM(I34:I36)</f>
        <v>202500</v>
      </c>
      <c r="J37" s="24"/>
      <c r="K37" s="135" t="s">
        <v>11</v>
      </c>
      <c r="L37" s="136">
        <f>SUM(L35:L36)</f>
        <v>49345.154494382019</v>
      </c>
      <c r="M37" s="171"/>
      <c r="N37" s="171"/>
    </row>
    <row r="38" spans="2:14" ht="18" x14ac:dyDescent="0.25">
      <c r="B38" s="9"/>
      <c r="C38" s="20"/>
      <c r="D38" s="132"/>
      <c r="E38" s="31"/>
      <c r="F38" s="31"/>
      <c r="G38" s="6"/>
      <c r="H38" s="24"/>
      <c r="I38" s="53"/>
      <c r="J38" s="24"/>
      <c r="K38" s="24"/>
      <c r="L38" s="90"/>
      <c r="M38" s="171"/>
      <c r="N38" s="171"/>
    </row>
    <row r="39" spans="2:14" ht="18" x14ac:dyDescent="0.25">
      <c r="B39" s="8"/>
      <c r="C39" s="20">
        <v>1.6</v>
      </c>
      <c r="D39" s="128" t="s">
        <v>77</v>
      </c>
      <c r="E39" s="31">
        <v>1980</v>
      </c>
      <c r="F39" s="31" t="s">
        <v>78</v>
      </c>
      <c r="G39" s="6" t="s">
        <v>78</v>
      </c>
      <c r="H39" s="24" t="s">
        <v>78</v>
      </c>
      <c r="I39" s="53" t="s">
        <v>78</v>
      </c>
      <c r="J39" s="24" t="s">
        <v>78</v>
      </c>
      <c r="K39" s="28" t="s">
        <v>78</v>
      </c>
      <c r="L39" s="137" t="s">
        <v>78</v>
      </c>
      <c r="M39" s="171"/>
      <c r="N39" s="171"/>
    </row>
    <row r="40" spans="2:14" ht="18" x14ac:dyDescent="0.25">
      <c r="B40" s="8"/>
      <c r="C40" s="20"/>
      <c r="D40" s="128"/>
      <c r="E40" s="31"/>
      <c r="F40" s="31"/>
      <c r="G40" s="6"/>
      <c r="H40" s="24"/>
      <c r="I40" s="53"/>
      <c r="J40" s="24"/>
      <c r="K40" s="24"/>
      <c r="L40" s="90"/>
      <c r="M40" s="171"/>
      <c r="N40" s="171"/>
    </row>
    <row r="41" spans="2:14" ht="18" x14ac:dyDescent="0.25">
      <c r="B41" s="8"/>
      <c r="C41" s="20">
        <v>1.7</v>
      </c>
      <c r="D41" s="128" t="s">
        <v>37</v>
      </c>
      <c r="E41" s="31">
        <v>1985</v>
      </c>
      <c r="F41" s="31"/>
      <c r="G41" s="6"/>
      <c r="H41" s="24"/>
      <c r="I41" s="53"/>
      <c r="J41" s="24"/>
      <c r="K41" s="24"/>
      <c r="L41" s="90"/>
      <c r="M41" s="171"/>
      <c r="N41" s="26"/>
    </row>
    <row r="42" spans="2:14" ht="18" x14ac:dyDescent="0.25">
      <c r="B42" s="9"/>
      <c r="C42" s="20"/>
      <c r="D42" s="126" t="s">
        <v>362</v>
      </c>
      <c r="E42" s="31"/>
      <c r="F42" s="31">
        <v>1</v>
      </c>
      <c r="G42" s="6" t="s">
        <v>54</v>
      </c>
      <c r="H42" s="53">
        <v>27500</v>
      </c>
      <c r="I42" s="53">
        <f t="shared" ref="I42:I43" si="14">H42*F42</f>
        <v>27500</v>
      </c>
      <c r="J42" s="24">
        <v>11392</v>
      </c>
      <c r="K42" s="24">
        <v>4182</v>
      </c>
      <c r="L42" s="61">
        <f t="shared" ref="L42:L43" si="15">I42*(K42/J42)</f>
        <v>10095.2422752809</v>
      </c>
      <c r="M42" s="171"/>
      <c r="N42" s="171"/>
    </row>
    <row r="43" spans="2:14" ht="18" x14ac:dyDescent="0.25">
      <c r="B43" s="9"/>
      <c r="C43" s="20"/>
      <c r="D43" s="126" t="s">
        <v>363</v>
      </c>
      <c r="E43" s="31"/>
      <c r="F43" s="31">
        <v>1</v>
      </c>
      <c r="G43" s="6" t="s">
        <v>54</v>
      </c>
      <c r="H43" s="53">
        <v>4500</v>
      </c>
      <c r="I43" s="53">
        <f t="shared" si="14"/>
        <v>4500</v>
      </c>
      <c r="J43" s="24">
        <v>11392</v>
      </c>
      <c r="K43" s="24">
        <v>4182</v>
      </c>
      <c r="L43" s="61">
        <f t="shared" si="15"/>
        <v>1651.9487359550562</v>
      </c>
      <c r="M43" s="171"/>
      <c r="N43" s="171"/>
    </row>
    <row r="44" spans="2:14" ht="18" x14ac:dyDescent="0.25">
      <c r="B44" s="9"/>
      <c r="C44" s="20"/>
      <c r="D44" s="132"/>
      <c r="E44" s="31"/>
      <c r="F44" s="31"/>
      <c r="G44" s="6"/>
      <c r="H44" s="24"/>
      <c r="I44" s="156">
        <f>SUM(I41:I43)</f>
        <v>32000</v>
      </c>
      <c r="J44" s="24"/>
      <c r="K44" s="135" t="s">
        <v>11</v>
      </c>
      <c r="L44" s="136">
        <f>SUM(L42:L43)</f>
        <v>11747.191011235956</v>
      </c>
      <c r="M44" s="171"/>
      <c r="N44" s="171"/>
    </row>
    <row r="45" spans="2:14" ht="18" x14ac:dyDescent="0.25">
      <c r="B45" s="9"/>
      <c r="C45" s="20"/>
      <c r="D45" s="132"/>
      <c r="E45" s="31"/>
      <c r="F45" s="31"/>
      <c r="G45" s="6"/>
      <c r="H45" s="24"/>
      <c r="I45" s="53"/>
      <c r="J45" s="24"/>
      <c r="K45" s="24"/>
      <c r="L45" s="90"/>
      <c r="M45" s="171"/>
      <c r="N45" s="171"/>
    </row>
    <row r="46" spans="2:14" ht="18" x14ac:dyDescent="0.25">
      <c r="B46" s="8"/>
      <c r="C46" s="20">
        <v>1.8</v>
      </c>
      <c r="D46" s="128" t="s">
        <v>38</v>
      </c>
      <c r="E46" s="31">
        <v>1985</v>
      </c>
      <c r="F46" s="31"/>
      <c r="G46" s="6"/>
      <c r="H46" s="24"/>
      <c r="I46" s="53"/>
      <c r="J46" s="24"/>
      <c r="K46" s="24"/>
      <c r="L46" s="90"/>
      <c r="M46" s="171"/>
      <c r="N46" s="171"/>
    </row>
    <row r="47" spans="2:14" ht="18" x14ac:dyDescent="0.25">
      <c r="B47" s="9"/>
      <c r="C47" s="20"/>
      <c r="D47" s="126" t="s">
        <v>370</v>
      </c>
      <c r="E47" s="31"/>
      <c r="F47" s="31">
        <v>1</v>
      </c>
      <c r="G47" s="6" t="s">
        <v>54</v>
      </c>
      <c r="H47" s="53">
        <v>105000</v>
      </c>
      <c r="I47" s="53">
        <f t="shared" ref="I47" si="16">H47*F47</f>
        <v>105000</v>
      </c>
      <c r="J47" s="24">
        <v>11392</v>
      </c>
      <c r="K47" s="24">
        <v>4182</v>
      </c>
      <c r="L47" s="61">
        <f t="shared" ref="L47" si="17">I47*(K47/J47)</f>
        <v>38545.470505617981</v>
      </c>
      <c r="M47" s="171"/>
      <c r="N47" s="171"/>
    </row>
    <row r="48" spans="2:14" ht="18" x14ac:dyDescent="0.25">
      <c r="B48" s="9"/>
      <c r="C48" s="20"/>
      <c r="D48" s="126" t="s">
        <v>369</v>
      </c>
      <c r="E48" s="31"/>
      <c r="F48" s="31">
        <v>1</v>
      </c>
      <c r="G48" s="6" t="s">
        <v>54</v>
      </c>
      <c r="H48" s="53">
        <v>27500</v>
      </c>
      <c r="I48" s="53">
        <f t="shared" ref="I48" si="18">H48*F48</f>
        <v>27500</v>
      </c>
      <c r="J48" s="24">
        <v>11392</v>
      </c>
      <c r="K48" s="24">
        <v>4182</v>
      </c>
      <c r="L48" s="61">
        <f t="shared" ref="L48" si="19">I48*(K48/J48)</f>
        <v>10095.2422752809</v>
      </c>
      <c r="M48" s="171"/>
      <c r="N48" s="171"/>
    </row>
    <row r="49" spans="2:12" ht="18" x14ac:dyDescent="0.25">
      <c r="B49" s="9"/>
      <c r="C49" s="20"/>
      <c r="D49" s="132"/>
      <c r="E49" s="31"/>
      <c r="F49" s="31"/>
      <c r="G49" s="6"/>
      <c r="H49" s="135" t="s">
        <v>11</v>
      </c>
      <c r="I49" s="156">
        <f>SUM(I46:I48)</f>
        <v>132500</v>
      </c>
      <c r="J49" s="24"/>
      <c r="K49" s="135" t="s">
        <v>11</v>
      </c>
      <c r="L49" s="136">
        <f>SUM(L47:L48)</f>
        <v>48640.712780898881</v>
      </c>
    </row>
    <row r="50" spans="2:12" ht="18" x14ac:dyDescent="0.25">
      <c r="B50" s="9"/>
      <c r="C50" s="20"/>
      <c r="D50" s="132"/>
      <c r="E50" s="31"/>
      <c r="F50" s="31"/>
      <c r="G50" s="6"/>
      <c r="H50" s="135"/>
      <c r="I50" s="53"/>
      <c r="J50" s="24"/>
      <c r="K50" s="24"/>
      <c r="L50" s="90"/>
    </row>
    <row r="51" spans="2:12" ht="18" x14ac:dyDescent="0.25">
      <c r="B51" s="8"/>
      <c r="C51" s="20">
        <v>1.9</v>
      </c>
      <c r="D51" s="128" t="s">
        <v>39</v>
      </c>
      <c r="E51" s="31">
        <v>1987</v>
      </c>
      <c r="F51" s="31"/>
      <c r="G51" s="6"/>
      <c r="H51" s="24"/>
      <c r="I51" s="53"/>
      <c r="J51" s="24"/>
      <c r="K51" s="24"/>
      <c r="L51" s="90"/>
    </row>
    <row r="52" spans="2:12" ht="18" x14ac:dyDescent="0.25">
      <c r="B52" s="9"/>
      <c r="C52" s="20"/>
      <c r="D52" s="131" t="s">
        <v>371</v>
      </c>
      <c r="E52" s="31"/>
      <c r="F52" s="31">
        <v>1</v>
      </c>
      <c r="G52" s="6" t="s">
        <v>54</v>
      </c>
      <c r="H52" s="53">
        <v>77500</v>
      </c>
      <c r="I52" s="53">
        <f>H52*F52</f>
        <v>77500</v>
      </c>
      <c r="J52" s="24">
        <v>11392</v>
      </c>
      <c r="K52" s="24">
        <v>4406</v>
      </c>
      <c r="L52" s="61">
        <f>I52*(K52/J52)</f>
        <v>29974.104634831459</v>
      </c>
    </row>
    <row r="53" spans="2:12" ht="18" x14ac:dyDescent="0.25">
      <c r="B53" s="9"/>
      <c r="C53" s="20"/>
      <c r="D53" s="131" t="s">
        <v>360</v>
      </c>
      <c r="E53" s="31"/>
      <c r="F53" s="31">
        <v>1</v>
      </c>
      <c r="G53" s="6" t="s">
        <v>54</v>
      </c>
      <c r="H53" s="53">
        <v>68500</v>
      </c>
      <c r="I53" s="53">
        <f t="shared" ref="I53:I54" si="20">H53*F53</f>
        <v>68500</v>
      </c>
      <c r="J53" s="24">
        <v>11392</v>
      </c>
      <c r="K53" s="24">
        <v>4406</v>
      </c>
      <c r="L53" s="61">
        <f t="shared" ref="L53:L54" si="21">I53*(K53/J53)</f>
        <v>26493.240870786518</v>
      </c>
    </row>
    <row r="54" spans="2:12" ht="18" x14ac:dyDescent="0.25">
      <c r="B54" s="9"/>
      <c r="C54" s="20"/>
      <c r="D54" s="131" t="s">
        <v>361</v>
      </c>
      <c r="E54" s="31"/>
      <c r="F54" s="31">
        <v>1</v>
      </c>
      <c r="G54" s="6" t="s">
        <v>54</v>
      </c>
      <c r="H54" s="53">
        <v>78500</v>
      </c>
      <c r="I54" s="53">
        <f t="shared" si="20"/>
        <v>78500</v>
      </c>
      <c r="J54" s="24">
        <v>11392</v>
      </c>
      <c r="K54" s="24">
        <v>4406</v>
      </c>
      <c r="L54" s="61">
        <f t="shared" si="21"/>
        <v>30360.8672752809</v>
      </c>
    </row>
    <row r="55" spans="2:12" ht="18" x14ac:dyDescent="0.25">
      <c r="B55" s="9"/>
      <c r="C55" s="20"/>
      <c r="D55" s="132"/>
      <c r="E55" s="31"/>
      <c r="F55" s="31"/>
      <c r="G55" s="6"/>
      <c r="H55" s="135" t="s">
        <v>11</v>
      </c>
      <c r="I55" s="156">
        <f>SUM(I52:I54)</f>
        <v>224500</v>
      </c>
      <c r="J55" s="24"/>
      <c r="K55" s="135" t="s">
        <v>11</v>
      </c>
      <c r="L55" s="136">
        <f>SUM(L52:L54)</f>
        <v>86828.212780898873</v>
      </c>
    </row>
    <row r="56" spans="2:12" ht="18" x14ac:dyDescent="0.25">
      <c r="B56" s="9"/>
      <c r="C56" s="20"/>
      <c r="D56" s="132"/>
      <c r="E56" s="31"/>
      <c r="F56" s="31"/>
      <c r="G56" s="6"/>
      <c r="H56" s="24"/>
      <c r="I56" s="53"/>
      <c r="J56" s="24"/>
      <c r="K56" s="24"/>
      <c r="L56" s="90"/>
    </row>
    <row r="57" spans="2:12" ht="18" x14ac:dyDescent="0.25">
      <c r="B57" s="9"/>
      <c r="C57" s="12">
        <v>1.1000000000000001</v>
      </c>
      <c r="D57" s="128" t="s">
        <v>40</v>
      </c>
      <c r="E57" s="31">
        <v>1988</v>
      </c>
      <c r="F57" s="31"/>
      <c r="G57" s="6"/>
      <c r="H57" s="24"/>
      <c r="I57" s="53"/>
      <c r="J57" s="24"/>
      <c r="K57" s="24"/>
      <c r="L57" s="90"/>
    </row>
    <row r="58" spans="2:12" ht="18" x14ac:dyDescent="0.25">
      <c r="B58" s="9"/>
      <c r="C58" s="20"/>
      <c r="D58" s="126" t="s">
        <v>372</v>
      </c>
      <c r="E58" s="31"/>
      <c r="F58" s="31">
        <v>1</v>
      </c>
      <c r="G58" s="6" t="s">
        <v>54</v>
      </c>
      <c r="H58" s="53">
        <v>132500</v>
      </c>
      <c r="I58" s="53">
        <f>H58*F58</f>
        <v>132500</v>
      </c>
      <c r="J58" s="24">
        <v>11392</v>
      </c>
      <c r="K58" s="28">
        <v>4519</v>
      </c>
      <c r="L58" s="61">
        <f>I58*(K58/J58)</f>
        <v>52560.349367977527</v>
      </c>
    </row>
    <row r="59" spans="2:12" ht="18" x14ac:dyDescent="0.25">
      <c r="B59" s="9"/>
      <c r="C59" s="20"/>
      <c r="D59" s="126" t="s">
        <v>360</v>
      </c>
      <c r="E59" s="31"/>
      <c r="F59" s="31">
        <v>1</v>
      </c>
      <c r="G59" s="6" t="s">
        <v>54</v>
      </c>
      <c r="H59" s="53">
        <v>78500</v>
      </c>
      <c r="I59" s="53">
        <f t="shared" ref="I59:I60" si="22">H59*F59</f>
        <v>78500</v>
      </c>
      <c r="J59" s="24">
        <v>11392</v>
      </c>
      <c r="K59" s="28">
        <v>4519</v>
      </c>
      <c r="L59" s="61">
        <f t="shared" ref="L59:L60" si="23">I59*(K59/J59)</f>
        <v>31139.527738764045</v>
      </c>
    </row>
    <row r="60" spans="2:12" ht="18" x14ac:dyDescent="0.25">
      <c r="B60" s="9"/>
      <c r="C60" s="20"/>
      <c r="D60" s="126" t="s">
        <v>361</v>
      </c>
      <c r="E60" s="31"/>
      <c r="F60" s="31">
        <v>1</v>
      </c>
      <c r="G60" s="6" t="s">
        <v>54</v>
      </c>
      <c r="H60" s="53">
        <v>112500</v>
      </c>
      <c r="I60" s="53">
        <f t="shared" si="22"/>
        <v>112500</v>
      </c>
      <c r="J60" s="24">
        <v>11392</v>
      </c>
      <c r="K60" s="28">
        <v>4519</v>
      </c>
      <c r="L60" s="61">
        <f t="shared" si="23"/>
        <v>44626.711727528091</v>
      </c>
    </row>
    <row r="61" spans="2:12" ht="18.75" thickBot="1" x14ac:dyDescent="0.3">
      <c r="B61" s="13"/>
      <c r="C61" s="66"/>
      <c r="D61" s="138"/>
      <c r="E61" s="65"/>
      <c r="F61" s="65"/>
      <c r="G61" s="37"/>
      <c r="H61" s="139" t="s">
        <v>11</v>
      </c>
      <c r="I61" s="162">
        <f>SUM(I58:I60)</f>
        <v>323500</v>
      </c>
      <c r="J61" s="63"/>
      <c r="K61" s="139" t="s">
        <v>11</v>
      </c>
      <c r="L61" s="140">
        <f>SUM(L58:L60)</f>
        <v>128326.58883426966</v>
      </c>
    </row>
    <row r="62" spans="2:12" ht="18" x14ac:dyDescent="0.25">
      <c r="B62" s="99"/>
      <c r="C62" s="141"/>
      <c r="D62" s="142"/>
      <c r="E62" s="104"/>
      <c r="F62" s="104"/>
      <c r="G62" s="103"/>
      <c r="H62" s="143"/>
      <c r="I62" s="144"/>
      <c r="J62" s="143"/>
      <c r="K62" s="143"/>
      <c r="L62" s="145"/>
    </row>
    <row r="63" spans="2:12" ht="18" x14ac:dyDescent="0.25">
      <c r="B63" s="9"/>
      <c r="C63" s="12">
        <v>1.1100000000000001</v>
      </c>
      <c r="D63" s="128" t="s">
        <v>108</v>
      </c>
      <c r="E63" s="31">
        <v>2021</v>
      </c>
      <c r="F63" s="31"/>
      <c r="G63" s="6"/>
      <c r="H63" s="24"/>
      <c r="I63" s="53"/>
      <c r="J63" s="24"/>
      <c r="K63" s="24"/>
      <c r="L63" s="90"/>
    </row>
    <row r="64" spans="2:12" ht="18" x14ac:dyDescent="0.25">
      <c r="B64" s="9"/>
      <c r="C64" s="20"/>
      <c r="D64" s="126" t="s">
        <v>373</v>
      </c>
      <c r="E64" s="31"/>
      <c r="F64" s="31">
        <v>1</v>
      </c>
      <c r="G64" s="6" t="s">
        <v>54</v>
      </c>
      <c r="H64" s="53">
        <v>120000</v>
      </c>
      <c r="I64" s="53">
        <f t="shared" ref="I64:I65" si="24">H64*F64</f>
        <v>120000</v>
      </c>
      <c r="J64" s="24" t="s">
        <v>110</v>
      </c>
      <c r="K64" s="24" t="s">
        <v>110</v>
      </c>
      <c r="L64" s="61">
        <f>I64</f>
        <v>120000</v>
      </c>
    </row>
    <row r="65" spans="2:13" ht="18" x14ac:dyDescent="0.25">
      <c r="B65" s="9"/>
      <c r="C65" s="20"/>
      <c r="D65" s="126" t="s">
        <v>365</v>
      </c>
      <c r="E65" s="31"/>
      <c r="F65" s="31">
        <v>1</v>
      </c>
      <c r="G65" s="6" t="s">
        <v>54</v>
      </c>
      <c r="H65" s="53">
        <v>25000</v>
      </c>
      <c r="I65" s="53">
        <f t="shared" si="24"/>
        <v>25000</v>
      </c>
      <c r="J65" s="24" t="s">
        <v>110</v>
      </c>
      <c r="K65" s="24" t="s">
        <v>110</v>
      </c>
      <c r="L65" s="61">
        <f t="shared" ref="L65:L66" si="25">I65</f>
        <v>25000</v>
      </c>
      <c r="M65" s="171"/>
    </row>
    <row r="66" spans="2:13" ht="18" x14ac:dyDescent="0.25">
      <c r="B66" s="9"/>
      <c r="C66" s="20"/>
      <c r="D66" s="126" t="s">
        <v>366</v>
      </c>
      <c r="E66" s="31"/>
      <c r="F66" s="31">
        <v>1</v>
      </c>
      <c r="G66" s="6" t="s">
        <v>54</v>
      </c>
      <c r="H66" s="53">
        <v>20000</v>
      </c>
      <c r="I66" s="53">
        <f t="shared" ref="I66" si="26">H66*F66</f>
        <v>20000</v>
      </c>
      <c r="J66" s="24" t="s">
        <v>110</v>
      </c>
      <c r="K66" s="24" t="s">
        <v>110</v>
      </c>
      <c r="L66" s="61">
        <f t="shared" si="25"/>
        <v>20000</v>
      </c>
      <c r="M66" s="171"/>
    </row>
    <row r="67" spans="2:13" ht="18" x14ac:dyDescent="0.25">
      <c r="B67" s="9"/>
      <c r="C67" s="20"/>
      <c r="D67" s="132"/>
      <c r="E67" s="31"/>
      <c r="F67" s="31"/>
      <c r="G67" s="6"/>
      <c r="H67" s="135" t="s">
        <v>11</v>
      </c>
      <c r="I67" s="156">
        <f>SUM(I64:I66)</f>
        <v>165000</v>
      </c>
      <c r="J67" s="24"/>
      <c r="K67" s="135" t="s">
        <v>11</v>
      </c>
      <c r="L67" s="136">
        <f>SUM(L64:L66)</f>
        <v>165000</v>
      </c>
      <c r="M67" s="171"/>
    </row>
    <row r="68" spans="2:13" ht="18" x14ac:dyDescent="0.25">
      <c r="B68" s="9"/>
      <c r="C68" s="20"/>
      <c r="D68" s="132"/>
      <c r="E68" s="31"/>
      <c r="F68" s="31"/>
      <c r="G68" s="6"/>
      <c r="H68" s="24"/>
      <c r="I68" s="53"/>
      <c r="J68" s="24"/>
      <c r="K68" s="24"/>
      <c r="L68" s="90"/>
      <c r="M68" s="171"/>
    </row>
    <row r="69" spans="2:13" ht="18" x14ac:dyDescent="0.25">
      <c r="B69" s="9"/>
      <c r="C69" s="12">
        <v>1.1200000000000001</v>
      </c>
      <c r="D69" s="128" t="s">
        <v>42</v>
      </c>
      <c r="E69" s="31">
        <v>1993</v>
      </c>
      <c r="F69" s="31"/>
      <c r="G69" s="6"/>
      <c r="H69" s="24"/>
      <c r="I69" s="53"/>
      <c r="J69" s="24"/>
      <c r="K69" s="24"/>
      <c r="L69" s="90"/>
      <c r="M69" s="171"/>
    </row>
    <row r="70" spans="2:13" ht="18" x14ac:dyDescent="0.25">
      <c r="B70" s="9"/>
      <c r="C70" s="20"/>
      <c r="D70" s="126" t="s">
        <v>374</v>
      </c>
      <c r="E70" s="31"/>
      <c r="F70" s="31">
        <v>1</v>
      </c>
      <c r="G70" s="6" t="s">
        <v>54</v>
      </c>
      <c r="H70" s="53">
        <v>115000</v>
      </c>
      <c r="I70" s="53">
        <f t="shared" ref="I70:I71" si="27">H70*F70</f>
        <v>115000</v>
      </c>
      <c r="J70" s="24">
        <v>11392</v>
      </c>
      <c r="K70" s="24">
        <v>5210</v>
      </c>
      <c r="L70" s="61">
        <f t="shared" ref="L70:L71" si="28">I70*(K70/J70)</f>
        <v>52593.925561797754</v>
      </c>
      <c r="M70" s="171"/>
    </row>
    <row r="71" spans="2:13" ht="18" x14ac:dyDescent="0.25">
      <c r="B71" s="9"/>
      <c r="C71" s="20"/>
      <c r="D71" s="126" t="s">
        <v>369</v>
      </c>
      <c r="E71" s="31"/>
      <c r="F71" s="31">
        <v>1</v>
      </c>
      <c r="G71" s="6" t="s">
        <v>54</v>
      </c>
      <c r="H71" s="53">
        <v>22500</v>
      </c>
      <c r="I71" s="53">
        <f t="shared" si="27"/>
        <v>22500</v>
      </c>
      <c r="J71" s="24">
        <v>11392</v>
      </c>
      <c r="K71" s="24">
        <v>5210</v>
      </c>
      <c r="L71" s="61">
        <f t="shared" si="28"/>
        <v>10290.115870786516</v>
      </c>
      <c r="M71" s="171"/>
    </row>
    <row r="72" spans="2:13" ht="18" x14ac:dyDescent="0.25">
      <c r="B72" s="9"/>
      <c r="C72" s="20"/>
      <c r="D72" s="132"/>
      <c r="E72" s="31"/>
      <c r="F72" s="31"/>
      <c r="G72" s="6"/>
      <c r="H72" s="135" t="s">
        <v>11</v>
      </c>
      <c r="I72" s="156">
        <f>SUM(I69:I71)</f>
        <v>137500</v>
      </c>
      <c r="J72" s="24"/>
      <c r="K72" s="135" t="s">
        <v>11</v>
      </c>
      <c r="L72" s="136">
        <f>SUM(L70:L71)</f>
        <v>62884.041432584272</v>
      </c>
      <c r="M72" s="171"/>
    </row>
    <row r="73" spans="2:13" ht="18" x14ac:dyDescent="0.25">
      <c r="B73" s="9"/>
      <c r="C73" s="20"/>
      <c r="D73" s="132"/>
      <c r="E73" s="31"/>
      <c r="F73" s="31"/>
      <c r="G73" s="6"/>
      <c r="H73" s="24"/>
      <c r="I73" s="53"/>
      <c r="J73" s="24"/>
      <c r="K73" s="24"/>
      <c r="L73" s="90"/>
      <c r="M73" s="171"/>
    </row>
    <row r="74" spans="2:13" ht="18" x14ac:dyDescent="0.25">
      <c r="B74" s="9"/>
      <c r="C74" s="12">
        <v>1.1299999999999999</v>
      </c>
      <c r="D74" s="128" t="s">
        <v>43</v>
      </c>
      <c r="E74" s="31">
        <v>2002</v>
      </c>
      <c r="F74" s="31"/>
      <c r="G74" s="6"/>
      <c r="H74" s="24"/>
      <c r="I74" s="53"/>
      <c r="J74" s="24"/>
      <c r="K74" s="24"/>
      <c r="L74" s="90"/>
      <c r="M74" s="29"/>
    </row>
    <row r="75" spans="2:13" ht="18" x14ac:dyDescent="0.25">
      <c r="B75" s="9"/>
      <c r="C75" s="20"/>
      <c r="D75" s="126" t="s">
        <v>375</v>
      </c>
      <c r="E75" s="31"/>
      <c r="F75" s="31">
        <v>1</v>
      </c>
      <c r="G75" s="6" t="s">
        <v>54</v>
      </c>
      <c r="H75" s="53">
        <v>195000</v>
      </c>
      <c r="I75" s="53">
        <f t="shared" ref="I75" si="29">H75*F75</f>
        <v>195000</v>
      </c>
      <c r="J75" s="24">
        <v>11392</v>
      </c>
      <c r="K75" s="24">
        <v>6538</v>
      </c>
      <c r="L75" s="61">
        <f t="shared" ref="L75" si="30">I75*(K75/J75)</f>
        <v>111912.74578651685</v>
      </c>
      <c r="M75" s="171"/>
    </row>
    <row r="76" spans="2:13" ht="18" x14ac:dyDescent="0.25">
      <c r="B76" s="9"/>
      <c r="C76" s="20"/>
      <c r="D76" s="126" t="s">
        <v>365</v>
      </c>
      <c r="E76" s="31"/>
      <c r="F76" s="31">
        <v>1</v>
      </c>
      <c r="G76" s="6" t="s">
        <v>54</v>
      </c>
      <c r="H76" s="53">
        <v>8500</v>
      </c>
      <c r="I76" s="53">
        <f>H76*F76</f>
        <v>8500</v>
      </c>
      <c r="J76" s="24">
        <v>11392</v>
      </c>
      <c r="K76" s="24">
        <v>6538</v>
      </c>
      <c r="L76" s="61">
        <f>I76*(K76/J76)</f>
        <v>4878.2478932584272</v>
      </c>
      <c r="M76" s="171"/>
    </row>
    <row r="77" spans="2:13" ht="18" x14ac:dyDescent="0.25">
      <c r="B77" s="9"/>
      <c r="C77" s="20"/>
      <c r="D77" s="126" t="s">
        <v>366</v>
      </c>
      <c r="E77" s="31"/>
      <c r="F77" s="31">
        <v>1</v>
      </c>
      <c r="G77" s="6" t="s">
        <v>54</v>
      </c>
      <c r="H77" s="53">
        <v>17000</v>
      </c>
      <c r="I77" s="53">
        <f t="shared" ref="I77" si="31">H77*F77</f>
        <v>17000</v>
      </c>
      <c r="J77" s="24">
        <v>11392</v>
      </c>
      <c r="K77" s="24">
        <v>6538</v>
      </c>
      <c r="L77" s="61">
        <f t="shared" ref="L77" si="32">I77*(K77/J77)</f>
        <v>9756.4957865168544</v>
      </c>
      <c r="M77" s="171"/>
    </row>
    <row r="78" spans="2:13" ht="18" x14ac:dyDescent="0.25">
      <c r="B78" s="9"/>
      <c r="C78" s="20"/>
      <c r="D78" s="132"/>
      <c r="E78" s="31"/>
      <c r="F78" s="31"/>
      <c r="G78" s="6"/>
      <c r="H78" s="135" t="s">
        <v>11</v>
      </c>
      <c r="I78" s="156">
        <f>SUM(I75:I77)</f>
        <v>220500</v>
      </c>
      <c r="J78" s="24"/>
      <c r="K78" s="135" t="s">
        <v>11</v>
      </c>
      <c r="L78" s="136">
        <f>SUM(L75:L77)</f>
        <v>126547.48946629213</v>
      </c>
      <c r="M78" s="171"/>
    </row>
    <row r="79" spans="2:13" ht="18" x14ac:dyDescent="0.25">
      <c r="B79" s="9"/>
      <c r="C79" s="20"/>
      <c r="D79" s="132"/>
      <c r="E79" s="31"/>
      <c r="F79" s="31"/>
      <c r="G79" s="6"/>
      <c r="H79" s="24"/>
      <c r="I79" s="156"/>
      <c r="J79" s="24"/>
      <c r="K79" s="24"/>
      <c r="L79" s="90"/>
      <c r="M79" s="171"/>
    </row>
    <row r="80" spans="2:13" ht="18" x14ac:dyDescent="0.25">
      <c r="B80" s="9"/>
      <c r="C80" s="12">
        <v>1.1399999999999999</v>
      </c>
      <c r="D80" s="128" t="s">
        <v>44</v>
      </c>
      <c r="E80" s="31">
        <v>2005</v>
      </c>
      <c r="F80" s="31"/>
      <c r="G80" s="6"/>
      <c r="H80" s="24"/>
      <c r="I80" s="53"/>
      <c r="J80" s="24"/>
      <c r="K80" s="24"/>
      <c r="L80" s="90"/>
      <c r="M80" s="171"/>
    </row>
    <row r="81" spans="2:13" ht="18" x14ac:dyDescent="0.25">
      <c r="B81" s="9"/>
      <c r="C81" s="20"/>
      <c r="D81" s="126" t="s">
        <v>367</v>
      </c>
      <c r="E81" s="31"/>
      <c r="F81" s="31">
        <v>1</v>
      </c>
      <c r="G81" s="6" t="s">
        <v>54</v>
      </c>
      <c r="H81" s="53">
        <v>107892</v>
      </c>
      <c r="I81" s="53">
        <f t="shared" ref="I81" si="33">H81*F81</f>
        <v>107892</v>
      </c>
      <c r="J81" s="24">
        <v>11392</v>
      </c>
      <c r="K81" s="24">
        <v>7446</v>
      </c>
      <c r="L81" s="61">
        <f t="shared" ref="L81" si="34">I81*(K81/J81)</f>
        <v>70519.999297752816</v>
      </c>
      <c r="M81" s="171"/>
    </row>
    <row r="82" spans="2:13" ht="18" x14ac:dyDescent="0.25">
      <c r="B82" s="9"/>
      <c r="C82" s="20"/>
      <c r="D82" s="126" t="s">
        <v>369</v>
      </c>
      <c r="E82" s="31"/>
      <c r="F82" s="31">
        <v>1</v>
      </c>
      <c r="G82" s="6" t="s">
        <v>54</v>
      </c>
      <c r="H82" s="53">
        <v>65000</v>
      </c>
      <c r="I82" s="53">
        <f t="shared" ref="I82" si="35">H82*F82</f>
        <v>65000</v>
      </c>
      <c r="J82" s="24">
        <v>11392</v>
      </c>
      <c r="K82" s="24">
        <v>7446</v>
      </c>
      <c r="L82" s="61">
        <f t="shared" ref="L82" si="36">I82*(K82/J82)</f>
        <v>42485.077247191017</v>
      </c>
      <c r="M82" s="171"/>
    </row>
    <row r="83" spans="2:13" ht="18.75" thickBot="1" x14ac:dyDescent="0.3">
      <c r="B83" s="13"/>
      <c r="C83" s="66"/>
      <c r="D83" s="138"/>
      <c r="E83" s="65"/>
      <c r="F83" s="65"/>
      <c r="G83" s="37"/>
      <c r="H83" s="139" t="s">
        <v>11</v>
      </c>
      <c r="I83" s="162">
        <f>SUM(I80:I82)</f>
        <v>172892</v>
      </c>
      <c r="J83" s="63"/>
      <c r="K83" s="139" t="s">
        <v>11</v>
      </c>
      <c r="L83" s="140">
        <f>SUM(L81:L82)</f>
        <v>113005.07654494383</v>
      </c>
      <c r="M83" s="171"/>
    </row>
    <row r="84" spans="2:13" ht="18" x14ac:dyDescent="0.25">
      <c r="B84" s="67"/>
      <c r="C84" s="68"/>
      <c r="D84" s="69"/>
      <c r="E84" s="70"/>
      <c r="F84" s="70"/>
      <c r="G84" s="71"/>
      <c r="H84" s="72"/>
      <c r="I84" s="73"/>
      <c r="J84" s="72"/>
      <c r="K84" s="72"/>
      <c r="L84" s="74"/>
      <c r="M84" s="29"/>
    </row>
    <row r="85" spans="2:13" ht="18.75" thickBot="1" x14ac:dyDescent="0.25">
      <c r="B85" s="214" t="s">
        <v>376</v>
      </c>
      <c r="C85" s="215"/>
      <c r="D85" s="215"/>
      <c r="E85" s="215"/>
      <c r="F85" s="215"/>
      <c r="G85" s="215"/>
      <c r="H85" s="215"/>
      <c r="I85" s="215"/>
      <c r="J85" s="215"/>
      <c r="K85" s="215"/>
      <c r="L85" s="75">
        <f>SUM(L83+L78+L72+L67+L61+L55+L49+L44+L37+L32+L26+L20+L15)</f>
        <v>875393.06811797747</v>
      </c>
      <c r="M85" s="171"/>
    </row>
    <row r="86" spans="2:13" x14ac:dyDescent="0.2">
      <c r="B86" s="206" t="s">
        <v>114</v>
      </c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171"/>
    </row>
    <row r="87" spans="2:13" s="167" customFormat="1" x14ac:dyDescent="0.2">
      <c r="B87" s="206" t="s">
        <v>377</v>
      </c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171"/>
    </row>
    <row r="88" spans="2:13" x14ac:dyDescent="0.2">
      <c r="B88" s="206" t="s">
        <v>378</v>
      </c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171"/>
    </row>
    <row r="89" spans="2:13" ht="18" x14ac:dyDescent="0.25">
      <c r="B89" s="93"/>
      <c r="C89" s="94"/>
      <c r="D89" s="95"/>
      <c r="E89" s="96"/>
      <c r="F89" s="96"/>
      <c r="G89" s="97"/>
      <c r="H89" s="98"/>
      <c r="I89" s="86"/>
      <c r="J89" s="98"/>
      <c r="K89" s="98"/>
      <c r="L89" s="86"/>
      <c r="M89" s="29"/>
    </row>
  </sheetData>
  <mergeCells count="28">
    <mergeCell ref="P7:U7"/>
    <mergeCell ref="P8:U8"/>
    <mergeCell ref="Q9:Q11"/>
    <mergeCell ref="R9:R11"/>
    <mergeCell ref="S9:S11"/>
    <mergeCell ref="T9:T11"/>
    <mergeCell ref="B85:K85"/>
    <mergeCell ref="B86:L86"/>
    <mergeCell ref="B88:L88"/>
    <mergeCell ref="B6:L6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B87:L87"/>
    <mergeCell ref="B5:L5"/>
    <mergeCell ref="B2:L2"/>
    <mergeCell ref="B3:L3"/>
    <mergeCell ref="P3:U3"/>
    <mergeCell ref="B4:L4"/>
    <mergeCell ref="P4:U4"/>
  </mergeCells>
  <printOptions horizontalCentered="1"/>
  <pageMargins left="0.7" right="0.7" top="1.2" bottom="0.75" header="0.3" footer="0.3"/>
  <pageSetup scale="49" fitToHeight="0" orientation="landscape" r:id="rId1"/>
  <headerFooter>
    <oddFooter>Page &amp;P of &amp;N</oddFooter>
  </headerFooter>
  <rowBreaks count="2" manualBreakCount="2">
    <brk id="32" min="1" max="11" man="1"/>
    <brk id="61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59656-0291-40B6-A640-E17194274D01}">
  <sheetPr>
    <pageSetUpPr fitToPage="1"/>
  </sheetPr>
  <dimension ref="B1:R31"/>
  <sheetViews>
    <sheetView showWhiteSpace="0" view="pageBreakPreview" topLeftCell="A10" zoomScale="70" zoomScaleNormal="70" zoomScaleSheetLayoutView="70" workbookViewId="0">
      <selection activeCell="I34" sqref="I34"/>
    </sheetView>
  </sheetViews>
  <sheetFormatPr defaultColWidth="13.875" defaultRowHeight="14.25" x14ac:dyDescent="0.2"/>
  <cols>
    <col min="1" max="1" width="13.875" style="163"/>
    <col min="2" max="3" width="11.5" style="163" customWidth="1"/>
    <col min="4" max="4" width="66.375" style="163" customWidth="1"/>
    <col min="5" max="5" width="16.25" style="1" customWidth="1"/>
    <col min="6" max="6" width="15.125" style="1" customWidth="1"/>
    <col min="7" max="7" width="20.125" style="1" customWidth="1"/>
    <col min="8" max="8" width="16.5" style="163" bestFit="1" customWidth="1"/>
    <col min="9" max="9" width="22.375" style="163" customWidth="1"/>
    <col min="10" max="10" width="13.875" style="163"/>
    <col min="11" max="11" width="12.25" style="163" customWidth="1"/>
    <col min="12" max="12" width="43.125" style="163" customWidth="1"/>
    <col min="13" max="13" width="16" style="163" customWidth="1"/>
    <col min="14" max="14" width="13.875" style="163"/>
    <col min="15" max="15" width="8.25" style="163" bestFit="1" customWidth="1"/>
    <col min="16" max="16" width="24.75" style="163" bestFit="1" customWidth="1"/>
    <col min="17" max="17" width="16.625" style="163" bestFit="1" customWidth="1"/>
    <col min="18" max="18" width="19" style="163" customWidth="1"/>
    <col min="19" max="16384" width="13.875" style="163"/>
  </cols>
  <sheetData>
    <row r="1" spans="2:18" ht="20.25" customHeight="1" thickBot="1" x14ac:dyDescent="0.25">
      <c r="B1" s="171"/>
      <c r="C1" s="171"/>
      <c r="D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</row>
    <row r="2" spans="2:18" ht="18" x14ac:dyDescent="0.25">
      <c r="B2" s="177" t="s">
        <v>0</v>
      </c>
      <c r="C2" s="178"/>
      <c r="D2" s="178"/>
      <c r="E2" s="178"/>
      <c r="F2" s="178"/>
      <c r="G2" s="178"/>
      <c r="H2" s="178"/>
      <c r="I2" s="179"/>
      <c r="J2" s="171"/>
      <c r="K2" s="171"/>
      <c r="L2" s="171"/>
      <c r="M2" s="171"/>
      <c r="N2" s="171"/>
      <c r="O2" s="171"/>
      <c r="P2" s="171"/>
      <c r="Q2" s="171"/>
      <c r="R2" s="171"/>
    </row>
    <row r="3" spans="2:18" ht="18" x14ac:dyDescent="0.25">
      <c r="B3" s="187" t="s">
        <v>1</v>
      </c>
      <c r="C3" s="205"/>
      <c r="D3" s="205"/>
      <c r="E3" s="205"/>
      <c r="F3" s="205"/>
      <c r="G3" s="205"/>
      <c r="H3" s="205"/>
      <c r="I3" s="189"/>
      <c r="J3" s="171"/>
      <c r="K3" s="171"/>
      <c r="L3" s="171"/>
      <c r="M3" s="186"/>
      <c r="N3" s="186"/>
      <c r="O3" s="186"/>
      <c r="P3" s="186"/>
      <c r="Q3" s="186"/>
      <c r="R3" s="186"/>
    </row>
    <row r="4" spans="2:18" ht="15" customHeight="1" x14ac:dyDescent="0.25">
      <c r="B4" s="187" t="str">
        <f>Overall!B4</f>
        <v>As of March 22, 2021</v>
      </c>
      <c r="C4" s="205"/>
      <c r="D4" s="205"/>
      <c r="E4" s="205"/>
      <c r="F4" s="205"/>
      <c r="G4" s="205"/>
      <c r="H4" s="205"/>
      <c r="I4" s="189"/>
      <c r="J4" s="171"/>
      <c r="K4" s="171"/>
      <c r="L4" s="171"/>
      <c r="M4" s="186"/>
      <c r="N4" s="186"/>
      <c r="O4" s="186"/>
      <c r="P4" s="186"/>
      <c r="Q4" s="186"/>
      <c r="R4" s="186"/>
    </row>
    <row r="5" spans="2:18" ht="15" customHeight="1" x14ac:dyDescent="0.25">
      <c r="B5" s="187"/>
      <c r="C5" s="205"/>
      <c r="D5" s="205"/>
      <c r="E5" s="205"/>
      <c r="F5" s="205"/>
      <c r="G5" s="205"/>
      <c r="H5" s="205"/>
      <c r="I5" s="189"/>
      <c r="J5" s="171"/>
      <c r="K5" s="171"/>
      <c r="L5" s="171"/>
      <c r="M5" s="171"/>
      <c r="N5" s="171"/>
      <c r="O5" s="171"/>
      <c r="P5" s="171"/>
      <c r="Q5" s="171"/>
      <c r="R5" s="171"/>
    </row>
    <row r="6" spans="2:18" ht="15" customHeight="1" thickBot="1" x14ac:dyDescent="0.3">
      <c r="B6" s="207" t="s">
        <v>23</v>
      </c>
      <c r="C6" s="208"/>
      <c r="D6" s="208"/>
      <c r="E6" s="208"/>
      <c r="F6" s="208"/>
      <c r="G6" s="208"/>
      <c r="H6" s="208"/>
      <c r="I6" s="209"/>
      <c r="J6" s="171"/>
      <c r="K6" s="171"/>
      <c r="L6" s="171"/>
      <c r="M6" s="171"/>
      <c r="N6" s="171"/>
      <c r="O6" s="171"/>
      <c r="P6" s="171"/>
      <c r="Q6" s="171"/>
      <c r="R6" s="171"/>
    </row>
    <row r="7" spans="2:18" s="2" customFormat="1" ht="18" customHeight="1" x14ac:dyDescent="0.25">
      <c r="B7" s="210" t="s">
        <v>3</v>
      </c>
      <c r="C7" s="212" t="s">
        <v>24</v>
      </c>
      <c r="D7" s="213" t="s">
        <v>4</v>
      </c>
      <c r="E7" s="213" t="s">
        <v>25</v>
      </c>
      <c r="F7" s="213" t="s">
        <v>26</v>
      </c>
      <c r="G7" s="213" t="s">
        <v>27</v>
      </c>
      <c r="H7" s="213" t="s">
        <v>28</v>
      </c>
      <c r="I7" s="216" t="s">
        <v>5</v>
      </c>
      <c r="M7" s="186"/>
      <c r="N7" s="186"/>
      <c r="O7" s="186"/>
      <c r="P7" s="186"/>
      <c r="Q7" s="186"/>
      <c r="R7" s="186"/>
    </row>
    <row r="8" spans="2:18" s="2" customFormat="1" ht="18" customHeight="1" x14ac:dyDescent="0.25">
      <c r="B8" s="211"/>
      <c r="C8" s="199"/>
      <c r="D8" s="197"/>
      <c r="E8" s="197"/>
      <c r="F8" s="197"/>
      <c r="G8" s="197"/>
      <c r="H8" s="197"/>
      <c r="I8" s="217"/>
      <c r="M8" s="186"/>
      <c r="N8" s="186"/>
      <c r="O8" s="186"/>
      <c r="P8" s="186"/>
      <c r="Q8" s="186"/>
      <c r="R8" s="186"/>
    </row>
    <row r="9" spans="2:18" ht="18" x14ac:dyDescent="0.25">
      <c r="B9" s="19">
        <v>353.2</v>
      </c>
      <c r="C9" s="20"/>
      <c r="D9" s="22" t="s">
        <v>10</v>
      </c>
      <c r="E9" s="5"/>
      <c r="F9" s="5"/>
      <c r="G9" s="6"/>
      <c r="H9" s="23"/>
      <c r="I9" s="92"/>
      <c r="J9" s="171"/>
      <c r="K9" s="33"/>
      <c r="L9" s="171"/>
      <c r="M9" s="171"/>
      <c r="N9" s="186"/>
      <c r="O9" s="186"/>
      <c r="P9" s="186"/>
      <c r="Q9" s="186"/>
      <c r="R9" s="171"/>
    </row>
    <row r="10" spans="2:18" ht="18" x14ac:dyDescent="0.25">
      <c r="B10" s="19"/>
      <c r="C10" s="20"/>
      <c r="D10" s="46"/>
      <c r="E10" s="5"/>
      <c r="F10" s="5"/>
      <c r="G10" s="6"/>
      <c r="H10" s="23"/>
      <c r="I10" s="127"/>
      <c r="J10" s="171"/>
      <c r="K10" s="33"/>
      <c r="L10" s="171"/>
      <c r="M10" s="171"/>
      <c r="N10" s="186"/>
      <c r="O10" s="186"/>
      <c r="P10" s="186"/>
      <c r="Q10" s="186"/>
      <c r="R10" s="171"/>
    </row>
    <row r="11" spans="2:18" ht="18" x14ac:dyDescent="0.25">
      <c r="B11" s="9"/>
      <c r="C11" s="20">
        <v>1.1000000000000001</v>
      </c>
      <c r="D11" s="15" t="s">
        <v>29</v>
      </c>
      <c r="E11" s="31">
        <v>1964</v>
      </c>
      <c r="F11" s="31">
        <v>1</v>
      </c>
      <c r="G11" s="6" t="s">
        <v>30</v>
      </c>
      <c r="H11" s="53">
        <v>1</v>
      </c>
      <c r="I11" s="90">
        <v>1</v>
      </c>
      <c r="J11" s="171"/>
      <c r="K11" s="171"/>
      <c r="L11" s="171"/>
      <c r="M11" s="171"/>
      <c r="N11" s="186"/>
      <c r="O11" s="186"/>
      <c r="P11" s="186"/>
      <c r="Q11" s="186"/>
      <c r="R11" s="171"/>
    </row>
    <row r="12" spans="2:18" ht="18" x14ac:dyDescent="0.25">
      <c r="B12" s="8"/>
      <c r="C12" s="20">
        <v>1.2</v>
      </c>
      <c r="D12" s="15" t="s">
        <v>31</v>
      </c>
      <c r="E12" s="31">
        <v>1965</v>
      </c>
      <c r="F12" s="31">
        <v>1</v>
      </c>
      <c r="G12" s="6" t="s">
        <v>30</v>
      </c>
      <c r="H12" s="53">
        <v>1</v>
      </c>
      <c r="I12" s="90">
        <v>1</v>
      </c>
      <c r="J12" s="171"/>
      <c r="K12" s="171"/>
      <c r="L12" s="171"/>
      <c r="M12" s="171"/>
      <c r="N12" s="171"/>
      <c r="O12" s="171"/>
      <c r="P12" s="171"/>
      <c r="Q12" s="171"/>
      <c r="R12" s="171"/>
    </row>
    <row r="13" spans="2:18" ht="18" x14ac:dyDescent="0.25">
      <c r="B13" s="8"/>
      <c r="C13" s="20">
        <v>1.3</v>
      </c>
      <c r="D13" s="15" t="s">
        <v>32</v>
      </c>
      <c r="E13" s="31">
        <v>1965</v>
      </c>
      <c r="F13" s="31">
        <v>1</v>
      </c>
      <c r="G13" s="6" t="s">
        <v>33</v>
      </c>
      <c r="H13" s="53">
        <v>1</v>
      </c>
      <c r="I13" s="90">
        <v>1</v>
      </c>
      <c r="J13" s="30"/>
      <c r="K13" s="30"/>
      <c r="L13" s="30"/>
      <c r="M13" s="30"/>
      <c r="N13" s="171"/>
      <c r="O13" s="171"/>
      <c r="P13" s="171"/>
      <c r="Q13" s="171"/>
      <c r="R13" s="171"/>
    </row>
    <row r="14" spans="2:18" ht="18" x14ac:dyDescent="0.25">
      <c r="B14" s="8"/>
      <c r="C14" s="20">
        <v>1.4</v>
      </c>
      <c r="D14" s="15" t="s">
        <v>34</v>
      </c>
      <c r="E14" s="31">
        <v>1978</v>
      </c>
      <c r="F14" s="31">
        <v>1</v>
      </c>
      <c r="G14" s="6" t="s">
        <v>33</v>
      </c>
      <c r="H14" s="53">
        <v>1</v>
      </c>
      <c r="I14" s="90">
        <v>1</v>
      </c>
      <c r="J14" s="171"/>
      <c r="K14" s="171"/>
      <c r="L14" s="171"/>
      <c r="M14" s="171"/>
      <c r="N14" s="171"/>
      <c r="O14" s="171"/>
      <c r="P14" s="171"/>
      <c r="Q14" s="171"/>
      <c r="R14" s="171"/>
    </row>
    <row r="15" spans="2:18" ht="18" x14ac:dyDescent="0.25">
      <c r="B15" s="8"/>
      <c r="C15" s="20">
        <v>1.5</v>
      </c>
      <c r="D15" s="15" t="s">
        <v>35</v>
      </c>
      <c r="E15" s="31">
        <v>1978</v>
      </c>
      <c r="F15" s="31">
        <v>1</v>
      </c>
      <c r="G15" s="6" t="s">
        <v>33</v>
      </c>
      <c r="H15" s="53">
        <v>1</v>
      </c>
      <c r="I15" s="90">
        <v>1</v>
      </c>
      <c r="J15" s="171"/>
      <c r="K15" s="171"/>
      <c r="L15" s="171"/>
      <c r="M15" s="171"/>
      <c r="N15" s="171"/>
      <c r="O15" s="171"/>
      <c r="P15" s="171"/>
      <c r="Q15" s="171"/>
      <c r="R15" s="171"/>
    </row>
    <row r="16" spans="2:18" ht="18" x14ac:dyDescent="0.25">
      <c r="B16" s="8"/>
      <c r="C16" s="20">
        <v>1.6</v>
      </c>
      <c r="D16" s="15" t="s">
        <v>36</v>
      </c>
      <c r="E16" s="31">
        <v>1980</v>
      </c>
      <c r="F16" s="31">
        <v>1</v>
      </c>
      <c r="G16" s="6" t="s">
        <v>30</v>
      </c>
      <c r="H16" s="53">
        <v>1</v>
      </c>
      <c r="I16" s="90">
        <v>1</v>
      </c>
      <c r="J16" s="171"/>
      <c r="K16" s="171"/>
      <c r="L16" s="171"/>
      <c r="M16" s="171"/>
      <c r="N16" s="171"/>
      <c r="O16" s="171"/>
      <c r="P16" s="171"/>
      <c r="Q16" s="171"/>
      <c r="R16" s="171"/>
    </row>
    <row r="17" spans="2:11" ht="18" x14ac:dyDescent="0.25">
      <c r="B17" s="8"/>
      <c r="C17" s="20">
        <v>1.7</v>
      </c>
      <c r="D17" s="15" t="s">
        <v>37</v>
      </c>
      <c r="E17" s="31">
        <v>1985</v>
      </c>
      <c r="F17" s="31">
        <v>1</v>
      </c>
      <c r="G17" s="6" t="s">
        <v>33</v>
      </c>
      <c r="H17" s="53">
        <v>1</v>
      </c>
      <c r="I17" s="90">
        <v>1</v>
      </c>
      <c r="J17" s="171"/>
      <c r="K17" s="26"/>
    </row>
    <row r="18" spans="2:11" ht="18" x14ac:dyDescent="0.25">
      <c r="B18" s="8"/>
      <c r="C18" s="20">
        <v>1.8</v>
      </c>
      <c r="D18" s="15" t="s">
        <v>38</v>
      </c>
      <c r="E18" s="31">
        <v>1985</v>
      </c>
      <c r="F18" s="31">
        <v>1</v>
      </c>
      <c r="G18" s="6" t="s">
        <v>30</v>
      </c>
      <c r="H18" s="53">
        <v>1</v>
      </c>
      <c r="I18" s="90">
        <f>F18*H18</f>
        <v>1</v>
      </c>
      <c r="J18" s="171"/>
      <c r="K18" s="171"/>
    </row>
    <row r="19" spans="2:11" ht="18" x14ac:dyDescent="0.25">
      <c r="B19" s="8"/>
      <c r="C19" s="20">
        <v>1.9</v>
      </c>
      <c r="D19" s="15" t="s">
        <v>39</v>
      </c>
      <c r="E19" s="31">
        <v>1987</v>
      </c>
      <c r="F19" s="31">
        <v>1</v>
      </c>
      <c r="G19" s="6" t="s">
        <v>30</v>
      </c>
      <c r="H19" s="53">
        <v>1</v>
      </c>
      <c r="I19" s="90">
        <v>1</v>
      </c>
      <c r="J19" s="171"/>
      <c r="K19" s="171"/>
    </row>
    <row r="20" spans="2:11" ht="18" x14ac:dyDescent="0.25">
      <c r="B20" s="8"/>
      <c r="C20" s="12">
        <v>1.1000000000000001</v>
      </c>
      <c r="D20" s="15" t="s">
        <v>40</v>
      </c>
      <c r="E20" s="31">
        <v>1988</v>
      </c>
      <c r="F20" s="31">
        <v>1</v>
      </c>
      <c r="G20" s="6" t="s">
        <v>30</v>
      </c>
      <c r="H20" s="53">
        <v>1</v>
      </c>
      <c r="I20" s="90">
        <v>1</v>
      </c>
      <c r="J20" s="171"/>
      <c r="K20" s="171"/>
    </row>
    <row r="21" spans="2:11" ht="18" x14ac:dyDescent="0.25">
      <c r="B21" s="8"/>
      <c r="C21" s="12">
        <v>1.1100000000000001</v>
      </c>
      <c r="D21" s="15" t="s">
        <v>41</v>
      </c>
      <c r="E21" s="31">
        <v>2021</v>
      </c>
      <c r="F21" s="31">
        <v>1</v>
      </c>
      <c r="G21" s="6" t="s">
        <v>30</v>
      </c>
      <c r="H21" s="53">
        <v>1</v>
      </c>
      <c r="I21" s="90">
        <f>F21*H21</f>
        <v>1</v>
      </c>
      <c r="J21" s="171"/>
      <c r="K21" s="171"/>
    </row>
    <row r="22" spans="2:11" ht="18" x14ac:dyDescent="0.25">
      <c r="B22" s="8"/>
      <c r="C22" s="12">
        <v>1.1200000000000001</v>
      </c>
      <c r="D22" s="15" t="s">
        <v>42</v>
      </c>
      <c r="E22" s="31">
        <v>1993</v>
      </c>
      <c r="F22" s="31">
        <v>1</v>
      </c>
      <c r="G22" s="6" t="s">
        <v>33</v>
      </c>
      <c r="H22" s="53">
        <v>1</v>
      </c>
      <c r="I22" s="90">
        <v>1</v>
      </c>
      <c r="J22" s="171"/>
      <c r="K22" s="171"/>
    </row>
    <row r="23" spans="2:11" ht="18" x14ac:dyDescent="0.25">
      <c r="B23" s="8"/>
      <c r="C23" s="12">
        <v>1.1299999999999999</v>
      </c>
      <c r="D23" s="15" t="s">
        <v>43</v>
      </c>
      <c r="E23" s="31">
        <v>2002</v>
      </c>
      <c r="F23" s="31">
        <v>1</v>
      </c>
      <c r="G23" s="6" t="s">
        <v>33</v>
      </c>
      <c r="H23" s="53">
        <v>1</v>
      </c>
      <c r="I23" s="90">
        <v>1</v>
      </c>
      <c r="J23" s="29"/>
      <c r="K23" s="171"/>
    </row>
    <row r="24" spans="2:11" ht="18" x14ac:dyDescent="0.25">
      <c r="B24" s="8"/>
      <c r="C24" s="12">
        <v>1.1399999999999999</v>
      </c>
      <c r="D24" s="15" t="s">
        <v>44</v>
      </c>
      <c r="E24" s="31">
        <v>2005</v>
      </c>
      <c r="F24" s="31">
        <v>1</v>
      </c>
      <c r="G24" s="6" t="s">
        <v>33</v>
      </c>
      <c r="H24" s="53">
        <v>1</v>
      </c>
      <c r="I24" s="90">
        <v>1</v>
      </c>
      <c r="J24" s="29"/>
      <c r="K24" s="171"/>
    </row>
    <row r="25" spans="2:11" ht="18" x14ac:dyDescent="0.25">
      <c r="B25" s="9"/>
      <c r="C25" s="12"/>
      <c r="D25" s="15" t="s">
        <v>45</v>
      </c>
      <c r="E25" s="31" t="s">
        <v>46</v>
      </c>
      <c r="F25" s="31">
        <v>632</v>
      </c>
      <c r="G25" s="6" t="s">
        <v>33</v>
      </c>
      <c r="H25" s="53">
        <v>1</v>
      </c>
      <c r="I25" s="90">
        <v>632</v>
      </c>
      <c r="J25" s="171"/>
      <c r="K25" s="171"/>
    </row>
    <row r="26" spans="2:11" ht="18.75" thickBot="1" x14ac:dyDescent="0.3">
      <c r="B26" s="9"/>
      <c r="C26" s="12"/>
      <c r="D26" s="128"/>
      <c r="E26" s="31"/>
      <c r="F26" s="31"/>
      <c r="G26" s="6"/>
      <c r="H26" s="24"/>
      <c r="I26" s="90"/>
      <c r="J26" s="171"/>
      <c r="K26" s="171"/>
    </row>
    <row r="27" spans="2:11" ht="18" x14ac:dyDescent="0.25">
      <c r="B27" s="67"/>
      <c r="C27" s="68"/>
      <c r="D27" s="69"/>
      <c r="E27" s="70"/>
      <c r="F27" s="70"/>
      <c r="G27" s="71"/>
      <c r="H27" s="72"/>
      <c r="I27" s="74"/>
      <c r="J27" s="29"/>
      <c r="K27" s="171"/>
    </row>
    <row r="28" spans="2:11" ht="18.75" thickBot="1" x14ac:dyDescent="0.25">
      <c r="B28" s="214" t="s">
        <v>47</v>
      </c>
      <c r="C28" s="215"/>
      <c r="D28" s="215"/>
      <c r="E28" s="215"/>
      <c r="F28" s="215"/>
      <c r="G28" s="215"/>
      <c r="H28" s="215"/>
      <c r="I28" s="75">
        <f>SUM(I11:I25)</f>
        <v>646</v>
      </c>
      <c r="J28" s="171"/>
      <c r="K28" s="171"/>
    </row>
    <row r="29" spans="2:11" x14ac:dyDescent="0.2">
      <c r="B29" s="206"/>
      <c r="C29" s="206"/>
      <c r="D29" s="206"/>
      <c r="E29" s="206"/>
      <c r="F29" s="206"/>
      <c r="G29" s="206"/>
      <c r="H29" s="206"/>
      <c r="I29" s="206"/>
      <c r="J29" s="171"/>
      <c r="K29" s="171"/>
    </row>
    <row r="30" spans="2:11" x14ac:dyDescent="0.2">
      <c r="B30" s="206"/>
      <c r="C30" s="206"/>
      <c r="D30" s="206"/>
      <c r="E30" s="206"/>
      <c r="F30" s="206"/>
      <c r="G30" s="206"/>
      <c r="H30" s="206"/>
      <c r="I30" s="206"/>
      <c r="J30" s="171"/>
      <c r="K30" s="171"/>
    </row>
    <row r="31" spans="2:11" ht="18" x14ac:dyDescent="0.25">
      <c r="B31" s="93"/>
      <c r="C31" s="94"/>
      <c r="D31" s="95"/>
      <c r="E31" s="96"/>
      <c r="F31" s="96"/>
      <c r="G31" s="97"/>
      <c r="H31" s="98"/>
      <c r="I31" s="86"/>
      <c r="J31" s="29"/>
      <c r="K31" s="171"/>
    </row>
  </sheetData>
  <mergeCells count="24">
    <mergeCell ref="B29:I29"/>
    <mergeCell ref="I7:I8"/>
    <mergeCell ref="M7:R7"/>
    <mergeCell ref="M8:R8"/>
    <mergeCell ref="N9:N11"/>
    <mergeCell ref="O9:O11"/>
    <mergeCell ref="P9:P11"/>
    <mergeCell ref="Q9:Q11"/>
    <mergeCell ref="B5:I5"/>
    <mergeCell ref="B30:I30"/>
    <mergeCell ref="B2:I2"/>
    <mergeCell ref="B3:I3"/>
    <mergeCell ref="M3:R3"/>
    <mergeCell ref="B4:I4"/>
    <mergeCell ref="M4:R4"/>
    <mergeCell ref="B6:I6"/>
    <mergeCell ref="B7:B8"/>
    <mergeCell ref="C7:C8"/>
    <mergeCell ref="D7:D8"/>
    <mergeCell ref="E7:E8"/>
    <mergeCell ref="F7:F8"/>
    <mergeCell ref="G7:G8"/>
    <mergeCell ref="H7:H8"/>
    <mergeCell ref="B28:H28"/>
  </mergeCells>
  <printOptions horizontalCentered="1"/>
  <pageMargins left="0.7" right="0.7" top="1.2" bottom="0.75" header="0.3" footer="0.3"/>
  <pageSetup scale="63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322C-9D6C-4E68-A10B-9BD433EB241D}">
  <sheetPr>
    <pageSetUpPr fitToPage="1"/>
  </sheetPr>
  <dimension ref="B1:U251"/>
  <sheetViews>
    <sheetView view="pageBreakPreview" topLeftCell="A175" zoomScale="70" zoomScaleNormal="70" zoomScaleSheetLayoutView="70" workbookViewId="0">
      <selection activeCell="L188" sqref="L188"/>
    </sheetView>
  </sheetViews>
  <sheetFormatPr defaultColWidth="13.875" defaultRowHeight="14.25" x14ac:dyDescent="0.2"/>
  <cols>
    <col min="1" max="1" width="13.875" style="18"/>
    <col min="2" max="3" width="11.5" style="18" customWidth="1"/>
    <col min="4" max="4" width="58.25" style="18" customWidth="1"/>
    <col min="5" max="5" width="16.25" style="1" customWidth="1"/>
    <col min="6" max="6" width="15.125" style="1" customWidth="1"/>
    <col min="7" max="7" width="13" style="1" customWidth="1"/>
    <col min="8" max="8" width="16.5" style="18" bestFit="1" customWidth="1"/>
    <col min="9" max="9" width="18.5" style="18" bestFit="1" customWidth="1"/>
    <col min="10" max="10" width="16" style="25" bestFit="1" customWidth="1"/>
    <col min="11" max="11" width="16" style="25" customWidth="1"/>
    <col min="12" max="12" width="22.375" style="25" customWidth="1"/>
    <col min="13" max="13" width="13.875" style="18"/>
    <col min="14" max="14" width="12.25" style="18" customWidth="1"/>
    <col min="15" max="15" width="43.125" style="18" customWidth="1"/>
    <col min="16" max="16" width="16" style="18" customWidth="1"/>
    <col min="17" max="17" width="13.875" style="18"/>
    <col min="18" max="18" width="8.25" style="18" bestFit="1" customWidth="1"/>
    <col min="19" max="19" width="24.75" style="18" bestFit="1" customWidth="1"/>
    <col min="20" max="20" width="16.625" style="18" bestFit="1" customWidth="1"/>
    <col min="21" max="21" width="19" style="18" customWidth="1"/>
    <col min="22" max="16384" width="13.875" style="18"/>
  </cols>
  <sheetData>
    <row r="1" spans="2:21" ht="20.25" customHeight="1" thickBot="1" x14ac:dyDescent="0.25">
      <c r="B1" s="171"/>
      <c r="C1" s="171"/>
      <c r="D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</row>
    <row r="2" spans="2:21" ht="18" x14ac:dyDescent="0.25">
      <c r="B2" s="177" t="s">
        <v>0</v>
      </c>
      <c r="C2" s="178"/>
      <c r="D2" s="178"/>
      <c r="E2" s="178"/>
      <c r="F2" s="178"/>
      <c r="G2" s="178"/>
      <c r="H2" s="178"/>
      <c r="I2" s="178"/>
      <c r="J2" s="178"/>
      <c r="K2" s="178"/>
      <c r="L2" s="179"/>
      <c r="M2" s="171"/>
      <c r="N2" s="171"/>
      <c r="O2" s="171"/>
      <c r="P2" s="171"/>
      <c r="Q2" s="171"/>
      <c r="R2" s="171"/>
      <c r="S2" s="171"/>
      <c r="T2" s="171"/>
      <c r="U2" s="171"/>
    </row>
    <row r="3" spans="2:21" ht="18" x14ac:dyDescent="0.25">
      <c r="B3" s="187" t="s">
        <v>1</v>
      </c>
      <c r="C3" s="205"/>
      <c r="D3" s="205"/>
      <c r="E3" s="205"/>
      <c r="F3" s="205"/>
      <c r="G3" s="205"/>
      <c r="H3" s="205"/>
      <c r="I3" s="205"/>
      <c r="J3" s="205"/>
      <c r="K3" s="205"/>
      <c r="L3" s="189"/>
      <c r="M3" s="171"/>
      <c r="N3" s="171"/>
      <c r="O3" s="171"/>
      <c r="P3" s="186"/>
      <c r="Q3" s="186"/>
      <c r="R3" s="186"/>
      <c r="S3" s="186"/>
      <c r="T3" s="186"/>
      <c r="U3" s="186"/>
    </row>
    <row r="4" spans="2:21" ht="15" customHeight="1" x14ac:dyDescent="0.25">
      <c r="B4" s="187" t="str">
        <f>Overall!B4</f>
        <v>As of March 22, 2021</v>
      </c>
      <c r="C4" s="205"/>
      <c r="D4" s="205"/>
      <c r="E4" s="205"/>
      <c r="F4" s="205"/>
      <c r="G4" s="205"/>
      <c r="H4" s="205"/>
      <c r="I4" s="205"/>
      <c r="J4" s="205"/>
      <c r="K4" s="205"/>
      <c r="L4" s="189"/>
      <c r="M4" s="171"/>
      <c r="N4" s="171"/>
      <c r="O4" s="171"/>
      <c r="P4" s="186"/>
      <c r="Q4" s="186"/>
      <c r="R4" s="186"/>
      <c r="S4" s="186"/>
      <c r="T4" s="186"/>
      <c r="U4" s="186"/>
    </row>
    <row r="5" spans="2:21" ht="15" customHeight="1" x14ac:dyDescent="0.25">
      <c r="B5" s="187"/>
      <c r="C5" s="205"/>
      <c r="D5" s="205"/>
      <c r="E5" s="205"/>
      <c r="F5" s="205"/>
      <c r="G5" s="205"/>
      <c r="H5" s="205"/>
      <c r="I5" s="205"/>
      <c r="J5" s="205"/>
      <c r="K5" s="205"/>
      <c r="L5" s="189"/>
      <c r="M5" s="171"/>
      <c r="N5" s="171"/>
      <c r="O5" s="171"/>
      <c r="P5" s="171"/>
      <c r="Q5" s="171"/>
      <c r="R5" s="171"/>
      <c r="S5" s="171"/>
      <c r="T5" s="171"/>
      <c r="U5" s="171"/>
    </row>
    <row r="6" spans="2:21" ht="15" customHeight="1" thickBot="1" x14ac:dyDescent="0.3">
      <c r="B6" s="207" t="s">
        <v>48</v>
      </c>
      <c r="C6" s="208"/>
      <c r="D6" s="208"/>
      <c r="E6" s="208"/>
      <c r="F6" s="208"/>
      <c r="G6" s="208"/>
      <c r="H6" s="208"/>
      <c r="I6" s="208"/>
      <c r="J6" s="208"/>
      <c r="K6" s="208"/>
      <c r="L6" s="209"/>
      <c r="M6" s="171"/>
      <c r="N6" s="171"/>
      <c r="O6" s="171"/>
      <c r="P6" s="171"/>
      <c r="Q6" s="171"/>
      <c r="R6" s="171"/>
      <c r="S6" s="171"/>
      <c r="T6" s="171"/>
      <c r="U6" s="171"/>
    </row>
    <row r="7" spans="2:21" s="2" customFormat="1" ht="18" customHeight="1" x14ac:dyDescent="0.25">
      <c r="B7" s="223" t="s">
        <v>3</v>
      </c>
      <c r="C7" s="197" t="s">
        <v>24</v>
      </c>
      <c r="D7" s="221" t="s">
        <v>4</v>
      </c>
      <c r="E7" s="221" t="s">
        <v>25</v>
      </c>
      <c r="F7" s="221" t="s">
        <v>26</v>
      </c>
      <c r="G7" s="221" t="s">
        <v>27</v>
      </c>
      <c r="H7" s="221" t="s">
        <v>28</v>
      </c>
      <c r="I7" s="222" t="s">
        <v>49</v>
      </c>
      <c r="J7" s="218" t="s">
        <v>50</v>
      </c>
      <c r="K7" s="218" t="s">
        <v>51</v>
      </c>
      <c r="L7" s="220" t="s">
        <v>5</v>
      </c>
      <c r="P7" s="186"/>
      <c r="Q7" s="186"/>
      <c r="R7" s="186"/>
      <c r="S7" s="186"/>
      <c r="T7" s="186"/>
      <c r="U7" s="186"/>
    </row>
    <row r="8" spans="2:21" s="2" customFormat="1" ht="18" customHeight="1" x14ac:dyDescent="0.25">
      <c r="B8" s="211"/>
      <c r="C8" s="199"/>
      <c r="D8" s="197"/>
      <c r="E8" s="197"/>
      <c r="F8" s="197"/>
      <c r="G8" s="197"/>
      <c r="H8" s="197"/>
      <c r="I8" s="219"/>
      <c r="J8" s="219"/>
      <c r="K8" s="219"/>
      <c r="L8" s="217"/>
      <c r="P8" s="186"/>
      <c r="Q8" s="186"/>
      <c r="R8" s="186"/>
      <c r="S8" s="186"/>
      <c r="T8" s="186"/>
      <c r="U8" s="186"/>
    </row>
    <row r="9" spans="2:21" ht="18" x14ac:dyDescent="0.25">
      <c r="B9" s="19">
        <v>354.2</v>
      </c>
      <c r="C9" s="20">
        <v>1</v>
      </c>
      <c r="D9" s="22" t="s">
        <v>12</v>
      </c>
      <c r="E9" s="5"/>
      <c r="F9" s="5"/>
      <c r="G9" s="6"/>
      <c r="H9" s="23"/>
      <c r="I9" s="52"/>
      <c r="J9" s="52"/>
      <c r="K9" s="52"/>
      <c r="L9" s="92"/>
      <c r="M9" s="171"/>
      <c r="N9" s="33"/>
      <c r="O9" s="171"/>
      <c r="P9" s="171"/>
      <c r="Q9" s="186"/>
      <c r="R9" s="186"/>
      <c r="S9" s="186"/>
      <c r="T9" s="186"/>
      <c r="U9" s="171"/>
    </row>
    <row r="10" spans="2:21" s="124" customFormat="1" ht="18" x14ac:dyDescent="0.25">
      <c r="B10" s="19"/>
      <c r="C10" s="20"/>
      <c r="D10" s="46"/>
      <c r="E10" s="5"/>
      <c r="F10" s="5"/>
      <c r="G10" s="6"/>
      <c r="H10" s="23"/>
      <c r="I10" s="52"/>
      <c r="J10" s="52"/>
      <c r="K10" s="52"/>
      <c r="L10" s="127"/>
      <c r="M10" s="171"/>
      <c r="N10" s="33"/>
      <c r="O10" s="171"/>
      <c r="P10" s="171"/>
      <c r="Q10" s="186"/>
      <c r="R10" s="186"/>
      <c r="S10" s="186"/>
      <c r="T10" s="186"/>
      <c r="U10" s="171"/>
    </row>
    <row r="11" spans="2:21" ht="18" x14ac:dyDescent="0.25">
      <c r="B11" s="9"/>
      <c r="C11" s="20">
        <v>1.1000000000000001</v>
      </c>
      <c r="D11" s="128" t="s">
        <v>29</v>
      </c>
      <c r="E11" s="31">
        <v>1964</v>
      </c>
      <c r="F11" s="31"/>
      <c r="G11" s="6"/>
      <c r="H11" s="24"/>
      <c r="I11" s="53"/>
      <c r="J11" s="3"/>
      <c r="K11" s="24"/>
      <c r="L11" s="134"/>
      <c r="M11" s="171"/>
      <c r="N11" s="171"/>
      <c r="O11" s="171"/>
      <c r="P11" s="171"/>
      <c r="Q11" s="186"/>
      <c r="R11" s="186"/>
      <c r="S11" s="186"/>
      <c r="T11" s="186"/>
      <c r="U11" s="171"/>
    </row>
    <row r="12" spans="2:21" s="124" customFormat="1" ht="18" x14ac:dyDescent="0.25">
      <c r="B12" s="9"/>
      <c r="C12" s="20"/>
      <c r="D12" s="133" t="s">
        <v>52</v>
      </c>
      <c r="E12" s="31"/>
      <c r="F12" s="31"/>
      <c r="G12" s="6"/>
      <c r="H12" s="24"/>
      <c r="I12" s="53"/>
      <c r="J12" s="24"/>
      <c r="K12" s="24"/>
      <c r="L12" s="134"/>
      <c r="M12" s="171"/>
      <c r="N12" s="171"/>
      <c r="O12" s="171"/>
      <c r="P12" s="171"/>
      <c r="Q12" s="171"/>
      <c r="R12" s="171"/>
      <c r="S12" s="171"/>
      <c r="T12" s="171"/>
      <c r="U12" s="171"/>
    </row>
    <row r="13" spans="2:21" s="124" customFormat="1" ht="18" x14ac:dyDescent="0.25">
      <c r="B13" s="9"/>
      <c r="C13" s="20"/>
      <c r="D13" s="132" t="s">
        <v>53</v>
      </c>
      <c r="E13" s="31"/>
      <c r="F13" s="31">
        <v>1</v>
      </c>
      <c r="G13" s="6" t="s">
        <v>54</v>
      </c>
      <c r="H13" s="53">
        <v>25000</v>
      </c>
      <c r="I13" s="53">
        <f>H13*F13</f>
        <v>25000</v>
      </c>
      <c r="J13" s="24">
        <v>11392</v>
      </c>
      <c r="K13" s="24">
        <v>936</v>
      </c>
      <c r="L13" s="61">
        <f>I13*(K13/J13)</f>
        <v>2054.0730337078653</v>
      </c>
      <c r="M13" s="171"/>
      <c r="N13" s="171"/>
      <c r="O13" s="171"/>
      <c r="P13" s="171"/>
      <c r="Q13" s="171"/>
      <c r="R13" s="171"/>
      <c r="S13" s="171"/>
      <c r="T13" s="171"/>
      <c r="U13" s="171"/>
    </row>
    <row r="14" spans="2:21" s="124" customFormat="1" ht="18" x14ac:dyDescent="0.25">
      <c r="B14" s="9"/>
      <c r="C14" s="20"/>
      <c r="D14" s="132" t="s">
        <v>55</v>
      </c>
      <c r="E14" s="31"/>
      <c r="F14" s="31">
        <v>1</v>
      </c>
      <c r="G14" s="6" t="s">
        <v>54</v>
      </c>
      <c r="H14" s="53">
        <v>8500</v>
      </c>
      <c r="I14" s="53">
        <f t="shared" ref="I14:I22" si="0">H14*F14</f>
        <v>8500</v>
      </c>
      <c r="J14" s="24">
        <v>11392</v>
      </c>
      <c r="K14" s="24">
        <v>936</v>
      </c>
      <c r="L14" s="61">
        <f t="shared" ref="L14:L22" si="1">I14*(K14/J14)</f>
        <v>698.38483146067426</v>
      </c>
      <c r="M14" s="171"/>
      <c r="N14" s="171"/>
      <c r="O14" s="171"/>
      <c r="P14" s="171"/>
      <c r="Q14" s="171"/>
      <c r="R14" s="171"/>
      <c r="S14" s="171"/>
      <c r="T14" s="171"/>
      <c r="U14" s="171"/>
    </row>
    <row r="15" spans="2:21" s="124" customFormat="1" ht="18" x14ac:dyDescent="0.25">
      <c r="B15" s="9"/>
      <c r="C15" s="20"/>
      <c r="D15" s="132" t="s">
        <v>56</v>
      </c>
      <c r="E15" s="31"/>
      <c r="F15" s="31">
        <v>1</v>
      </c>
      <c r="G15" s="6" t="s">
        <v>54</v>
      </c>
      <c r="H15" s="53">
        <v>15000</v>
      </c>
      <c r="I15" s="53">
        <f t="shared" si="0"/>
        <v>15000</v>
      </c>
      <c r="J15" s="24">
        <v>11392</v>
      </c>
      <c r="K15" s="24">
        <v>936</v>
      </c>
      <c r="L15" s="61">
        <f t="shared" si="1"/>
        <v>1232.4438202247193</v>
      </c>
      <c r="M15" s="171"/>
      <c r="N15" s="171"/>
      <c r="O15" s="171"/>
      <c r="P15" s="171"/>
      <c r="Q15" s="171"/>
      <c r="R15" s="171"/>
      <c r="S15" s="171"/>
      <c r="T15" s="171"/>
      <c r="U15" s="171"/>
    </row>
    <row r="16" spans="2:21" s="124" customFormat="1" ht="18" x14ac:dyDescent="0.25">
      <c r="B16" s="9"/>
      <c r="C16" s="20"/>
      <c r="D16" s="132" t="s">
        <v>57</v>
      </c>
      <c r="E16" s="31"/>
      <c r="F16" s="31">
        <v>1</v>
      </c>
      <c r="G16" s="6" t="s">
        <v>54</v>
      </c>
      <c r="H16" s="53">
        <v>5000</v>
      </c>
      <c r="I16" s="53">
        <f t="shared" si="0"/>
        <v>5000</v>
      </c>
      <c r="J16" s="24">
        <v>11392</v>
      </c>
      <c r="K16" s="24">
        <v>936</v>
      </c>
      <c r="L16" s="61">
        <f t="shared" si="1"/>
        <v>410.81460674157307</v>
      </c>
      <c r="M16" s="171"/>
      <c r="N16" s="171"/>
      <c r="O16" s="171"/>
      <c r="P16" s="171"/>
      <c r="Q16" s="171"/>
      <c r="R16" s="171"/>
      <c r="S16" s="171"/>
      <c r="T16" s="171"/>
      <c r="U16" s="171"/>
    </row>
    <row r="17" spans="2:12" s="124" customFormat="1" ht="18" x14ac:dyDescent="0.25">
      <c r="B17" s="9"/>
      <c r="C17" s="20"/>
      <c r="D17" s="129" t="s">
        <v>58</v>
      </c>
      <c r="E17" s="31"/>
      <c r="F17" s="31"/>
      <c r="G17" s="6"/>
      <c r="H17" s="53"/>
      <c r="I17" s="53"/>
      <c r="J17" s="24"/>
      <c r="K17" s="24"/>
      <c r="L17" s="61"/>
    </row>
    <row r="18" spans="2:12" s="124" customFormat="1" ht="18" x14ac:dyDescent="0.25">
      <c r="B18" s="9"/>
      <c r="C18" s="20"/>
      <c r="D18" s="132" t="s">
        <v>59</v>
      </c>
      <c r="E18" s="31"/>
      <c r="F18" s="31">
        <v>1</v>
      </c>
      <c r="G18" s="6" t="s">
        <v>54</v>
      </c>
      <c r="H18" s="53">
        <v>175000</v>
      </c>
      <c r="I18" s="53">
        <f t="shared" si="0"/>
        <v>175000</v>
      </c>
      <c r="J18" s="24">
        <v>11392</v>
      </c>
      <c r="K18" s="24">
        <v>936</v>
      </c>
      <c r="L18" s="61">
        <f t="shared" si="1"/>
        <v>14378.511235955057</v>
      </c>
    </row>
    <row r="19" spans="2:12" s="124" customFormat="1" ht="18" x14ac:dyDescent="0.25">
      <c r="B19" s="9"/>
      <c r="C19" s="20"/>
      <c r="D19" s="132" t="s">
        <v>60</v>
      </c>
      <c r="E19" s="31"/>
      <c r="F19" s="31">
        <v>1</v>
      </c>
      <c r="G19" s="6" t="s">
        <v>54</v>
      </c>
      <c r="H19" s="53">
        <v>545000</v>
      </c>
      <c r="I19" s="53">
        <f t="shared" si="0"/>
        <v>545000</v>
      </c>
      <c r="J19" s="24">
        <v>11392</v>
      </c>
      <c r="K19" s="24">
        <v>936</v>
      </c>
      <c r="L19" s="61">
        <f t="shared" si="1"/>
        <v>44778.792134831463</v>
      </c>
    </row>
    <row r="20" spans="2:12" s="124" customFormat="1" ht="18" x14ac:dyDescent="0.25">
      <c r="B20" s="9"/>
      <c r="C20" s="20"/>
      <c r="D20" s="132" t="s">
        <v>61</v>
      </c>
      <c r="E20" s="31"/>
      <c r="F20" s="31">
        <v>1</v>
      </c>
      <c r="G20" s="6" t="s">
        <v>54</v>
      </c>
      <c r="H20" s="53">
        <v>137500</v>
      </c>
      <c r="I20" s="53">
        <f t="shared" si="0"/>
        <v>137500</v>
      </c>
      <c r="J20" s="24">
        <v>11392</v>
      </c>
      <c r="K20" s="24">
        <v>936</v>
      </c>
      <c r="L20" s="61">
        <f t="shared" si="1"/>
        <v>11297.401685393259</v>
      </c>
    </row>
    <row r="21" spans="2:12" s="124" customFormat="1" ht="18" x14ac:dyDescent="0.25">
      <c r="B21" s="9"/>
      <c r="C21" s="20"/>
      <c r="D21" s="132" t="s">
        <v>62</v>
      </c>
      <c r="E21" s="31"/>
      <c r="F21" s="31">
        <v>1</v>
      </c>
      <c r="G21" s="6" t="s">
        <v>54</v>
      </c>
      <c r="H21" s="53">
        <v>22500</v>
      </c>
      <c r="I21" s="53">
        <f t="shared" si="0"/>
        <v>22500</v>
      </c>
      <c r="J21" s="24">
        <v>11392</v>
      </c>
      <c r="K21" s="24">
        <v>936</v>
      </c>
      <c r="L21" s="61">
        <f t="shared" si="1"/>
        <v>1848.6657303370787</v>
      </c>
    </row>
    <row r="22" spans="2:12" s="124" customFormat="1" ht="18" x14ac:dyDescent="0.25">
      <c r="B22" s="9"/>
      <c r="C22" s="20"/>
      <c r="D22" s="132" t="s">
        <v>63</v>
      </c>
      <c r="E22" s="31"/>
      <c r="F22" s="31">
        <v>1</v>
      </c>
      <c r="G22" s="6" t="s">
        <v>54</v>
      </c>
      <c r="H22" s="53">
        <v>32500</v>
      </c>
      <c r="I22" s="53">
        <f t="shared" si="0"/>
        <v>32500</v>
      </c>
      <c r="J22" s="24">
        <v>11392</v>
      </c>
      <c r="K22" s="24">
        <v>936</v>
      </c>
      <c r="L22" s="61">
        <f t="shared" si="1"/>
        <v>2670.2949438202249</v>
      </c>
    </row>
    <row r="23" spans="2:12" s="154" customFormat="1" ht="18" x14ac:dyDescent="0.25">
      <c r="B23" s="9"/>
      <c r="C23" s="20"/>
      <c r="D23" s="129" t="s">
        <v>64</v>
      </c>
      <c r="E23" s="31"/>
      <c r="F23" s="31"/>
      <c r="G23" s="6"/>
      <c r="H23" s="53"/>
      <c r="I23" s="53"/>
      <c r="J23" s="24"/>
      <c r="K23" s="24"/>
      <c r="L23" s="61"/>
    </row>
    <row r="24" spans="2:12" s="154" customFormat="1" ht="18" x14ac:dyDescent="0.25">
      <c r="B24" s="9"/>
      <c r="C24" s="20"/>
      <c r="D24" s="132" t="s">
        <v>65</v>
      </c>
      <c r="E24" s="31"/>
      <c r="F24" s="31">
        <v>1</v>
      </c>
      <c r="G24" s="6" t="s">
        <v>54</v>
      </c>
      <c r="H24" s="53">
        <v>12750</v>
      </c>
      <c r="I24" s="53">
        <f t="shared" ref="I24:I25" si="2">H24*F24</f>
        <v>12750</v>
      </c>
      <c r="J24" s="24">
        <v>11392</v>
      </c>
      <c r="K24" s="24">
        <v>936</v>
      </c>
      <c r="L24" s="61">
        <f t="shared" ref="L24:L25" si="3">I24*(K24/J24)</f>
        <v>1047.5772471910113</v>
      </c>
    </row>
    <row r="25" spans="2:12" s="154" customFormat="1" ht="18" x14ac:dyDescent="0.25">
      <c r="B25" s="9"/>
      <c r="C25" s="20"/>
      <c r="D25" s="132" t="s">
        <v>66</v>
      </c>
      <c r="E25" s="31"/>
      <c r="F25" s="31">
        <v>1</v>
      </c>
      <c r="G25" s="6" t="s">
        <v>54</v>
      </c>
      <c r="H25" s="53">
        <v>14500</v>
      </c>
      <c r="I25" s="53">
        <f t="shared" si="2"/>
        <v>14500</v>
      </c>
      <c r="J25" s="24">
        <v>11392</v>
      </c>
      <c r="K25" s="24">
        <v>936</v>
      </c>
      <c r="L25" s="61">
        <f t="shared" si="3"/>
        <v>1191.3623595505619</v>
      </c>
    </row>
    <row r="26" spans="2:12" s="124" customFormat="1" ht="18" x14ac:dyDescent="0.25">
      <c r="B26" s="9"/>
      <c r="C26" s="20"/>
      <c r="D26" s="132"/>
      <c r="E26" s="31"/>
      <c r="F26" s="31"/>
      <c r="G26" s="6"/>
      <c r="H26" s="135" t="s">
        <v>11</v>
      </c>
      <c r="I26" s="156">
        <f>SUM(I13:I25)</f>
        <v>993250</v>
      </c>
      <c r="J26" s="24"/>
      <c r="K26" s="135" t="s">
        <v>11</v>
      </c>
      <c r="L26" s="136">
        <f>SUM(L13:L25)</f>
        <v>81608.321629213489</v>
      </c>
    </row>
    <row r="27" spans="2:12" s="124" customFormat="1" ht="18" x14ac:dyDescent="0.25">
      <c r="B27" s="9"/>
      <c r="C27" s="20"/>
      <c r="D27" s="132"/>
      <c r="E27" s="31"/>
      <c r="F27" s="31"/>
      <c r="G27" s="6"/>
      <c r="H27" s="24"/>
      <c r="I27" s="53"/>
      <c r="J27" s="24"/>
      <c r="K27" s="24"/>
      <c r="L27" s="90"/>
    </row>
    <row r="28" spans="2:12" ht="18" x14ac:dyDescent="0.25">
      <c r="B28" s="8"/>
      <c r="C28" s="20">
        <v>1.2</v>
      </c>
      <c r="D28" s="128" t="s">
        <v>31</v>
      </c>
      <c r="E28" s="31">
        <v>1965</v>
      </c>
      <c r="F28" s="31"/>
      <c r="G28" s="6"/>
      <c r="H28" s="24"/>
      <c r="I28" s="53"/>
      <c r="J28" s="24"/>
      <c r="K28" s="24"/>
      <c r="L28" s="90"/>
    </row>
    <row r="29" spans="2:12" s="124" customFormat="1" ht="18" x14ac:dyDescent="0.25">
      <c r="B29" s="9"/>
      <c r="C29" s="20"/>
      <c r="D29" s="133" t="s">
        <v>52</v>
      </c>
      <c r="E29" s="31"/>
      <c r="F29" s="31"/>
      <c r="G29" s="6"/>
      <c r="H29" s="24"/>
      <c r="I29" s="53"/>
      <c r="J29" s="24"/>
      <c r="K29" s="24"/>
      <c r="L29" s="134"/>
    </row>
    <row r="30" spans="2:12" s="124" customFormat="1" ht="18" x14ac:dyDescent="0.25">
      <c r="B30" s="9"/>
      <c r="C30" s="20"/>
      <c r="D30" s="126" t="s">
        <v>53</v>
      </c>
      <c r="E30" s="31"/>
      <c r="F30" s="31">
        <v>1</v>
      </c>
      <c r="G30" s="6" t="s">
        <v>54</v>
      </c>
      <c r="H30" s="53">
        <v>12500</v>
      </c>
      <c r="I30" s="53">
        <f>H30*F30</f>
        <v>12500</v>
      </c>
      <c r="J30" s="24">
        <v>11392</v>
      </c>
      <c r="K30" s="24">
        <v>971</v>
      </c>
      <c r="L30" s="61">
        <f>I30*(K30/J30)</f>
        <v>1065.4406601123596</v>
      </c>
    </row>
    <row r="31" spans="2:12" s="124" customFormat="1" ht="18" x14ac:dyDescent="0.25">
      <c r="B31" s="9"/>
      <c r="C31" s="20"/>
      <c r="D31" s="126" t="s">
        <v>55</v>
      </c>
      <c r="E31" s="31"/>
      <c r="F31" s="31">
        <v>1</v>
      </c>
      <c r="G31" s="6" t="s">
        <v>54</v>
      </c>
      <c r="H31" s="53">
        <v>5000</v>
      </c>
      <c r="I31" s="53">
        <f t="shared" ref="I31:I35" si="4">H31*F31</f>
        <v>5000</v>
      </c>
      <c r="J31" s="24">
        <v>11392</v>
      </c>
      <c r="K31" s="24">
        <v>971</v>
      </c>
      <c r="L31" s="61">
        <f t="shared" ref="L31:L35" si="5">I31*(K31/J31)</f>
        <v>426.17626404494382</v>
      </c>
    </row>
    <row r="32" spans="2:12" s="124" customFormat="1" ht="18" x14ac:dyDescent="0.25">
      <c r="B32" s="9"/>
      <c r="C32" s="20"/>
      <c r="D32" s="126" t="s">
        <v>56</v>
      </c>
      <c r="E32" s="31"/>
      <c r="F32" s="31">
        <v>1</v>
      </c>
      <c r="G32" s="6" t="s">
        <v>54</v>
      </c>
      <c r="H32" s="53">
        <v>30000</v>
      </c>
      <c r="I32" s="53">
        <f t="shared" ref="I32:I33" si="6">H32*F32</f>
        <v>30000</v>
      </c>
      <c r="J32" s="24">
        <v>11392</v>
      </c>
      <c r="K32" s="24">
        <v>971</v>
      </c>
      <c r="L32" s="61">
        <f t="shared" ref="L32:L33" si="7">I32*(K32/J32)</f>
        <v>2557.057584269663</v>
      </c>
    </row>
    <row r="33" spans="2:16" s="124" customFormat="1" ht="18" x14ac:dyDescent="0.25">
      <c r="B33" s="9"/>
      <c r="C33" s="20"/>
      <c r="D33" s="126" t="s">
        <v>67</v>
      </c>
      <c r="E33" s="31"/>
      <c r="F33" s="31">
        <v>1</v>
      </c>
      <c r="G33" s="6" t="s">
        <v>54</v>
      </c>
      <c r="H33" s="53">
        <v>12500</v>
      </c>
      <c r="I33" s="53">
        <f t="shared" si="6"/>
        <v>12500</v>
      </c>
      <c r="J33" s="24">
        <v>11392</v>
      </c>
      <c r="K33" s="24">
        <v>971</v>
      </c>
      <c r="L33" s="61">
        <f t="shared" si="7"/>
        <v>1065.4406601123596</v>
      </c>
      <c r="M33" s="171"/>
      <c r="N33" s="171"/>
      <c r="O33" s="171"/>
      <c r="P33" s="171"/>
    </row>
    <row r="34" spans="2:16" s="124" customFormat="1" ht="18" x14ac:dyDescent="0.25">
      <c r="B34" s="9"/>
      <c r="C34" s="20"/>
      <c r="D34" s="126" t="s">
        <v>68</v>
      </c>
      <c r="E34" s="31"/>
      <c r="F34" s="31">
        <v>1</v>
      </c>
      <c r="G34" s="6" t="s">
        <v>54</v>
      </c>
      <c r="H34" s="53">
        <v>2000</v>
      </c>
      <c r="I34" s="53">
        <f t="shared" si="4"/>
        <v>2000</v>
      </c>
      <c r="J34" s="24">
        <v>11392</v>
      </c>
      <c r="K34" s="24">
        <v>971</v>
      </c>
      <c r="L34" s="61">
        <f t="shared" si="5"/>
        <v>170.47050561797752</v>
      </c>
      <c r="M34" s="171"/>
      <c r="N34" s="171"/>
      <c r="O34" s="171"/>
      <c r="P34" s="171"/>
    </row>
    <row r="35" spans="2:16" s="124" customFormat="1" ht="18" x14ac:dyDescent="0.25">
      <c r="B35" s="9"/>
      <c r="C35" s="20"/>
      <c r="D35" s="126" t="s">
        <v>57</v>
      </c>
      <c r="E35" s="31"/>
      <c r="F35" s="31">
        <v>1</v>
      </c>
      <c r="G35" s="6" t="s">
        <v>54</v>
      </c>
      <c r="H35" s="53">
        <v>5000</v>
      </c>
      <c r="I35" s="53">
        <f t="shared" si="4"/>
        <v>5000</v>
      </c>
      <c r="J35" s="24">
        <v>11392</v>
      </c>
      <c r="K35" s="24">
        <v>971</v>
      </c>
      <c r="L35" s="61">
        <f t="shared" si="5"/>
        <v>426.17626404494382</v>
      </c>
      <c r="M35" s="171"/>
      <c r="N35" s="171"/>
      <c r="O35" s="171"/>
      <c r="P35" s="171"/>
    </row>
    <row r="36" spans="2:16" s="124" customFormat="1" ht="18" x14ac:dyDescent="0.25">
      <c r="B36" s="9"/>
      <c r="C36" s="20"/>
      <c r="D36" s="129" t="s">
        <v>69</v>
      </c>
      <c r="E36" s="31"/>
      <c r="F36" s="31"/>
      <c r="G36" s="6"/>
      <c r="H36" s="53"/>
      <c r="I36" s="53"/>
      <c r="J36" s="24"/>
      <c r="K36" s="24"/>
      <c r="L36" s="61"/>
      <c r="M36" s="171"/>
      <c r="N36" s="171"/>
      <c r="O36" s="171"/>
      <c r="P36" s="171"/>
    </row>
    <row r="37" spans="2:16" s="124" customFormat="1" ht="18" x14ac:dyDescent="0.25">
      <c r="B37" s="9"/>
      <c r="C37" s="20"/>
      <c r="D37" s="131" t="s">
        <v>70</v>
      </c>
      <c r="E37" s="31"/>
      <c r="F37" s="31">
        <v>1</v>
      </c>
      <c r="G37" s="6" t="s">
        <v>54</v>
      </c>
      <c r="H37" s="53">
        <v>4500</v>
      </c>
      <c r="I37" s="53">
        <f t="shared" ref="I37:I39" si="8">H37*F37</f>
        <v>4500</v>
      </c>
      <c r="J37" s="24">
        <v>11392</v>
      </c>
      <c r="K37" s="24">
        <v>971</v>
      </c>
      <c r="L37" s="61">
        <f t="shared" ref="L37:L39" si="9">I37*(K37/J37)</f>
        <v>383.55863764044943</v>
      </c>
      <c r="M37" s="171"/>
      <c r="N37" s="171"/>
      <c r="O37" s="171"/>
      <c r="P37" s="171"/>
    </row>
    <row r="38" spans="2:16" s="124" customFormat="1" ht="18" x14ac:dyDescent="0.25">
      <c r="B38" s="9"/>
      <c r="C38" s="20"/>
      <c r="D38" s="131" t="s">
        <v>69</v>
      </c>
      <c r="E38" s="31"/>
      <c r="F38" s="31">
        <v>1</v>
      </c>
      <c r="G38" s="6" t="s">
        <v>54</v>
      </c>
      <c r="H38" s="53">
        <v>12500</v>
      </c>
      <c r="I38" s="53">
        <f t="shared" si="8"/>
        <v>12500</v>
      </c>
      <c r="J38" s="24">
        <v>11392</v>
      </c>
      <c r="K38" s="24">
        <v>971</v>
      </c>
      <c r="L38" s="61">
        <f t="shared" si="9"/>
        <v>1065.4406601123596</v>
      </c>
      <c r="M38" s="171"/>
      <c r="N38" s="171"/>
      <c r="O38" s="171"/>
      <c r="P38" s="171"/>
    </row>
    <row r="39" spans="2:16" s="124" customFormat="1" ht="18" x14ac:dyDescent="0.25">
      <c r="B39" s="9"/>
      <c r="C39" s="20"/>
      <c r="D39" s="131" t="s">
        <v>71</v>
      </c>
      <c r="E39" s="31"/>
      <c r="F39" s="31">
        <v>1</v>
      </c>
      <c r="G39" s="6" t="s">
        <v>54</v>
      </c>
      <c r="H39" s="53">
        <v>12500</v>
      </c>
      <c r="I39" s="53">
        <f t="shared" si="8"/>
        <v>12500</v>
      </c>
      <c r="J39" s="24">
        <v>11392</v>
      </c>
      <c r="K39" s="24">
        <v>971</v>
      </c>
      <c r="L39" s="61">
        <f t="shared" si="9"/>
        <v>1065.4406601123596</v>
      </c>
      <c r="M39" s="171"/>
      <c r="N39" s="171"/>
      <c r="O39" s="171"/>
      <c r="P39" s="171"/>
    </row>
    <row r="40" spans="2:16" s="154" customFormat="1" ht="18" x14ac:dyDescent="0.25">
      <c r="B40" s="9"/>
      <c r="C40" s="20"/>
      <c r="D40" s="129" t="s">
        <v>72</v>
      </c>
      <c r="E40" s="31"/>
      <c r="F40" s="31"/>
      <c r="G40" s="6"/>
      <c r="H40" s="53"/>
      <c r="I40" s="53"/>
      <c r="J40" s="24"/>
      <c r="K40" s="24"/>
      <c r="L40" s="61"/>
      <c r="M40" s="171"/>
      <c r="N40" s="171"/>
      <c r="O40" s="171"/>
      <c r="P40" s="171"/>
    </row>
    <row r="41" spans="2:16" s="154" customFormat="1" ht="18" x14ac:dyDescent="0.25">
      <c r="B41" s="9"/>
      <c r="C41" s="20"/>
      <c r="D41" s="131" t="s">
        <v>59</v>
      </c>
      <c r="E41" s="31"/>
      <c r="F41" s="31">
        <v>1</v>
      </c>
      <c r="G41" s="6" t="s">
        <v>54</v>
      </c>
      <c r="H41" s="53">
        <v>24500</v>
      </c>
      <c r="I41" s="53">
        <f t="shared" ref="I41:I42" si="10">H41*F41</f>
        <v>24500</v>
      </c>
      <c r="J41" s="24">
        <v>11392</v>
      </c>
      <c r="K41" s="24">
        <v>971</v>
      </c>
      <c r="L41" s="61">
        <f t="shared" ref="L41:L42" si="11">I41*(K41/J41)</f>
        <v>2088.2636938202245</v>
      </c>
      <c r="M41" s="171"/>
      <c r="N41" s="171"/>
      <c r="O41" s="171"/>
      <c r="P41" s="171"/>
    </row>
    <row r="42" spans="2:16" s="154" customFormat="1" ht="18" x14ac:dyDescent="0.25">
      <c r="B42" s="9"/>
      <c r="C42" s="20"/>
      <c r="D42" s="131" t="s">
        <v>73</v>
      </c>
      <c r="E42" s="31"/>
      <c r="F42" s="31">
        <v>1</v>
      </c>
      <c r="G42" s="6" t="s">
        <v>54</v>
      </c>
      <c r="H42" s="53">
        <v>22500</v>
      </c>
      <c r="I42" s="53">
        <f t="shared" si="10"/>
        <v>22500</v>
      </c>
      <c r="J42" s="24">
        <v>11392</v>
      </c>
      <c r="K42" s="24">
        <v>971</v>
      </c>
      <c r="L42" s="61">
        <f t="shared" si="11"/>
        <v>1917.7931882022472</v>
      </c>
      <c r="M42" s="171"/>
      <c r="N42" s="171"/>
      <c r="O42" s="171"/>
      <c r="P42" s="171"/>
    </row>
    <row r="43" spans="2:16" s="154" customFormat="1" ht="18" x14ac:dyDescent="0.25">
      <c r="B43" s="9"/>
      <c r="C43" s="20"/>
      <c r="D43" s="131" t="s">
        <v>65</v>
      </c>
      <c r="E43" s="31"/>
      <c r="F43" s="31">
        <v>1</v>
      </c>
      <c r="G43" s="6" t="s">
        <v>54</v>
      </c>
      <c r="H43" s="53">
        <v>1250</v>
      </c>
      <c r="I43" s="53">
        <f t="shared" ref="I43" si="12">H43*F43</f>
        <v>1250</v>
      </c>
      <c r="J43" s="24">
        <v>11392</v>
      </c>
      <c r="K43" s="24">
        <v>971</v>
      </c>
      <c r="L43" s="61">
        <f t="shared" ref="L43" si="13">I43*(K43/J43)</f>
        <v>106.54406601123596</v>
      </c>
      <c r="M43" s="171"/>
      <c r="N43" s="171"/>
      <c r="O43" s="171"/>
      <c r="P43" s="171"/>
    </row>
    <row r="44" spans="2:16" s="124" customFormat="1" ht="18.75" thickBot="1" x14ac:dyDescent="0.3">
      <c r="B44" s="13"/>
      <c r="C44" s="66"/>
      <c r="D44" s="138"/>
      <c r="E44" s="65"/>
      <c r="F44" s="65"/>
      <c r="G44" s="37"/>
      <c r="H44" s="139" t="s">
        <v>11</v>
      </c>
      <c r="I44" s="162">
        <f>SUM(I30:I43)</f>
        <v>144750</v>
      </c>
      <c r="J44" s="63"/>
      <c r="K44" s="139" t="s">
        <v>11</v>
      </c>
      <c r="L44" s="140">
        <f>SUM(L30:L43)</f>
        <v>12337.802844101125</v>
      </c>
      <c r="M44" s="171"/>
      <c r="N44" s="171"/>
      <c r="O44" s="171"/>
      <c r="P44" s="171"/>
    </row>
    <row r="45" spans="2:16" s="124" customFormat="1" ht="18" x14ac:dyDescent="0.25">
      <c r="B45" s="99"/>
      <c r="C45" s="141"/>
      <c r="D45" s="142"/>
      <c r="E45" s="104"/>
      <c r="F45" s="104"/>
      <c r="G45" s="103"/>
      <c r="H45" s="143"/>
      <c r="I45" s="144"/>
      <c r="J45" s="143"/>
      <c r="K45" s="143"/>
      <c r="L45" s="145"/>
      <c r="M45" s="171"/>
      <c r="N45" s="171"/>
      <c r="O45" s="171"/>
      <c r="P45" s="171"/>
    </row>
    <row r="46" spans="2:16" ht="18" x14ac:dyDescent="0.25">
      <c r="B46" s="8"/>
      <c r="C46" s="20">
        <v>1.3</v>
      </c>
      <c r="D46" s="128" t="s">
        <v>32</v>
      </c>
      <c r="E46" s="31">
        <v>1965</v>
      </c>
      <c r="F46" s="31"/>
      <c r="G46" s="6"/>
      <c r="H46" s="24"/>
      <c r="I46" s="53"/>
      <c r="J46" s="24"/>
      <c r="K46" s="24"/>
      <c r="L46" s="90"/>
      <c r="M46" s="30"/>
      <c r="N46" s="30"/>
      <c r="O46" s="30"/>
      <c r="P46" s="30"/>
    </row>
    <row r="47" spans="2:16" s="124" customFormat="1" ht="18" x14ac:dyDescent="0.25">
      <c r="B47" s="9"/>
      <c r="C47" s="20"/>
      <c r="D47" s="133" t="s">
        <v>52</v>
      </c>
      <c r="E47" s="31"/>
      <c r="F47" s="31"/>
      <c r="G47" s="6"/>
      <c r="H47" s="24"/>
      <c r="I47" s="53"/>
      <c r="J47" s="24"/>
      <c r="K47" s="24"/>
      <c r="L47" s="134"/>
      <c r="M47" s="171"/>
      <c r="N47" s="171"/>
      <c r="O47" s="171"/>
      <c r="P47" s="171"/>
    </row>
    <row r="48" spans="2:16" s="124" customFormat="1" ht="18" x14ac:dyDescent="0.25">
      <c r="B48" s="9"/>
      <c r="C48" s="20"/>
      <c r="D48" s="126" t="s">
        <v>53</v>
      </c>
      <c r="E48" s="31"/>
      <c r="F48" s="31">
        <v>1</v>
      </c>
      <c r="G48" s="6" t="s">
        <v>54</v>
      </c>
      <c r="H48" s="53">
        <v>12500</v>
      </c>
      <c r="I48" s="53">
        <f>H48*F48</f>
        <v>12500</v>
      </c>
      <c r="J48" s="24">
        <v>11392</v>
      </c>
      <c r="K48" s="24">
        <v>971</v>
      </c>
      <c r="L48" s="61">
        <f>I48*(K48/J48)</f>
        <v>1065.4406601123596</v>
      </c>
      <c r="M48" s="171"/>
      <c r="N48" s="171"/>
      <c r="O48" s="171"/>
      <c r="P48" s="171"/>
    </row>
    <row r="49" spans="2:12" s="124" customFormat="1" ht="18" x14ac:dyDescent="0.25">
      <c r="B49" s="9"/>
      <c r="C49" s="20"/>
      <c r="D49" s="126" t="s">
        <v>55</v>
      </c>
      <c r="E49" s="31"/>
      <c r="F49" s="31">
        <v>1</v>
      </c>
      <c r="G49" s="6" t="s">
        <v>54</v>
      </c>
      <c r="H49" s="53">
        <v>5000</v>
      </c>
      <c r="I49" s="53">
        <f t="shared" ref="I49:I53" si="14">H49*F49</f>
        <v>5000</v>
      </c>
      <c r="J49" s="24">
        <v>11392</v>
      </c>
      <c r="K49" s="24">
        <v>971</v>
      </c>
      <c r="L49" s="61">
        <f t="shared" ref="L49:L53" si="15">I49*(K49/J49)</f>
        <v>426.17626404494382</v>
      </c>
    </row>
    <row r="50" spans="2:12" s="124" customFormat="1" ht="18" x14ac:dyDescent="0.25">
      <c r="B50" s="9"/>
      <c r="C50" s="20"/>
      <c r="D50" s="126" t="s">
        <v>56</v>
      </c>
      <c r="E50" s="31"/>
      <c r="F50" s="31">
        <v>1</v>
      </c>
      <c r="G50" s="6" t="s">
        <v>54</v>
      </c>
      <c r="H50" s="53">
        <v>12500</v>
      </c>
      <c r="I50" s="53">
        <f t="shared" si="14"/>
        <v>12500</v>
      </c>
      <c r="J50" s="24">
        <v>11392</v>
      </c>
      <c r="K50" s="24">
        <v>971</v>
      </c>
      <c r="L50" s="61">
        <f t="shared" si="15"/>
        <v>1065.4406601123596</v>
      </c>
    </row>
    <row r="51" spans="2:12" s="124" customFormat="1" ht="18" x14ac:dyDescent="0.25">
      <c r="B51" s="9"/>
      <c r="C51" s="20"/>
      <c r="D51" s="126" t="s">
        <v>67</v>
      </c>
      <c r="E51" s="31"/>
      <c r="F51" s="31">
        <v>1</v>
      </c>
      <c r="G51" s="6" t="s">
        <v>54</v>
      </c>
      <c r="H51" s="53">
        <v>8500</v>
      </c>
      <c r="I51" s="53">
        <f t="shared" si="14"/>
        <v>8500</v>
      </c>
      <c r="J51" s="24">
        <v>11392</v>
      </c>
      <c r="K51" s="24">
        <v>971</v>
      </c>
      <c r="L51" s="61">
        <f t="shared" si="15"/>
        <v>724.49964887640454</v>
      </c>
    </row>
    <row r="52" spans="2:12" s="124" customFormat="1" ht="18" x14ac:dyDescent="0.25">
      <c r="B52" s="9"/>
      <c r="C52" s="20"/>
      <c r="D52" s="126" t="s">
        <v>68</v>
      </c>
      <c r="E52" s="31"/>
      <c r="F52" s="31">
        <v>1</v>
      </c>
      <c r="G52" s="6" t="s">
        <v>54</v>
      </c>
      <c r="H52" s="53">
        <v>2000</v>
      </c>
      <c r="I52" s="53">
        <f t="shared" si="14"/>
        <v>2000</v>
      </c>
      <c r="J52" s="24">
        <v>11392</v>
      </c>
      <c r="K52" s="24">
        <v>971</v>
      </c>
      <c r="L52" s="61">
        <f t="shared" si="15"/>
        <v>170.47050561797752</v>
      </c>
    </row>
    <row r="53" spans="2:12" s="124" customFormat="1" ht="18" x14ac:dyDescent="0.25">
      <c r="B53" s="9"/>
      <c r="C53" s="20"/>
      <c r="D53" s="126" t="s">
        <v>57</v>
      </c>
      <c r="E53" s="31"/>
      <c r="F53" s="31">
        <v>1</v>
      </c>
      <c r="G53" s="6" t="s">
        <v>54</v>
      </c>
      <c r="H53" s="53">
        <v>5000</v>
      </c>
      <c r="I53" s="53">
        <f t="shared" si="14"/>
        <v>5000</v>
      </c>
      <c r="J53" s="24">
        <v>11392</v>
      </c>
      <c r="K53" s="24">
        <v>971</v>
      </c>
      <c r="L53" s="61">
        <f t="shared" si="15"/>
        <v>426.17626404494382</v>
      </c>
    </row>
    <row r="54" spans="2:12" s="124" customFormat="1" ht="18" x14ac:dyDescent="0.25">
      <c r="B54" s="9"/>
      <c r="C54" s="20"/>
      <c r="D54" s="129" t="s">
        <v>58</v>
      </c>
      <c r="E54" s="31"/>
      <c r="F54" s="31"/>
      <c r="G54" s="6"/>
      <c r="H54" s="53"/>
      <c r="I54" s="53"/>
      <c r="J54" s="24"/>
      <c r="K54" s="24"/>
      <c r="L54" s="61"/>
    </row>
    <row r="55" spans="2:12" s="124" customFormat="1" ht="18" x14ac:dyDescent="0.25">
      <c r="B55" s="9"/>
      <c r="C55" s="20"/>
      <c r="D55" s="126" t="s">
        <v>70</v>
      </c>
      <c r="E55" s="31"/>
      <c r="F55" s="31">
        <v>1</v>
      </c>
      <c r="G55" s="6" t="s">
        <v>54</v>
      </c>
      <c r="H55" s="53">
        <v>12500</v>
      </c>
      <c r="I55" s="53">
        <f t="shared" ref="I55:I57" si="16">H55*F55</f>
        <v>12500</v>
      </c>
      <c r="J55" s="24">
        <v>11392</v>
      </c>
      <c r="K55" s="24">
        <v>971</v>
      </c>
      <c r="L55" s="61">
        <f t="shared" ref="L55:L57" si="17">I55*(K55/J55)</f>
        <v>1065.4406601123596</v>
      </c>
    </row>
    <row r="56" spans="2:12" s="124" customFormat="1" ht="18" x14ac:dyDescent="0.25">
      <c r="B56" s="9"/>
      <c r="C56" s="20"/>
      <c r="D56" s="126" t="s">
        <v>74</v>
      </c>
      <c r="E56" s="31"/>
      <c r="F56" s="31">
        <v>1</v>
      </c>
      <c r="G56" s="6" t="s">
        <v>54</v>
      </c>
      <c r="H56" s="53">
        <v>45000</v>
      </c>
      <c r="I56" s="53">
        <f t="shared" si="16"/>
        <v>45000</v>
      </c>
      <c r="J56" s="24">
        <v>11392</v>
      </c>
      <c r="K56" s="24">
        <v>971</v>
      </c>
      <c r="L56" s="61">
        <f t="shared" si="17"/>
        <v>3835.5863764044943</v>
      </c>
    </row>
    <row r="57" spans="2:12" s="124" customFormat="1" ht="18" x14ac:dyDescent="0.25">
      <c r="B57" s="9"/>
      <c r="C57" s="20"/>
      <c r="D57" s="126" t="s">
        <v>63</v>
      </c>
      <c r="E57" s="31"/>
      <c r="F57" s="31">
        <v>1</v>
      </c>
      <c r="G57" s="6" t="s">
        <v>54</v>
      </c>
      <c r="H57" s="53">
        <v>8500</v>
      </c>
      <c r="I57" s="53">
        <f t="shared" si="16"/>
        <v>8500</v>
      </c>
      <c r="J57" s="24">
        <v>11392</v>
      </c>
      <c r="K57" s="24">
        <v>971</v>
      </c>
      <c r="L57" s="61">
        <f t="shared" si="17"/>
        <v>724.49964887640454</v>
      </c>
    </row>
    <row r="58" spans="2:12" s="154" customFormat="1" ht="18" x14ac:dyDescent="0.25">
      <c r="B58" s="9"/>
      <c r="C58" s="20"/>
      <c r="D58" s="133" t="s">
        <v>64</v>
      </c>
      <c r="E58" s="31"/>
      <c r="F58" s="31"/>
      <c r="G58" s="6"/>
      <c r="H58" s="24"/>
      <c r="I58" s="53"/>
      <c r="J58" s="24"/>
      <c r="K58" s="24"/>
      <c r="L58" s="134"/>
    </row>
    <row r="59" spans="2:12" s="154" customFormat="1" ht="18" x14ac:dyDescent="0.25">
      <c r="B59" s="9"/>
      <c r="C59" s="20"/>
      <c r="D59" s="126" t="s">
        <v>59</v>
      </c>
      <c r="E59" s="31"/>
      <c r="F59" s="31">
        <v>1</v>
      </c>
      <c r="G59" s="6" t="s">
        <v>54</v>
      </c>
      <c r="H59" s="53">
        <v>85000</v>
      </c>
      <c r="I59" s="53">
        <f>H59*F59</f>
        <v>85000</v>
      </c>
      <c r="J59" s="24">
        <v>11392</v>
      </c>
      <c r="K59" s="24">
        <v>971</v>
      </c>
      <c r="L59" s="61">
        <f>I59*(K59/J59)</f>
        <v>7244.9964887640444</v>
      </c>
    </row>
    <row r="60" spans="2:12" s="154" customFormat="1" ht="18" x14ac:dyDescent="0.25">
      <c r="B60" s="9"/>
      <c r="C60" s="20"/>
      <c r="D60" s="126" t="s">
        <v>73</v>
      </c>
      <c r="E60" s="31"/>
      <c r="F60" s="31">
        <v>1</v>
      </c>
      <c r="G60" s="6" t="s">
        <v>54</v>
      </c>
      <c r="H60" s="53">
        <v>38000</v>
      </c>
      <c r="I60" s="53">
        <f t="shared" ref="I60:I62" si="18">H60*F60</f>
        <v>38000</v>
      </c>
      <c r="J60" s="24">
        <v>11392</v>
      </c>
      <c r="K60" s="24">
        <v>971</v>
      </c>
      <c r="L60" s="61">
        <f t="shared" ref="L60:L62" si="19">I60*(K60/J60)</f>
        <v>3238.9396067415728</v>
      </c>
    </row>
    <row r="61" spans="2:12" s="154" customFormat="1" ht="18" x14ac:dyDescent="0.25">
      <c r="B61" s="9"/>
      <c r="C61" s="20"/>
      <c r="D61" s="126" t="s">
        <v>65</v>
      </c>
      <c r="E61" s="31"/>
      <c r="F61" s="31">
        <v>1</v>
      </c>
      <c r="G61" s="6" t="s">
        <v>54</v>
      </c>
      <c r="H61" s="53">
        <v>3500</v>
      </c>
      <c r="I61" s="53">
        <f t="shared" si="18"/>
        <v>3500</v>
      </c>
      <c r="J61" s="24">
        <v>11392</v>
      </c>
      <c r="K61" s="24">
        <v>971</v>
      </c>
      <c r="L61" s="61">
        <f t="shared" si="19"/>
        <v>298.32338483146066</v>
      </c>
    </row>
    <row r="62" spans="2:12" s="154" customFormat="1" ht="18" x14ac:dyDescent="0.25">
      <c r="B62" s="9"/>
      <c r="C62" s="20"/>
      <c r="D62" s="126" t="s">
        <v>66</v>
      </c>
      <c r="E62" s="31"/>
      <c r="F62" s="31">
        <v>1</v>
      </c>
      <c r="G62" s="6" t="s">
        <v>54</v>
      </c>
      <c r="H62" s="53">
        <v>3500</v>
      </c>
      <c r="I62" s="53">
        <f t="shared" si="18"/>
        <v>3500</v>
      </c>
      <c r="J62" s="24">
        <v>11392</v>
      </c>
      <c r="K62" s="24">
        <v>971</v>
      </c>
      <c r="L62" s="61">
        <f t="shared" si="19"/>
        <v>298.32338483146066</v>
      </c>
    </row>
    <row r="63" spans="2:12" s="154" customFormat="1" ht="18" x14ac:dyDescent="0.25">
      <c r="B63" s="9"/>
      <c r="C63" s="20"/>
      <c r="D63" s="126" t="s">
        <v>75</v>
      </c>
      <c r="E63" s="31"/>
      <c r="F63" s="31">
        <v>1</v>
      </c>
      <c r="G63" s="6" t="s">
        <v>54</v>
      </c>
      <c r="H63" s="53">
        <v>25000</v>
      </c>
      <c r="I63" s="53">
        <f t="shared" ref="I63" si="20">H63*F63</f>
        <v>25000</v>
      </c>
      <c r="J63" s="24">
        <v>11392</v>
      </c>
      <c r="K63" s="24">
        <v>971</v>
      </c>
      <c r="L63" s="61">
        <f t="shared" ref="L63" si="21">I63*(K63/J63)</f>
        <v>2130.8813202247193</v>
      </c>
    </row>
    <row r="64" spans="2:12" s="124" customFormat="1" ht="18" x14ac:dyDescent="0.25">
      <c r="B64" s="9"/>
      <c r="C64" s="20"/>
      <c r="D64" s="132"/>
      <c r="E64" s="31"/>
      <c r="F64" s="31"/>
      <c r="G64" s="6"/>
      <c r="H64" s="135" t="s">
        <v>11</v>
      </c>
      <c r="I64" s="156">
        <f>SUM(I48:I63)</f>
        <v>266500</v>
      </c>
      <c r="J64" s="24"/>
      <c r="K64" s="135" t="s">
        <v>11</v>
      </c>
      <c r="L64" s="136">
        <f>SUM(L48:L63)</f>
        <v>22715.194873595501</v>
      </c>
    </row>
    <row r="65" spans="2:12" s="124" customFormat="1" ht="18" x14ac:dyDescent="0.25">
      <c r="B65" s="9"/>
      <c r="C65" s="20"/>
      <c r="D65" s="132"/>
      <c r="E65" s="31"/>
      <c r="F65" s="31"/>
      <c r="G65" s="6"/>
      <c r="H65" s="24"/>
      <c r="I65" s="53"/>
      <c r="J65" s="24"/>
      <c r="K65" s="24"/>
      <c r="L65" s="90"/>
    </row>
    <row r="66" spans="2:12" ht="18" x14ac:dyDescent="0.25">
      <c r="B66" s="8"/>
      <c r="C66" s="20">
        <v>1.4</v>
      </c>
      <c r="D66" s="128" t="s">
        <v>34</v>
      </c>
      <c r="E66" s="31">
        <v>1978</v>
      </c>
      <c r="F66" s="31"/>
      <c r="G66" s="6"/>
      <c r="H66" s="24"/>
      <c r="I66" s="53"/>
      <c r="J66" s="24"/>
      <c r="K66" s="24"/>
      <c r="L66" s="90"/>
    </row>
    <row r="67" spans="2:12" s="124" customFormat="1" ht="18" x14ac:dyDescent="0.25">
      <c r="B67" s="9"/>
      <c r="C67" s="20"/>
      <c r="D67" s="133" t="s">
        <v>52</v>
      </c>
      <c r="E67" s="31"/>
      <c r="F67" s="31"/>
      <c r="G67" s="6"/>
      <c r="H67" s="24"/>
      <c r="I67" s="53"/>
      <c r="J67" s="24"/>
      <c r="K67" s="24"/>
      <c r="L67" s="134"/>
    </row>
    <row r="68" spans="2:12" s="124" customFormat="1" ht="18" x14ac:dyDescent="0.25">
      <c r="B68" s="9"/>
      <c r="C68" s="20"/>
      <c r="D68" s="126" t="s">
        <v>53</v>
      </c>
      <c r="E68" s="31"/>
      <c r="F68" s="31">
        <v>1</v>
      </c>
      <c r="G68" s="6" t="s">
        <v>54</v>
      </c>
      <c r="H68" s="53">
        <v>12500</v>
      </c>
      <c r="I68" s="53">
        <f>H68*F68</f>
        <v>12500</v>
      </c>
      <c r="J68" s="24">
        <v>11392</v>
      </c>
      <c r="K68" s="24">
        <v>2776</v>
      </c>
      <c r="L68" s="61">
        <f>I68*(K68/J68)</f>
        <v>3045.9971910112358</v>
      </c>
    </row>
    <row r="69" spans="2:12" s="124" customFormat="1" ht="18" x14ac:dyDescent="0.25">
      <c r="B69" s="9"/>
      <c r="C69" s="20"/>
      <c r="D69" s="126" t="s">
        <v>55</v>
      </c>
      <c r="E69" s="31"/>
      <c r="F69" s="31">
        <v>1</v>
      </c>
      <c r="G69" s="6" t="s">
        <v>54</v>
      </c>
      <c r="H69" s="53">
        <v>5000</v>
      </c>
      <c r="I69" s="53">
        <f t="shared" ref="I69:I73" si="22">H69*F69</f>
        <v>5000</v>
      </c>
      <c r="J69" s="24">
        <v>11392</v>
      </c>
      <c r="K69" s="24">
        <v>2776</v>
      </c>
      <c r="L69" s="61">
        <f t="shared" ref="L69:L73" si="23">I69*(K69/J69)</f>
        <v>1218.3988764044943</v>
      </c>
    </row>
    <row r="70" spans="2:12" s="124" customFormat="1" ht="18" x14ac:dyDescent="0.25">
      <c r="B70" s="9"/>
      <c r="C70" s="20"/>
      <c r="D70" s="126" t="s">
        <v>56</v>
      </c>
      <c r="E70" s="31"/>
      <c r="F70" s="31">
        <v>1</v>
      </c>
      <c r="G70" s="6" t="s">
        <v>54</v>
      </c>
      <c r="H70" s="53">
        <v>12500</v>
      </c>
      <c r="I70" s="53">
        <f t="shared" si="22"/>
        <v>12500</v>
      </c>
      <c r="J70" s="24">
        <v>11392</v>
      </c>
      <c r="K70" s="24">
        <v>2776</v>
      </c>
      <c r="L70" s="61">
        <f t="shared" si="23"/>
        <v>3045.9971910112358</v>
      </c>
    </row>
    <row r="71" spans="2:12" s="124" customFormat="1" ht="18" x14ac:dyDescent="0.25">
      <c r="B71" s="9"/>
      <c r="C71" s="20"/>
      <c r="D71" s="126" t="s">
        <v>67</v>
      </c>
      <c r="E71" s="31"/>
      <c r="F71" s="31">
        <v>1</v>
      </c>
      <c r="G71" s="6" t="s">
        <v>54</v>
      </c>
      <c r="H71" s="53">
        <v>8500</v>
      </c>
      <c r="I71" s="53">
        <f t="shared" si="22"/>
        <v>8500</v>
      </c>
      <c r="J71" s="24">
        <v>11392</v>
      </c>
      <c r="K71" s="24">
        <v>2776</v>
      </c>
      <c r="L71" s="61">
        <f t="shared" si="23"/>
        <v>2071.2780898876404</v>
      </c>
    </row>
    <row r="72" spans="2:12" s="124" customFormat="1" ht="18" x14ac:dyDescent="0.25">
      <c r="B72" s="9"/>
      <c r="C72" s="20"/>
      <c r="D72" s="126" t="s">
        <v>68</v>
      </c>
      <c r="E72" s="31"/>
      <c r="F72" s="31">
        <v>1</v>
      </c>
      <c r="G72" s="6" t="s">
        <v>54</v>
      </c>
      <c r="H72" s="53">
        <v>2000</v>
      </c>
      <c r="I72" s="53">
        <f t="shared" si="22"/>
        <v>2000</v>
      </c>
      <c r="J72" s="24">
        <v>11392</v>
      </c>
      <c r="K72" s="24">
        <v>2776</v>
      </c>
      <c r="L72" s="61">
        <f t="shared" si="23"/>
        <v>487.35955056179773</v>
      </c>
    </row>
    <row r="73" spans="2:12" s="124" customFormat="1" ht="18" x14ac:dyDescent="0.25">
      <c r="B73" s="9"/>
      <c r="C73" s="20"/>
      <c r="D73" s="126" t="s">
        <v>57</v>
      </c>
      <c r="E73" s="31"/>
      <c r="F73" s="31">
        <v>1</v>
      </c>
      <c r="G73" s="6" t="s">
        <v>54</v>
      </c>
      <c r="H73" s="53">
        <v>5000</v>
      </c>
      <c r="I73" s="53">
        <f t="shared" si="22"/>
        <v>5000</v>
      </c>
      <c r="J73" s="24">
        <v>11392</v>
      </c>
      <c r="K73" s="24">
        <v>2776</v>
      </c>
      <c r="L73" s="61">
        <f t="shared" si="23"/>
        <v>1218.3988764044943</v>
      </c>
    </row>
    <row r="74" spans="2:12" s="124" customFormat="1" ht="18" x14ac:dyDescent="0.25">
      <c r="B74" s="9"/>
      <c r="C74" s="20"/>
      <c r="D74" s="129" t="s">
        <v>58</v>
      </c>
      <c r="E74" s="31"/>
      <c r="F74" s="31"/>
      <c r="G74" s="6"/>
      <c r="H74" s="53"/>
      <c r="I74" s="53"/>
      <c r="J74" s="24"/>
      <c r="K74" s="24"/>
      <c r="L74" s="61"/>
    </row>
    <row r="75" spans="2:12" s="124" customFormat="1" ht="18" x14ac:dyDescent="0.25">
      <c r="B75" s="9"/>
      <c r="C75" s="20"/>
      <c r="D75" s="126" t="s">
        <v>70</v>
      </c>
      <c r="E75" s="31"/>
      <c r="F75" s="31">
        <v>1</v>
      </c>
      <c r="G75" s="6" t="s">
        <v>54</v>
      </c>
      <c r="H75" s="53">
        <v>12500</v>
      </c>
      <c r="I75" s="53">
        <f t="shared" ref="I75:I77" si="24">H75*F75</f>
        <v>12500</v>
      </c>
      <c r="J75" s="24">
        <v>11392</v>
      </c>
      <c r="K75" s="24">
        <v>2776</v>
      </c>
      <c r="L75" s="61">
        <f t="shared" ref="L75:L77" si="25">I75*(K75/J75)</f>
        <v>3045.9971910112358</v>
      </c>
    </row>
    <row r="76" spans="2:12" s="124" customFormat="1" ht="18" x14ac:dyDescent="0.25">
      <c r="B76" s="9"/>
      <c r="C76" s="20"/>
      <c r="D76" s="126" t="s">
        <v>74</v>
      </c>
      <c r="E76" s="31"/>
      <c r="F76" s="31">
        <v>1</v>
      </c>
      <c r="G76" s="6" t="s">
        <v>54</v>
      </c>
      <c r="H76" s="53">
        <v>35000</v>
      </c>
      <c r="I76" s="53">
        <f t="shared" si="24"/>
        <v>35000</v>
      </c>
      <c r="J76" s="24">
        <v>11392</v>
      </c>
      <c r="K76" s="24">
        <v>2776</v>
      </c>
      <c r="L76" s="61">
        <f t="shared" si="25"/>
        <v>8528.7921348314612</v>
      </c>
    </row>
    <row r="77" spans="2:12" s="124" customFormat="1" ht="18" x14ac:dyDescent="0.25">
      <c r="B77" s="9"/>
      <c r="C77" s="20"/>
      <c r="D77" s="126" t="s">
        <v>63</v>
      </c>
      <c r="E77" s="31"/>
      <c r="F77" s="31">
        <v>1</v>
      </c>
      <c r="G77" s="6" t="s">
        <v>54</v>
      </c>
      <c r="H77" s="53">
        <v>8500</v>
      </c>
      <c r="I77" s="53">
        <f t="shared" si="24"/>
        <v>8500</v>
      </c>
      <c r="J77" s="24">
        <v>11392</v>
      </c>
      <c r="K77" s="24">
        <v>2776</v>
      </c>
      <c r="L77" s="61">
        <f t="shared" si="25"/>
        <v>2071.2780898876404</v>
      </c>
    </row>
    <row r="78" spans="2:12" s="154" customFormat="1" ht="18" x14ac:dyDescent="0.25">
      <c r="B78" s="9"/>
      <c r="C78" s="20"/>
      <c r="D78" s="133" t="s">
        <v>64</v>
      </c>
      <c r="E78" s="31"/>
      <c r="F78" s="31"/>
      <c r="G78" s="6"/>
      <c r="H78" s="24"/>
      <c r="I78" s="53"/>
      <c r="J78" s="24"/>
      <c r="K78" s="24"/>
      <c r="L78" s="134"/>
    </row>
    <row r="79" spans="2:12" s="154" customFormat="1" ht="18" x14ac:dyDescent="0.25">
      <c r="B79" s="9"/>
      <c r="C79" s="20"/>
      <c r="D79" s="126" t="s">
        <v>59</v>
      </c>
      <c r="E79" s="31"/>
      <c r="F79" s="157">
        <v>1</v>
      </c>
      <c r="G79" s="158" t="s">
        <v>54</v>
      </c>
      <c r="H79" s="159">
        <v>85000</v>
      </c>
      <c r="I79" s="53">
        <f>H79*F79</f>
        <v>85000</v>
      </c>
      <c r="J79" s="24">
        <v>11392</v>
      </c>
      <c r="K79" s="24">
        <v>2776</v>
      </c>
      <c r="L79" s="61">
        <f>I79*(K79/J79)</f>
        <v>20712.780898876405</v>
      </c>
    </row>
    <row r="80" spans="2:12" s="154" customFormat="1" ht="18" x14ac:dyDescent="0.25">
      <c r="B80" s="9"/>
      <c r="C80" s="20"/>
      <c r="D80" s="126" t="s">
        <v>73</v>
      </c>
      <c r="E80" s="31"/>
      <c r="F80" s="157">
        <v>1</v>
      </c>
      <c r="G80" s="158" t="s">
        <v>54</v>
      </c>
      <c r="H80" s="159">
        <v>38000</v>
      </c>
      <c r="I80" s="53">
        <f t="shared" ref="I80:I82" si="26">H80*F80</f>
        <v>38000</v>
      </c>
      <c r="J80" s="24">
        <v>11392</v>
      </c>
      <c r="K80" s="24">
        <v>2776</v>
      </c>
      <c r="L80" s="61">
        <f t="shared" ref="L80:L82" si="27">I80*(K80/J80)</f>
        <v>9259.8314606741569</v>
      </c>
    </row>
    <row r="81" spans="2:12" s="154" customFormat="1" ht="18" x14ac:dyDescent="0.25">
      <c r="B81" s="9"/>
      <c r="C81" s="20"/>
      <c r="D81" s="126" t="s">
        <v>65</v>
      </c>
      <c r="E81" s="31"/>
      <c r="F81" s="157">
        <v>1</v>
      </c>
      <c r="G81" s="158" t="s">
        <v>54</v>
      </c>
      <c r="H81" s="160">
        <v>3500</v>
      </c>
      <c r="I81" s="53">
        <f t="shared" si="26"/>
        <v>3500</v>
      </c>
      <c r="J81" s="24">
        <v>11392</v>
      </c>
      <c r="K81" s="24">
        <v>2776</v>
      </c>
      <c r="L81" s="61">
        <f t="shared" si="27"/>
        <v>852.87921348314603</v>
      </c>
    </row>
    <row r="82" spans="2:12" s="154" customFormat="1" ht="18" x14ac:dyDescent="0.25">
      <c r="B82" s="9"/>
      <c r="C82" s="20"/>
      <c r="D82" s="126" t="s">
        <v>66</v>
      </c>
      <c r="E82" s="31"/>
      <c r="F82" s="157">
        <v>1</v>
      </c>
      <c r="G82" s="158" t="s">
        <v>54</v>
      </c>
      <c r="H82" s="160">
        <v>3500</v>
      </c>
      <c r="I82" s="53">
        <f t="shared" si="26"/>
        <v>3500</v>
      </c>
      <c r="J82" s="24">
        <v>11392</v>
      </c>
      <c r="K82" s="24">
        <v>2776</v>
      </c>
      <c r="L82" s="61">
        <f t="shared" si="27"/>
        <v>852.87921348314603</v>
      </c>
    </row>
    <row r="83" spans="2:12" s="154" customFormat="1" ht="18" x14ac:dyDescent="0.25">
      <c r="B83" s="9"/>
      <c r="C83" s="20"/>
      <c r="D83" s="126" t="s">
        <v>75</v>
      </c>
      <c r="E83" s="31"/>
      <c r="F83" s="157">
        <v>1</v>
      </c>
      <c r="G83" s="158" t="s">
        <v>54</v>
      </c>
      <c r="H83" s="160">
        <v>25000</v>
      </c>
      <c r="I83" s="53">
        <f t="shared" ref="I83" si="28">H83*F83</f>
        <v>25000</v>
      </c>
      <c r="J83" s="24">
        <v>11392</v>
      </c>
      <c r="K83" s="24">
        <v>2776</v>
      </c>
      <c r="L83" s="61">
        <f t="shared" ref="L83" si="29">I83*(K83/J83)</f>
        <v>6091.9943820224717</v>
      </c>
    </row>
    <row r="84" spans="2:12" s="124" customFormat="1" ht="18.75" thickBot="1" x14ac:dyDescent="0.3">
      <c r="B84" s="13"/>
      <c r="C84" s="66"/>
      <c r="D84" s="138"/>
      <c r="E84" s="65"/>
      <c r="F84" s="65"/>
      <c r="G84" s="37"/>
      <c r="H84" s="139" t="s">
        <v>11</v>
      </c>
      <c r="I84" s="162">
        <f>SUM(I68:I83)</f>
        <v>256500</v>
      </c>
      <c r="J84" s="63"/>
      <c r="K84" s="139" t="s">
        <v>11</v>
      </c>
      <c r="L84" s="140">
        <f>SUM(L68:L83)</f>
        <v>62503.862359550563</v>
      </c>
    </row>
    <row r="85" spans="2:12" s="124" customFormat="1" ht="18" x14ac:dyDescent="0.25">
      <c r="B85" s="99"/>
      <c r="C85" s="141"/>
      <c r="D85" s="142"/>
      <c r="E85" s="104"/>
      <c r="F85" s="104"/>
      <c r="G85" s="103"/>
      <c r="H85" s="143"/>
      <c r="I85" s="144"/>
      <c r="J85" s="143"/>
      <c r="K85" s="143"/>
      <c r="L85" s="145"/>
    </row>
    <row r="86" spans="2:12" ht="18" x14ac:dyDescent="0.25">
      <c r="B86" s="8"/>
      <c r="C86" s="20">
        <v>1.5</v>
      </c>
      <c r="D86" s="128" t="s">
        <v>35</v>
      </c>
      <c r="E86" s="31">
        <v>1978</v>
      </c>
      <c r="F86" s="31"/>
      <c r="G86" s="6"/>
      <c r="H86" s="24"/>
      <c r="I86" s="53"/>
      <c r="J86" s="24"/>
      <c r="K86" s="24"/>
      <c r="L86" s="90"/>
    </row>
    <row r="87" spans="2:12" s="124" customFormat="1" ht="18" x14ac:dyDescent="0.25">
      <c r="B87" s="9"/>
      <c r="C87" s="20"/>
      <c r="D87" s="133" t="s">
        <v>52</v>
      </c>
      <c r="E87" s="31"/>
      <c r="F87" s="31"/>
      <c r="G87" s="6"/>
      <c r="H87" s="24"/>
      <c r="I87" s="53"/>
      <c r="J87" s="24"/>
      <c r="K87" s="24"/>
      <c r="L87" s="134"/>
    </row>
    <row r="88" spans="2:12" s="124" customFormat="1" ht="18" x14ac:dyDescent="0.25">
      <c r="B88" s="9"/>
      <c r="C88" s="20"/>
      <c r="D88" s="126" t="s">
        <v>53</v>
      </c>
      <c r="E88" s="31"/>
      <c r="F88" s="31">
        <v>1</v>
      </c>
      <c r="G88" s="6" t="s">
        <v>54</v>
      </c>
      <c r="H88" s="53">
        <v>12500</v>
      </c>
      <c r="I88" s="53">
        <f>H88*F88</f>
        <v>12500</v>
      </c>
      <c r="J88" s="24">
        <v>11392</v>
      </c>
      <c r="K88" s="24">
        <v>2776</v>
      </c>
      <c r="L88" s="61">
        <f>I88*(K88/J88)</f>
        <v>3045.9971910112358</v>
      </c>
    </row>
    <row r="89" spans="2:12" s="124" customFormat="1" ht="18" x14ac:dyDescent="0.25">
      <c r="B89" s="9"/>
      <c r="C89" s="20"/>
      <c r="D89" s="126" t="s">
        <v>55</v>
      </c>
      <c r="E89" s="31"/>
      <c r="F89" s="31">
        <v>1</v>
      </c>
      <c r="G89" s="6" t="s">
        <v>54</v>
      </c>
      <c r="H89" s="53">
        <v>5000</v>
      </c>
      <c r="I89" s="53">
        <f t="shared" ref="I89:I93" si="30">H89*F89</f>
        <v>5000</v>
      </c>
      <c r="J89" s="24">
        <v>11392</v>
      </c>
      <c r="K89" s="24">
        <v>2776</v>
      </c>
      <c r="L89" s="61">
        <f t="shared" ref="L89:L93" si="31">I89*(K89/J89)</f>
        <v>1218.3988764044943</v>
      </c>
    </row>
    <row r="90" spans="2:12" s="124" customFormat="1" ht="18" x14ac:dyDescent="0.25">
      <c r="B90" s="9"/>
      <c r="C90" s="20"/>
      <c r="D90" s="126" t="s">
        <v>56</v>
      </c>
      <c r="E90" s="31"/>
      <c r="F90" s="31">
        <v>1</v>
      </c>
      <c r="G90" s="6" t="s">
        <v>54</v>
      </c>
      <c r="H90" s="53">
        <v>12500</v>
      </c>
      <c r="I90" s="53">
        <f t="shared" si="30"/>
        <v>12500</v>
      </c>
      <c r="J90" s="24">
        <v>11392</v>
      </c>
      <c r="K90" s="24">
        <v>2776</v>
      </c>
      <c r="L90" s="61">
        <f t="shared" si="31"/>
        <v>3045.9971910112358</v>
      </c>
    </row>
    <row r="91" spans="2:12" s="124" customFormat="1" ht="18" x14ac:dyDescent="0.25">
      <c r="B91" s="9"/>
      <c r="C91" s="20"/>
      <c r="D91" s="126" t="s">
        <v>67</v>
      </c>
      <c r="E91" s="31"/>
      <c r="F91" s="31">
        <v>1</v>
      </c>
      <c r="G91" s="6" t="s">
        <v>54</v>
      </c>
      <c r="H91" s="53">
        <v>8500</v>
      </c>
      <c r="I91" s="53">
        <f t="shared" si="30"/>
        <v>8500</v>
      </c>
      <c r="J91" s="24">
        <v>11392</v>
      </c>
      <c r="K91" s="24">
        <v>2776</v>
      </c>
      <c r="L91" s="61">
        <f t="shared" si="31"/>
        <v>2071.2780898876404</v>
      </c>
    </row>
    <row r="92" spans="2:12" s="124" customFormat="1" ht="18" x14ac:dyDescent="0.25">
      <c r="B92" s="9"/>
      <c r="C92" s="20"/>
      <c r="D92" s="126" t="s">
        <v>68</v>
      </c>
      <c r="E92" s="31"/>
      <c r="F92" s="31">
        <v>1</v>
      </c>
      <c r="G92" s="6" t="s">
        <v>54</v>
      </c>
      <c r="H92" s="53">
        <v>2000</v>
      </c>
      <c r="I92" s="53">
        <f t="shared" si="30"/>
        <v>2000</v>
      </c>
      <c r="J92" s="24">
        <v>11392</v>
      </c>
      <c r="K92" s="24">
        <v>2776</v>
      </c>
      <c r="L92" s="61">
        <f t="shared" si="31"/>
        <v>487.35955056179773</v>
      </c>
    </row>
    <row r="93" spans="2:12" s="124" customFormat="1" ht="18" x14ac:dyDescent="0.25">
      <c r="B93" s="9"/>
      <c r="C93" s="20"/>
      <c r="D93" s="126" t="s">
        <v>57</v>
      </c>
      <c r="E93" s="31"/>
      <c r="F93" s="31">
        <v>1</v>
      </c>
      <c r="G93" s="6" t="s">
        <v>54</v>
      </c>
      <c r="H93" s="53">
        <v>5000</v>
      </c>
      <c r="I93" s="53">
        <f t="shared" si="30"/>
        <v>5000</v>
      </c>
      <c r="J93" s="24">
        <v>11392</v>
      </c>
      <c r="K93" s="24">
        <v>2776</v>
      </c>
      <c r="L93" s="61">
        <f t="shared" si="31"/>
        <v>1218.3988764044943</v>
      </c>
    </row>
    <row r="94" spans="2:12" s="124" customFormat="1" ht="18" x14ac:dyDescent="0.25">
      <c r="B94" s="9"/>
      <c r="C94" s="20"/>
      <c r="D94" s="129" t="s">
        <v>58</v>
      </c>
      <c r="E94" s="31"/>
      <c r="F94" s="31"/>
      <c r="G94" s="6"/>
      <c r="H94" s="53"/>
      <c r="I94" s="53"/>
      <c r="J94" s="24"/>
      <c r="K94" s="24"/>
      <c r="L94" s="61"/>
    </row>
    <row r="95" spans="2:12" s="124" customFormat="1" ht="18" x14ac:dyDescent="0.25">
      <c r="B95" s="9"/>
      <c r="C95" s="20"/>
      <c r="D95" s="126" t="s">
        <v>70</v>
      </c>
      <c r="E95" s="31"/>
      <c r="F95" s="31">
        <v>1</v>
      </c>
      <c r="G95" s="6" t="s">
        <v>54</v>
      </c>
      <c r="H95" s="53">
        <v>12500</v>
      </c>
      <c r="I95" s="53">
        <f t="shared" ref="I95:I97" si="32">H95*F95</f>
        <v>12500</v>
      </c>
      <c r="J95" s="24">
        <v>11392</v>
      </c>
      <c r="K95" s="24">
        <v>2776</v>
      </c>
      <c r="L95" s="61">
        <f t="shared" ref="L95:L97" si="33">I95*(K95/J95)</f>
        <v>3045.9971910112358</v>
      </c>
    </row>
    <row r="96" spans="2:12" s="124" customFormat="1" ht="18" x14ac:dyDescent="0.25">
      <c r="B96" s="9"/>
      <c r="C96" s="20"/>
      <c r="D96" s="126" t="s">
        <v>74</v>
      </c>
      <c r="E96" s="31"/>
      <c r="F96" s="31">
        <v>1</v>
      </c>
      <c r="G96" s="6" t="s">
        <v>54</v>
      </c>
      <c r="H96" s="53">
        <v>35000</v>
      </c>
      <c r="I96" s="53">
        <f t="shared" si="32"/>
        <v>35000</v>
      </c>
      <c r="J96" s="24">
        <v>11392</v>
      </c>
      <c r="K96" s="24">
        <v>2776</v>
      </c>
      <c r="L96" s="61">
        <f t="shared" si="33"/>
        <v>8528.7921348314612</v>
      </c>
    </row>
    <row r="97" spans="2:14" s="124" customFormat="1" ht="18" x14ac:dyDescent="0.25">
      <c r="B97" s="9"/>
      <c r="C97" s="20"/>
      <c r="D97" s="126" t="s">
        <v>63</v>
      </c>
      <c r="E97" s="31"/>
      <c r="F97" s="31">
        <v>1</v>
      </c>
      <c r="G97" s="6" t="s">
        <v>54</v>
      </c>
      <c r="H97" s="53">
        <v>8500</v>
      </c>
      <c r="I97" s="53">
        <f t="shared" si="32"/>
        <v>8500</v>
      </c>
      <c r="J97" s="24">
        <v>11392</v>
      </c>
      <c r="K97" s="24">
        <v>2776</v>
      </c>
      <c r="L97" s="61">
        <f t="shared" si="33"/>
        <v>2071.2780898876404</v>
      </c>
      <c r="M97" s="171"/>
      <c r="N97" s="171"/>
    </row>
    <row r="98" spans="2:14" s="154" customFormat="1" ht="18" x14ac:dyDescent="0.25">
      <c r="B98" s="9"/>
      <c r="C98" s="20"/>
      <c r="D98" s="133" t="s">
        <v>64</v>
      </c>
      <c r="E98" s="31"/>
      <c r="F98" s="31"/>
      <c r="G98" s="6"/>
      <c r="H98" s="24"/>
      <c r="I98" s="53"/>
      <c r="J98" s="24"/>
      <c r="K98" s="24"/>
      <c r="L98" s="134"/>
      <c r="M98" s="171"/>
      <c r="N98" s="171"/>
    </row>
    <row r="99" spans="2:14" s="154" customFormat="1" ht="18" x14ac:dyDescent="0.25">
      <c r="B99" s="9"/>
      <c r="C99" s="20"/>
      <c r="D99" s="126" t="s">
        <v>59</v>
      </c>
      <c r="E99" s="31"/>
      <c r="F99" s="31">
        <v>1</v>
      </c>
      <c r="G99" s="6" t="s">
        <v>54</v>
      </c>
      <c r="H99" s="53">
        <v>125000</v>
      </c>
      <c r="I99" s="53">
        <f>H99*F99</f>
        <v>125000</v>
      </c>
      <c r="J99" s="24">
        <v>11392</v>
      </c>
      <c r="K99" s="24">
        <v>2776</v>
      </c>
      <c r="L99" s="61">
        <f>I99*(K99/J99)</f>
        <v>30459.971910112359</v>
      </c>
      <c r="M99" s="171"/>
      <c r="N99" s="171"/>
    </row>
    <row r="100" spans="2:14" s="154" customFormat="1" ht="18" x14ac:dyDescent="0.25">
      <c r="B100" s="9"/>
      <c r="C100" s="20"/>
      <c r="D100" s="126" t="s">
        <v>73</v>
      </c>
      <c r="E100" s="31"/>
      <c r="F100" s="31">
        <v>1</v>
      </c>
      <c r="G100" s="6" t="s">
        <v>54</v>
      </c>
      <c r="H100" s="53">
        <v>47500</v>
      </c>
      <c r="I100" s="53">
        <f t="shared" ref="I100:I102" si="34">H100*F100</f>
        <v>47500</v>
      </c>
      <c r="J100" s="24">
        <v>11392</v>
      </c>
      <c r="K100" s="24">
        <v>2776</v>
      </c>
      <c r="L100" s="61">
        <f t="shared" ref="L100:L102" si="35">I100*(K100/J100)</f>
        <v>11574.789325842696</v>
      </c>
      <c r="M100" s="171"/>
      <c r="N100" s="171"/>
    </row>
    <row r="101" spans="2:14" s="154" customFormat="1" ht="18" x14ac:dyDescent="0.25">
      <c r="B101" s="9"/>
      <c r="C101" s="20"/>
      <c r="D101" s="126" t="s">
        <v>76</v>
      </c>
      <c r="E101" s="31"/>
      <c r="F101" s="31">
        <v>1</v>
      </c>
      <c r="G101" s="6" t="s">
        <v>54</v>
      </c>
      <c r="H101" s="53">
        <v>65000</v>
      </c>
      <c r="I101" s="53">
        <f t="shared" si="34"/>
        <v>65000</v>
      </c>
      <c r="J101" s="24">
        <v>11392</v>
      </c>
      <c r="K101" s="24">
        <v>2776</v>
      </c>
      <c r="L101" s="61">
        <f t="shared" si="35"/>
        <v>15839.185393258427</v>
      </c>
      <c r="M101" s="171"/>
      <c r="N101" s="171"/>
    </row>
    <row r="102" spans="2:14" s="154" customFormat="1" ht="18" x14ac:dyDescent="0.25">
      <c r="B102" s="9"/>
      <c r="C102" s="20"/>
      <c r="D102" s="126" t="s">
        <v>66</v>
      </c>
      <c r="E102" s="31"/>
      <c r="F102" s="31">
        <v>1</v>
      </c>
      <c r="G102" s="6" t="s">
        <v>54</v>
      </c>
      <c r="H102" s="53">
        <v>4750</v>
      </c>
      <c r="I102" s="53">
        <f t="shared" si="34"/>
        <v>4750</v>
      </c>
      <c r="J102" s="24">
        <v>11392</v>
      </c>
      <c r="K102" s="24">
        <v>2776</v>
      </c>
      <c r="L102" s="61">
        <f t="shared" si="35"/>
        <v>1157.4789325842696</v>
      </c>
      <c r="M102" s="171"/>
      <c r="N102" s="171"/>
    </row>
    <row r="103" spans="2:14" s="124" customFormat="1" ht="18" x14ac:dyDescent="0.25">
      <c r="B103" s="9"/>
      <c r="C103" s="20"/>
      <c r="D103" s="132"/>
      <c r="E103" s="31"/>
      <c r="F103" s="31"/>
      <c r="G103" s="6"/>
      <c r="H103" s="135" t="s">
        <v>11</v>
      </c>
      <c r="I103" s="156">
        <f>SUM(I88:I102)</f>
        <v>343750</v>
      </c>
      <c r="J103" s="24"/>
      <c r="K103" s="135" t="s">
        <v>11</v>
      </c>
      <c r="L103" s="136">
        <f>SUM(L88:L102)</f>
        <v>83764.922752808998</v>
      </c>
      <c r="M103" s="171"/>
      <c r="N103" s="171"/>
    </row>
    <row r="104" spans="2:14" s="124" customFormat="1" ht="18" x14ac:dyDescent="0.25">
      <c r="B104" s="9"/>
      <c r="C104" s="20"/>
      <c r="D104" s="132"/>
      <c r="E104" s="31"/>
      <c r="F104" s="31"/>
      <c r="G104" s="6"/>
      <c r="H104" s="24"/>
      <c r="I104" s="53"/>
      <c r="J104" s="24"/>
      <c r="K104" s="24"/>
      <c r="L104" s="90"/>
      <c r="M104" s="171"/>
      <c r="N104" s="171"/>
    </row>
    <row r="105" spans="2:14" ht="18" x14ac:dyDescent="0.25">
      <c r="B105" s="8"/>
      <c r="C105" s="20">
        <v>1.6</v>
      </c>
      <c r="D105" s="128" t="s">
        <v>77</v>
      </c>
      <c r="E105" s="31">
        <v>1980</v>
      </c>
      <c r="F105" s="31" t="s">
        <v>78</v>
      </c>
      <c r="G105" s="6" t="s">
        <v>78</v>
      </c>
      <c r="H105" s="24" t="s">
        <v>78</v>
      </c>
      <c r="I105" s="53">
        <v>244444.5</v>
      </c>
      <c r="J105" s="24" t="s">
        <v>78</v>
      </c>
      <c r="K105" s="28" t="s">
        <v>78</v>
      </c>
      <c r="L105" s="137">
        <f>I105</f>
        <v>244444.5</v>
      </c>
      <c r="M105" s="171"/>
      <c r="N105" s="171"/>
    </row>
    <row r="106" spans="2:14" s="124" customFormat="1" ht="18" x14ac:dyDescent="0.25">
      <c r="B106" s="8"/>
      <c r="C106" s="20"/>
      <c r="D106" s="128"/>
      <c r="E106" s="31"/>
      <c r="F106" s="31"/>
      <c r="G106" s="6"/>
      <c r="H106" s="24"/>
      <c r="I106" s="53"/>
      <c r="J106" s="24"/>
      <c r="K106" s="24"/>
      <c r="L106" s="90"/>
      <c r="M106" s="171"/>
      <c r="N106" s="171"/>
    </row>
    <row r="107" spans="2:14" ht="18" x14ac:dyDescent="0.25">
      <c r="B107" s="8"/>
      <c r="C107" s="20">
        <v>1.7</v>
      </c>
      <c r="D107" s="128" t="s">
        <v>37</v>
      </c>
      <c r="E107" s="31">
        <v>1985</v>
      </c>
      <c r="F107" s="31"/>
      <c r="G107" s="6"/>
      <c r="H107" s="24"/>
      <c r="I107" s="53"/>
      <c r="J107" s="24"/>
      <c r="K107" s="24"/>
      <c r="L107" s="90"/>
      <c r="M107" s="171"/>
      <c r="N107" s="26"/>
    </row>
    <row r="108" spans="2:14" s="124" customFormat="1" ht="18" x14ac:dyDescent="0.25">
      <c r="B108" s="9"/>
      <c r="C108" s="20"/>
      <c r="D108" s="133" t="s">
        <v>52</v>
      </c>
      <c r="E108" s="31"/>
      <c r="F108" s="31"/>
      <c r="G108" s="6"/>
      <c r="H108" s="24"/>
      <c r="I108" s="53"/>
      <c r="J108" s="24"/>
      <c r="K108" s="24"/>
      <c r="L108" s="134"/>
      <c r="M108" s="171"/>
      <c r="N108" s="171"/>
    </row>
    <row r="109" spans="2:14" s="124" customFormat="1" ht="18" x14ac:dyDescent="0.25">
      <c r="B109" s="9"/>
      <c r="C109" s="20"/>
      <c r="D109" s="126" t="s">
        <v>53</v>
      </c>
      <c r="E109" s="31"/>
      <c r="F109" s="31">
        <v>1</v>
      </c>
      <c r="G109" s="6" t="s">
        <v>54</v>
      </c>
      <c r="H109" s="53">
        <v>12500</v>
      </c>
      <c r="I109" s="53">
        <f>H109*F109</f>
        <v>12500</v>
      </c>
      <c r="J109" s="24">
        <v>11392</v>
      </c>
      <c r="K109" s="24">
        <v>4182</v>
      </c>
      <c r="L109" s="61">
        <f>I109*(K109/J109)</f>
        <v>4588.7464887640454</v>
      </c>
      <c r="M109" s="171"/>
      <c r="N109" s="171"/>
    </row>
    <row r="110" spans="2:14" s="124" customFormat="1" ht="18" x14ac:dyDescent="0.25">
      <c r="B110" s="9"/>
      <c r="C110" s="20"/>
      <c r="D110" s="126" t="s">
        <v>55</v>
      </c>
      <c r="E110" s="31"/>
      <c r="F110" s="31">
        <v>1</v>
      </c>
      <c r="G110" s="6" t="s">
        <v>54</v>
      </c>
      <c r="H110" s="53">
        <v>5000</v>
      </c>
      <c r="I110" s="53">
        <f t="shared" ref="I110:I114" si="36">H110*F110</f>
        <v>5000</v>
      </c>
      <c r="J110" s="24">
        <v>11392</v>
      </c>
      <c r="K110" s="24">
        <v>4182</v>
      </c>
      <c r="L110" s="61">
        <f t="shared" ref="L110:L114" si="37">I110*(K110/J110)</f>
        <v>1835.4985955056179</v>
      </c>
      <c r="M110" s="171"/>
      <c r="N110" s="171"/>
    </row>
    <row r="111" spans="2:14" s="124" customFormat="1" ht="18" x14ac:dyDescent="0.25">
      <c r="B111" s="9"/>
      <c r="C111" s="20"/>
      <c r="D111" s="126" t="s">
        <v>56</v>
      </c>
      <c r="E111" s="31"/>
      <c r="F111" s="31">
        <v>1</v>
      </c>
      <c r="G111" s="6" t="s">
        <v>54</v>
      </c>
      <c r="H111" s="53">
        <v>6500</v>
      </c>
      <c r="I111" s="53">
        <f t="shared" si="36"/>
        <v>6500</v>
      </c>
      <c r="J111" s="24">
        <v>11392</v>
      </c>
      <c r="K111" s="24">
        <v>4182</v>
      </c>
      <c r="L111" s="61">
        <f t="shared" si="37"/>
        <v>2386.1481741573034</v>
      </c>
      <c r="M111" s="171"/>
      <c r="N111" s="171"/>
    </row>
    <row r="112" spans="2:14" s="124" customFormat="1" ht="18" x14ac:dyDescent="0.25">
      <c r="B112" s="9"/>
      <c r="C112" s="20"/>
      <c r="D112" s="126" t="s">
        <v>67</v>
      </c>
      <c r="E112" s="31"/>
      <c r="F112" s="31">
        <v>1</v>
      </c>
      <c r="G112" s="6" t="s">
        <v>54</v>
      </c>
      <c r="H112" s="53">
        <v>8500</v>
      </c>
      <c r="I112" s="53">
        <f t="shared" si="36"/>
        <v>8500</v>
      </c>
      <c r="J112" s="24">
        <v>11392</v>
      </c>
      <c r="K112" s="24">
        <v>4182</v>
      </c>
      <c r="L112" s="61">
        <f t="shared" si="37"/>
        <v>3120.3476123595506</v>
      </c>
      <c r="M112" s="171"/>
      <c r="N112" s="171"/>
    </row>
    <row r="113" spans="2:12" s="124" customFormat="1" ht="18" x14ac:dyDescent="0.25">
      <c r="B113" s="9"/>
      <c r="C113" s="20"/>
      <c r="D113" s="126" t="s">
        <v>68</v>
      </c>
      <c r="E113" s="31"/>
      <c r="F113" s="31">
        <v>1</v>
      </c>
      <c r="G113" s="6" t="s">
        <v>54</v>
      </c>
      <c r="H113" s="53">
        <v>2000</v>
      </c>
      <c r="I113" s="53">
        <f t="shared" si="36"/>
        <v>2000</v>
      </c>
      <c r="J113" s="24">
        <v>11392</v>
      </c>
      <c r="K113" s="24">
        <v>4182</v>
      </c>
      <c r="L113" s="61">
        <f t="shared" si="37"/>
        <v>734.19943820224717</v>
      </c>
    </row>
    <row r="114" spans="2:12" s="124" customFormat="1" ht="18" x14ac:dyDescent="0.25">
      <c r="B114" s="9"/>
      <c r="C114" s="20"/>
      <c r="D114" s="126" t="s">
        <v>57</v>
      </c>
      <c r="E114" s="31"/>
      <c r="F114" s="31">
        <v>1</v>
      </c>
      <c r="G114" s="6" t="s">
        <v>54</v>
      </c>
      <c r="H114" s="53">
        <v>5000</v>
      </c>
      <c r="I114" s="53">
        <f t="shared" si="36"/>
        <v>5000</v>
      </c>
      <c r="J114" s="24">
        <v>11392</v>
      </c>
      <c r="K114" s="24">
        <v>4182</v>
      </c>
      <c r="L114" s="61">
        <f t="shared" si="37"/>
        <v>1835.4985955056179</v>
      </c>
    </row>
    <row r="115" spans="2:12" s="124" customFormat="1" ht="18" x14ac:dyDescent="0.25">
      <c r="B115" s="9"/>
      <c r="C115" s="20"/>
      <c r="D115" s="129" t="s">
        <v>58</v>
      </c>
      <c r="E115" s="31"/>
      <c r="F115" s="31"/>
      <c r="G115" s="6"/>
      <c r="H115" s="53"/>
      <c r="I115" s="53"/>
      <c r="J115" s="24"/>
      <c r="K115" s="24"/>
      <c r="L115" s="61"/>
    </row>
    <row r="116" spans="2:12" s="124" customFormat="1" ht="18" x14ac:dyDescent="0.25">
      <c r="B116" s="9"/>
      <c r="C116" s="20"/>
      <c r="D116" s="126" t="s">
        <v>70</v>
      </c>
      <c r="E116" s="31"/>
      <c r="F116" s="31">
        <v>1</v>
      </c>
      <c r="G116" s="6" t="s">
        <v>54</v>
      </c>
      <c r="H116" s="53">
        <v>4500</v>
      </c>
      <c r="I116" s="53">
        <f t="shared" ref="I116:I118" si="38">H116*F116</f>
        <v>4500</v>
      </c>
      <c r="J116" s="24">
        <v>11392</v>
      </c>
      <c r="K116" s="24">
        <v>4182</v>
      </c>
      <c r="L116" s="61">
        <f t="shared" ref="L116:L118" si="39">I116*(K116/J116)</f>
        <v>1651.9487359550562</v>
      </c>
    </row>
    <row r="117" spans="2:12" s="124" customFormat="1" ht="18" x14ac:dyDescent="0.25">
      <c r="B117" s="9"/>
      <c r="C117" s="20"/>
      <c r="D117" s="126" t="s">
        <v>69</v>
      </c>
      <c r="E117" s="31"/>
      <c r="F117" s="31">
        <v>1</v>
      </c>
      <c r="G117" s="6" t="s">
        <v>54</v>
      </c>
      <c r="H117" s="53">
        <v>3500</v>
      </c>
      <c r="I117" s="53">
        <f t="shared" si="38"/>
        <v>3500</v>
      </c>
      <c r="J117" s="24">
        <v>11392</v>
      </c>
      <c r="K117" s="24">
        <v>4182</v>
      </c>
      <c r="L117" s="61">
        <f t="shared" si="39"/>
        <v>1284.8490168539327</v>
      </c>
    </row>
    <row r="118" spans="2:12" s="124" customFormat="1" ht="18" x14ac:dyDescent="0.25">
      <c r="B118" s="9"/>
      <c r="C118" s="20"/>
      <c r="D118" s="126" t="s">
        <v>71</v>
      </c>
      <c r="E118" s="31"/>
      <c r="F118" s="31">
        <v>1</v>
      </c>
      <c r="G118" s="6" t="s">
        <v>54</v>
      </c>
      <c r="H118" s="53">
        <v>12500</v>
      </c>
      <c r="I118" s="53">
        <f t="shared" si="38"/>
        <v>12500</v>
      </c>
      <c r="J118" s="24">
        <v>11392</v>
      </c>
      <c r="K118" s="24">
        <v>4182</v>
      </c>
      <c r="L118" s="61">
        <f t="shared" si="39"/>
        <v>4588.7464887640454</v>
      </c>
    </row>
    <row r="119" spans="2:12" s="154" customFormat="1" ht="18" x14ac:dyDescent="0.25">
      <c r="B119" s="9"/>
      <c r="C119" s="20"/>
      <c r="D119" s="133" t="s">
        <v>79</v>
      </c>
      <c r="E119" s="31"/>
      <c r="F119" s="31"/>
      <c r="G119" s="6"/>
      <c r="H119" s="24"/>
      <c r="I119" s="53"/>
      <c r="J119" s="24"/>
      <c r="K119" s="24"/>
      <c r="L119" s="134"/>
    </row>
    <row r="120" spans="2:12" s="154" customFormat="1" ht="18" x14ac:dyDescent="0.25">
      <c r="B120" s="9"/>
      <c r="C120" s="20"/>
      <c r="D120" s="126" t="s">
        <v>59</v>
      </c>
      <c r="E120" s="31"/>
      <c r="F120" s="31">
        <v>1</v>
      </c>
      <c r="G120" s="6" t="s">
        <v>54</v>
      </c>
      <c r="H120" s="53">
        <v>24500</v>
      </c>
      <c r="I120" s="53">
        <f>H120*F120</f>
        <v>24500</v>
      </c>
      <c r="J120" s="24">
        <v>11392</v>
      </c>
      <c r="K120" s="24">
        <v>4182</v>
      </c>
      <c r="L120" s="61">
        <f>I120*(K120/J120)</f>
        <v>8993.9431179775274</v>
      </c>
    </row>
    <row r="121" spans="2:12" s="154" customFormat="1" ht="18" x14ac:dyDescent="0.25">
      <c r="B121" s="9"/>
      <c r="C121" s="20"/>
      <c r="D121" s="126" t="s">
        <v>73</v>
      </c>
      <c r="E121" s="31"/>
      <c r="F121" s="31">
        <v>1</v>
      </c>
      <c r="G121" s="6" t="s">
        <v>54</v>
      </c>
      <c r="H121" s="53">
        <v>22500</v>
      </c>
      <c r="I121" s="53">
        <f t="shared" ref="I121:I122" si="40">H121*F121</f>
        <v>22500</v>
      </c>
      <c r="J121" s="24">
        <v>11392</v>
      </c>
      <c r="K121" s="24">
        <v>4182</v>
      </c>
      <c r="L121" s="61">
        <f t="shared" ref="L121:L122" si="41">I121*(K121/J121)</f>
        <v>8259.7436797752816</v>
      </c>
    </row>
    <row r="122" spans="2:12" s="154" customFormat="1" ht="18" x14ac:dyDescent="0.25">
      <c r="B122" s="9"/>
      <c r="C122" s="20"/>
      <c r="D122" s="126" t="s">
        <v>65</v>
      </c>
      <c r="E122" s="31"/>
      <c r="F122" s="31">
        <v>1</v>
      </c>
      <c r="G122" s="6" t="s">
        <v>54</v>
      </c>
      <c r="H122" s="53">
        <v>1250</v>
      </c>
      <c r="I122" s="53">
        <f t="shared" si="40"/>
        <v>1250</v>
      </c>
      <c r="J122" s="24">
        <v>11392</v>
      </c>
      <c r="K122" s="24">
        <v>4182</v>
      </c>
      <c r="L122" s="61">
        <f t="shared" si="41"/>
        <v>458.87464887640448</v>
      </c>
    </row>
    <row r="123" spans="2:12" s="124" customFormat="1" ht="18.75" thickBot="1" x14ac:dyDescent="0.3">
      <c r="B123" s="13"/>
      <c r="C123" s="66"/>
      <c r="D123" s="138"/>
      <c r="E123" s="65"/>
      <c r="F123" s="65"/>
      <c r="G123" s="37"/>
      <c r="H123" s="139" t="s">
        <v>11</v>
      </c>
      <c r="I123" s="162">
        <f>SUM(I109:I122)</f>
        <v>108250</v>
      </c>
      <c r="J123" s="63"/>
      <c r="K123" s="139" t="s">
        <v>11</v>
      </c>
      <c r="L123" s="140">
        <f>SUM(L109:L122)</f>
        <v>39738.544592696628</v>
      </c>
    </row>
    <row r="124" spans="2:12" s="124" customFormat="1" ht="18" x14ac:dyDescent="0.25">
      <c r="B124" s="99"/>
      <c r="C124" s="141"/>
      <c r="D124" s="142"/>
      <c r="E124" s="104"/>
      <c r="F124" s="104"/>
      <c r="G124" s="103"/>
      <c r="H124" s="143"/>
      <c r="I124" s="144"/>
      <c r="J124" s="143"/>
      <c r="K124" s="143"/>
      <c r="L124" s="145"/>
    </row>
    <row r="125" spans="2:12" ht="18" x14ac:dyDescent="0.25">
      <c r="B125" s="8"/>
      <c r="C125" s="20">
        <v>1.8</v>
      </c>
      <c r="D125" s="128" t="s">
        <v>38</v>
      </c>
      <c r="E125" s="31">
        <v>1985</v>
      </c>
      <c r="F125" s="31"/>
      <c r="G125" s="6"/>
      <c r="H125" s="24"/>
      <c r="I125" s="53"/>
      <c r="J125" s="24"/>
      <c r="K125" s="24"/>
      <c r="L125" s="90"/>
    </row>
    <row r="126" spans="2:12" s="124" customFormat="1" ht="18" x14ac:dyDescent="0.25">
      <c r="B126" s="9"/>
      <c r="C126" s="20"/>
      <c r="D126" s="133" t="s">
        <v>52</v>
      </c>
      <c r="E126" s="31"/>
      <c r="F126" s="31"/>
      <c r="G126" s="6"/>
      <c r="H126" s="24"/>
      <c r="I126" s="53"/>
      <c r="J126" s="24"/>
      <c r="K126" s="24"/>
      <c r="L126" s="134"/>
    </row>
    <row r="127" spans="2:12" s="124" customFormat="1" ht="18" x14ac:dyDescent="0.25">
      <c r="B127" s="9"/>
      <c r="C127" s="20"/>
      <c r="D127" s="126" t="s">
        <v>53</v>
      </c>
      <c r="E127" s="31"/>
      <c r="F127" s="31">
        <v>1</v>
      </c>
      <c r="G127" s="6" t="s">
        <v>54</v>
      </c>
      <c r="H127" s="53">
        <v>22500</v>
      </c>
      <c r="I127" s="53">
        <f>H127*F127</f>
        <v>22500</v>
      </c>
      <c r="J127" s="24">
        <v>11392</v>
      </c>
      <c r="K127" s="24">
        <v>4182</v>
      </c>
      <c r="L127" s="61">
        <f>I127*(K127/J127)</f>
        <v>8259.7436797752816</v>
      </c>
    </row>
    <row r="128" spans="2:12" s="124" customFormat="1" ht="18" x14ac:dyDescent="0.25">
      <c r="B128" s="9"/>
      <c r="C128" s="20"/>
      <c r="D128" s="126" t="s">
        <v>55</v>
      </c>
      <c r="E128" s="31"/>
      <c r="F128" s="31">
        <v>1</v>
      </c>
      <c r="G128" s="6" t="s">
        <v>54</v>
      </c>
      <c r="H128" s="53">
        <v>5000</v>
      </c>
      <c r="I128" s="53">
        <f t="shared" ref="I128:I132" si="42">H128*F128</f>
        <v>5000</v>
      </c>
      <c r="J128" s="24">
        <v>11392</v>
      </c>
      <c r="K128" s="24">
        <v>4182</v>
      </c>
      <c r="L128" s="61">
        <f t="shared" ref="L128:L132" si="43">I128*(K128/J128)</f>
        <v>1835.4985955056179</v>
      </c>
    </row>
    <row r="129" spans="2:12" s="124" customFormat="1" ht="18" x14ac:dyDescent="0.25">
      <c r="B129" s="9"/>
      <c r="C129" s="20"/>
      <c r="D129" s="126" t="s">
        <v>56</v>
      </c>
      <c r="E129" s="31"/>
      <c r="F129" s="31">
        <v>1</v>
      </c>
      <c r="G129" s="6" t="s">
        <v>54</v>
      </c>
      <c r="H129" s="53">
        <v>18500</v>
      </c>
      <c r="I129" s="53">
        <f t="shared" si="42"/>
        <v>18500</v>
      </c>
      <c r="J129" s="24">
        <v>11392</v>
      </c>
      <c r="K129" s="24">
        <v>4182</v>
      </c>
      <c r="L129" s="61">
        <f t="shared" si="43"/>
        <v>6791.3448033707864</v>
      </c>
    </row>
    <row r="130" spans="2:12" s="124" customFormat="1" ht="18" x14ac:dyDescent="0.25">
      <c r="B130" s="9"/>
      <c r="C130" s="20"/>
      <c r="D130" s="126" t="s">
        <v>67</v>
      </c>
      <c r="E130" s="31"/>
      <c r="F130" s="31">
        <v>1</v>
      </c>
      <c r="G130" s="6" t="s">
        <v>54</v>
      </c>
      <c r="H130" s="53">
        <v>12500</v>
      </c>
      <c r="I130" s="53">
        <f t="shared" si="42"/>
        <v>12500</v>
      </c>
      <c r="J130" s="24">
        <v>11392</v>
      </c>
      <c r="K130" s="24">
        <v>4182</v>
      </c>
      <c r="L130" s="61">
        <f t="shared" si="43"/>
        <v>4588.7464887640454</v>
      </c>
    </row>
    <row r="131" spans="2:12" s="124" customFormat="1" ht="18" x14ac:dyDescent="0.25">
      <c r="B131" s="9"/>
      <c r="C131" s="20"/>
      <c r="D131" s="126" t="s">
        <v>68</v>
      </c>
      <c r="E131" s="31"/>
      <c r="F131" s="31">
        <v>1</v>
      </c>
      <c r="G131" s="6" t="s">
        <v>54</v>
      </c>
      <c r="H131" s="53">
        <v>2000</v>
      </c>
      <c r="I131" s="53">
        <f t="shared" si="42"/>
        <v>2000</v>
      </c>
      <c r="J131" s="24">
        <v>11392</v>
      </c>
      <c r="K131" s="24">
        <v>4182</v>
      </c>
      <c r="L131" s="61">
        <f t="shared" si="43"/>
        <v>734.19943820224717</v>
      </c>
    </row>
    <row r="132" spans="2:12" s="124" customFormat="1" ht="18" x14ac:dyDescent="0.25">
      <c r="B132" s="9"/>
      <c r="C132" s="20"/>
      <c r="D132" s="126" t="s">
        <v>57</v>
      </c>
      <c r="E132" s="31"/>
      <c r="F132" s="31">
        <v>1</v>
      </c>
      <c r="G132" s="6" t="s">
        <v>54</v>
      </c>
      <c r="H132" s="53">
        <v>8500</v>
      </c>
      <c r="I132" s="53">
        <f t="shared" si="42"/>
        <v>8500</v>
      </c>
      <c r="J132" s="24">
        <v>11392</v>
      </c>
      <c r="K132" s="24">
        <v>4182</v>
      </c>
      <c r="L132" s="61">
        <f t="shared" si="43"/>
        <v>3120.3476123595506</v>
      </c>
    </row>
    <row r="133" spans="2:12" s="124" customFormat="1" ht="18" x14ac:dyDescent="0.25">
      <c r="B133" s="9"/>
      <c r="C133" s="20"/>
      <c r="D133" s="129" t="s">
        <v>58</v>
      </c>
      <c r="E133" s="31"/>
      <c r="F133" s="31"/>
      <c r="G133" s="6"/>
      <c r="H133" s="53"/>
      <c r="I133" s="53"/>
      <c r="J133" s="24"/>
      <c r="K133" s="24"/>
      <c r="L133" s="61"/>
    </row>
    <row r="134" spans="2:12" s="124" customFormat="1" ht="18" x14ac:dyDescent="0.25">
      <c r="B134" s="9"/>
      <c r="C134" s="20"/>
      <c r="D134" s="131" t="s">
        <v>70</v>
      </c>
      <c r="E134" s="31"/>
      <c r="F134" s="31">
        <v>1</v>
      </c>
      <c r="G134" s="6" t="s">
        <v>54</v>
      </c>
      <c r="H134" s="53">
        <v>12500</v>
      </c>
      <c r="I134" s="53">
        <f t="shared" ref="I134:I136" si="44">H134*F134</f>
        <v>12500</v>
      </c>
      <c r="J134" s="24">
        <v>11392</v>
      </c>
      <c r="K134" s="24">
        <v>4182</v>
      </c>
      <c r="L134" s="61">
        <f t="shared" ref="L134:L136" si="45">I134*(K134/J134)</f>
        <v>4588.7464887640454</v>
      </c>
    </row>
    <row r="135" spans="2:12" s="124" customFormat="1" ht="18" x14ac:dyDescent="0.25">
      <c r="B135" s="9"/>
      <c r="C135" s="20"/>
      <c r="D135" s="131" t="s">
        <v>74</v>
      </c>
      <c r="E135" s="31"/>
      <c r="F135" s="31">
        <v>1</v>
      </c>
      <c r="G135" s="6" t="s">
        <v>54</v>
      </c>
      <c r="H135" s="53">
        <v>45000</v>
      </c>
      <c r="I135" s="53">
        <f t="shared" si="44"/>
        <v>45000</v>
      </c>
      <c r="J135" s="24">
        <v>11392</v>
      </c>
      <c r="K135" s="24">
        <v>4182</v>
      </c>
      <c r="L135" s="61">
        <f t="shared" si="45"/>
        <v>16519.487359550563</v>
      </c>
    </row>
    <row r="136" spans="2:12" s="124" customFormat="1" ht="18" x14ac:dyDescent="0.25">
      <c r="B136" s="9"/>
      <c r="C136" s="20"/>
      <c r="D136" s="131" t="s">
        <v>63</v>
      </c>
      <c r="E136" s="31"/>
      <c r="F136" s="31">
        <v>1</v>
      </c>
      <c r="G136" s="6" t="s">
        <v>54</v>
      </c>
      <c r="H136" s="53">
        <v>8500</v>
      </c>
      <c r="I136" s="53">
        <f t="shared" si="44"/>
        <v>8500</v>
      </c>
      <c r="J136" s="24">
        <v>11392</v>
      </c>
      <c r="K136" s="24">
        <v>4182</v>
      </c>
      <c r="L136" s="61">
        <f t="shared" si="45"/>
        <v>3120.3476123595506</v>
      </c>
    </row>
    <row r="137" spans="2:12" s="154" customFormat="1" ht="18" x14ac:dyDescent="0.25">
      <c r="B137" s="9"/>
      <c r="C137" s="20"/>
      <c r="D137" s="133" t="s">
        <v>64</v>
      </c>
      <c r="E137" s="31"/>
      <c r="F137" s="31"/>
      <c r="G137" s="6"/>
      <c r="H137" s="24"/>
      <c r="I137" s="53"/>
      <c r="J137" s="24"/>
      <c r="K137" s="24"/>
      <c r="L137" s="134"/>
    </row>
    <row r="138" spans="2:12" s="154" customFormat="1" ht="18" x14ac:dyDescent="0.25">
      <c r="B138" s="9"/>
      <c r="C138" s="20"/>
      <c r="D138" s="126" t="s">
        <v>59</v>
      </c>
      <c r="E138" s="31"/>
      <c r="F138" s="31">
        <v>1</v>
      </c>
      <c r="G138" s="6" t="s">
        <v>54</v>
      </c>
      <c r="H138" s="53">
        <v>105000</v>
      </c>
      <c r="I138" s="53">
        <f>H138*F138</f>
        <v>105000</v>
      </c>
      <c r="J138" s="24">
        <v>11392</v>
      </c>
      <c r="K138" s="24">
        <v>4182</v>
      </c>
      <c r="L138" s="61">
        <f>I138*(K138/J138)</f>
        <v>38545.470505617981</v>
      </c>
    </row>
    <row r="139" spans="2:12" s="154" customFormat="1" ht="18" x14ac:dyDescent="0.25">
      <c r="B139" s="9"/>
      <c r="C139" s="20"/>
      <c r="D139" s="126" t="s">
        <v>73</v>
      </c>
      <c r="E139" s="31"/>
      <c r="F139" s="31">
        <v>1</v>
      </c>
      <c r="G139" s="6" t="s">
        <v>54</v>
      </c>
      <c r="H139" s="53">
        <v>38500</v>
      </c>
      <c r="I139" s="53">
        <f t="shared" ref="I139:I141" si="46">H139*F139</f>
        <v>38500</v>
      </c>
      <c r="J139" s="24">
        <v>11392</v>
      </c>
      <c r="K139" s="24">
        <v>4182</v>
      </c>
      <c r="L139" s="61">
        <f t="shared" ref="L139:L141" si="47">I139*(K139/J139)</f>
        <v>14133.339185393259</v>
      </c>
    </row>
    <row r="140" spans="2:12" s="154" customFormat="1" ht="18" x14ac:dyDescent="0.25">
      <c r="B140" s="9"/>
      <c r="C140" s="20"/>
      <c r="D140" s="126" t="s">
        <v>76</v>
      </c>
      <c r="E140" s="31"/>
      <c r="F140" s="31">
        <v>1</v>
      </c>
      <c r="G140" s="6" t="s">
        <v>54</v>
      </c>
      <c r="H140" s="53">
        <v>55000</v>
      </c>
      <c r="I140" s="53">
        <f t="shared" si="46"/>
        <v>55000</v>
      </c>
      <c r="J140" s="24">
        <v>11392</v>
      </c>
      <c r="K140" s="24">
        <v>4182</v>
      </c>
      <c r="L140" s="61">
        <f t="shared" si="47"/>
        <v>20190.4845505618</v>
      </c>
    </row>
    <row r="141" spans="2:12" s="154" customFormat="1" ht="18" x14ac:dyDescent="0.25">
      <c r="B141" s="9"/>
      <c r="C141" s="20"/>
      <c r="D141" s="126" t="s">
        <v>66</v>
      </c>
      <c r="E141" s="31"/>
      <c r="F141" s="31">
        <v>1</v>
      </c>
      <c r="G141" s="6" t="s">
        <v>54</v>
      </c>
      <c r="H141" s="53">
        <v>4750</v>
      </c>
      <c r="I141" s="53">
        <f t="shared" si="46"/>
        <v>4750</v>
      </c>
      <c r="J141" s="24">
        <v>11392</v>
      </c>
      <c r="K141" s="24">
        <v>4182</v>
      </c>
      <c r="L141" s="61">
        <f t="shared" si="47"/>
        <v>1743.7236657303372</v>
      </c>
    </row>
    <row r="142" spans="2:12" s="124" customFormat="1" ht="11.25" customHeight="1" x14ac:dyDescent="0.25">
      <c r="B142" s="9"/>
      <c r="C142" s="20"/>
      <c r="D142" s="132"/>
      <c r="E142" s="31"/>
      <c r="F142" s="31"/>
      <c r="G142" s="6"/>
      <c r="H142" s="135" t="s">
        <v>11</v>
      </c>
      <c r="I142" s="156">
        <f>SUM(I127:I141)</f>
        <v>338250</v>
      </c>
      <c r="J142" s="24"/>
      <c r="K142" s="135" t="s">
        <v>11</v>
      </c>
      <c r="L142" s="136">
        <f>SUM(L127:L141)</f>
        <v>124171.47998595507</v>
      </c>
    </row>
    <row r="143" spans="2:12" s="124" customFormat="1" ht="13.5" customHeight="1" x14ac:dyDescent="0.25">
      <c r="B143" s="9"/>
      <c r="C143" s="20"/>
      <c r="D143" s="132"/>
      <c r="E143" s="31"/>
      <c r="F143" s="31"/>
      <c r="G143" s="6"/>
      <c r="H143" s="24"/>
      <c r="I143" s="53"/>
      <c r="J143" s="24"/>
      <c r="K143" s="24"/>
      <c r="L143" s="90"/>
    </row>
    <row r="144" spans="2:12" ht="18" x14ac:dyDescent="0.25">
      <c r="B144" s="8"/>
      <c r="C144" s="20">
        <v>1.9</v>
      </c>
      <c r="D144" s="128" t="s">
        <v>39</v>
      </c>
      <c r="E144" s="31">
        <v>1987</v>
      </c>
      <c r="F144" s="31"/>
      <c r="G144" s="6"/>
      <c r="H144" s="24"/>
      <c r="I144" s="53"/>
      <c r="J144" s="24"/>
      <c r="K144" s="24"/>
      <c r="L144" s="90"/>
    </row>
    <row r="145" spans="2:12" s="124" customFormat="1" ht="18" x14ac:dyDescent="0.25">
      <c r="B145" s="9"/>
      <c r="C145" s="20"/>
      <c r="D145" s="133" t="s">
        <v>52</v>
      </c>
      <c r="E145" s="31"/>
      <c r="F145" s="31"/>
      <c r="G145" s="6"/>
      <c r="H145" s="24"/>
      <c r="I145" s="53"/>
      <c r="J145" s="24"/>
      <c r="K145" s="24"/>
      <c r="L145" s="134"/>
    </row>
    <row r="146" spans="2:12" s="124" customFormat="1" ht="18" x14ac:dyDescent="0.25">
      <c r="B146" s="9"/>
      <c r="C146" s="20"/>
      <c r="D146" s="126" t="s">
        <v>53</v>
      </c>
      <c r="E146" s="31"/>
      <c r="F146" s="31">
        <v>1</v>
      </c>
      <c r="G146" s="6" t="s">
        <v>54</v>
      </c>
      <c r="H146" s="53">
        <v>25000</v>
      </c>
      <c r="I146" s="53">
        <f>H146*F146</f>
        <v>25000</v>
      </c>
      <c r="J146" s="24">
        <v>11392</v>
      </c>
      <c r="K146" s="24">
        <v>4406</v>
      </c>
      <c r="L146" s="61">
        <f>I146*(K146/J146)</f>
        <v>9669.0660112359546</v>
      </c>
    </row>
    <row r="147" spans="2:12" s="124" customFormat="1" ht="18" x14ac:dyDescent="0.25">
      <c r="B147" s="9"/>
      <c r="C147" s="20"/>
      <c r="D147" s="126" t="s">
        <v>55</v>
      </c>
      <c r="E147" s="31"/>
      <c r="F147" s="31">
        <v>1</v>
      </c>
      <c r="G147" s="6" t="s">
        <v>54</v>
      </c>
      <c r="H147" s="53">
        <v>8500</v>
      </c>
      <c r="I147" s="53">
        <f t="shared" ref="I147:I149" si="48">H147*F147</f>
        <v>8500</v>
      </c>
      <c r="J147" s="24">
        <v>11392</v>
      </c>
      <c r="K147" s="24">
        <v>4406</v>
      </c>
      <c r="L147" s="61">
        <f t="shared" ref="L147:L149" si="49">I147*(K147/J147)</f>
        <v>3287.4824438202245</v>
      </c>
    </row>
    <row r="148" spans="2:12" s="124" customFormat="1" ht="18" x14ac:dyDescent="0.25">
      <c r="B148" s="9"/>
      <c r="C148" s="20"/>
      <c r="D148" s="126" t="s">
        <v>56</v>
      </c>
      <c r="E148" s="31"/>
      <c r="F148" s="31">
        <v>1</v>
      </c>
      <c r="G148" s="6" t="s">
        <v>54</v>
      </c>
      <c r="H148" s="53">
        <v>15000</v>
      </c>
      <c r="I148" s="53">
        <f t="shared" si="48"/>
        <v>15000</v>
      </c>
      <c r="J148" s="24">
        <v>11392</v>
      </c>
      <c r="K148" s="24">
        <v>4406</v>
      </c>
      <c r="L148" s="61">
        <f t="shared" si="49"/>
        <v>5801.4396067415728</v>
      </c>
    </row>
    <row r="149" spans="2:12" s="124" customFormat="1" ht="18" x14ac:dyDescent="0.25">
      <c r="B149" s="9"/>
      <c r="C149" s="20"/>
      <c r="D149" s="126" t="s">
        <v>57</v>
      </c>
      <c r="E149" s="31"/>
      <c r="F149" s="31">
        <v>1</v>
      </c>
      <c r="G149" s="6" t="s">
        <v>54</v>
      </c>
      <c r="H149" s="53">
        <v>5000</v>
      </c>
      <c r="I149" s="53">
        <f t="shared" si="48"/>
        <v>5000</v>
      </c>
      <c r="J149" s="24">
        <v>11392</v>
      </c>
      <c r="K149" s="24">
        <v>4406</v>
      </c>
      <c r="L149" s="61">
        <f t="shared" si="49"/>
        <v>1933.8132022471909</v>
      </c>
    </row>
    <row r="150" spans="2:12" s="124" customFormat="1" ht="18" x14ac:dyDescent="0.25">
      <c r="B150" s="9"/>
      <c r="C150" s="20"/>
      <c r="D150" s="129" t="s">
        <v>58</v>
      </c>
      <c r="E150" s="31"/>
      <c r="F150" s="31"/>
      <c r="G150" s="6"/>
      <c r="H150" s="53"/>
      <c r="I150" s="53"/>
      <c r="J150" s="24"/>
      <c r="K150" s="24"/>
      <c r="L150" s="61"/>
    </row>
    <row r="151" spans="2:12" s="124" customFormat="1" ht="18" x14ac:dyDescent="0.25">
      <c r="B151" s="9"/>
      <c r="C151" s="20"/>
      <c r="D151" s="131" t="s">
        <v>59</v>
      </c>
      <c r="E151" s="31"/>
      <c r="F151" s="31">
        <v>1</v>
      </c>
      <c r="G151" s="6" t="s">
        <v>54</v>
      </c>
      <c r="H151" s="53">
        <v>145000</v>
      </c>
      <c r="I151" s="53">
        <f t="shared" ref="I151:I155" si="50">H151*F151</f>
        <v>145000</v>
      </c>
      <c r="J151" s="24">
        <v>11392</v>
      </c>
      <c r="K151" s="24">
        <v>4406</v>
      </c>
      <c r="L151" s="61">
        <f t="shared" ref="L151:L155" si="51">I151*(K151/J151)</f>
        <v>56080.582865168537</v>
      </c>
    </row>
    <row r="152" spans="2:12" s="124" customFormat="1" ht="18" x14ac:dyDescent="0.25">
      <c r="B152" s="9"/>
      <c r="C152" s="20"/>
      <c r="D152" s="131" t="s">
        <v>60</v>
      </c>
      <c r="E152" s="31"/>
      <c r="F152" s="31">
        <v>1</v>
      </c>
      <c r="G152" s="6" t="s">
        <v>54</v>
      </c>
      <c r="H152" s="53">
        <v>475000</v>
      </c>
      <c r="I152" s="53">
        <f t="shared" si="50"/>
        <v>475000</v>
      </c>
      <c r="J152" s="24">
        <v>11392</v>
      </c>
      <c r="K152" s="24">
        <v>4406</v>
      </c>
      <c r="L152" s="61">
        <f t="shared" si="51"/>
        <v>183712.25421348313</v>
      </c>
    </row>
    <row r="153" spans="2:12" s="124" customFormat="1" ht="18" x14ac:dyDescent="0.25">
      <c r="B153" s="9"/>
      <c r="C153" s="20"/>
      <c r="D153" s="131" t="s">
        <v>61</v>
      </c>
      <c r="E153" s="31"/>
      <c r="F153" s="31">
        <v>1</v>
      </c>
      <c r="G153" s="6" t="s">
        <v>54</v>
      </c>
      <c r="H153" s="53">
        <v>115000</v>
      </c>
      <c r="I153" s="53">
        <f t="shared" ref="I153:I154" si="52">H153*F153</f>
        <v>115000</v>
      </c>
      <c r="J153" s="24">
        <v>11392</v>
      </c>
      <c r="K153" s="24">
        <v>4406</v>
      </c>
      <c r="L153" s="61">
        <f t="shared" ref="L153:L154" si="53">I153*(K153/J153)</f>
        <v>44477.703651685391</v>
      </c>
    </row>
    <row r="154" spans="2:12" s="124" customFormat="1" ht="18" x14ac:dyDescent="0.25">
      <c r="B154" s="9"/>
      <c r="C154" s="20"/>
      <c r="D154" s="131" t="s">
        <v>62</v>
      </c>
      <c r="E154" s="31"/>
      <c r="F154" s="31">
        <v>1</v>
      </c>
      <c r="G154" s="6" t="s">
        <v>54</v>
      </c>
      <c r="H154" s="53">
        <v>18500</v>
      </c>
      <c r="I154" s="53">
        <f t="shared" si="52"/>
        <v>18500</v>
      </c>
      <c r="J154" s="24">
        <v>11392</v>
      </c>
      <c r="K154" s="24">
        <v>4406</v>
      </c>
      <c r="L154" s="61">
        <f t="shared" si="53"/>
        <v>7155.1088483146068</v>
      </c>
    </row>
    <row r="155" spans="2:12" s="124" customFormat="1" ht="18" x14ac:dyDescent="0.25">
      <c r="B155" s="9"/>
      <c r="C155" s="20"/>
      <c r="D155" s="131" t="s">
        <v>63</v>
      </c>
      <c r="E155" s="31"/>
      <c r="F155" s="31">
        <v>1</v>
      </c>
      <c r="G155" s="6" t="s">
        <v>54</v>
      </c>
      <c r="H155" s="53">
        <v>26000</v>
      </c>
      <c r="I155" s="53">
        <f t="shared" si="50"/>
        <v>26000</v>
      </c>
      <c r="J155" s="24">
        <v>11392</v>
      </c>
      <c r="K155" s="24">
        <v>4406</v>
      </c>
      <c r="L155" s="61">
        <f t="shared" si="51"/>
        <v>10055.828651685393</v>
      </c>
    </row>
    <row r="156" spans="2:12" s="154" customFormat="1" ht="18" x14ac:dyDescent="0.25">
      <c r="B156" s="9"/>
      <c r="C156" s="20"/>
      <c r="D156" s="133" t="s">
        <v>64</v>
      </c>
      <c r="E156" s="31"/>
      <c r="F156" s="31"/>
      <c r="G156" s="6"/>
      <c r="H156" s="24"/>
      <c r="I156" s="53"/>
      <c r="J156" s="24"/>
      <c r="K156" s="24"/>
      <c r="L156" s="134"/>
    </row>
    <row r="157" spans="2:12" s="154" customFormat="1" ht="18" x14ac:dyDescent="0.25">
      <c r="B157" s="9"/>
      <c r="C157" s="20"/>
      <c r="D157" s="126" t="s">
        <v>65</v>
      </c>
      <c r="E157" s="31"/>
      <c r="F157" s="31">
        <v>1</v>
      </c>
      <c r="G157" s="6" t="s">
        <v>54</v>
      </c>
      <c r="H157" s="53">
        <v>12750</v>
      </c>
      <c r="I157" s="53">
        <f t="shared" ref="I157" si="54">H157*F157</f>
        <v>12750</v>
      </c>
      <c r="J157" s="24">
        <v>11392</v>
      </c>
      <c r="K157" s="24">
        <v>4406</v>
      </c>
      <c r="L157" s="61">
        <f t="shared" ref="L157" si="55">I157*(K157/J157)</f>
        <v>4931.2236657303374</v>
      </c>
    </row>
    <row r="158" spans="2:12" s="154" customFormat="1" ht="18" x14ac:dyDescent="0.25">
      <c r="B158" s="9"/>
      <c r="C158" s="20"/>
      <c r="D158" s="126" t="s">
        <v>66</v>
      </c>
      <c r="E158" s="31"/>
      <c r="F158" s="31">
        <v>1</v>
      </c>
      <c r="G158" s="6" t="s">
        <v>54</v>
      </c>
      <c r="H158" s="53">
        <v>14500</v>
      </c>
      <c r="I158" s="53">
        <f t="shared" ref="I158" si="56">H158*F158</f>
        <v>14500</v>
      </c>
      <c r="J158" s="24">
        <v>11392</v>
      </c>
      <c r="K158" s="24">
        <v>4406</v>
      </c>
      <c r="L158" s="61">
        <f t="shared" ref="L158" si="57">I158*(K158/J158)</f>
        <v>5608.0582865168535</v>
      </c>
    </row>
    <row r="159" spans="2:12" s="124" customFormat="1" ht="16.5" customHeight="1" x14ac:dyDescent="0.25">
      <c r="B159" s="9"/>
      <c r="C159" s="20"/>
      <c r="D159" s="132"/>
      <c r="E159" s="31"/>
      <c r="F159" s="31"/>
      <c r="G159" s="6"/>
      <c r="H159" s="135" t="s">
        <v>11</v>
      </c>
      <c r="I159" s="156">
        <f>SUM(I146:I158)</f>
        <v>860250</v>
      </c>
      <c r="J159" s="24"/>
      <c r="K159" s="135" t="s">
        <v>11</v>
      </c>
      <c r="L159" s="136">
        <f>SUM(L146:L158)</f>
        <v>332712.56144662923</v>
      </c>
    </row>
    <row r="160" spans="2:12" s="124" customFormat="1" ht="11.25" customHeight="1" x14ac:dyDescent="0.25">
      <c r="B160" s="9"/>
      <c r="C160" s="20"/>
      <c r="D160" s="132"/>
      <c r="E160" s="31"/>
      <c r="F160" s="31"/>
      <c r="G160" s="6"/>
      <c r="H160" s="24"/>
      <c r="I160" s="53"/>
      <c r="J160" s="24"/>
      <c r="K160" s="24"/>
      <c r="L160" s="90"/>
    </row>
    <row r="161" spans="2:12" ht="18" x14ac:dyDescent="0.25">
      <c r="B161" s="9"/>
      <c r="C161" s="12">
        <v>1.1000000000000001</v>
      </c>
      <c r="D161" s="128" t="s">
        <v>40</v>
      </c>
      <c r="E161" s="31">
        <v>1988</v>
      </c>
      <c r="F161" s="31"/>
      <c r="G161" s="6"/>
      <c r="H161" s="24"/>
      <c r="I161" s="53"/>
      <c r="J161" s="24"/>
      <c r="K161" s="24"/>
      <c r="L161" s="90"/>
    </row>
    <row r="162" spans="2:12" s="154" customFormat="1" ht="18" x14ac:dyDescent="0.25">
      <c r="B162" s="9"/>
      <c r="C162" s="20"/>
      <c r="D162" s="133" t="s">
        <v>52</v>
      </c>
      <c r="E162" s="31"/>
      <c r="F162" s="31"/>
      <c r="G162" s="6"/>
      <c r="H162" s="24"/>
      <c r="I162" s="53"/>
      <c r="J162" s="24"/>
      <c r="K162" s="24"/>
      <c r="L162" s="134"/>
    </row>
    <row r="163" spans="2:12" s="124" customFormat="1" ht="18" x14ac:dyDescent="0.25">
      <c r="B163" s="9"/>
      <c r="C163" s="20"/>
      <c r="D163" s="126" t="s">
        <v>53</v>
      </c>
      <c r="E163" s="31"/>
      <c r="F163" s="31">
        <v>1</v>
      </c>
      <c r="G163" s="6" t="s">
        <v>54</v>
      </c>
      <c r="H163" s="53">
        <v>25000</v>
      </c>
      <c r="I163" s="53">
        <f>H163*F163</f>
        <v>25000</v>
      </c>
      <c r="J163" s="24">
        <v>11392</v>
      </c>
      <c r="K163" s="28">
        <v>4519</v>
      </c>
      <c r="L163" s="61">
        <f>I163*(K163/J163)</f>
        <v>9917.0470505617977</v>
      </c>
    </row>
    <row r="164" spans="2:12" s="124" customFormat="1" ht="18" x14ac:dyDescent="0.25">
      <c r="B164" s="9"/>
      <c r="C164" s="20"/>
      <c r="D164" s="126" t="s">
        <v>55</v>
      </c>
      <c r="E164" s="31"/>
      <c r="F164" s="31">
        <v>1</v>
      </c>
      <c r="G164" s="6" t="s">
        <v>54</v>
      </c>
      <c r="H164" s="53">
        <v>8500</v>
      </c>
      <c r="I164" s="53">
        <f t="shared" ref="I164:I166" si="58">H164*F164</f>
        <v>8500</v>
      </c>
      <c r="J164" s="24">
        <v>11392</v>
      </c>
      <c r="K164" s="28">
        <v>4519</v>
      </c>
      <c r="L164" s="61">
        <f t="shared" ref="L164:L166" si="59">I164*(K164/J164)</f>
        <v>3371.7959971910113</v>
      </c>
    </row>
    <row r="165" spans="2:12" s="124" customFormat="1" ht="18" x14ac:dyDescent="0.25">
      <c r="B165" s="9"/>
      <c r="C165" s="20"/>
      <c r="D165" s="126" t="s">
        <v>56</v>
      </c>
      <c r="E165" s="31"/>
      <c r="F165" s="31">
        <v>1</v>
      </c>
      <c r="G165" s="6" t="s">
        <v>54</v>
      </c>
      <c r="H165" s="53">
        <v>15000</v>
      </c>
      <c r="I165" s="53">
        <f t="shared" si="58"/>
        <v>15000</v>
      </c>
      <c r="J165" s="24">
        <v>11392</v>
      </c>
      <c r="K165" s="28">
        <v>4519</v>
      </c>
      <c r="L165" s="61">
        <f t="shared" si="59"/>
        <v>5950.2282303370785</v>
      </c>
    </row>
    <row r="166" spans="2:12" s="124" customFormat="1" ht="18" x14ac:dyDescent="0.25">
      <c r="B166" s="9"/>
      <c r="C166" s="20"/>
      <c r="D166" s="126" t="s">
        <v>57</v>
      </c>
      <c r="E166" s="31"/>
      <c r="F166" s="31">
        <v>1</v>
      </c>
      <c r="G166" s="6" t="s">
        <v>54</v>
      </c>
      <c r="H166" s="53">
        <v>5000</v>
      </c>
      <c r="I166" s="53">
        <f t="shared" si="58"/>
        <v>5000</v>
      </c>
      <c r="J166" s="24">
        <v>11392</v>
      </c>
      <c r="K166" s="28">
        <v>4519</v>
      </c>
      <c r="L166" s="61">
        <f t="shared" si="59"/>
        <v>1983.4094101123594</v>
      </c>
    </row>
    <row r="167" spans="2:12" s="124" customFormat="1" ht="18" x14ac:dyDescent="0.25">
      <c r="B167" s="9"/>
      <c r="C167" s="20"/>
      <c r="D167" s="129" t="s">
        <v>58</v>
      </c>
      <c r="E167" s="31"/>
      <c r="F167" s="31"/>
      <c r="G167" s="6"/>
      <c r="H167" s="53"/>
      <c r="I167" s="53"/>
      <c r="J167" s="24"/>
      <c r="K167" s="28"/>
      <c r="L167" s="61"/>
    </row>
    <row r="168" spans="2:12" s="124" customFormat="1" ht="18" x14ac:dyDescent="0.25">
      <c r="B168" s="9"/>
      <c r="C168" s="20"/>
      <c r="D168" s="131" t="s">
        <v>59</v>
      </c>
      <c r="E168" s="31"/>
      <c r="F168" s="31">
        <v>1</v>
      </c>
      <c r="G168" s="6" t="s">
        <v>54</v>
      </c>
      <c r="H168" s="53">
        <v>245000</v>
      </c>
      <c r="I168" s="53">
        <f t="shared" ref="I168:I172" si="60">H168*F168</f>
        <v>245000</v>
      </c>
      <c r="J168" s="24">
        <v>11392</v>
      </c>
      <c r="K168" s="28">
        <v>4519</v>
      </c>
      <c r="L168" s="61">
        <f t="shared" ref="L168:L172" si="61">I168*(K168/J168)</f>
        <v>97187.061095505618</v>
      </c>
    </row>
    <row r="169" spans="2:12" s="124" customFormat="1" ht="18" x14ac:dyDescent="0.25">
      <c r="B169" s="9"/>
      <c r="C169" s="20"/>
      <c r="D169" s="131" t="s">
        <v>60</v>
      </c>
      <c r="E169" s="31"/>
      <c r="F169" s="31">
        <v>1</v>
      </c>
      <c r="G169" s="6" t="s">
        <v>54</v>
      </c>
      <c r="H169" s="53">
        <v>625000</v>
      </c>
      <c r="I169" s="53">
        <f t="shared" si="60"/>
        <v>625000</v>
      </c>
      <c r="J169" s="24">
        <v>11392</v>
      </c>
      <c r="K169" s="28">
        <v>4519</v>
      </c>
      <c r="L169" s="61">
        <f t="shared" si="61"/>
        <v>247926.17626404495</v>
      </c>
    </row>
    <row r="170" spans="2:12" s="124" customFormat="1" ht="18" x14ac:dyDescent="0.25">
      <c r="B170" s="9"/>
      <c r="C170" s="20"/>
      <c r="D170" s="131" t="s">
        <v>61</v>
      </c>
      <c r="E170" s="31"/>
      <c r="F170" s="31">
        <v>1</v>
      </c>
      <c r="G170" s="6" t="s">
        <v>54</v>
      </c>
      <c r="H170" s="53">
        <v>165750</v>
      </c>
      <c r="I170" s="53">
        <f t="shared" si="60"/>
        <v>165750</v>
      </c>
      <c r="J170" s="24">
        <v>11392</v>
      </c>
      <c r="K170" s="28">
        <v>4519</v>
      </c>
      <c r="L170" s="61">
        <f t="shared" si="61"/>
        <v>65750.021945224711</v>
      </c>
    </row>
    <row r="171" spans="2:12" s="124" customFormat="1" ht="18" x14ac:dyDescent="0.25">
      <c r="B171" s="9"/>
      <c r="C171" s="20"/>
      <c r="D171" s="131" t="s">
        <v>62</v>
      </c>
      <c r="E171" s="31"/>
      <c r="F171" s="31">
        <v>1</v>
      </c>
      <c r="G171" s="6" t="s">
        <v>54</v>
      </c>
      <c r="H171" s="53">
        <v>38500</v>
      </c>
      <c r="I171" s="53">
        <f t="shared" si="60"/>
        <v>38500</v>
      </c>
      <c r="J171" s="24">
        <v>11392</v>
      </c>
      <c r="K171" s="28">
        <v>4519</v>
      </c>
      <c r="L171" s="61">
        <f t="shared" si="61"/>
        <v>15272.252457865168</v>
      </c>
    </row>
    <row r="172" spans="2:12" s="124" customFormat="1" ht="18" x14ac:dyDescent="0.25">
      <c r="B172" s="9"/>
      <c r="C172" s="20"/>
      <c r="D172" s="131" t="s">
        <v>63</v>
      </c>
      <c r="E172" s="31"/>
      <c r="F172" s="31">
        <v>1</v>
      </c>
      <c r="G172" s="6" t="s">
        <v>54</v>
      </c>
      <c r="H172" s="53">
        <v>42500</v>
      </c>
      <c r="I172" s="53">
        <f t="shared" si="60"/>
        <v>42500</v>
      </c>
      <c r="J172" s="24">
        <v>11392</v>
      </c>
      <c r="K172" s="28">
        <v>4519</v>
      </c>
      <c r="L172" s="61">
        <f t="shared" si="61"/>
        <v>16858.979985955055</v>
      </c>
    </row>
    <row r="173" spans="2:12" s="154" customFormat="1" ht="18" x14ac:dyDescent="0.25">
      <c r="B173" s="9"/>
      <c r="C173" s="20"/>
      <c r="D173" s="161" t="s">
        <v>64</v>
      </c>
      <c r="E173" s="31"/>
      <c r="F173" s="31"/>
      <c r="G173" s="6"/>
      <c r="H173" s="53"/>
      <c r="I173" s="53"/>
      <c r="J173" s="24"/>
      <c r="K173" s="28"/>
      <c r="L173" s="61"/>
    </row>
    <row r="174" spans="2:12" s="154" customFormat="1" ht="18" x14ac:dyDescent="0.25">
      <c r="B174" s="9"/>
      <c r="C174" s="20"/>
      <c r="D174" s="126" t="s">
        <v>65</v>
      </c>
      <c r="E174" s="31"/>
      <c r="F174" s="157">
        <v>1</v>
      </c>
      <c r="G174" s="158" t="s">
        <v>54</v>
      </c>
      <c r="H174" s="53">
        <v>22500</v>
      </c>
      <c r="I174" s="53">
        <f t="shared" ref="I174:I175" si="62">H174*F174</f>
        <v>22500</v>
      </c>
      <c r="J174" s="24">
        <v>11392</v>
      </c>
      <c r="K174" s="28">
        <v>4519</v>
      </c>
      <c r="L174" s="61">
        <f t="shared" ref="L174:L175" si="63">I174*(K174/J174)</f>
        <v>8925.3423455056181</v>
      </c>
    </row>
    <row r="175" spans="2:12" s="154" customFormat="1" ht="18" x14ac:dyDescent="0.25">
      <c r="B175" s="9"/>
      <c r="C175" s="20"/>
      <c r="D175" s="126" t="s">
        <v>66</v>
      </c>
      <c r="E175" s="31"/>
      <c r="F175" s="157">
        <v>1</v>
      </c>
      <c r="G175" s="158" t="s">
        <v>54</v>
      </c>
      <c r="H175" s="53">
        <v>14500</v>
      </c>
      <c r="I175" s="53">
        <f t="shared" si="62"/>
        <v>14500</v>
      </c>
      <c r="J175" s="24">
        <v>11392</v>
      </c>
      <c r="K175" s="28">
        <v>4519</v>
      </c>
      <c r="L175" s="61">
        <f t="shared" si="63"/>
        <v>5751.8872893258422</v>
      </c>
    </row>
    <row r="176" spans="2:12" s="124" customFormat="1" ht="18.75" thickBot="1" x14ac:dyDescent="0.3">
      <c r="B176" s="13"/>
      <c r="C176" s="66"/>
      <c r="D176" s="138"/>
      <c r="E176" s="65"/>
      <c r="F176" s="65"/>
      <c r="G176" s="37"/>
      <c r="H176" s="139" t="s">
        <v>11</v>
      </c>
      <c r="I176" s="162">
        <f>SUM(I163:I175)</f>
        <v>1207250</v>
      </c>
      <c r="J176" s="63"/>
      <c r="K176" s="139" t="s">
        <v>11</v>
      </c>
      <c r="L176" s="140">
        <f>SUM(L163:L175)</f>
        <v>478894.20207162917</v>
      </c>
    </row>
    <row r="177" spans="2:12" s="124" customFormat="1" ht="18" x14ac:dyDescent="0.25">
      <c r="B177" s="99"/>
      <c r="C177" s="141"/>
      <c r="D177" s="142"/>
      <c r="E177" s="104"/>
      <c r="F177" s="104"/>
      <c r="G177" s="103"/>
      <c r="H177" s="143"/>
      <c r="I177" s="144"/>
      <c r="J177" s="143"/>
      <c r="K177" s="143"/>
      <c r="L177" s="145"/>
    </row>
    <row r="178" spans="2:12" ht="18" x14ac:dyDescent="0.25">
      <c r="B178" s="9"/>
      <c r="C178" s="12">
        <v>1.1100000000000001</v>
      </c>
      <c r="D178" s="128" t="s">
        <v>80</v>
      </c>
      <c r="E178" s="31">
        <v>2021</v>
      </c>
      <c r="F178" s="31"/>
      <c r="G178" s="6"/>
      <c r="H178" s="24"/>
      <c r="I178" s="53"/>
      <c r="J178" s="24"/>
      <c r="K178" s="24"/>
      <c r="L178" s="90"/>
    </row>
    <row r="179" spans="2:12" s="167" customFormat="1" ht="18" x14ac:dyDescent="0.25">
      <c r="B179" s="9"/>
      <c r="C179" s="20"/>
      <c r="D179" s="132" t="s">
        <v>81</v>
      </c>
      <c r="E179" s="31"/>
      <c r="F179" s="31">
        <v>1</v>
      </c>
      <c r="G179" s="6" t="s">
        <v>54</v>
      </c>
      <c r="H179" s="53">
        <v>5000</v>
      </c>
      <c r="I179" s="53">
        <f t="shared" ref="I179:I180" si="64">H179*F179</f>
        <v>5000</v>
      </c>
      <c r="J179" s="24" t="s">
        <v>78</v>
      </c>
      <c r="K179" s="24" t="s">
        <v>78</v>
      </c>
      <c r="L179" s="61">
        <f>I179</f>
        <v>5000</v>
      </c>
    </row>
    <row r="180" spans="2:12" s="124" customFormat="1" ht="18" x14ac:dyDescent="0.25">
      <c r="B180" s="9"/>
      <c r="C180" s="20"/>
      <c r="D180" s="132" t="s">
        <v>82</v>
      </c>
      <c r="E180" s="31"/>
      <c r="F180" s="31">
        <v>1</v>
      </c>
      <c r="G180" s="6" t="s">
        <v>54</v>
      </c>
      <c r="H180" s="53">
        <v>2500</v>
      </c>
      <c r="I180" s="53">
        <f t="shared" si="64"/>
        <v>2500</v>
      </c>
      <c r="J180" s="24" t="s">
        <v>78</v>
      </c>
      <c r="K180" s="24" t="s">
        <v>78</v>
      </c>
      <c r="L180" s="61">
        <f t="shared" ref="L180:L187" si="65">I180</f>
        <v>2500</v>
      </c>
    </row>
    <row r="181" spans="2:12" s="124" customFormat="1" ht="18" x14ac:dyDescent="0.25">
      <c r="B181" s="9"/>
      <c r="C181" s="20"/>
      <c r="D181" s="126" t="s">
        <v>83</v>
      </c>
      <c r="E181" s="31"/>
      <c r="F181" s="31">
        <v>1</v>
      </c>
      <c r="G181" s="6" t="s">
        <v>54</v>
      </c>
      <c r="H181" s="53">
        <v>15000</v>
      </c>
      <c r="I181" s="53">
        <f>H181*F181</f>
        <v>15000</v>
      </c>
      <c r="J181" s="24" t="s">
        <v>78</v>
      </c>
      <c r="K181" s="24" t="s">
        <v>78</v>
      </c>
      <c r="L181" s="61">
        <f t="shared" si="65"/>
        <v>15000</v>
      </c>
    </row>
    <row r="182" spans="2:12" s="124" customFormat="1" ht="18" x14ac:dyDescent="0.25">
      <c r="B182" s="9"/>
      <c r="C182" s="20"/>
      <c r="D182" s="126" t="s">
        <v>67</v>
      </c>
      <c r="E182" s="31"/>
      <c r="F182" s="31">
        <v>1</v>
      </c>
      <c r="G182" s="6" t="s">
        <v>54</v>
      </c>
      <c r="H182" s="53">
        <v>15000</v>
      </c>
      <c r="I182" s="53">
        <f t="shared" ref="I182:I187" si="66">H182*F182</f>
        <v>15000</v>
      </c>
      <c r="J182" s="24" t="s">
        <v>78</v>
      </c>
      <c r="K182" s="24" t="s">
        <v>78</v>
      </c>
      <c r="L182" s="61">
        <f t="shared" si="65"/>
        <v>15000</v>
      </c>
    </row>
    <row r="183" spans="2:12" s="124" customFormat="1" ht="18" x14ac:dyDescent="0.25">
      <c r="B183" s="9"/>
      <c r="C183" s="20"/>
      <c r="D183" s="126" t="s">
        <v>84</v>
      </c>
      <c r="E183" s="31"/>
      <c r="F183" s="31">
        <v>1</v>
      </c>
      <c r="G183" s="6" t="s">
        <v>54</v>
      </c>
      <c r="H183" s="53">
        <v>5000</v>
      </c>
      <c r="I183" s="53">
        <f t="shared" si="66"/>
        <v>5000</v>
      </c>
      <c r="J183" s="24" t="s">
        <v>78</v>
      </c>
      <c r="K183" s="24" t="s">
        <v>78</v>
      </c>
      <c r="L183" s="61">
        <f t="shared" si="65"/>
        <v>5000</v>
      </c>
    </row>
    <row r="184" spans="2:12" s="124" customFormat="1" ht="18" x14ac:dyDescent="0.25">
      <c r="B184" s="9"/>
      <c r="C184" s="20"/>
      <c r="D184" s="126" t="s">
        <v>85</v>
      </c>
      <c r="E184" s="31"/>
      <c r="F184" s="31">
        <v>1</v>
      </c>
      <c r="G184" s="6" t="s">
        <v>54</v>
      </c>
      <c r="H184" s="53">
        <v>80000</v>
      </c>
      <c r="I184" s="53">
        <f t="shared" si="66"/>
        <v>80000</v>
      </c>
      <c r="J184" s="24" t="s">
        <v>78</v>
      </c>
      <c r="K184" s="24" t="s">
        <v>78</v>
      </c>
      <c r="L184" s="61">
        <f t="shared" si="65"/>
        <v>80000</v>
      </c>
    </row>
    <row r="185" spans="2:12" s="124" customFormat="1" ht="18" x14ac:dyDescent="0.25">
      <c r="B185" s="9"/>
      <c r="C185" s="20"/>
      <c r="D185" s="126" t="s">
        <v>86</v>
      </c>
      <c r="E185" s="31"/>
      <c r="F185" s="31">
        <v>1</v>
      </c>
      <c r="G185" s="6" t="s">
        <v>54</v>
      </c>
      <c r="H185" s="53">
        <v>81220</v>
      </c>
      <c r="I185" s="53">
        <f t="shared" si="66"/>
        <v>81220</v>
      </c>
      <c r="J185" s="24" t="s">
        <v>78</v>
      </c>
      <c r="K185" s="24" t="s">
        <v>78</v>
      </c>
      <c r="L185" s="61">
        <f t="shared" si="65"/>
        <v>81220</v>
      </c>
    </row>
    <row r="186" spans="2:12" s="124" customFormat="1" ht="18" x14ac:dyDescent="0.25">
      <c r="B186" s="9"/>
      <c r="C186" s="20"/>
      <c r="D186" s="126" t="s">
        <v>87</v>
      </c>
      <c r="E186" s="31"/>
      <c r="F186" s="31">
        <v>1</v>
      </c>
      <c r="G186" s="6" t="s">
        <v>54</v>
      </c>
      <c r="H186" s="53">
        <v>2500</v>
      </c>
      <c r="I186" s="53">
        <f t="shared" si="66"/>
        <v>2500</v>
      </c>
      <c r="J186" s="24" t="s">
        <v>78</v>
      </c>
      <c r="K186" s="24" t="s">
        <v>78</v>
      </c>
      <c r="L186" s="61">
        <f t="shared" si="65"/>
        <v>2500</v>
      </c>
    </row>
    <row r="187" spans="2:12" s="124" customFormat="1" ht="18" x14ac:dyDescent="0.25">
      <c r="B187" s="9"/>
      <c r="C187" s="20"/>
      <c r="D187" s="131" t="s">
        <v>88</v>
      </c>
      <c r="E187" s="31"/>
      <c r="F187" s="31">
        <v>1</v>
      </c>
      <c r="G187" s="6" t="s">
        <v>54</v>
      </c>
      <c r="H187" s="53">
        <v>35000</v>
      </c>
      <c r="I187" s="53">
        <f t="shared" si="66"/>
        <v>35000</v>
      </c>
      <c r="J187" s="24" t="s">
        <v>78</v>
      </c>
      <c r="K187" s="24" t="s">
        <v>78</v>
      </c>
      <c r="L187" s="61">
        <f t="shared" si="65"/>
        <v>35000</v>
      </c>
    </row>
    <row r="188" spans="2:12" s="124" customFormat="1" ht="18" x14ac:dyDescent="0.25">
      <c r="B188" s="9"/>
      <c r="C188" s="20"/>
      <c r="D188" s="132"/>
      <c r="E188" s="31"/>
      <c r="F188" s="31"/>
      <c r="G188" s="6"/>
      <c r="H188" s="135" t="s">
        <v>11</v>
      </c>
      <c r="I188" s="156">
        <f>SUM(I179:I187)</f>
        <v>241220</v>
      </c>
      <c r="J188" s="24"/>
      <c r="K188" s="135" t="s">
        <v>11</v>
      </c>
      <c r="L188" s="136">
        <f>SUM(L179:L187)</f>
        <v>241220</v>
      </c>
    </row>
    <row r="189" spans="2:12" s="124" customFormat="1" ht="18" x14ac:dyDescent="0.25">
      <c r="B189" s="9"/>
      <c r="C189" s="20"/>
      <c r="D189" s="132"/>
      <c r="E189" s="31"/>
      <c r="F189" s="31"/>
      <c r="G189" s="6"/>
      <c r="H189" s="24"/>
      <c r="I189" s="53"/>
      <c r="J189" s="24"/>
      <c r="K189" s="24"/>
      <c r="L189" s="90"/>
    </row>
    <row r="190" spans="2:12" ht="18" x14ac:dyDescent="0.25">
      <c r="B190" s="9"/>
      <c r="C190" s="12">
        <v>1.1200000000000001</v>
      </c>
      <c r="D190" s="128" t="s">
        <v>42</v>
      </c>
      <c r="E190" s="31">
        <v>1993</v>
      </c>
      <c r="F190" s="31"/>
      <c r="G190" s="6"/>
      <c r="H190" s="24"/>
      <c r="I190" s="53"/>
      <c r="J190" s="24"/>
      <c r="K190" s="24"/>
      <c r="L190" s="90"/>
    </row>
    <row r="191" spans="2:12" s="124" customFormat="1" ht="18" x14ac:dyDescent="0.25">
      <c r="B191" s="9"/>
      <c r="C191" s="20"/>
      <c r="D191" s="133" t="s">
        <v>52</v>
      </c>
      <c r="E191" s="31"/>
      <c r="F191" s="31"/>
      <c r="G191" s="6"/>
      <c r="H191" s="24"/>
      <c r="I191" s="53"/>
      <c r="J191" s="24"/>
      <c r="K191" s="24"/>
      <c r="L191" s="134"/>
    </row>
    <row r="192" spans="2:12" s="124" customFormat="1" ht="18" x14ac:dyDescent="0.25">
      <c r="B192" s="9"/>
      <c r="C192" s="20"/>
      <c r="D192" s="126" t="s">
        <v>53</v>
      </c>
      <c r="E192" s="31"/>
      <c r="F192" s="31">
        <v>1</v>
      </c>
      <c r="G192" s="6" t="s">
        <v>54</v>
      </c>
      <c r="H192" s="53">
        <v>22500</v>
      </c>
      <c r="I192" s="53">
        <f>H192*F192</f>
        <v>22500</v>
      </c>
      <c r="J192" s="24">
        <v>11392</v>
      </c>
      <c r="K192" s="24">
        <v>5210</v>
      </c>
      <c r="L192" s="61">
        <f>I192*(K192/J192)</f>
        <v>10290.115870786516</v>
      </c>
    </row>
    <row r="193" spans="2:12" s="124" customFormat="1" ht="18" x14ac:dyDescent="0.25">
      <c r="B193" s="9"/>
      <c r="C193" s="20"/>
      <c r="D193" s="126" t="s">
        <v>55</v>
      </c>
      <c r="E193" s="31"/>
      <c r="F193" s="31">
        <v>1</v>
      </c>
      <c r="G193" s="6" t="s">
        <v>54</v>
      </c>
      <c r="H193" s="53">
        <v>5000</v>
      </c>
      <c r="I193" s="53">
        <f t="shared" ref="I193:I197" si="67">H193*F193</f>
        <v>5000</v>
      </c>
      <c r="J193" s="24">
        <v>11392</v>
      </c>
      <c r="K193" s="24">
        <v>5210</v>
      </c>
      <c r="L193" s="61">
        <f t="shared" ref="L193:L197" si="68">I193*(K193/J193)</f>
        <v>2286.692415730337</v>
      </c>
    </row>
    <row r="194" spans="2:12" s="124" customFormat="1" ht="18" x14ac:dyDescent="0.25">
      <c r="B194" s="9"/>
      <c r="C194" s="20"/>
      <c r="D194" s="126" t="s">
        <v>56</v>
      </c>
      <c r="E194" s="31"/>
      <c r="F194" s="31">
        <v>1</v>
      </c>
      <c r="G194" s="6" t="s">
        <v>54</v>
      </c>
      <c r="H194" s="53">
        <v>18500</v>
      </c>
      <c r="I194" s="53">
        <f t="shared" si="67"/>
        <v>18500</v>
      </c>
      <c r="J194" s="24">
        <v>11392</v>
      </c>
      <c r="K194" s="24">
        <v>5210</v>
      </c>
      <c r="L194" s="61">
        <f t="shared" si="68"/>
        <v>8460.7619382022476</v>
      </c>
    </row>
    <row r="195" spans="2:12" s="124" customFormat="1" ht="18" x14ac:dyDescent="0.25">
      <c r="B195" s="9"/>
      <c r="C195" s="20"/>
      <c r="D195" s="126" t="s">
        <v>67</v>
      </c>
      <c r="E195" s="31"/>
      <c r="F195" s="31">
        <v>1</v>
      </c>
      <c r="G195" s="6" t="s">
        <v>54</v>
      </c>
      <c r="H195" s="53">
        <v>12500</v>
      </c>
      <c r="I195" s="53">
        <f t="shared" si="67"/>
        <v>12500</v>
      </c>
      <c r="J195" s="24">
        <v>11392</v>
      </c>
      <c r="K195" s="24">
        <v>5210</v>
      </c>
      <c r="L195" s="61">
        <f t="shared" si="68"/>
        <v>5716.7310393258422</v>
      </c>
    </row>
    <row r="196" spans="2:12" s="124" customFormat="1" ht="18" x14ac:dyDescent="0.25">
      <c r="B196" s="9"/>
      <c r="C196" s="20"/>
      <c r="D196" s="126" t="s">
        <v>68</v>
      </c>
      <c r="E196" s="31"/>
      <c r="F196" s="31">
        <v>1</v>
      </c>
      <c r="G196" s="6" t="s">
        <v>54</v>
      </c>
      <c r="H196" s="53">
        <v>2000</v>
      </c>
      <c r="I196" s="53">
        <f t="shared" si="67"/>
        <v>2000</v>
      </c>
      <c r="J196" s="24">
        <v>11392</v>
      </c>
      <c r="K196" s="24">
        <v>5210</v>
      </c>
      <c r="L196" s="61">
        <f t="shared" si="68"/>
        <v>914.67696629213481</v>
      </c>
    </row>
    <row r="197" spans="2:12" s="124" customFormat="1" ht="18" x14ac:dyDescent="0.25">
      <c r="B197" s="9"/>
      <c r="C197" s="20"/>
      <c r="D197" s="126" t="s">
        <v>57</v>
      </c>
      <c r="E197" s="31"/>
      <c r="F197" s="31">
        <v>1</v>
      </c>
      <c r="G197" s="6" t="s">
        <v>54</v>
      </c>
      <c r="H197" s="53">
        <v>8500</v>
      </c>
      <c r="I197" s="53">
        <f t="shared" si="67"/>
        <v>8500</v>
      </c>
      <c r="J197" s="24">
        <v>11392</v>
      </c>
      <c r="K197" s="24">
        <v>5210</v>
      </c>
      <c r="L197" s="61">
        <f t="shared" si="68"/>
        <v>3887.3771067415728</v>
      </c>
    </row>
    <row r="198" spans="2:12" s="124" customFormat="1" ht="18" x14ac:dyDescent="0.25">
      <c r="B198" s="9"/>
      <c r="C198" s="20"/>
      <c r="D198" s="129" t="s">
        <v>58</v>
      </c>
      <c r="E198" s="31"/>
      <c r="F198" s="31"/>
      <c r="G198" s="6"/>
      <c r="H198" s="53"/>
      <c r="I198" s="53"/>
      <c r="J198" s="24"/>
      <c r="K198" s="24"/>
      <c r="L198" s="61"/>
    </row>
    <row r="199" spans="2:12" s="124" customFormat="1" ht="18" x14ac:dyDescent="0.25">
      <c r="B199" s="9"/>
      <c r="C199" s="20"/>
      <c r="D199" s="131" t="s">
        <v>70</v>
      </c>
      <c r="E199" s="31"/>
      <c r="F199" s="31">
        <v>1</v>
      </c>
      <c r="G199" s="6" t="s">
        <v>54</v>
      </c>
      <c r="H199" s="53">
        <v>12500</v>
      </c>
      <c r="I199" s="53">
        <f t="shared" ref="I199:I201" si="69">H199*F199</f>
        <v>12500</v>
      </c>
      <c r="J199" s="24">
        <v>11392</v>
      </c>
      <c r="K199" s="24">
        <v>5210</v>
      </c>
      <c r="L199" s="61">
        <f t="shared" ref="L199:L201" si="70">I199*(K199/J199)</f>
        <v>5716.7310393258422</v>
      </c>
    </row>
    <row r="200" spans="2:12" s="124" customFormat="1" ht="18" x14ac:dyDescent="0.25">
      <c r="B200" s="9"/>
      <c r="C200" s="20"/>
      <c r="D200" s="131" t="s">
        <v>74</v>
      </c>
      <c r="E200" s="31"/>
      <c r="F200" s="31">
        <v>1</v>
      </c>
      <c r="G200" s="6" t="s">
        <v>54</v>
      </c>
      <c r="H200" s="53">
        <v>35000</v>
      </c>
      <c r="I200" s="53">
        <f t="shared" si="69"/>
        <v>35000</v>
      </c>
      <c r="J200" s="24">
        <v>11392</v>
      </c>
      <c r="K200" s="24">
        <v>5210</v>
      </c>
      <c r="L200" s="61">
        <f t="shared" si="70"/>
        <v>16006.846910112359</v>
      </c>
    </row>
    <row r="201" spans="2:12" s="124" customFormat="1" ht="18" x14ac:dyDescent="0.25">
      <c r="B201" s="9"/>
      <c r="C201" s="20"/>
      <c r="D201" s="131" t="s">
        <v>63</v>
      </c>
      <c r="E201" s="31"/>
      <c r="F201" s="31">
        <v>1</v>
      </c>
      <c r="G201" s="6" t="s">
        <v>54</v>
      </c>
      <c r="H201" s="53">
        <v>8500</v>
      </c>
      <c r="I201" s="53">
        <f t="shared" si="69"/>
        <v>8500</v>
      </c>
      <c r="J201" s="24">
        <v>11392</v>
      </c>
      <c r="K201" s="24">
        <v>5210</v>
      </c>
      <c r="L201" s="61">
        <f t="shared" si="70"/>
        <v>3887.3771067415728</v>
      </c>
    </row>
    <row r="202" spans="2:12" s="154" customFormat="1" ht="18" x14ac:dyDescent="0.25">
      <c r="B202" s="9"/>
      <c r="C202" s="20"/>
      <c r="D202" s="133" t="s">
        <v>64</v>
      </c>
      <c r="E202" s="31"/>
      <c r="F202" s="31"/>
      <c r="G202" s="6"/>
      <c r="H202" s="24"/>
      <c r="I202" s="53"/>
      <c r="J202" s="24"/>
      <c r="K202" s="24"/>
      <c r="L202" s="134"/>
    </row>
    <row r="203" spans="2:12" s="154" customFormat="1" ht="18" x14ac:dyDescent="0.25">
      <c r="B203" s="9"/>
      <c r="C203" s="20"/>
      <c r="D203" s="126" t="s">
        <v>59</v>
      </c>
      <c r="E203" s="31"/>
      <c r="F203" s="31">
        <v>1</v>
      </c>
      <c r="G203" s="6" t="s">
        <v>54</v>
      </c>
      <c r="H203" s="53">
        <v>85000</v>
      </c>
      <c r="I203" s="53">
        <f>H203*F203</f>
        <v>85000</v>
      </c>
      <c r="J203" s="24">
        <v>11392</v>
      </c>
      <c r="K203" s="24">
        <v>5210</v>
      </c>
      <c r="L203" s="61">
        <f>I203*(K203/J203)</f>
        <v>38873.771067415728</v>
      </c>
    </row>
    <row r="204" spans="2:12" s="154" customFormat="1" ht="18" x14ac:dyDescent="0.25">
      <c r="B204" s="9"/>
      <c r="C204" s="20"/>
      <c r="D204" s="126" t="s">
        <v>73</v>
      </c>
      <c r="E204" s="31"/>
      <c r="F204" s="31">
        <v>1</v>
      </c>
      <c r="G204" s="6" t="s">
        <v>54</v>
      </c>
      <c r="H204" s="53">
        <v>27500</v>
      </c>
      <c r="I204" s="53">
        <f t="shared" ref="I204:I205" si="71">H204*F204</f>
        <v>27500</v>
      </c>
      <c r="J204" s="24">
        <v>11392</v>
      </c>
      <c r="K204" s="24">
        <v>5210</v>
      </c>
      <c r="L204" s="61">
        <f t="shared" ref="L204:L205" si="72">I204*(K204/J204)</f>
        <v>12576.808286516853</v>
      </c>
    </row>
    <row r="205" spans="2:12" s="154" customFormat="1" ht="18" x14ac:dyDescent="0.25">
      <c r="B205" s="9"/>
      <c r="C205" s="20"/>
      <c r="D205" s="126" t="s">
        <v>76</v>
      </c>
      <c r="E205" s="31"/>
      <c r="F205" s="31">
        <v>1</v>
      </c>
      <c r="G205" s="6" t="s">
        <v>54</v>
      </c>
      <c r="H205" s="53">
        <v>47500</v>
      </c>
      <c r="I205" s="53">
        <f t="shared" si="71"/>
        <v>47500</v>
      </c>
      <c r="J205" s="24">
        <v>11392</v>
      </c>
      <c r="K205" s="24">
        <v>5210</v>
      </c>
      <c r="L205" s="61">
        <f t="shared" si="72"/>
        <v>21723.5779494382</v>
      </c>
    </row>
    <row r="206" spans="2:12" s="154" customFormat="1" ht="18" x14ac:dyDescent="0.25">
      <c r="B206" s="9"/>
      <c r="C206" s="20"/>
      <c r="D206" s="126" t="s">
        <v>66</v>
      </c>
      <c r="E206" s="31"/>
      <c r="F206" s="31">
        <v>1</v>
      </c>
      <c r="G206" s="6" t="s">
        <v>54</v>
      </c>
      <c r="H206" s="53">
        <v>4750</v>
      </c>
      <c r="I206" s="53">
        <f t="shared" ref="I206" si="73">H206*F206</f>
        <v>4750</v>
      </c>
      <c r="J206" s="24">
        <v>11392</v>
      </c>
      <c r="K206" s="24">
        <v>5210</v>
      </c>
      <c r="L206" s="61">
        <f t="shared" ref="L206" si="74">I206*(K206/J206)</f>
        <v>2172.35779494382</v>
      </c>
    </row>
    <row r="207" spans="2:12" s="124" customFormat="1" ht="18.75" thickBot="1" x14ac:dyDescent="0.3">
      <c r="B207" s="13"/>
      <c r="C207" s="66"/>
      <c r="D207" s="138"/>
      <c r="E207" s="65"/>
      <c r="F207" s="65"/>
      <c r="G207" s="37"/>
      <c r="H207" s="139" t="s">
        <v>11</v>
      </c>
      <c r="I207" s="162">
        <f>SUM(I192:I206)</f>
        <v>289750</v>
      </c>
      <c r="J207" s="63"/>
      <c r="K207" s="139" t="s">
        <v>11</v>
      </c>
      <c r="L207" s="140">
        <f>SUM(L192:L206)</f>
        <v>132513.82549157302</v>
      </c>
    </row>
    <row r="208" spans="2:12" s="124" customFormat="1" ht="18" x14ac:dyDescent="0.25">
      <c r="B208" s="99"/>
      <c r="C208" s="141"/>
      <c r="D208" s="142"/>
      <c r="E208" s="104"/>
      <c r="F208" s="104"/>
      <c r="G208" s="103"/>
      <c r="H208" s="143"/>
      <c r="I208" s="144"/>
      <c r="J208" s="143"/>
      <c r="K208" s="143"/>
      <c r="L208" s="145"/>
    </row>
    <row r="209" spans="2:13" ht="18" x14ac:dyDescent="0.25">
      <c r="B209" s="9"/>
      <c r="C209" s="12">
        <v>1.1299999999999999</v>
      </c>
      <c r="D209" s="128" t="s">
        <v>43</v>
      </c>
      <c r="E209" s="31">
        <v>2002</v>
      </c>
      <c r="F209" s="31"/>
      <c r="G209" s="6"/>
      <c r="H209" s="24"/>
      <c r="I209" s="53"/>
      <c r="J209" s="24"/>
      <c r="K209" s="24"/>
      <c r="L209" s="90"/>
      <c r="M209" s="29"/>
    </row>
    <row r="210" spans="2:13" s="124" customFormat="1" ht="18" x14ac:dyDescent="0.25">
      <c r="B210" s="9"/>
      <c r="C210" s="20"/>
      <c r="D210" s="133" t="s">
        <v>52</v>
      </c>
      <c r="E210" s="31"/>
      <c r="F210" s="31"/>
      <c r="G210" s="6"/>
      <c r="H210" s="24"/>
      <c r="I210" s="53"/>
      <c r="J210" s="24"/>
      <c r="K210" s="24"/>
      <c r="L210" s="134"/>
      <c r="M210" s="171"/>
    </row>
    <row r="211" spans="2:13" s="124" customFormat="1" ht="18" x14ac:dyDescent="0.25">
      <c r="B211" s="9"/>
      <c r="C211" s="20"/>
      <c r="D211" s="126" t="s">
        <v>53</v>
      </c>
      <c r="E211" s="31"/>
      <c r="F211" s="31">
        <v>1</v>
      </c>
      <c r="G211" s="6" t="s">
        <v>54</v>
      </c>
      <c r="H211" s="53">
        <v>12500</v>
      </c>
      <c r="I211" s="53">
        <f>H211*F211</f>
        <v>12500</v>
      </c>
      <c r="J211" s="24">
        <v>11392</v>
      </c>
      <c r="K211" s="24">
        <v>6538</v>
      </c>
      <c r="L211" s="61">
        <f>I211*(K211/J211)</f>
        <v>7173.8939606741578</v>
      </c>
      <c r="M211" s="171"/>
    </row>
    <row r="212" spans="2:13" s="124" customFormat="1" ht="18" x14ac:dyDescent="0.25">
      <c r="B212" s="9"/>
      <c r="C212" s="20"/>
      <c r="D212" s="126" t="s">
        <v>55</v>
      </c>
      <c r="E212" s="31"/>
      <c r="F212" s="31">
        <v>1</v>
      </c>
      <c r="G212" s="6" t="s">
        <v>54</v>
      </c>
      <c r="H212" s="53">
        <v>5000</v>
      </c>
      <c r="I212" s="53">
        <f t="shared" ref="I212:I216" si="75">H212*F212</f>
        <v>5000</v>
      </c>
      <c r="J212" s="24">
        <v>11392</v>
      </c>
      <c r="K212" s="24">
        <v>6538</v>
      </c>
      <c r="L212" s="61">
        <f t="shared" ref="L212:L216" si="76">I212*(K212/J212)</f>
        <v>2869.557584269663</v>
      </c>
      <c r="M212" s="171"/>
    </row>
    <row r="213" spans="2:13" s="124" customFormat="1" ht="18" x14ac:dyDescent="0.25">
      <c r="B213" s="9"/>
      <c r="C213" s="20"/>
      <c r="D213" s="126" t="s">
        <v>56</v>
      </c>
      <c r="E213" s="31"/>
      <c r="F213" s="31">
        <v>1</v>
      </c>
      <c r="G213" s="6" t="s">
        <v>54</v>
      </c>
      <c r="H213" s="53">
        <v>12500</v>
      </c>
      <c r="I213" s="53">
        <f t="shared" si="75"/>
        <v>12500</v>
      </c>
      <c r="J213" s="24">
        <v>11392</v>
      </c>
      <c r="K213" s="24">
        <v>6538</v>
      </c>
      <c r="L213" s="61">
        <f t="shared" si="76"/>
        <v>7173.8939606741578</v>
      </c>
      <c r="M213" s="171"/>
    </row>
    <row r="214" spans="2:13" s="124" customFormat="1" ht="18" x14ac:dyDescent="0.25">
      <c r="B214" s="9"/>
      <c r="C214" s="20"/>
      <c r="D214" s="126" t="s">
        <v>67</v>
      </c>
      <c r="E214" s="31"/>
      <c r="F214" s="31">
        <v>1</v>
      </c>
      <c r="G214" s="6" t="s">
        <v>54</v>
      </c>
      <c r="H214" s="53">
        <v>8500</v>
      </c>
      <c r="I214" s="53">
        <f t="shared" si="75"/>
        <v>8500</v>
      </c>
      <c r="J214" s="24">
        <v>11392</v>
      </c>
      <c r="K214" s="24">
        <v>6538</v>
      </c>
      <c r="L214" s="61">
        <f t="shared" si="76"/>
        <v>4878.2478932584272</v>
      </c>
      <c r="M214" s="171"/>
    </row>
    <row r="215" spans="2:13" s="124" customFormat="1" ht="18" x14ac:dyDescent="0.25">
      <c r="B215" s="9"/>
      <c r="C215" s="20"/>
      <c r="D215" s="126" t="s">
        <v>68</v>
      </c>
      <c r="E215" s="31"/>
      <c r="F215" s="31">
        <v>1</v>
      </c>
      <c r="G215" s="6" t="s">
        <v>54</v>
      </c>
      <c r="H215" s="53">
        <v>2000</v>
      </c>
      <c r="I215" s="53">
        <f t="shared" si="75"/>
        <v>2000</v>
      </c>
      <c r="J215" s="24">
        <v>11392</v>
      </c>
      <c r="K215" s="24">
        <v>6538</v>
      </c>
      <c r="L215" s="61">
        <f t="shared" si="76"/>
        <v>1147.8230337078653</v>
      </c>
      <c r="M215" s="171"/>
    </row>
    <row r="216" spans="2:13" s="124" customFormat="1" ht="18" x14ac:dyDescent="0.25">
      <c r="B216" s="9"/>
      <c r="C216" s="20"/>
      <c r="D216" s="126" t="s">
        <v>57</v>
      </c>
      <c r="E216" s="31"/>
      <c r="F216" s="31">
        <v>1</v>
      </c>
      <c r="G216" s="6" t="s">
        <v>54</v>
      </c>
      <c r="H216" s="53">
        <v>5000</v>
      </c>
      <c r="I216" s="53">
        <f t="shared" si="75"/>
        <v>5000</v>
      </c>
      <c r="J216" s="24">
        <v>11392</v>
      </c>
      <c r="K216" s="24">
        <v>6538</v>
      </c>
      <c r="L216" s="61">
        <f t="shared" si="76"/>
        <v>2869.557584269663</v>
      </c>
      <c r="M216" s="171"/>
    </row>
    <row r="217" spans="2:13" s="124" customFormat="1" ht="18" x14ac:dyDescent="0.25">
      <c r="B217" s="9"/>
      <c r="C217" s="20"/>
      <c r="D217" s="129" t="s">
        <v>58</v>
      </c>
      <c r="E217" s="31"/>
      <c r="F217" s="31"/>
      <c r="G217" s="6"/>
      <c r="H217" s="53"/>
      <c r="I217" s="53"/>
      <c r="J217" s="24"/>
      <c r="K217" s="24"/>
      <c r="L217" s="61"/>
      <c r="M217" s="171"/>
    </row>
    <row r="218" spans="2:13" s="124" customFormat="1" ht="18" x14ac:dyDescent="0.25">
      <c r="B218" s="9"/>
      <c r="C218" s="20"/>
      <c r="D218" s="131" t="s">
        <v>70</v>
      </c>
      <c r="E218" s="31"/>
      <c r="F218" s="31">
        <v>1</v>
      </c>
      <c r="G218" s="6" t="s">
        <v>54</v>
      </c>
      <c r="H218" s="53">
        <v>12500</v>
      </c>
      <c r="I218" s="53">
        <f t="shared" ref="I218:I220" si="77">H218*F218</f>
        <v>12500</v>
      </c>
      <c r="J218" s="24">
        <v>11392</v>
      </c>
      <c r="K218" s="24">
        <v>6538</v>
      </c>
      <c r="L218" s="61">
        <f t="shared" ref="L218:L220" si="78">I218*(K218/J218)</f>
        <v>7173.8939606741578</v>
      </c>
      <c r="M218" s="171"/>
    </row>
    <row r="219" spans="2:13" s="124" customFormat="1" ht="18" x14ac:dyDescent="0.25">
      <c r="B219" s="9"/>
      <c r="C219" s="20"/>
      <c r="D219" s="131" t="s">
        <v>74</v>
      </c>
      <c r="E219" s="31"/>
      <c r="F219" s="31">
        <v>1</v>
      </c>
      <c r="G219" s="6" t="s">
        <v>54</v>
      </c>
      <c r="H219" s="53">
        <v>45000</v>
      </c>
      <c r="I219" s="53">
        <f t="shared" si="77"/>
        <v>45000</v>
      </c>
      <c r="J219" s="24">
        <v>11392</v>
      </c>
      <c r="K219" s="24">
        <v>6538</v>
      </c>
      <c r="L219" s="61">
        <f t="shared" si="78"/>
        <v>25826.018258426968</v>
      </c>
      <c r="M219" s="171"/>
    </row>
    <row r="220" spans="2:13" s="124" customFormat="1" ht="18" x14ac:dyDescent="0.25">
      <c r="B220" s="9"/>
      <c r="C220" s="20"/>
      <c r="D220" s="131" t="s">
        <v>63</v>
      </c>
      <c r="E220" s="31"/>
      <c r="F220" s="31">
        <v>1</v>
      </c>
      <c r="G220" s="6" t="s">
        <v>54</v>
      </c>
      <c r="H220" s="53">
        <v>8500</v>
      </c>
      <c r="I220" s="53">
        <f t="shared" si="77"/>
        <v>8500</v>
      </c>
      <c r="J220" s="24">
        <v>11392</v>
      </c>
      <c r="K220" s="24">
        <v>6538</v>
      </c>
      <c r="L220" s="61">
        <f t="shared" si="78"/>
        <v>4878.2478932584272</v>
      </c>
      <c r="M220" s="171"/>
    </row>
    <row r="221" spans="2:13" s="154" customFormat="1" ht="18" x14ac:dyDescent="0.25">
      <c r="B221" s="9"/>
      <c r="C221" s="20"/>
      <c r="D221" s="133" t="s">
        <v>64</v>
      </c>
      <c r="E221" s="31"/>
      <c r="F221" s="31"/>
      <c r="G221" s="6"/>
      <c r="H221" s="24"/>
      <c r="I221" s="53"/>
      <c r="J221" s="24"/>
      <c r="K221" s="24"/>
      <c r="L221" s="134"/>
      <c r="M221" s="171"/>
    </row>
    <row r="222" spans="2:13" s="154" customFormat="1" ht="18" x14ac:dyDescent="0.25">
      <c r="B222" s="9"/>
      <c r="C222" s="20"/>
      <c r="D222" s="126" t="s">
        <v>59</v>
      </c>
      <c r="E222" s="31"/>
      <c r="F222" s="31">
        <v>1</v>
      </c>
      <c r="G222" s="6" t="s">
        <v>54</v>
      </c>
      <c r="H222" s="53">
        <v>85000</v>
      </c>
      <c r="I222" s="53">
        <f>H222*F222</f>
        <v>85000</v>
      </c>
      <c r="J222" s="24">
        <v>11392</v>
      </c>
      <c r="K222" s="24">
        <v>6538</v>
      </c>
      <c r="L222" s="61">
        <f>I222*(K222/J222)</f>
        <v>48782.478932584272</v>
      </c>
      <c r="M222" s="171"/>
    </row>
    <row r="223" spans="2:13" s="154" customFormat="1" ht="18" x14ac:dyDescent="0.25">
      <c r="B223" s="9"/>
      <c r="C223" s="20"/>
      <c r="D223" s="126" t="s">
        <v>73</v>
      </c>
      <c r="E223" s="31"/>
      <c r="F223" s="31">
        <v>1</v>
      </c>
      <c r="G223" s="6" t="s">
        <v>54</v>
      </c>
      <c r="H223" s="53">
        <v>38000</v>
      </c>
      <c r="I223" s="53">
        <f t="shared" ref="I223" si="79">H223*F223</f>
        <v>38000</v>
      </c>
      <c r="J223" s="24">
        <v>11392</v>
      </c>
      <c r="K223" s="24">
        <v>6538</v>
      </c>
      <c r="L223" s="61">
        <f t="shared" ref="L223" si="80">I223*(K223/J223)</f>
        <v>21808.63764044944</v>
      </c>
      <c r="M223" s="171"/>
    </row>
    <row r="224" spans="2:13" s="154" customFormat="1" ht="18" x14ac:dyDescent="0.25">
      <c r="B224" s="9"/>
      <c r="C224" s="20"/>
      <c r="D224" s="126" t="s">
        <v>65</v>
      </c>
      <c r="E224" s="31"/>
      <c r="F224" s="31">
        <v>1</v>
      </c>
      <c r="G224" s="6" t="s">
        <v>54</v>
      </c>
      <c r="H224" s="53">
        <v>3500</v>
      </c>
      <c r="I224" s="53">
        <v>2000</v>
      </c>
      <c r="J224" s="24">
        <v>11392</v>
      </c>
      <c r="K224" s="24">
        <v>6538</v>
      </c>
      <c r="L224" s="61">
        <v>1147.8230337078653</v>
      </c>
      <c r="M224" s="171"/>
    </row>
    <row r="225" spans="2:12" s="154" customFormat="1" ht="18" x14ac:dyDescent="0.25">
      <c r="B225" s="9"/>
      <c r="C225" s="20"/>
      <c r="D225" s="126" t="s">
        <v>66</v>
      </c>
      <c r="E225" s="31"/>
      <c r="F225" s="31">
        <v>1</v>
      </c>
      <c r="G225" s="6" t="s">
        <v>54</v>
      </c>
      <c r="H225" s="53">
        <v>3500</v>
      </c>
      <c r="I225" s="53">
        <v>5000</v>
      </c>
      <c r="J225" s="24">
        <v>11392</v>
      </c>
      <c r="K225" s="24">
        <v>6538</v>
      </c>
      <c r="L225" s="61">
        <v>2869.557584269663</v>
      </c>
    </row>
    <row r="226" spans="2:12" s="154" customFormat="1" ht="18" x14ac:dyDescent="0.25">
      <c r="B226" s="9"/>
      <c r="C226" s="20"/>
      <c r="D226" s="126" t="s">
        <v>75</v>
      </c>
      <c r="E226" s="31"/>
      <c r="F226" s="31">
        <v>1</v>
      </c>
      <c r="G226" s="6" t="s">
        <v>54</v>
      </c>
      <c r="H226" s="53">
        <v>25000</v>
      </c>
      <c r="I226" s="53">
        <v>2000</v>
      </c>
      <c r="J226" s="24">
        <v>11392</v>
      </c>
      <c r="K226" s="24">
        <v>6538</v>
      </c>
      <c r="L226" s="61">
        <v>1147.8230337078653</v>
      </c>
    </row>
    <row r="227" spans="2:12" s="124" customFormat="1" ht="18" x14ac:dyDescent="0.25">
      <c r="B227" s="9"/>
      <c r="C227" s="20"/>
      <c r="D227" s="126"/>
      <c r="E227" s="31"/>
      <c r="F227" s="31"/>
      <c r="G227" s="6"/>
      <c r="H227" s="156" t="s">
        <v>11</v>
      </c>
      <c r="I227" s="156">
        <f>SUM(I211:I226)</f>
        <v>243500</v>
      </c>
      <c r="J227" s="135"/>
      <c r="K227" s="135" t="s">
        <v>11</v>
      </c>
      <c r="L227" s="137">
        <f>SUM(L211:L226)</f>
        <v>139747.45435393258</v>
      </c>
    </row>
    <row r="228" spans="2:12" s="124" customFormat="1" ht="18" x14ac:dyDescent="0.25">
      <c r="B228" s="9"/>
      <c r="C228" s="20"/>
      <c r="D228" s="126"/>
      <c r="E228" s="31"/>
      <c r="F228" s="31"/>
      <c r="G228" s="6"/>
      <c r="H228" s="53"/>
      <c r="I228" s="53"/>
      <c r="J228" s="24"/>
      <c r="K228" s="24"/>
      <c r="L228" s="61"/>
    </row>
    <row r="229" spans="2:12" s="124" customFormat="1" ht="18" x14ac:dyDescent="0.25">
      <c r="B229" s="9"/>
      <c r="C229" s="12">
        <v>1.1399999999999999</v>
      </c>
      <c r="D229" s="128" t="s">
        <v>44</v>
      </c>
      <c r="E229" s="31">
        <v>2005</v>
      </c>
      <c r="F229" s="31"/>
      <c r="G229" s="6"/>
      <c r="H229" s="24"/>
      <c r="I229" s="53"/>
      <c r="J229" s="24"/>
      <c r="K229" s="24"/>
      <c r="L229" s="90"/>
    </row>
    <row r="230" spans="2:12" s="124" customFormat="1" ht="18" x14ac:dyDescent="0.25">
      <c r="B230" s="9"/>
      <c r="C230" s="20"/>
      <c r="D230" s="133" t="s">
        <v>52</v>
      </c>
      <c r="E230" s="31"/>
      <c r="F230" s="31"/>
      <c r="G230" s="6"/>
      <c r="H230" s="24"/>
      <c r="I230" s="53"/>
      <c r="J230" s="24"/>
      <c r="K230" s="24"/>
      <c r="L230" s="134"/>
    </row>
    <row r="231" spans="2:12" s="124" customFormat="1" ht="18" x14ac:dyDescent="0.25">
      <c r="B231" s="9"/>
      <c r="C231" s="20"/>
      <c r="D231" s="126" t="s">
        <v>53</v>
      </c>
      <c r="E231" s="31"/>
      <c r="F231" s="31">
        <v>1</v>
      </c>
      <c r="G231" s="6" t="s">
        <v>54</v>
      </c>
      <c r="H231" s="53">
        <v>18500</v>
      </c>
      <c r="I231" s="53">
        <f>H231*F231</f>
        <v>18500</v>
      </c>
      <c r="J231" s="24">
        <v>11392</v>
      </c>
      <c r="K231" s="24">
        <v>7446</v>
      </c>
      <c r="L231" s="61">
        <f>I231*(K231/J231)</f>
        <v>12091.906601123595</v>
      </c>
    </row>
    <row r="232" spans="2:12" s="124" customFormat="1" ht="18" x14ac:dyDescent="0.25">
      <c r="B232" s="9"/>
      <c r="C232" s="20"/>
      <c r="D232" s="126" t="s">
        <v>55</v>
      </c>
      <c r="E232" s="31"/>
      <c r="F232" s="31">
        <v>1</v>
      </c>
      <c r="G232" s="6" t="s">
        <v>54</v>
      </c>
      <c r="H232" s="53">
        <v>5000</v>
      </c>
      <c r="I232" s="53">
        <f t="shared" ref="I232:I236" si="81">H232*F232</f>
        <v>5000</v>
      </c>
      <c r="J232" s="24">
        <v>11392</v>
      </c>
      <c r="K232" s="24">
        <v>7446</v>
      </c>
      <c r="L232" s="61">
        <f t="shared" ref="L232:L236" si="82">I232*(K232/J232)</f>
        <v>3268.0828651685397</v>
      </c>
    </row>
    <row r="233" spans="2:12" s="124" customFormat="1" ht="18" x14ac:dyDescent="0.25">
      <c r="B233" s="9"/>
      <c r="C233" s="20"/>
      <c r="D233" s="126" t="s">
        <v>56</v>
      </c>
      <c r="E233" s="31"/>
      <c r="F233" s="31">
        <v>1</v>
      </c>
      <c r="G233" s="6" t="s">
        <v>54</v>
      </c>
      <c r="H233" s="53">
        <v>18500</v>
      </c>
      <c r="I233" s="53">
        <f t="shared" si="81"/>
        <v>18500</v>
      </c>
      <c r="J233" s="24">
        <v>11392</v>
      </c>
      <c r="K233" s="24">
        <v>7446</v>
      </c>
      <c r="L233" s="61">
        <f t="shared" si="82"/>
        <v>12091.906601123595</v>
      </c>
    </row>
    <row r="234" spans="2:12" s="124" customFormat="1" ht="18" x14ac:dyDescent="0.25">
      <c r="B234" s="9"/>
      <c r="C234" s="20"/>
      <c r="D234" s="126" t="s">
        <v>67</v>
      </c>
      <c r="E234" s="31"/>
      <c r="F234" s="31">
        <v>1</v>
      </c>
      <c r="G234" s="6" t="s">
        <v>54</v>
      </c>
      <c r="H234" s="53">
        <v>12500</v>
      </c>
      <c r="I234" s="53">
        <f t="shared" si="81"/>
        <v>12500</v>
      </c>
      <c r="J234" s="24">
        <v>11392</v>
      </c>
      <c r="K234" s="24">
        <v>7446</v>
      </c>
      <c r="L234" s="61">
        <f t="shared" si="82"/>
        <v>8170.2071629213488</v>
      </c>
    </row>
    <row r="235" spans="2:12" s="124" customFormat="1" ht="18" x14ac:dyDescent="0.25">
      <c r="B235" s="9"/>
      <c r="C235" s="20"/>
      <c r="D235" s="126" t="s">
        <v>68</v>
      </c>
      <c r="E235" s="31"/>
      <c r="F235" s="31">
        <v>1</v>
      </c>
      <c r="G235" s="6" t="s">
        <v>54</v>
      </c>
      <c r="H235" s="53">
        <v>2000</v>
      </c>
      <c r="I235" s="53">
        <f t="shared" si="81"/>
        <v>2000</v>
      </c>
      <c r="J235" s="24">
        <v>11392</v>
      </c>
      <c r="K235" s="24">
        <v>7446</v>
      </c>
      <c r="L235" s="61">
        <f t="shared" si="82"/>
        <v>1307.2331460674159</v>
      </c>
    </row>
    <row r="236" spans="2:12" s="124" customFormat="1" ht="18" x14ac:dyDescent="0.25">
      <c r="B236" s="9"/>
      <c r="C236" s="20"/>
      <c r="D236" s="126" t="s">
        <v>57</v>
      </c>
      <c r="E236" s="31"/>
      <c r="F236" s="31">
        <v>1</v>
      </c>
      <c r="G236" s="6" t="s">
        <v>54</v>
      </c>
      <c r="H236" s="53">
        <v>4500</v>
      </c>
      <c r="I236" s="53">
        <f t="shared" si="81"/>
        <v>4500</v>
      </c>
      <c r="J236" s="24">
        <v>11392</v>
      </c>
      <c r="K236" s="24">
        <v>7446</v>
      </c>
      <c r="L236" s="61">
        <f t="shared" si="82"/>
        <v>2941.2745786516857</v>
      </c>
    </row>
    <row r="237" spans="2:12" s="124" customFormat="1" ht="18" x14ac:dyDescent="0.25">
      <c r="B237" s="9"/>
      <c r="C237" s="20"/>
      <c r="D237" s="129" t="s">
        <v>58</v>
      </c>
      <c r="E237" s="31"/>
      <c r="F237" s="31"/>
      <c r="G237" s="6"/>
      <c r="H237" s="53"/>
      <c r="I237" s="53"/>
      <c r="J237" s="24"/>
      <c r="K237" s="24"/>
      <c r="L237" s="61"/>
    </row>
    <row r="238" spans="2:12" s="124" customFormat="1" ht="18" x14ac:dyDescent="0.25">
      <c r="B238" s="9"/>
      <c r="C238" s="20"/>
      <c r="D238" s="131" t="s">
        <v>70</v>
      </c>
      <c r="E238" s="31"/>
      <c r="F238" s="31">
        <v>1</v>
      </c>
      <c r="G238" s="6" t="s">
        <v>54</v>
      </c>
      <c r="H238" s="53">
        <v>12500</v>
      </c>
      <c r="I238" s="53">
        <v>14500</v>
      </c>
      <c r="J238" s="24">
        <v>11392</v>
      </c>
      <c r="K238" s="24">
        <v>7446</v>
      </c>
      <c r="L238" s="61">
        <f t="shared" ref="L238:L240" si="83">I238*(K238/J238)</f>
        <v>9477.4403089887637</v>
      </c>
    </row>
    <row r="239" spans="2:12" s="124" customFormat="1" ht="18" x14ac:dyDescent="0.25">
      <c r="B239" s="9"/>
      <c r="C239" s="20"/>
      <c r="D239" s="131" t="s">
        <v>74</v>
      </c>
      <c r="E239" s="31"/>
      <c r="F239" s="31">
        <v>1</v>
      </c>
      <c r="G239" s="6" t="s">
        <v>54</v>
      </c>
      <c r="H239" s="53">
        <v>45000</v>
      </c>
      <c r="I239" s="53">
        <v>45000</v>
      </c>
      <c r="J239" s="24">
        <v>11392</v>
      </c>
      <c r="K239" s="24">
        <v>7446</v>
      </c>
      <c r="L239" s="61">
        <f t="shared" si="83"/>
        <v>29412.745786516854</v>
      </c>
    </row>
    <row r="240" spans="2:12" s="124" customFormat="1" ht="18" x14ac:dyDescent="0.25">
      <c r="B240" s="9"/>
      <c r="C240" s="20"/>
      <c r="D240" s="131" t="s">
        <v>63</v>
      </c>
      <c r="E240" s="31"/>
      <c r="F240" s="31">
        <v>1</v>
      </c>
      <c r="G240" s="6" t="s">
        <v>54</v>
      </c>
      <c r="H240" s="53">
        <v>8500</v>
      </c>
      <c r="I240" s="53">
        <v>8500</v>
      </c>
      <c r="J240" s="24">
        <v>11392</v>
      </c>
      <c r="K240" s="24">
        <v>7446</v>
      </c>
      <c r="L240" s="61">
        <f t="shared" si="83"/>
        <v>5555.740870786517</v>
      </c>
    </row>
    <row r="241" spans="2:13" s="154" customFormat="1" ht="18" x14ac:dyDescent="0.25">
      <c r="B241" s="9"/>
      <c r="C241" s="20"/>
      <c r="D241" s="133" t="s">
        <v>64</v>
      </c>
      <c r="E241" s="31"/>
      <c r="F241" s="31"/>
      <c r="G241" s="6"/>
      <c r="H241" s="24"/>
      <c r="I241" s="53"/>
      <c r="J241" s="24"/>
      <c r="K241" s="24"/>
      <c r="L241" s="134"/>
      <c r="M241" s="171"/>
    </row>
    <row r="242" spans="2:13" s="154" customFormat="1" ht="18" x14ac:dyDescent="0.25">
      <c r="B242" s="9"/>
      <c r="C242" s="20"/>
      <c r="D242" s="126" t="s">
        <v>59</v>
      </c>
      <c r="E242" s="31"/>
      <c r="F242" s="31">
        <v>1</v>
      </c>
      <c r="G242" s="6" t="s">
        <v>54</v>
      </c>
      <c r="H242" s="53">
        <v>105000</v>
      </c>
      <c r="I242" s="53">
        <f>H242*F242</f>
        <v>105000</v>
      </c>
      <c r="J242" s="24">
        <v>11392</v>
      </c>
      <c r="K242" s="24">
        <v>7446</v>
      </c>
      <c r="L242" s="61">
        <f>I242*(K242/J242)</f>
        <v>68629.740168539327</v>
      </c>
      <c r="M242" s="171"/>
    </row>
    <row r="243" spans="2:13" s="154" customFormat="1" ht="18" x14ac:dyDescent="0.25">
      <c r="B243" s="9"/>
      <c r="C243" s="20"/>
      <c r="D243" s="126" t="s">
        <v>73</v>
      </c>
      <c r="E243" s="31"/>
      <c r="F243" s="31">
        <v>1</v>
      </c>
      <c r="G243" s="6" t="s">
        <v>54</v>
      </c>
      <c r="H243" s="53">
        <v>38500</v>
      </c>
      <c r="I243" s="53">
        <f t="shared" ref="I243:I245" si="84">H243*F243</f>
        <v>38500</v>
      </c>
      <c r="J243" s="24">
        <v>11392</v>
      </c>
      <c r="K243" s="24">
        <v>7446</v>
      </c>
      <c r="L243" s="61">
        <f t="shared" ref="L243:L245" si="85">I243*(K243/J243)</f>
        <v>25164.238061797754</v>
      </c>
      <c r="M243" s="171"/>
    </row>
    <row r="244" spans="2:13" s="154" customFormat="1" ht="18" x14ac:dyDescent="0.25">
      <c r="B244" s="9"/>
      <c r="C244" s="20"/>
      <c r="D244" s="126" t="s">
        <v>76</v>
      </c>
      <c r="E244" s="31"/>
      <c r="F244" s="31">
        <v>1</v>
      </c>
      <c r="G244" s="6" t="s">
        <v>54</v>
      </c>
      <c r="H244" s="53">
        <v>55000</v>
      </c>
      <c r="I244" s="53">
        <f t="shared" si="84"/>
        <v>55000</v>
      </c>
      <c r="J244" s="24">
        <v>11392</v>
      </c>
      <c r="K244" s="24">
        <v>7446</v>
      </c>
      <c r="L244" s="61">
        <f t="shared" si="85"/>
        <v>35948.911516853936</v>
      </c>
      <c r="M244" s="171"/>
    </row>
    <row r="245" spans="2:13" s="154" customFormat="1" ht="18" x14ac:dyDescent="0.25">
      <c r="B245" s="9"/>
      <c r="C245" s="20"/>
      <c r="D245" s="126" t="s">
        <v>66</v>
      </c>
      <c r="E245" s="31"/>
      <c r="F245" s="31">
        <v>1</v>
      </c>
      <c r="G245" s="6" t="s">
        <v>54</v>
      </c>
      <c r="H245" s="53">
        <v>4750</v>
      </c>
      <c r="I245" s="53">
        <f t="shared" si="84"/>
        <v>4750</v>
      </c>
      <c r="J245" s="24">
        <v>11392</v>
      </c>
      <c r="K245" s="24">
        <v>7446</v>
      </c>
      <c r="L245" s="61">
        <f t="shared" si="85"/>
        <v>3104.6787219101125</v>
      </c>
      <c r="M245" s="171"/>
    </row>
    <row r="246" spans="2:13" s="124" customFormat="1" ht="18.75" thickBot="1" x14ac:dyDescent="0.3">
      <c r="B246" s="13"/>
      <c r="C246" s="66"/>
      <c r="D246" s="138"/>
      <c r="E246" s="65"/>
      <c r="F246" s="65"/>
      <c r="G246" s="37"/>
      <c r="H246" s="139" t="s">
        <v>11</v>
      </c>
      <c r="I246" s="162">
        <f>SUM(I231:I245)</f>
        <v>332250</v>
      </c>
      <c r="J246" s="63"/>
      <c r="K246" s="139" t="s">
        <v>11</v>
      </c>
      <c r="L246" s="140">
        <f>SUM(L231:L245)</f>
        <v>217164.10639044942</v>
      </c>
      <c r="M246" s="171"/>
    </row>
    <row r="247" spans="2:13" s="25" customFormat="1" ht="18" x14ac:dyDescent="0.25">
      <c r="B247" s="67"/>
      <c r="C247" s="68"/>
      <c r="D247" s="69"/>
      <c r="E247" s="70"/>
      <c r="F247" s="70"/>
      <c r="G247" s="71"/>
      <c r="H247" s="72"/>
      <c r="I247" s="73"/>
      <c r="J247" s="72"/>
      <c r="K247" s="72"/>
      <c r="L247" s="74"/>
      <c r="M247" s="29"/>
    </row>
    <row r="248" spans="2:13" s="25" customFormat="1" ht="18.75" thickBot="1" x14ac:dyDescent="0.25">
      <c r="B248" s="214" t="s">
        <v>89</v>
      </c>
      <c r="C248" s="215"/>
      <c r="D248" s="215"/>
      <c r="E248" s="215"/>
      <c r="F248" s="215"/>
      <c r="G248" s="215"/>
      <c r="H248" s="215"/>
      <c r="I248" s="215"/>
      <c r="J248" s="215"/>
      <c r="K248" s="215"/>
      <c r="L248" s="75">
        <f>SUM(L246+L227+L207+L188+L176+L159+L142+L123+L103+L84+L64+L44+L26+L105)</f>
        <v>2213536.778792135</v>
      </c>
      <c r="M248" s="171"/>
    </row>
    <row r="249" spans="2:13" s="25" customFormat="1" x14ac:dyDescent="0.2">
      <c r="B249" s="206" t="s">
        <v>90</v>
      </c>
      <c r="C249" s="206"/>
      <c r="D249" s="206"/>
      <c r="E249" s="206"/>
      <c r="F249" s="206"/>
      <c r="G249" s="206"/>
      <c r="H249" s="206"/>
      <c r="I249" s="206"/>
      <c r="J249" s="206"/>
      <c r="K249" s="206"/>
      <c r="L249" s="206"/>
      <c r="M249" s="171"/>
    </row>
    <row r="250" spans="2:13" s="25" customFormat="1" x14ac:dyDescent="0.2">
      <c r="B250" s="206" t="s">
        <v>91</v>
      </c>
      <c r="C250" s="206"/>
      <c r="D250" s="206"/>
      <c r="E250" s="206"/>
      <c r="F250" s="206"/>
      <c r="G250" s="206"/>
      <c r="H250" s="206"/>
      <c r="I250" s="206"/>
      <c r="J250" s="206"/>
      <c r="K250" s="206"/>
      <c r="L250" s="206"/>
      <c r="M250" s="171"/>
    </row>
    <row r="251" spans="2:13" s="25" customFormat="1" ht="18" x14ac:dyDescent="0.25">
      <c r="B251" s="93"/>
      <c r="C251" s="94"/>
      <c r="D251" s="95"/>
      <c r="E251" s="96"/>
      <c r="F251" s="96"/>
      <c r="G251" s="97"/>
      <c r="H251" s="98"/>
      <c r="I251" s="86"/>
      <c r="J251" s="98"/>
      <c r="K251" s="98"/>
      <c r="L251" s="86"/>
      <c r="M251" s="29"/>
    </row>
  </sheetData>
  <sortState xmlns:xlrd2="http://schemas.microsoft.com/office/spreadsheetml/2017/richdata2" ref="E11:E229">
    <sortCondition ref="E11:E229"/>
  </sortState>
  <mergeCells count="27">
    <mergeCell ref="B250:L250"/>
    <mergeCell ref="P7:U7"/>
    <mergeCell ref="P8:U8"/>
    <mergeCell ref="Q9:Q11"/>
    <mergeCell ref="R9:R11"/>
    <mergeCell ref="S9:S11"/>
    <mergeCell ref="T9:T11"/>
    <mergeCell ref="B7:B8"/>
    <mergeCell ref="C7:C8"/>
    <mergeCell ref="K7:K8"/>
    <mergeCell ref="B249:L249"/>
    <mergeCell ref="B248:K248"/>
    <mergeCell ref="B2:L2"/>
    <mergeCell ref="B3:L3"/>
    <mergeCell ref="P3:U3"/>
    <mergeCell ref="B4:L4"/>
    <mergeCell ref="P4:U4"/>
    <mergeCell ref="B5:L5"/>
    <mergeCell ref="J7:J8"/>
    <mergeCell ref="L7:L8"/>
    <mergeCell ref="B6:L6"/>
    <mergeCell ref="D7:D8"/>
    <mergeCell ref="E7:E8"/>
    <mergeCell ref="G7:G8"/>
    <mergeCell ref="H7:H8"/>
    <mergeCell ref="I7:I8"/>
    <mergeCell ref="F7:F8"/>
  </mergeCells>
  <printOptions horizontalCentered="1"/>
  <pageMargins left="0.7" right="0.7" top="1.2" bottom="0.75" header="0.3" footer="0.3"/>
  <pageSetup scale="51" fitToHeight="0" orientation="landscape" r:id="rId1"/>
  <headerFooter>
    <oddFooter>Page &amp;P of &amp;N</oddFooter>
  </headerFooter>
  <rowBreaks count="5" manualBreakCount="5">
    <brk id="44" min="1" max="11" man="1"/>
    <brk id="84" min="1" max="11" man="1"/>
    <brk id="123" min="1" max="11" man="1"/>
    <brk id="176" min="1" max="11" man="1"/>
    <brk id="207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70BB9-5E41-427C-BC1A-F15573C0068C}">
  <sheetPr>
    <pageSetUpPr fitToPage="1"/>
  </sheetPr>
  <dimension ref="B1:M30"/>
  <sheetViews>
    <sheetView view="pageBreakPreview" topLeftCell="A10" zoomScale="80" zoomScaleNormal="70" zoomScaleSheetLayoutView="80" workbookViewId="0">
      <selection activeCell="D32" sqref="D32"/>
    </sheetView>
  </sheetViews>
  <sheetFormatPr defaultColWidth="13.875" defaultRowHeight="14.25" x14ac:dyDescent="0.2"/>
  <cols>
    <col min="1" max="1" width="13.875" style="18"/>
    <col min="2" max="2" width="11.5" style="18" bestFit="1" customWidth="1"/>
    <col min="3" max="3" width="11.5" style="18" customWidth="1"/>
    <col min="4" max="4" width="94.625" style="18" customWidth="1"/>
    <col min="5" max="5" width="13.125" style="1" customWidth="1"/>
    <col min="6" max="6" width="27.5" style="1" customWidth="1"/>
    <col min="7" max="7" width="43.125" style="18" customWidth="1"/>
    <col min="8" max="8" width="82.625" style="18" bestFit="1" customWidth="1"/>
    <col min="9" max="9" width="13.875" style="18"/>
    <col min="10" max="10" width="8.25" style="18" bestFit="1" customWidth="1"/>
    <col min="11" max="11" width="24.75" style="18" bestFit="1" customWidth="1"/>
    <col min="12" max="12" width="16.625" style="18" bestFit="1" customWidth="1"/>
    <col min="13" max="13" width="19" style="18" customWidth="1"/>
    <col min="14" max="16384" width="13.875" style="18"/>
  </cols>
  <sheetData>
    <row r="1" spans="2:13" ht="20.25" customHeight="1" thickBot="1" x14ac:dyDescent="0.25">
      <c r="B1" s="171"/>
      <c r="C1" s="171"/>
      <c r="D1" s="171"/>
      <c r="G1" s="171"/>
      <c r="H1" s="171"/>
      <c r="I1" s="171"/>
      <c r="J1" s="171"/>
      <c r="K1" s="171"/>
      <c r="L1" s="171"/>
      <c r="M1" s="171"/>
    </row>
    <row r="2" spans="2:13" ht="18" x14ac:dyDescent="0.25">
      <c r="B2" s="177" t="s">
        <v>0</v>
      </c>
      <c r="C2" s="178"/>
      <c r="D2" s="178"/>
      <c r="E2" s="178"/>
      <c r="F2" s="179"/>
      <c r="G2" s="171"/>
      <c r="H2" s="171"/>
      <c r="I2" s="171"/>
      <c r="J2" s="171"/>
      <c r="K2" s="171"/>
      <c r="L2" s="171"/>
      <c r="M2" s="171"/>
    </row>
    <row r="3" spans="2:13" ht="18" x14ac:dyDescent="0.25">
      <c r="B3" s="180" t="s">
        <v>1</v>
      </c>
      <c r="C3" s="226"/>
      <c r="D3" s="226"/>
      <c r="E3" s="226"/>
      <c r="F3" s="182"/>
      <c r="G3" s="171"/>
      <c r="H3" s="186"/>
      <c r="I3" s="186"/>
      <c r="J3" s="186"/>
      <c r="K3" s="186"/>
      <c r="L3" s="186"/>
      <c r="M3" s="186"/>
    </row>
    <row r="4" spans="2:13" ht="15" customHeight="1" x14ac:dyDescent="0.25">
      <c r="B4" s="187" t="str">
        <f>Overall!B4</f>
        <v>As of March 22, 2021</v>
      </c>
      <c r="C4" s="205"/>
      <c r="D4" s="205"/>
      <c r="E4" s="205"/>
      <c r="F4" s="189"/>
      <c r="G4" s="171"/>
      <c r="H4" s="186"/>
      <c r="I4" s="186"/>
      <c r="J4" s="186"/>
      <c r="K4" s="186"/>
      <c r="L4" s="186"/>
      <c r="M4" s="186"/>
    </row>
    <row r="5" spans="2:13" ht="15" customHeight="1" x14ac:dyDescent="0.25">
      <c r="B5" s="187"/>
      <c r="C5" s="205"/>
      <c r="D5" s="205"/>
      <c r="E5" s="205"/>
      <c r="F5" s="189"/>
      <c r="G5" s="171"/>
      <c r="H5" s="171"/>
      <c r="I5" s="171"/>
      <c r="J5" s="171"/>
      <c r="K5" s="171"/>
      <c r="L5" s="171"/>
      <c r="M5" s="171"/>
    </row>
    <row r="6" spans="2:13" ht="15" customHeight="1" thickBot="1" x14ac:dyDescent="0.3">
      <c r="B6" s="190" t="s">
        <v>92</v>
      </c>
      <c r="C6" s="191"/>
      <c r="D6" s="191"/>
      <c r="E6" s="191"/>
      <c r="F6" s="192"/>
      <c r="G6" s="171"/>
      <c r="H6" s="171"/>
      <c r="I6" s="171"/>
      <c r="J6" s="171"/>
      <c r="K6" s="171"/>
      <c r="L6" s="171"/>
      <c r="M6" s="171"/>
    </row>
    <row r="7" spans="2:13" s="2" customFormat="1" ht="18" customHeight="1" x14ac:dyDescent="0.25">
      <c r="B7" s="224" t="s">
        <v>3</v>
      </c>
      <c r="C7" s="213" t="s">
        <v>24</v>
      </c>
      <c r="D7" s="221" t="s">
        <v>4</v>
      </c>
      <c r="E7" s="221" t="s">
        <v>93</v>
      </c>
      <c r="F7" s="227" t="s">
        <v>5</v>
      </c>
      <c r="H7" s="186"/>
      <c r="I7" s="186"/>
      <c r="J7" s="186"/>
      <c r="K7" s="186"/>
      <c r="L7" s="186"/>
      <c r="M7" s="186"/>
    </row>
    <row r="8" spans="2:13" s="2" customFormat="1" ht="18" customHeight="1" x14ac:dyDescent="0.25">
      <c r="B8" s="223"/>
      <c r="C8" s="197"/>
      <c r="D8" s="197"/>
      <c r="E8" s="197"/>
      <c r="F8" s="198"/>
      <c r="H8" s="186"/>
      <c r="I8" s="186"/>
      <c r="J8" s="186"/>
      <c r="K8" s="186"/>
      <c r="L8" s="186"/>
      <c r="M8" s="186"/>
    </row>
    <row r="9" spans="2:13" ht="18" x14ac:dyDescent="0.25">
      <c r="B9" s="19">
        <v>354.4</v>
      </c>
      <c r="C9" s="20"/>
      <c r="D9" s="22" t="s">
        <v>13</v>
      </c>
      <c r="E9" s="5"/>
      <c r="F9" s="82"/>
      <c r="G9" s="171"/>
      <c r="H9" s="171"/>
      <c r="I9" s="186"/>
      <c r="J9" s="186"/>
      <c r="K9" s="186"/>
      <c r="L9" s="186"/>
      <c r="M9" s="171"/>
    </row>
    <row r="10" spans="2:13" ht="18" x14ac:dyDescent="0.25">
      <c r="B10" s="9"/>
      <c r="C10" s="20"/>
      <c r="D10" s="15" t="s">
        <v>94</v>
      </c>
      <c r="E10" s="31">
        <v>1966</v>
      </c>
      <c r="F10" s="7">
        <v>314714</v>
      </c>
      <c r="G10" s="171"/>
      <c r="H10" s="171"/>
      <c r="I10" s="186"/>
      <c r="J10" s="186"/>
      <c r="K10" s="186"/>
      <c r="L10" s="186"/>
      <c r="M10" s="171"/>
    </row>
    <row r="11" spans="2:13" ht="18" x14ac:dyDescent="0.25">
      <c r="B11" s="8"/>
      <c r="C11" s="20"/>
      <c r="D11" s="15"/>
      <c r="E11" s="31">
        <v>1975</v>
      </c>
      <c r="F11" s="7">
        <v>42463</v>
      </c>
      <c r="G11" s="30"/>
      <c r="H11" s="30"/>
      <c r="I11" s="171"/>
      <c r="J11" s="171"/>
      <c r="K11" s="171"/>
      <c r="L11" s="171"/>
      <c r="M11" s="171"/>
    </row>
    <row r="12" spans="2:13" ht="18" x14ac:dyDescent="0.25">
      <c r="B12" s="8"/>
      <c r="C12" s="20"/>
      <c r="D12" s="15"/>
      <c r="E12" s="31">
        <v>1976</v>
      </c>
      <c r="F12" s="7">
        <v>382282</v>
      </c>
      <c r="G12" s="171"/>
      <c r="H12" s="171"/>
      <c r="I12" s="171"/>
      <c r="J12" s="171"/>
      <c r="K12" s="171"/>
      <c r="L12" s="171"/>
      <c r="M12" s="171"/>
    </row>
    <row r="13" spans="2:13" ht="18" x14ac:dyDescent="0.25">
      <c r="B13" s="8"/>
      <c r="C13" s="20"/>
      <c r="D13" s="15"/>
      <c r="E13" s="31">
        <v>1977</v>
      </c>
      <c r="F13" s="7">
        <v>65871</v>
      </c>
      <c r="G13" s="171"/>
      <c r="H13" s="171"/>
      <c r="I13" s="171"/>
      <c r="J13" s="171"/>
      <c r="K13" s="171"/>
      <c r="L13" s="171"/>
      <c r="M13" s="171"/>
    </row>
    <row r="14" spans="2:13" ht="18" x14ac:dyDescent="0.25">
      <c r="B14" s="8"/>
      <c r="C14" s="20"/>
      <c r="D14" s="15"/>
      <c r="E14" s="31">
        <v>1978</v>
      </c>
      <c r="F14" s="7">
        <v>10421</v>
      </c>
      <c r="G14" s="171"/>
      <c r="H14" s="171"/>
      <c r="I14" s="171"/>
      <c r="J14" s="171"/>
      <c r="K14" s="171"/>
      <c r="L14" s="171"/>
      <c r="M14" s="171"/>
    </row>
    <row r="15" spans="2:13" ht="18" x14ac:dyDescent="0.25">
      <c r="B15" s="9"/>
      <c r="C15" s="20"/>
      <c r="D15" s="15"/>
      <c r="E15" s="31">
        <v>1983</v>
      </c>
      <c r="F15" s="7">
        <v>2306</v>
      </c>
      <c r="G15" s="171"/>
      <c r="H15" s="171"/>
      <c r="I15" s="171"/>
      <c r="J15" s="171"/>
      <c r="K15" s="171"/>
      <c r="L15" s="171"/>
      <c r="M15" s="171"/>
    </row>
    <row r="16" spans="2:13" ht="18" x14ac:dyDescent="0.25">
      <c r="B16" s="9"/>
      <c r="C16" s="20"/>
      <c r="D16" s="15"/>
      <c r="E16" s="31">
        <v>1984</v>
      </c>
      <c r="F16" s="7">
        <v>15150</v>
      </c>
      <c r="G16" s="171"/>
      <c r="H16" s="171"/>
      <c r="I16" s="171"/>
      <c r="J16" s="171"/>
      <c r="K16" s="171"/>
      <c r="L16" s="171"/>
      <c r="M16" s="171"/>
    </row>
    <row r="17" spans="2:12" ht="18" x14ac:dyDescent="0.25">
      <c r="B17" s="9"/>
      <c r="C17" s="20"/>
      <c r="D17" s="15"/>
      <c r="E17" s="31">
        <v>1985</v>
      </c>
      <c r="F17" s="7">
        <v>49580</v>
      </c>
      <c r="G17" s="171"/>
      <c r="H17" s="171"/>
      <c r="I17" s="171"/>
      <c r="J17" s="171"/>
      <c r="K17" s="171"/>
      <c r="L17" s="171"/>
    </row>
    <row r="18" spans="2:12" ht="18" x14ac:dyDescent="0.25">
      <c r="B18" s="9"/>
      <c r="C18" s="20"/>
      <c r="D18" s="15"/>
      <c r="E18" s="31">
        <v>1986</v>
      </c>
      <c r="F18" s="7">
        <v>69196</v>
      </c>
      <c r="G18" s="171"/>
      <c r="H18" s="171"/>
      <c r="I18" s="171"/>
      <c r="J18" s="171"/>
      <c r="K18" s="171"/>
      <c r="L18" s="171"/>
    </row>
    <row r="19" spans="2:12" ht="18" x14ac:dyDescent="0.25">
      <c r="B19" s="9"/>
      <c r="C19" s="12"/>
      <c r="D19" s="15"/>
      <c r="E19" s="31">
        <v>1987</v>
      </c>
      <c r="F19" s="7">
        <v>72339</v>
      </c>
      <c r="G19" s="171"/>
      <c r="H19" s="171"/>
      <c r="I19" s="171"/>
      <c r="J19" s="171"/>
      <c r="K19" s="171"/>
      <c r="L19" s="171"/>
    </row>
    <row r="20" spans="2:12" ht="18" x14ac:dyDescent="0.25">
      <c r="B20" s="9"/>
      <c r="C20" s="12"/>
      <c r="D20" s="15"/>
      <c r="E20" s="31">
        <v>1988</v>
      </c>
      <c r="F20" s="7">
        <v>138781</v>
      </c>
      <c r="G20" s="171"/>
      <c r="H20" s="171"/>
      <c r="I20" s="171"/>
      <c r="J20" s="171"/>
      <c r="K20" s="171"/>
      <c r="L20" s="171"/>
    </row>
    <row r="21" spans="2:12" ht="18" x14ac:dyDescent="0.25">
      <c r="B21" s="9"/>
      <c r="C21" s="12"/>
      <c r="D21" s="15" t="s">
        <v>95</v>
      </c>
      <c r="E21" s="31">
        <v>1991</v>
      </c>
      <c r="F21" s="7">
        <v>757000</v>
      </c>
      <c r="G21" s="171"/>
      <c r="H21" s="171"/>
      <c r="I21" s="171"/>
      <c r="J21" s="171"/>
      <c r="K21" s="171"/>
      <c r="L21" s="171"/>
    </row>
    <row r="22" spans="2:12" ht="18" x14ac:dyDescent="0.25">
      <c r="B22" s="9"/>
      <c r="C22" s="12"/>
      <c r="D22" s="15"/>
      <c r="E22" s="31"/>
      <c r="F22" s="7"/>
      <c r="G22" s="171"/>
      <c r="H22" s="171"/>
      <c r="I22" s="171"/>
      <c r="J22" s="171"/>
      <c r="K22" s="171"/>
      <c r="L22" s="171"/>
    </row>
    <row r="23" spans="2:12" ht="18" x14ac:dyDescent="0.25">
      <c r="B23" s="9"/>
      <c r="C23" s="12"/>
      <c r="D23" s="15" t="s">
        <v>96</v>
      </c>
      <c r="E23" s="31">
        <v>1966</v>
      </c>
      <c r="F23" s="7">
        <v>200636</v>
      </c>
      <c r="G23" s="171"/>
      <c r="H23" s="171"/>
      <c r="I23" s="171"/>
      <c r="J23" s="171"/>
      <c r="K23" s="171"/>
      <c r="L23" s="171"/>
    </row>
    <row r="24" spans="2:12" ht="18.75" thickBot="1" x14ac:dyDescent="0.3">
      <c r="B24" s="13"/>
      <c r="C24" s="62"/>
      <c r="D24" s="16"/>
      <c r="E24" s="65">
        <v>1999</v>
      </c>
      <c r="F24" s="10">
        <v>66000</v>
      </c>
      <c r="G24" s="171"/>
      <c r="H24" s="171"/>
      <c r="I24" s="171"/>
      <c r="J24" s="171"/>
      <c r="K24" s="171"/>
      <c r="L24" s="171"/>
    </row>
    <row r="25" spans="2:12" s="25" customFormat="1" ht="18" x14ac:dyDescent="0.25">
      <c r="B25" s="67"/>
      <c r="C25" s="68"/>
      <c r="D25" s="69"/>
      <c r="E25" s="70"/>
      <c r="F25" s="114"/>
      <c r="G25" s="171"/>
      <c r="H25" s="171"/>
      <c r="I25" s="171"/>
      <c r="J25" s="171"/>
      <c r="K25" s="171"/>
      <c r="L25" s="29"/>
    </row>
    <row r="26" spans="2:12" s="25" customFormat="1" ht="18.75" thickBot="1" x14ac:dyDescent="0.25">
      <c r="B26" s="214" t="s">
        <v>97</v>
      </c>
      <c r="C26" s="215"/>
      <c r="D26" s="215"/>
      <c r="E26" s="215"/>
      <c r="F26" s="113">
        <f>SUM(F10:F24)</f>
        <v>2186739</v>
      </c>
      <c r="G26" s="171"/>
      <c r="H26" s="171"/>
      <c r="I26" s="171"/>
      <c r="J26" s="171"/>
      <c r="K26" s="171"/>
      <c r="L26" s="171"/>
    </row>
    <row r="27" spans="2:12" s="25" customFormat="1" ht="15" x14ac:dyDescent="0.2">
      <c r="B27" s="225" t="s">
        <v>98</v>
      </c>
      <c r="C27" s="225"/>
      <c r="D27" s="225"/>
      <c r="E27" s="225"/>
      <c r="F27" s="225"/>
      <c r="G27" s="171"/>
      <c r="H27" s="171"/>
      <c r="I27" s="171"/>
      <c r="J27" s="171"/>
      <c r="K27" s="171"/>
      <c r="L27" s="171"/>
    </row>
    <row r="28" spans="2:12" s="25" customFormat="1" ht="15" x14ac:dyDescent="0.2">
      <c r="B28" s="172"/>
      <c r="C28" s="172"/>
      <c r="D28" s="172"/>
      <c r="E28" s="172"/>
      <c r="F28" s="172"/>
      <c r="G28" s="171"/>
      <c r="H28" s="171"/>
      <c r="I28" s="171"/>
      <c r="J28" s="171"/>
      <c r="K28" s="171"/>
      <c r="L28" s="171"/>
    </row>
    <row r="29" spans="2:12" s="25" customFormat="1" ht="15" x14ac:dyDescent="0.2">
      <c r="B29" s="172"/>
      <c r="C29" s="172"/>
      <c r="D29" s="172"/>
      <c r="E29" s="172"/>
      <c r="F29" s="172"/>
      <c r="G29" s="171"/>
      <c r="H29" s="171"/>
      <c r="I29" s="171"/>
      <c r="J29" s="171"/>
      <c r="K29" s="171"/>
      <c r="L29" s="171"/>
    </row>
    <row r="30" spans="2:12" s="25" customFormat="1" ht="15" x14ac:dyDescent="0.2">
      <c r="B30" s="172"/>
      <c r="C30" s="172"/>
      <c r="D30" s="172"/>
      <c r="E30" s="172"/>
      <c r="F30" s="172"/>
      <c r="G30" s="171"/>
      <c r="H30" s="171"/>
      <c r="I30" s="171"/>
      <c r="J30" s="171"/>
      <c r="K30" s="171"/>
      <c r="L30" s="171"/>
    </row>
  </sheetData>
  <mergeCells count="20">
    <mergeCell ref="I9:I10"/>
    <mergeCell ref="J9:J10"/>
    <mergeCell ref="K9:K10"/>
    <mergeCell ref="L9:L10"/>
    <mergeCell ref="B6:F6"/>
    <mergeCell ref="D7:D8"/>
    <mergeCell ref="E7:E8"/>
    <mergeCell ref="F7:F8"/>
    <mergeCell ref="H7:M7"/>
    <mergeCell ref="H8:M8"/>
    <mergeCell ref="B2:F2"/>
    <mergeCell ref="B3:F3"/>
    <mergeCell ref="H3:M3"/>
    <mergeCell ref="B4:F4"/>
    <mergeCell ref="H4:M4"/>
    <mergeCell ref="B5:F5"/>
    <mergeCell ref="C7:C8"/>
    <mergeCell ref="B7:B8"/>
    <mergeCell ref="B27:F27"/>
    <mergeCell ref="B26:E26"/>
  </mergeCells>
  <printOptions horizontalCentered="1"/>
  <pageMargins left="0.7" right="0.7" top="0.75" bottom="0.75" header="0.3" footer="0.3"/>
  <pageSetup scale="71" orientation="landscape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878F7-F7A6-410A-A2CA-A1BE3A996F5C}">
  <sheetPr>
    <pageSetUpPr fitToPage="1"/>
  </sheetPr>
  <dimension ref="B1:U70"/>
  <sheetViews>
    <sheetView view="pageBreakPreview" topLeftCell="A43" zoomScale="70" zoomScaleNormal="70" zoomScaleSheetLayoutView="70" workbookViewId="0">
      <selection activeCell="D16" sqref="D16"/>
    </sheetView>
  </sheetViews>
  <sheetFormatPr defaultColWidth="13.875" defaultRowHeight="14.25" x14ac:dyDescent="0.2"/>
  <cols>
    <col min="1" max="1" width="13.875" style="124"/>
    <col min="2" max="3" width="11.5" style="124" customWidth="1"/>
    <col min="4" max="4" width="66.375" style="124" customWidth="1"/>
    <col min="5" max="5" width="16.25" style="1" customWidth="1"/>
    <col min="6" max="6" width="15.125" style="1" customWidth="1"/>
    <col min="7" max="7" width="13" style="1" customWidth="1"/>
    <col min="8" max="8" width="16.5" style="124" bestFit="1" customWidth="1"/>
    <col min="9" max="9" width="17.875" style="124" bestFit="1" customWidth="1"/>
    <col min="10" max="10" width="16" style="124" bestFit="1" customWidth="1"/>
    <col min="11" max="11" width="19.375" style="124" customWidth="1"/>
    <col min="12" max="12" width="22.375" style="124" customWidth="1"/>
    <col min="13" max="13" width="13.875" style="124"/>
    <col min="14" max="14" width="12.25" style="124" customWidth="1"/>
    <col min="15" max="15" width="43.125" style="124" customWidth="1"/>
    <col min="16" max="16" width="16" style="124" customWidth="1"/>
    <col min="17" max="17" width="13.875" style="124"/>
    <col min="18" max="18" width="8.25" style="124" bestFit="1" customWidth="1"/>
    <col min="19" max="19" width="24.75" style="124" bestFit="1" customWidth="1"/>
    <col min="20" max="20" width="16.625" style="124" bestFit="1" customWidth="1"/>
    <col min="21" max="21" width="19" style="124" customWidth="1"/>
    <col min="22" max="16384" width="13.875" style="124"/>
  </cols>
  <sheetData>
    <row r="1" spans="2:21" ht="20.25" customHeight="1" thickBot="1" x14ac:dyDescent="0.25">
      <c r="B1" s="171"/>
      <c r="C1" s="171"/>
      <c r="D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</row>
    <row r="2" spans="2:21" ht="18" x14ac:dyDescent="0.25">
      <c r="B2" s="177" t="s">
        <v>0</v>
      </c>
      <c r="C2" s="178"/>
      <c r="D2" s="178"/>
      <c r="E2" s="178"/>
      <c r="F2" s="178"/>
      <c r="G2" s="178"/>
      <c r="H2" s="178"/>
      <c r="I2" s="178"/>
      <c r="J2" s="178"/>
      <c r="K2" s="178"/>
      <c r="L2" s="179"/>
      <c r="M2" s="171"/>
      <c r="N2" s="171"/>
      <c r="O2" s="171"/>
      <c r="P2" s="171"/>
      <c r="Q2" s="171"/>
      <c r="R2" s="171"/>
      <c r="S2" s="171"/>
      <c r="T2" s="171"/>
      <c r="U2" s="171"/>
    </row>
    <row r="3" spans="2:21" ht="18" x14ac:dyDescent="0.25">
      <c r="B3" s="187" t="s">
        <v>1</v>
      </c>
      <c r="C3" s="205"/>
      <c r="D3" s="205"/>
      <c r="E3" s="205"/>
      <c r="F3" s="205"/>
      <c r="G3" s="205"/>
      <c r="H3" s="205"/>
      <c r="I3" s="205"/>
      <c r="J3" s="205"/>
      <c r="K3" s="205"/>
      <c r="L3" s="189"/>
      <c r="M3" s="171"/>
      <c r="N3" s="171"/>
      <c r="O3" s="171"/>
      <c r="P3" s="186"/>
      <c r="Q3" s="186"/>
      <c r="R3" s="186"/>
      <c r="S3" s="186"/>
      <c r="T3" s="186"/>
      <c r="U3" s="186"/>
    </row>
    <row r="4" spans="2:21" ht="15" customHeight="1" x14ac:dyDescent="0.25">
      <c r="B4" s="187" t="str">
        <f>Overall!B4</f>
        <v>As of March 22, 2021</v>
      </c>
      <c r="C4" s="205"/>
      <c r="D4" s="205"/>
      <c r="E4" s="205"/>
      <c r="F4" s="205"/>
      <c r="G4" s="205"/>
      <c r="H4" s="205"/>
      <c r="I4" s="205"/>
      <c r="J4" s="205"/>
      <c r="K4" s="205"/>
      <c r="L4" s="189"/>
      <c r="M4" s="171"/>
      <c r="N4" s="171"/>
      <c r="O4" s="171"/>
      <c r="P4" s="186"/>
      <c r="Q4" s="186"/>
      <c r="R4" s="186"/>
      <c r="S4" s="186"/>
      <c r="T4" s="186"/>
      <c r="U4" s="186"/>
    </row>
    <row r="5" spans="2:21" ht="15" customHeight="1" x14ac:dyDescent="0.25">
      <c r="B5" s="187"/>
      <c r="C5" s="205"/>
      <c r="D5" s="205"/>
      <c r="E5" s="205"/>
      <c r="F5" s="205"/>
      <c r="G5" s="205"/>
      <c r="H5" s="205"/>
      <c r="I5" s="205"/>
      <c r="J5" s="205"/>
      <c r="K5" s="205"/>
      <c r="L5" s="189"/>
      <c r="M5" s="171"/>
      <c r="N5" s="171"/>
      <c r="O5" s="171"/>
      <c r="P5" s="171"/>
      <c r="Q5" s="171"/>
      <c r="R5" s="171"/>
      <c r="S5" s="171"/>
      <c r="T5" s="171"/>
      <c r="U5" s="171"/>
    </row>
    <row r="6" spans="2:21" ht="15" customHeight="1" thickBot="1" x14ac:dyDescent="0.3">
      <c r="B6" s="207" t="s">
        <v>99</v>
      </c>
      <c r="C6" s="208"/>
      <c r="D6" s="208"/>
      <c r="E6" s="208"/>
      <c r="F6" s="208"/>
      <c r="G6" s="208"/>
      <c r="H6" s="208"/>
      <c r="I6" s="208"/>
      <c r="J6" s="208"/>
      <c r="K6" s="208"/>
      <c r="L6" s="209"/>
      <c r="M6" s="171"/>
      <c r="N6" s="171"/>
      <c r="O6" s="171"/>
      <c r="P6" s="171"/>
      <c r="Q6" s="171"/>
      <c r="R6" s="171"/>
      <c r="S6" s="171"/>
      <c r="T6" s="171"/>
      <c r="U6" s="171"/>
    </row>
    <row r="7" spans="2:21" s="2" customFormat="1" ht="18" customHeight="1" x14ac:dyDescent="0.25">
      <c r="B7" s="210" t="s">
        <v>3</v>
      </c>
      <c r="C7" s="212" t="s">
        <v>24</v>
      </c>
      <c r="D7" s="213" t="s">
        <v>4</v>
      </c>
      <c r="E7" s="213" t="s">
        <v>25</v>
      </c>
      <c r="F7" s="213" t="s">
        <v>26</v>
      </c>
      <c r="G7" s="213" t="s">
        <v>27</v>
      </c>
      <c r="H7" s="213" t="s">
        <v>28</v>
      </c>
      <c r="I7" s="222" t="s">
        <v>49</v>
      </c>
      <c r="J7" s="222" t="s">
        <v>50</v>
      </c>
      <c r="K7" s="222" t="s">
        <v>51</v>
      </c>
      <c r="L7" s="216" t="s">
        <v>5</v>
      </c>
      <c r="P7" s="186"/>
      <c r="Q7" s="186"/>
      <c r="R7" s="186"/>
      <c r="S7" s="186"/>
      <c r="T7" s="186"/>
      <c r="U7" s="186"/>
    </row>
    <row r="8" spans="2:21" s="2" customFormat="1" ht="18" customHeight="1" x14ac:dyDescent="0.25">
      <c r="B8" s="211"/>
      <c r="C8" s="199"/>
      <c r="D8" s="197"/>
      <c r="E8" s="197"/>
      <c r="F8" s="197"/>
      <c r="G8" s="197"/>
      <c r="H8" s="197"/>
      <c r="I8" s="219"/>
      <c r="J8" s="219"/>
      <c r="K8" s="219"/>
      <c r="L8" s="217"/>
      <c r="P8" s="186"/>
      <c r="Q8" s="186"/>
      <c r="R8" s="186"/>
      <c r="S8" s="186"/>
      <c r="T8" s="186"/>
      <c r="U8" s="186"/>
    </row>
    <row r="9" spans="2:21" ht="18" x14ac:dyDescent="0.25">
      <c r="B9" s="19">
        <v>355.2</v>
      </c>
      <c r="C9" s="20">
        <v>1</v>
      </c>
      <c r="D9" s="22" t="s">
        <v>100</v>
      </c>
      <c r="E9" s="5"/>
      <c r="F9" s="5"/>
      <c r="G9" s="6"/>
      <c r="H9" s="23"/>
      <c r="I9" s="52"/>
      <c r="J9" s="52"/>
      <c r="K9" s="52"/>
      <c r="L9" s="92"/>
      <c r="M9" s="171"/>
      <c r="N9" s="33"/>
      <c r="O9" s="171"/>
      <c r="P9" s="171"/>
      <c r="Q9" s="186"/>
      <c r="R9" s="186"/>
      <c r="S9" s="186"/>
      <c r="T9" s="186"/>
      <c r="U9" s="171"/>
    </row>
    <row r="10" spans="2:21" ht="18" x14ac:dyDescent="0.25">
      <c r="B10" s="19"/>
      <c r="C10" s="20"/>
      <c r="D10" s="46"/>
      <c r="E10" s="5"/>
      <c r="F10" s="5"/>
      <c r="G10" s="6"/>
      <c r="H10" s="23"/>
      <c r="I10" s="52"/>
      <c r="J10" s="52"/>
      <c r="K10" s="52"/>
      <c r="L10" s="127"/>
      <c r="M10" s="171"/>
      <c r="N10" s="33"/>
      <c r="O10" s="171"/>
      <c r="P10" s="171"/>
      <c r="Q10" s="186"/>
      <c r="R10" s="186"/>
      <c r="S10" s="186"/>
      <c r="T10" s="186"/>
      <c r="U10" s="171"/>
    </row>
    <row r="11" spans="2:21" ht="18" x14ac:dyDescent="0.25">
      <c r="B11" s="9"/>
      <c r="C11" s="20">
        <v>1.1000000000000001</v>
      </c>
      <c r="D11" s="128" t="s">
        <v>29</v>
      </c>
      <c r="E11" s="31">
        <v>1964</v>
      </c>
      <c r="F11" s="31"/>
      <c r="G11" s="6"/>
      <c r="H11" s="24"/>
      <c r="I11" s="53"/>
      <c r="J11" s="3"/>
      <c r="K11" s="24"/>
      <c r="L11" s="134"/>
      <c r="M11" s="171"/>
      <c r="N11" s="171"/>
      <c r="O11" s="171"/>
      <c r="P11" s="171"/>
      <c r="Q11" s="186"/>
      <c r="R11" s="186"/>
      <c r="S11" s="186"/>
      <c r="T11" s="186"/>
      <c r="U11" s="171"/>
    </row>
    <row r="12" spans="2:21" ht="18" x14ac:dyDescent="0.25">
      <c r="B12" s="9"/>
      <c r="C12" s="20"/>
      <c r="D12" s="132" t="s">
        <v>101</v>
      </c>
      <c r="E12" s="31"/>
      <c r="F12" s="31">
        <v>1</v>
      </c>
      <c r="G12" s="6" t="s">
        <v>54</v>
      </c>
      <c r="H12" s="53">
        <v>75000</v>
      </c>
      <c r="I12" s="53">
        <f t="shared" ref="I12" si="0">H12*F12</f>
        <v>75000</v>
      </c>
      <c r="J12" s="24">
        <v>11392</v>
      </c>
      <c r="K12" s="24">
        <v>936</v>
      </c>
      <c r="L12" s="61">
        <f t="shared" ref="L12" si="1">I12*(K12/J12)</f>
        <v>6162.2191011235964</v>
      </c>
      <c r="M12" s="171"/>
      <c r="N12" s="171"/>
      <c r="O12" s="171"/>
      <c r="P12" s="171"/>
      <c r="Q12" s="171"/>
      <c r="R12" s="171"/>
      <c r="S12" s="171"/>
      <c r="T12" s="171"/>
      <c r="U12" s="171"/>
    </row>
    <row r="13" spans="2:21" ht="18" x14ac:dyDescent="0.25">
      <c r="B13" s="9"/>
      <c r="C13" s="20"/>
      <c r="D13" s="132"/>
      <c r="E13" s="31"/>
      <c r="F13" s="31"/>
      <c r="G13" s="6"/>
      <c r="H13" s="135" t="s">
        <v>11</v>
      </c>
      <c r="I13" s="156">
        <f>SUM(I12:I12)</f>
        <v>75000</v>
      </c>
      <c r="J13" s="24"/>
      <c r="K13" s="135" t="s">
        <v>11</v>
      </c>
      <c r="L13" s="136">
        <f>SUM(L12:L12)</f>
        <v>6162.2191011235964</v>
      </c>
      <c r="M13" s="171"/>
      <c r="N13" s="171"/>
      <c r="O13" s="171"/>
      <c r="P13" s="171"/>
      <c r="Q13" s="171"/>
      <c r="R13" s="171"/>
      <c r="S13" s="171"/>
      <c r="T13" s="171"/>
      <c r="U13" s="171"/>
    </row>
    <row r="14" spans="2:21" ht="18" x14ac:dyDescent="0.25">
      <c r="B14" s="9"/>
      <c r="C14" s="20"/>
      <c r="D14" s="132"/>
      <c r="E14" s="31"/>
      <c r="F14" s="31"/>
      <c r="G14" s="6"/>
      <c r="H14" s="24"/>
      <c r="I14" s="53"/>
      <c r="J14" s="24"/>
      <c r="K14" s="24"/>
      <c r="L14" s="90"/>
      <c r="M14" s="171"/>
      <c r="N14" s="171"/>
      <c r="O14" s="171"/>
      <c r="P14" s="171"/>
      <c r="Q14" s="171"/>
      <c r="R14" s="171"/>
      <c r="S14" s="171"/>
      <c r="T14" s="171"/>
      <c r="U14" s="171"/>
    </row>
    <row r="15" spans="2:21" ht="18" x14ac:dyDescent="0.25">
      <c r="B15" s="8"/>
      <c r="C15" s="20">
        <v>1.2</v>
      </c>
      <c r="D15" s="128" t="s">
        <v>31</v>
      </c>
      <c r="E15" s="31">
        <v>1965</v>
      </c>
      <c r="F15" s="31"/>
      <c r="G15" s="6"/>
      <c r="H15" s="24"/>
      <c r="I15" s="53"/>
      <c r="J15" s="24"/>
      <c r="K15" s="24"/>
      <c r="L15" s="90"/>
      <c r="M15" s="171"/>
      <c r="N15" s="171"/>
      <c r="O15" s="171"/>
      <c r="P15" s="171"/>
      <c r="Q15" s="171"/>
      <c r="R15" s="171"/>
      <c r="S15" s="171"/>
      <c r="T15" s="171"/>
      <c r="U15" s="171"/>
    </row>
    <row r="16" spans="2:21" ht="18" x14ac:dyDescent="0.25">
      <c r="B16" s="9"/>
      <c r="C16" s="20"/>
      <c r="D16" s="131" t="s">
        <v>102</v>
      </c>
      <c r="E16" s="31"/>
      <c r="F16" s="31">
        <v>1</v>
      </c>
      <c r="G16" s="6" t="s">
        <v>54</v>
      </c>
      <c r="H16" s="53">
        <v>24500</v>
      </c>
      <c r="I16" s="53">
        <f t="shared" ref="I16" si="2">H16*F16</f>
        <v>24500</v>
      </c>
      <c r="J16" s="24">
        <v>11392</v>
      </c>
      <c r="K16" s="24">
        <v>971</v>
      </c>
      <c r="L16" s="61">
        <f t="shared" ref="L16" si="3">I16*(K16/J16)</f>
        <v>2088.2636938202245</v>
      </c>
      <c r="M16" s="171"/>
      <c r="N16" s="171"/>
      <c r="O16" s="171"/>
      <c r="P16" s="171"/>
      <c r="Q16" s="171"/>
      <c r="R16" s="171"/>
      <c r="S16" s="171"/>
      <c r="T16" s="171"/>
      <c r="U16" s="171"/>
    </row>
    <row r="17" spans="2:16" ht="18" x14ac:dyDescent="0.25">
      <c r="B17" s="9"/>
      <c r="C17" s="20"/>
      <c r="D17" s="131"/>
      <c r="E17" s="31"/>
      <c r="F17" s="31"/>
      <c r="G17" s="6"/>
      <c r="H17" s="135" t="s">
        <v>11</v>
      </c>
      <c r="I17" s="156">
        <f>SUM(I16:I16)</f>
        <v>24500</v>
      </c>
      <c r="J17" s="24"/>
      <c r="K17" s="135" t="s">
        <v>11</v>
      </c>
      <c r="L17" s="136">
        <f>SUM(L16:L16)</f>
        <v>2088.2636938202245</v>
      </c>
      <c r="M17" s="171"/>
      <c r="N17" s="171"/>
      <c r="O17" s="171"/>
      <c r="P17" s="171"/>
    </row>
    <row r="18" spans="2:16" ht="18" x14ac:dyDescent="0.25">
      <c r="B18" s="9"/>
      <c r="C18" s="20"/>
      <c r="D18" s="132"/>
      <c r="E18" s="31"/>
      <c r="F18" s="31"/>
      <c r="G18" s="6"/>
      <c r="H18" s="24"/>
      <c r="I18" s="53"/>
      <c r="J18" s="24"/>
      <c r="K18" s="24"/>
      <c r="L18" s="90"/>
      <c r="M18" s="171"/>
      <c r="N18" s="171"/>
      <c r="O18" s="171"/>
      <c r="P18" s="171"/>
    </row>
    <row r="19" spans="2:16" ht="18" x14ac:dyDescent="0.25">
      <c r="B19" s="8"/>
      <c r="C19" s="20">
        <v>1.3</v>
      </c>
      <c r="D19" s="128" t="s">
        <v>32</v>
      </c>
      <c r="E19" s="31">
        <v>1965</v>
      </c>
      <c r="F19" s="31"/>
      <c r="G19" s="6"/>
      <c r="H19" s="24"/>
      <c r="I19" s="53"/>
      <c r="J19" s="24"/>
      <c r="K19" s="24"/>
      <c r="L19" s="90"/>
      <c r="M19" s="30"/>
      <c r="N19" s="30"/>
      <c r="O19" s="30"/>
      <c r="P19" s="30"/>
    </row>
    <row r="20" spans="2:16" ht="18" x14ac:dyDescent="0.25">
      <c r="B20" s="9"/>
      <c r="C20" s="20"/>
      <c r="D20" s="131" t="s">
        <v>103</v>
      </c>
      <c r="E20" s="31"/>
      <c r="F20" s="31">
        <v>1</v>
      </c>
      <c r="G20" s="6" t="s">
        <v>54</v>
      </c>
      <c r="H20" s="53">
        <v>125000</v>
      </c>
      <c r="I20" s="53">
        <f t="shared" ref="I20" si="4">H20*F20</f>
        <v>125000</v>
      </c>
      <c r="J20" s="24">
        <v>11392</v>
      </c>
      <c r="K20" s="24">
        <v>971</v>
      </c>
      <c r="L20" s="61">
        <f t="shared" ref="L20" si="5">I20*(K20/J20)</f>
        <v>10654.406601123595</v>
      </c>
      <c r="M20" s="171"/>
      <c r="N20" s="171"/>
      <c r="O20" s="171"/>
      <c r="P20" s="171"/>
    </row>
    <row r="21" spans="2:16" ht="18" x14ac:dyDescent="0.25">
      <c r="B21" s="9"/>
      <c r="C21" s="20"/>
      <c r="D21" s="132"/>
      <c r="E21" s="31"/>
      <c r="F21" s="31"/>
      <c r="G21" s="6"/>
      <c r="H21" s="135" t="s">
        <v>11</v>
      </c>
      <c r="I21" s="156">
        <f>SUM(I20:I20)</f>
        <v>125000</v>
      </c>
      <c r="J21" s="24"/>
      <c r="K21" s="135" t="s">
        <v>11</v>
      </c>
      <c r="L21" s="136">
        <f>SUM(L20:L20)</f>
        <v>10654.406601123595</v>
      </c>
      <c r="M21" s="171"/>
      <c r="N21" s="171"/>
      <c r="O21" s="171"/>
      <c r="P21" s="171"/>
    </row>
    <row r="22" spans="2:16" ht="18" x14ac:dyDescent="0.25">
      <c r="B22" s="9"/>
      <c r="C22" s="20"/>
      <c r="D22" s="132"/>
      <c r="E22" s="31"/>
      <c r="F22" s="31"/>
      <c r="G22" s="6"/>
      <c r="H22" s="24"/>
      <c r="I22" s="53"/>
      <c r="J22" s="24"/>
      <c r="K22" s="24"/>
      <c r="L22" s="90"/>
      <c r="M22" s="171"/>
      <c r="N22" s="171"/>
      <c r="O22" s="171"/>
      <c r="P22" s="171"/>
    </row>
    <row r="23" spans="2:16" ht="18" x14ac:dyDescent="0.25">
      <c r="B23" s="8"/>
      <c r="C23" s="20">
        <v>1.4</v>
      </c>
      <c r="D23" s="128" t="s">
        <v>34</v>
      </c>
      <c r="E23" s="31">
        <v>1978</v>
      </c>
      <c r="F23" s="31"/>
      <c r="G23" s="6"/>
      <c r="H23" s="24"/>
      <c r="I23" s="53"/>
      <c r="J23" s="24"/>
      <c r="K23" s="24"/>
      <c r="L23" s="90"/>
      <c r="M23" s="171"/>
      <c r="N23" s="171"/>
      <c r="O23" s="171"/>
      <c r="P23" s="171"/>
    </row>
    <row r="24" spans="2:16" ht="18" x14ac:dyDescent="0.25">
      <c r="B24" s="9"/>
      <c r="C24" s="20"/>
      <c r="D24" s="126" t="s">
        <v>104</v>
      </c>
      <c r="E24" s="31"/>
      <c r="F24" s="31">
        <v>1</v>
      </c>
      <c r="G24" s="6" t="s">
        <v>54</v>
      </c>
      <c r="H24" s="53">
        <v>65000</v>
      </c>
      <c r="I24" s="53">
        <f t="shared" ref="I24" si="6">H24*F24</f>
        <v>65000</v>
      </c>
      <c r="J24" s="24">
        <v>11392</v>
      </c>
      <c r="K24" s="24">
        <v>2776</v>
      </c>
      <c r="L24" s="61">
        <f t="shared" ref="L24" si="7">I24*(K24/J24)</f>
        <v>15839.185393258427</v>
      </c>
      <c r="M24" s="171"/>
      <c r="N24" s="171"/>
      <c r="O24" s="171"/>
      <c r="P24" s="171"/>
    </row>
    <row r="25" spans="2:16" ht="18" x14ac:dyDescent="0.25">
      <c r="B25" s="9"/>
      <c r="C25" s="20"/>
      <c r="D25" s="132"/>
      <c r="E25" s="31"/>
      <c r="F25" s="31"/>
      <c r="G25" s="6"/>
      <c r="H25" s="135" t="s">
        <v>11</v>
      </c>
      <c r="I25" s="156">
        <f>SUM(I24:I24)</f>
        <v>65000</v>
      </c>
      <c r="J25" s="24"/>
      <c r="K25" s="135" t="s">
        <v>11</v>
      </c>
      <c r="L25" s="136">
        <f>SUM(L24:L24)</f>
        <v>15839.185393258427</v>
      </c>
      <c r="M25" s="171"/>
      <c r="N25" s="171"/>
      <c r="O25" s="171"/>
      <c r="P25" s="171"/>
    </row>
    <row r="26" spans="2:16" ht="18" x14ac:dyDescent="0.25">
      <c r="B26" s="9"/>
      <c r="C26" s="20"/>
      <c r="D26" s="132"/>
      <c r="E26" s="31"/>
      <c r="F26" s="31"/>
      <c r="G26" s="6"/>
      <c r="H26" s="24"/>
      <c r="I26" s="53"/>
      <c r="J26" s="24"/>
      <c r="K26" s="24"/>
      <c r="L26" s="90"/>
      <c r="M26" s="171"/>
      <c r="N26" s="171"/>
      <c r="O26" s="171"/>
      <c r="P26" s="171"/>
    </row>
    <row r="27" spans="2:16" ht="18" x14ac:dyDescent="0.25">
      <c r="B27" s="8"/>
      <c r="C27" s="20">
        <v>1.5</v>
      </c>
      <c r="D27" s="128" t="s">
        <v>35</v>
      </c>
      <c r="E27" s="31">
        <v>1978</v>
      </c>
      <c r="F27" s="31"/>
      <c r="G27" s="6"/>
      <c r="H27" s="24"/>
      <c r="I27" s="53"/>
      <c r="J27" s="24"/>
      <c r="K27" s="24"/>
      <c r="L27" s="90"/>
      <c r="M27" s="171"/>
      <c r="N27" s="171"/>
      <c r="O27" s="171"/>
      <c r="P27" s="171"/>
    </row>
    <row r="28" spans="2:16" ht="18" x14ac:dyDescent="0.25">
      <c r="B28" s="9"/>
      <c r="C28" s="20"/>
      <c r="D28" s="131" t="s">
        <v>105</v>
      </c>
      <c r="E28" s="31"/>
      <c r="F28" s="31">
        <v>1</v>
      </c>
      <c r="G28" s="6" t="s">
        <v>54</v>
      </c>
      <c r="H28" s="53">
        <v>85000</v>
      </c>
      <c r="I28" s="53">
        <f t="shared" ref="I28" si="8">H28*F28</f>
        <v>85000</v>
      </c>
      <c r="J28" s="24">
        <v>11392</v>
      </c>
      <c r="K28" s="24">
        <v>2776</v>
      </c>
      <c r="L28" s="61">
        <f t="shared" ref="L28" si="9">I28*(K28/J28)</f>
        <v>20712.780898876405</v>
      </c>
      <c r="M28" s="171"/>
      <c r="N28" s="171"/>
      <c r="O28" s="171"/>
      <c r="P28" s="171"/>
    </row>
    <row r="29" spans="2:16" ht="18" x14ac:dyDescent="0.25">
      <c r="B29" s="9"/>
      <c r="C29" s="20"/>
      <c r="D29" s="132"/>
      <c r="E29" s="31"/>
      <c r="F29" s="31"/>
      <c r="G29" s="6"/>
      <c r="H29" s="135" t="s">
        <v>11</v>
      </c>
      <c r="I29" s="156">
        <f>SUM(I28:I28)</f>
        <v>85000</v>
      </c>
      <c r="J29" s="24"/>
      <c r="K29" s="135" t="s">
        <v>11</v>
      </c>
      <c r="L29" s="136">
        <f>SUM(L28:L28)</f>
        <v>20712.780898876405</v>
      </c>
      <c r="M29" s="171"/>
      <c r="N29" s="171"/>
      <c r="O29" s="171"/>
      <c r="P29" s="171"/>
    </row>
    <row r="30" spans="2:16" ht="18" x14ac:dyDescent="0.25">
      <c r="B30" s="9"/>
      <c r="C30" s="20"/>
      <c r="D30" s="132"/>
      <c r="E30" s="31"/>
      <c r="F30" s="31"/>
      <c r="G30" s="6"/>
      <c r="H30" s="24"/>
      <c r="I30" s="53"/>
      <c r="J30" s="24"/>
      <c r="K30" s="24"/>
      <c r="L30" s="90"/>
      <c r="M30" s="171"/>
      <c r="N30" s="171"/>
      <c r="O30" s="171"/>
      <c r="P30" s="171"/>
    </row>
    <row r="31" spans="2:16" ht="18" x14ac:dyDescent="0.25">
      <c r="B31" s="8"/>
      <c r="C31" s="20">
        <v>1.6</v>
      </c>
      <c r="D31" s="128" t="s">
        <v>77</v>
      </c>
      <c r="E31" s="31">
        <v>1980</v>
      </c>
      <c r="F31" s="31" t="s">
        <v>78</v>
      </c>
      <c r="G31" s="6" t="s">
        <v>78</v>
      </c>
      <c r="H31" s="24" t="s">
        <v>78</v>
      </c>
      <c r="I31" s="53" t="s">
        <v>78</v>
      </c>
      <c r="J31" s="24" t="s">
        <v>78</v>
      </c>
      <c r="K31" s="28" t="s">
        <v>78</v>
      </c>
      <c r="L31" s="137" t="s">
        <v>78</v>
      </c>
      <c r="M31" s="171"/>
      <c r="N31" s="171"/>
      <c r="O31" s="171"/>
      <c r="P31" s="171"/>
    </row>
    <row r="32" spans="2:16" ht="18" x14ac:dyDescent="0.25">
      <c r="B32" s="9"/>
      <c r="C32" s="20"/>
      <c r="D32" s="132"/>
      <c r="E32" s="31"/>
      <c r="F32" s="31"/>
      <c r="G32" s="6"/>
      <c r="H32" s="135" t="s">
        <v>11</v>
      </c>
      <c r="I32" s="156" t="s">
        <v>78</v>
      </c>
      <c r="J32" s="24"/>
      <c r="K32" s="135" t="s">
        <v>11</v>
      </c>
      <c r="L32" s="136" t="s">
        <v>78</v>
      </c>
      <c r="M32" s="171"/>
      <c r="N32" s="171"/>
      <c r="O32" s="171"/>
      <c r="P32" s="171"/>
    </row>
    <row r="33" spans="2:14" ht="18" x14ac:dyDescent="0.25">
      <c r="B33" s="8"/>
      <c r="C33" s="20"/>
      <c r="D33" s="128"/>
      <c r="E33" s="31"/>
      <c r="F33" s="31"/>
      <c r="G33" s="6"/>
      <c r="H33" s="24"/>
      <c r="I33" s="53"/>
      <c r="J33" s="24"/>
      <c r="K33" s="24"/>
      <c r="L33" s="90"/>
      <c r="M33" s="171"/>
      <c r="N33" s="171"/>
    </row>
    <row r="34" spans="2:14" ht="18" x14ac:dyDescent="0.25">
      <c r="B34" s="8"/>
      <c r="C34" s="20">
        <v>1.7</v>
      </c>
      <c r="D34" s="128" t="s">
        <v>37</v>
      </c>
      <c r="E34" s="31">
        <v>1985</v>
      </c>
      <c r="F34" s="31"/>
      <c r="G34" s="6"/>
      <c r="H34" s="24"/>
      <c r="I34" s="53"/>
      <c r="J34" s="24"/>
      <c r="K34" s="24"/>
      <c r="L34" s="90"/>
      <c r="M34" s="171"/>
      <c r="N34" s="26"/>
    </row>
    <row r="35" spans="2:14" ht="18" x14ac:dyDescent="0.25">
      <c r="B35" s="9"/>
      <c r="C35" s="20"/>
      <c r="D35" s="131" t="s">
        <v>102</v>
      </c>
      <c r="E35" s="31"/>
      <c r="F35" s="31">
        <v>1</v>
      </c>
      <c r="G35" s="6" t="s">
        <v>54</v>
      </c>
      <c r="H35" s="53">
        <v>24500</v>
      </c>
      <c r="I35" s="53">
        <f t="shared" ref="I35" si="10">H35*F35</f>
        <v>24500</v>
      </c>
      <c r="J35" s="24">
        <v>11392</v>
      </c>
      <c r="K35" s="24">
        <v>4182</v>
      </c>
      <c r="L35" s="61">
        <f t="shared" ref="L35" si="11">I35*(K35/J35)</f>
        <v>8993.9431179775274</v>
      </c>
      <c r="M35" s="171"/>
      <c r="N35" s="171"/>
    </row>
    <row r="36" spans="2:14" ht="18" x14ac:dyDescent="0.25">
      <c r="B36" s="9"/>
      <c r="C36" s="20"/>
      <c r="D36" s="132"/>
      <c r="E36" s="31"/>
      <c r="F36" s="31"/>
      <c r="G36" s="6"/>
      <c r="H36" s="135" t="s">
        <v>11</v>
      </c>
      <c r="I36" s="156">
        <f>SUM(I35:I35)</f>
        <v>24500</v>
      </c>
      <c r="J36" s="24"/>
      <c r="K36" s="135" t="s">
        <v>11</v>
      </c>
      <c r="L36" s="136">
        <f>SUM(L35:L35)</f>
        <v>8993.9431179775274</v>
      </c>
      <c r="M36" s="171"/>
      <c r="N36" s="171"/>
    </row>
    <row r="37" spans="2:14" ht="18" x14ac:dyDescent="0.25">
      <c r="B37" s="9"/>
      <c r="C37" s="20"/>
      <c r="D37" s="132"/>
      <c r="E37" s="31"/>
      <c r="F37" s="31"/>
      <c r="G37" s="6"/>
      <c r="H37" s="24"/>
      <c r="I37" s="53"/>
      <c r="J37" s="24"/>
      <c r="K37" s="24"/>
      <c r="L37" s="90"/>
      <c r="M37" s="171"/>
      <c r="N37" s="171"/>
    </row>
    <row r="38" spans="2:14" ht="18" x14ac:dyDescent="0.25">
      <c r="B38" s="8"/>
      <c r="C38" s="20">
        <v>1.8</v>
      </c>
      <c r="D38" s="128" t="s">
        <v>38</v>
      </c>
      <c r="E38" s="31">
        <v>1985</v>
      </c>
      <c r="F38" s="31"/>
      <c r="G38" s="6"/>
      <c r="H38" s="24"/>
      <c r="I38" s="53"/>
      <c r="J38" s="24"/>
      <c r="K38" s="24"/>
      <c r="L38" s="90"/>
      <c r="M38" s="171"/>
      <c r="N38" s="171"/>
    </row>
    <row r="39" spans="2:14" ht="18" x14ac:dyDescent="0.25">
      <c r="B39" s="9"/>
      <c r="C39" s="20"/>
      <c r="D39" s="131" t="s">
        <v>106</v>
      </c>
      <c r="E39" s="31"/>
      <c r="F39" s="31">
        <v>1</v>
      </c>
      <c r="G39" s="6" t="s">
        <v>54</v>
      </c>
      <c r="H39" s="53">
        <v>92500</v>
      </c>
      <c r="I39" s="53">
        <f t="shared" ref="I39" si="12">H39*F39</f>
        <v>92500</v>
      </c>
      <c r="J39" s="24">
        <v>11392</v>
      </c>
      <c r="K39" s="24">
        <v>4182</v>
      </c>
      <c r="L39" s="61">
        <f t="shared" ref="L39" si="13">I39*(K39/J39)</f>
        <v>33956.724016853936</v>
      </c>
      <c r="M39" s="171"/>
      <c r="N39" s="171"/>
    </row>
    <row r="40" spans="2:14" ht="18" x14ac:dyDescent="0.25">
      <c r="B40" s="9"/>
      <c r="C40" s="20"/>
      <c r="D40" s="132"/>
      <c r="E40" s="31"/>
      <c r="F40" s="31"/>
      <c r="G40" s="6"/>
      <c r="H40" s="135" t="s">
        <v>11</v>
      </c>
      <c r="I40" s="156">
        <f>SUM(I39:I39)</f>
        <v>92500</v>
      </c>
      <c r="J40" s="24"/>
      <c r="K40" s="135" t="s">
        <v>11</v>
      </c>
      <c r="L40" s="136">
        <f>SUM(L39:L39)</f>
        <v>33956.724016853936</v>
      </c>
      <c r="M40" s="171"/>
      <c r="N40" s="171"/>
    </row>
    <row r="41" spans="2:14" ht="18" x14ac:dyDescent="0.25">
      <c r="B41" s="9"/>
      <c r="C41" s="20"/>
      <c r="D41" s="132"/>
      <c r="E41" s="31"/>
      <c r="F41" s="31"/>
      <c r="G41" s="6"/>
      <c r="H41" s="24"/>
      <c r="I41" s="53"/>
      <c r="J41" s="24"/>
      <c r="K41" s="24"/>
      <c r="L41" s="90"/>
      <c r="M41" s="171"/>
      <c r="N41" s="171"/>
    </row>
    <row r="42" spans="2:14" ht="18" x14ac:dyDescent="0.25">
      <c r="B42" s="8"/>
      <c r="C42" s="20">
        <v>1.9</v>
      </c>
      <c r="D42" s="128" t="s">
        <v>39</v>
      </c>
      <c r="E42" s="31">
        <v>1987</v>
      </c>
      <c r="F42" s="31"/>
      <c r="G42" s="6"/>
      <c r="H42" s="24"/>
      <c r="I42" s="53"/>
      <c r="J42" s="24"/>
      <c r="K42" s="24"/>
      <c r="L42" s="90"/>
      <c r="M42" s="171"/>
      <c r="N42" s="171"/>
    </row>
    <row r="43" spans="2:14" ht="18" x14ac:dyDescent="0.25">
      <c r="B43" s="9"/>
      <c r="C43" s="20"/>
      <c r="D43" s="131" t="s">
        <v>101</v>
      </c>
      <c r="E43" s="31"/>
      <c r="F43" s="31">
        <v>1</v>
      </c>
      <c r="G43" s="6" t="s">
        <v>54</v>
      </c>
      <c r="H43" s="53">
        <v>75000</v>
      </c>
      <c r="I43" s="53">
        <f t="shared" ref="I43" si="14">H43*F43</f>
        <v>75000</v>
      </c>
      <c r="J43" s="24">
        <v>11392</v>
      </c>
      <c r="K43" s="24">
        <v>4406</v>
      </c>
      <c r="L43" s="61">
        <f t="shared" ref="L43" si="15">I43*(K43/J43)</f>
        <v>29007.198033707864</v>
      </c>
      <c r="M43" s="171"/>
      <c r="N43" s="171"/>
    </row>
    <row r="44" spans="2:14" ht="18" x14ac:dyDescent="0.25">
      <c r="B44" s="9"/>
      <c r="C44" s="20"/>
      <c r="D44" s="132"/>
      <c r="E44" s="31"/>
      <c r="F44" s="31"/>
      <c r="G44" s="6"/>
      <c r="H44" s="135" t="s">
        <v>11</v>
      </c>
      <c r="I44" s="156">
        <f>SUM(I43:I43)</f>
        <v>75000</v>
      </c>
      <c r="J44" s="24"/>
      <c r="K44" s="135" t="s">
        <v>11</v>
      </c>
      <c r="L44" s="136">
        <f>SUM(L43:L43)</f>
        <v>29007.198033707864</v>
      </c>
      <c r="M44" s="171"/>
      <c r="N44" s="171"/>
    </row>
    <row r="45" spans="2:14" ht="18" x14ac:dyDescent="0.25">
      <c r="B45" s="9"/>
      <c r="C45" s="20"/>
      <c r="D45" s="132"/>
      <c r="E45" s="31"/>
      <c r="F45" s="31"/>
      <c r="G45" s="6"/>
      <c r="H45" s="24"/>
      <c r="I45" s="53"/>
      <c r="J45" s="24"/>
      <c r="K45" s="24"/>
      <c r="L45" s="90"/>
      <c r="M45" s="171"/>
      <c r="N45" s="171"/>
    </row>
    <row r="46" spans="2:14" ht="18" x14ac:dyDescent="0.25">
      <c r="B46" s="9"/>
      <c r="C46" s="12">
        <v>1.1000000000000001</v>
      </c>
      <c r="D46" s="128" t="s">
        <v>40</v>
      </c>
      <c r="E46" s="31">
        <v>1988</v>
      </c>
      <c r="F46" s="31"/>
      <c r="G46" s="6"/>
      <c r="H46" s="24"/>
      <c r="I46" s="53"/>
      <c r="J46" s="24"/>
      <c r="K46" s="24"/>
      <c r="L46" s="90"/>
      <c r="M46" s="171"/>
      <c r="N46" s="171"/>
    </row>
    <row r="47" spans="2:14" ht="18" x14ac:dyDescent="0.25">
      <c r="B47" s="9"/>
      <c r="C47" s="20"/>
      <c r="D47" s="131" t="s">
        <v>107</v>
      </c>
      <c r="E47" s="31"/>
      <c r="F47" s="31">
        <v>1</v>
      </c>
      <c r="G47" s="6" t="s">
        <v>54</v>
      </c>
      <c r="H47" s="53">
        <v>92500</v>
      </c>
      <c r="I47" s="53">
        <f t="shared" ref="I47" si="16">H47*F47</f>
        <v>92500</v>
      </c>
      <c r="J47" s="24">
        <v>11392</v>
      </c>
      <c r="K47" s="28">
        <v>4519</v>
      </c>
      <c r="L47" s="61">
        <f t="shared" ref="L47" si="17">I47*(K47/J47)</f>
        <v>36693.074087078654</v>
      </c>
      <c r="M47" s="171"/>
      <c r="N47" s="171"/>
    </row>
    <row r="48" spans="2:14" ht="18" x14ac:dyDescent="0.25">
      <c r="B48" s="9"/>
      <c r="C48" s="20"/>
      <c r="D48" s="132"/>
      <c r="E48" s="31"/>
      <c r="F48" s="31"/>
      <c r="G48" s="6"/>
      <c r="H48" s="135" t="s">
        <v>11</v>
      </c>
      <c r="I48" s="156">
        <f>SUM(I47:I47)</f>
        <v>92500</v>
      </c>
      <c r="J48" s="24"/>
      <c r="K48" s="135" t="s">
        <v>11</v>
      </c>
      <c r="L48" s="136">
        <f>SUM(L47:L47)</f>
        <v>36693.074087078654</v>
      </c>
      <c r="M48" s="171"/>
      <c r="N48" s="171"/>
    </row>
    <row r="49" spans="2:13" ht="18" x14ac:dyDescent="0.25">
      <c r="B49" s="9"/>
      <c r="C49" s="20"/>
      <c r="D49" s="132"/>
      <c r="E49" s="31"/>
      <c r="F49" s="31"/>
      <c r="G49" s="6"/>
      <c r="H49" s="24"/>
      <c r="I49" s="53"/>
      <c r="J49" s="24"/>
      <c r="K49" s="24"/>
      <c r="L49" s="90"/>
      <c r="M49" s="171"/>
    </row>
    <row r="50" spans="2:13" ht="18" x14ac:dyDescent="0.25">
      <c r="B50" s="9"/>
      <c r="C50" s="12">
        <v>1.1100000000000001</v>
      </c>
      <c r="D50" s="128" t="s">
        <v>108</v>
      </c>
      <c r="E50" s="31">
        <v>2021</v>
      </c>
      <c r="F50" s="31"/>
      <c r="G50" s="6"/>
      <c r="H50" s="24"/>
      <c r="I50" s="53"/>
      <c r="J50" s="24"/>
      <c r="K50" s="24"/>
      <c r="L50" s="90"/>
      <c r="M50" s="171"/>
    </row>
    <row r="51" spans="2:13" ht="18" x14ac:dyDescent="0.25">
      <c r="B51" s="9"/>
      <c r="C51" s="20"/>
      <c r="D51" s="131" t="s">
        <v>109</v>
      </c>
      <c r="E51" s="31"/>
      <c r="F51" s="31">
        <v>1</v>
      </c>
      <c r="G51" s="6" t="s">
        <v>54</v>
      </c>
      <c r="H51" s="53">
        <v>23500</v>
      </c>
      <c r="I51" s="53">
        <f t="shared" ref="I51" si="18">H51*F51</f>
        <v>23500</v>
      </c>
      <c r="J51" s="24" t="s">
        <v>110</v>
      </c>
      <c r="K51" s="24" t="s">
        <v>110</v>
      </c>
      <c r="L51" s="61">
        <v>23500</v>
      </c>
      <c r="M51" s="171"/>
    </row>
    <row r="52" spans="2:13" ht="18.75" thickBot="1" x14ac:dyDescent="0.3">
      <c r="B52" s="13"/>
      <c r="C52" s="66"/>
      <c r="D52" s="138"/>
      <c r="E52" s="65"/>
      <c r="F52" s="65"/>
      <c r="G52" s="37"/>
      <c r="H52" s="139" t="s">
        <v>11</v>
      </c>
      <c r="I52" s="162">
        <f>SUM(I51:I51)</f>
        <v>23500</v>
      </c>
      <c r="J52" s="63"/>
      <c r="K52" s="139" t="s">
        <v>11</v>
      </c>
      <c r="L52" s="140">
        <f>SUM(L51:L51)</f>
        <v>23500</v>
      </c>
      <c r="M52" s="171"/>
    </row>
    <row r="53" spans="2:13" ht="18" x14ac:dyDescent="0.25">
      <c r="B53" s="99"/>
      <c r="C53" s="141"/>
      <c r="D53" s="142"/>
      <c r="E53" s="104"/>
      <c r="F53" s="104"/>
      <c r="G53" s="103"/>
      <c r="H53" s="143"/>
      <c r="I53" s="144"/>
      <c r="J53" s="143"/>
      <c r="K53" s="143"/>
      <c r="L53" s="145"/>
      <c r="M53" s="171"/>
    </row>
    <row r="54" spans="2:13" ht="18" x14ac:dyDescent="0.25">
      <c r="B54" s="9"/>
      <c r="C54" s="12">
        <v>1.1200000000000001</v>
      </c>
      <c r="D54" s="128" t="s">
        <v>42</v>
      </c>
      <c r="E54" s="31">
        <v>1993</v>
      </c>
      <c r="F54" s="31"/>
      <c r="G54" s="6"/>
      <c r="H54" s="24"/>
      <c r="I54" s="53"/>
      <c r="J54" s="24"/>
      <c r="K54" s="24"/>
      <c r="L54" s="90"/>
      <c r="M54" s="171"/>
    </row>
    <row r="55" spans="2:13" ht="18" x14ac:dyDescent="0.25">
      <c r="B55" s="9"/>
      <c r="C55" s="20"/>
      <c r="D55" s="131" t="s">
        <v>111</v>
      </c>
      <c r="E55" s="31"/>
      <c r="F55" s="31">
        <v>1</v>
      </c>
      <c r="G55" s="6" t="s">
        <v>54</v>
      </c>
      <c r="H55" s="53">
        <v>45000</v>
      </c>
      <c r="I55" s="53">
        <f t="shared" ref="I55" si="19">H55*F55</f>
        <v>45000</v>
      </c>
      <c r="J55" s="24">
        <v>11392</v>
      </c>
      <c r="K55" s="24">
        <v>5210</v>
      </c>
      <c r="L55" s="61">
        <f t="shared" ref="L55" si="20">I55*(K55/J55)</f>
        <v>20580.231741573032</v>
      </c>
      <c r="M55" s="171"/>
    </row>
    <row r="56" spans="2:13" ht="18" x14ac:dyDescent="0.25">
      <c r="B56" s="9"/>
      <c r="C56" s="20"/>
      <c r="D56" s="132"/>
      <c r="E56" s="31"/>
      <c r="F56" s="31"/>
      <c r="G56" s="6"/>
      <c r="H56" s="135" t="s">
        <v>11</v>
      </c>
      <c r="I56" s="156">
        <f>SUM(I55:I55)</f>
        <v>45000</v>
      </c>
      <c r="J56" s="24"/>
      <c r="K56" s="135" t="s">
        <v>11</v>
      </c>
      <c r="L56" s="136">
        <f>SUM(L55:L55)</f>
        <v>20580.231741573032</v>
      </c>
      <c r="M56" s="171"/>
    </row>
    <row r="57" spans="2:13" ht="18" x14ac:dyDescent="0.25">
      <c r="B57" s="9"/>
      <c r="C57" s="20"/>
      <c r="D57" s="132"/>
      <c r="E57" s="31"/>
      <c r="F57" s="31"/>
      <c r="G57" s="6"/>
      <c r="H57" s="24"/>
      <c r="I57" s="53"/>
      <c r="J57" s="24"/>
      <c r="K57" s="24"/>
      <c r="L57" s="90"/>
      <c r="M57" s="171"/>
    </row>
    <row r="58" spans="2:13" ht="18" x14ac:dyDescent="0.25">
      <c r="B58" s="9"/>
      <c r="C58" s="12">
        <v>1.1299999999999999</v>
      </c>
      <c r="D58" s="128" t="s">
        <v>43</v>
      </c>
      <c r="E58" s="31">
        <v>2002</v>
      </c>
      <c r="F58" s="31"/>
      <c r="G58" s="6"/>
      <c r="H58" s="24"/>
      <c r="I58" s="53"/>
      <c r="J58" s="24"/>
      <c r="K58" s="24"/>
      <c r="L58" s="90"/>
      <c r="M58" s="29"/>
    </row>
    <row r="59" spans="2:13" ht="18" x14ac:dyDescent="0.25">
      <c r="B59" s="9"/>
      <c r="C59" s="20"/>
      <c r="D59" s="126" t="s">
        <v>104</v>
      </c>
      <c r="E59" s="31"/>
      <c r="F59" s="31">
        <v>1</v>
      </c>
      <c r="G59" s="6" t="s">
        <v>54</v>
      </c>
      <c r="H59" s="53">
        <v>72500</v>
      </c>
      <c r="I59" s="53">
        <f t="shared" ref="I59" si="21">H59*F59</f>
        <v>72500</v>
      </c>
      <c r="J59" s="24">
        <v>11392</v>
      </c>
      <c r="K59" s="24">
        <v>6538</v>
      </c>
      <c r="L59" s="61">
        <f t="shared" ref="L59" si="22">I59*(K59/J59)</f>
        <v>41608.584971910117</v>
      </c>
      <c r="M59" s="171"/>
    </row>
    <row r="60" spans="2:13" ht="18" x14ac:dyDescent="0.25">
      <c r="B60" s="9"/>
      <c r="C60" s="20"/>
      <c r="D60" s="132"/>
      <c r="E60" s="31"/>
      <c r="F60" s="31"/>
      <c r="G60" s="6"/>
      <c r="H60" s="135" t="s">
        <v>11</v>
      </c>
      <c r="I60" s="156">
        <f>SUM(I59:I59)</f>
        <v>72500</v>
      </c>
      <c r="J60" s="24"/>
      <c r="K60" s="135" t="s">
        <v>11</v>
      </c>
      <c r="L60" s="136">
        <f>SUM(L59:L59)</f>
        <v>41608.584971910117</v>
      </c>
      <c r="M60" s="171"/>
    </row>
    <row r="61" spans="2:13" ht="18" x14ac:dyDescent="0.25">
      <c r="B61" s="9"/>
      <c r="C61" s="20"/>
      <c r="D61" s="132"/>
      <c r="E61" s="31"/>
      <c r="F61" s="31"/>
      <c r="G61" s="6"/>
      <c r="H61" s="24"/>
      <c r="I61" s="53"/>
      <c r="J61" s="24"/>
      <c r="K61" s="24"/>
      <c r="L61" s="90"/>
      <c r="M61" s="171"/>
    </row>
    <row r="62" spans="2:13" ht="18" x14ac:dyDescent="0.25">
      <c r="B62" s="9"/>
      <c r="C62" s="12">
        <v>1.1399999999999999</v>
      </c>
      <c r="D62" s="128" t="s">
        <v>44</v>
      </c>
      <c r="E62" s="31">
        <v>2005</v>
      </c>
      <c r="F62" s="31"/>
      <c r="G62" s="6"/>
      <c r="H62" s="24"/>
      <c r="I62" s="53"/>
      <c r="J62" s="24"/>
      <c r="K62" s="24"/>
      <c r="L62" s="90"/>
      <c r="M62" s="171"/>
    </row>
    <row r="63" spans="2:13" ht="18" x14ac:dyDescent="0.25">
      <c r="B63" s="9"/>
      <c r="C63" s="20"/>
      <c r="D63" s="126" t="s">
        <v>112</v>
      </c>
      <c r="E63" s="31"/>
      <c r="F63" s="31">
        <v>1</v>
      </c>
      <c r="G63" s="6" t="s">
        <v>54</v>
      </c>
      <c r="H63" s="53">
        <v>65000</v>
      </c>
      <c r="I63" s="53">
        <f t="shared" ref="I63" si="23">H63*F63</f>
        <v>65000</v>
      </c>
      <c r="J63" s="24">
        <v>11392</v>
      </c>
      <c r="K63" s="24">
        <v>7446</v>
      </c>
      <c r="L63" s="61">
        <f t="shared" ref="L63" si="24">I63*(K63/J63)</f>
        <v>42485.077247191017</v>
      </c>
      <c r="M63" s="171"/>
    </row>
    <row r="64" spans="2:13" ht="18.75" thickBot="1" x14ac:dyDescent="0.3">
      <c r="B64" s="9"/>
      <c r="C64" s="20"/>
      <c r="D64" s="132"/>
      <c r="E64" s="31"/>
      <c r="F64" s="31"/>
      <c r="G64" s="6"/>
      <c r="H64" s="135" t="s">
        <v>11</v>
      </c>
      <c r="I64" s="156">
        <f>SUM(I63:I63)</f>
        <v>65000</v>
      </c>
      <c r="J64" s="24"/>
      <c r="K64" s="135" t="s">
        <v>11</v>
      </c>
      <c r="L64" s="136">
        <f>SUM(L63:L63)</f>
        <v>42485.077247191017</v>
      </c>
      <c r="M64" s="171"/>
    </row>
    <row r="65" spans="2:13" ht="18" x14ac:dyDescent="0.25">
      <c r="B65" s="67"/>
      <c r="C65" s="68"/>
      <c r="D65" s="69"/>
      <c r="E65" s="70"/>
      <c r="F65" s="70"/>
      <c r="G65" s="71"/>
      <c r="H65" s="72"/>
      <c r="I65" s="73"/>
      <c r="J65" s="72"/>
      <c r="K65" s="72"/>
      <c r="L65" s="74"/>
      <c r="M65" s="29"/>
    </row>
    <row r="66" spans="2:13" ht="18.75" thickBot="1" x14ac:dyDescent="0.25">
      <c r="B66" s="214" t="s">
        <v>113</v>
      </c>
      <c r="C66" s="215"/>
      <c r="D66" s="215"/>
      <c r="E66" s="215"/>
      <c r="F66" s="215"/>
      <c r="G66" s="215"/>
      <c r="H66" s="215"/>
      <c r="I66" s="215"/>
      <c r="J66" s="215"/>
      <c r="K66" s="215"/>
      <c r="L66" s="75">
        <f>SUM(L64+L60+L56+L52+L48+L44+L40+L36+L29+L25+L21+L17+L13)</f>
        <v>292281.68890449428</v>
      </c>
      <c r="M66" s="171"/>
    </row>
    <row r="67" spans="2:13" x14ac:dyDescent="0.2">
      <c r="B67" s="206" t="s">
        <v>114</v>
      </c>
      <c r="C67" s="206"/>
      <c r="D67" s="206"/>
      <c r="E67" s="206"/>
      <c r="F67" s="206"/>
      <c r="G67" s="206"/>
      <c r="H67" s="206"/>
      <c r="I67" s="206"/>
      <c r="J67" s="206"/>
      <c r="K67" s="206"/>
      <c r="L67" s="206"/>
      <c r="M67" s="171"/>
    </row>
    <row r="68" spans="2:13" s="167" customFormat="1" x14ac:dyDescent="0.2">
      <c r="B68" s="206" t="s">
        <v>115</v>
      </c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171"/>
    </row>
    <row r="69" spans="2:13" x14ac:dyDescent="0.2">
      <c r="B69" s="206" t="s">
        <v>116</v>
      </c>
      <c r="C69" s="206"/>
      <c r="D69" s="206"/>
      <c r="E69" s="206"/>
      <c r="F69" s="206"/>
      <c r="G69" s="206"/>
      <c r="H69" s="206"/>
      <c r="I69" s="206"/>
      <c r="J69" s="206"/>
      <c r="K69" s="206"/>
      <c r="L69" s="206"/>
      <c r="M69" s="171"/>
    </row>
    <row r="70" spans="2:13" ht="18" x14ac:dyDescent="0.25">
      <c r="B70" s="93"/>
      <c r="C70" s="94"/>
      <c r="D70" s="95"/>
      <c r="E70" s="96"/>
      <c r="F70" s="96"/>
      <c r="G70" s="97"/>
      <c r="H70" s="98"/>
      <c r="I70" s="86"/>
      <c r="J70" s="98"/>
      <c r="K70" s="98"/>
      <c r="L70" s="86"/>
      <c r="M70" s="29"/>
    </row>
  </sheetData>
  <mergeCells count="28">
    <mergeCell ref="B69:L69"/>
    <mergeCell ref="B6:L6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B68:L68"/>
    <mergeCell ref="B66:K66"/>
    <mergeCell ref="B67:L67"/>
    <mergeCell ref="B5:L5"/>
    <mergeCell ref="B2:L2"/>
    <mergeCell ref="B3:L3"/>
    <mergeCell ref="P3:U3"/>
    <mergeCell ref="B4:L4"/>
    <mergeCell ref="P4:U4"/>
    <mergeCell ref="P7:U7"/>
    <mergeCell ref="P8:U8"/>
    <mergeCell ref="Q9:Q11"/>
    <mergeCell ref="R9:R11"/>
    <mergeCell ref="S9:S11"/>
    <mergeCell ref="T9:T11"/>
  </mergeCells>
  <printOptions horizontalCentered="1"/>
  <pageMargins left="0.7" right="0.7" top="1.2" bottom="0.75" header="0.3" footer="0.3"/>
  <pageSetup scale="49" fitToHeight="0" orientation="landscape" r:id="rId1"/>
  <headerFooter>
    <oddFooter>Page &amp;P of &amp;N</oddFooter>
  </headerFooter>
  <rowBreaks count="1" manualBreakCount="1">
    <brk id="52" min="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D8E71-8D87-4958-8794-D36087346167}">
  <sheetPr>
    <pageSetUpPr fitToPage="1"/>
  </sheetPr>
  <dimension ref="B1:U126"/>
  <sheetViews>
    <sheetView tabSelected="1" view="pageBreakPreview" topLeftCell="B1" zoomScale="70" zoomScaleNormal="70" zoomScaleSheetLayoutView="70" workbookViewId="0">
      <selection activeCell="J94" sqref="J94"/>
    </sheetView>
  </sheetViews>
  <sheetFormatPr defaultColWidth="13.875" defaultRowHeight="14.25" x14ac:dyDescent="0.2"/>
  <cols>
    <col min="1" max="1" width="13.875" style="124"/>
    <col min="2" max="3" width="11.5" style="124" customWidth="1"/>
    <col min="4" max="4" width="66.375" style="124" customWidth="1"/>
    <col min="5" max="5" width="16.25" style="1" customWidth="1"/>
    <col min="6" max="6" width="15.125" style="1" customWidth="1"/>
    <col min="7" max="7" width="13" style="1" customWidth="1"/>
    <col min="8" max="8" width="16.5" style="124" bestFit="1" customWidth="1"/>
    <col min="9" max="9" width="17.875" style="124" bestFit="1" customWidth="1"/>
    <col min="10" max="10" width="16" style="124" bestFit="1" customWidth="1"/>
    <col min="11" max="11" width="18.5" style="124" customWidth="1"/>
    <col min="12" max="12" width="22.375" style="124" customWidth="1"/>
    <col min="13" max="13" width="13.875" style="124"/>
    <col min="14" max="14" width="12.25" style="124" customWidth="1"/>
    <col min="15" max="15" width="43.125" style="124" customWidth="1"/>
    <col min="16" max="16" width="16" style="124" customWidth="1"/>
    <col min="17" max="17" width="13.875" style="124"/>
    <col min="18" max="18" width="8.25" style="124" bestFit="1" customWidth="1"/>
    <col min="19" max="19" width="24.75" style="124" bestFit="1" customWidth="1"/>
    <col min="20" max="20" width="16.625" style="124" bestFit="1" customWidth="1"/>
    <col min="21" max="21" width="19" style="124" customWidth="1"/>
    <col min="22" max="16384" width="13.875" style="124"/>
  </cols>
  <sheetData>
    <row r="1" spans="2:21" ht="20.25" customHeight="1" thickBot="1" x14ac:dyDescent="0.25">
      <c r="B1" s="171"/>
      <c r="C1" s="171"/>
      <c r="D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</row>
    <row r="2" spans="2:21" ht="18" x14ac:dyDescent="0.25">
      <c r="B2" s="177" t="s">
        <v>0</v>
      </c>
      <c r="C2" s="178"/>
      <c r="D2" s="178"/>
      <c r="E2" s="178"/>
      <c r="F2" s="178"/>
      <c r="G2" s="178"/>
      <c r="H2" s="178"/>
      <c r="I2" s="178"/>
      <c r="J2" s="178"/>
      <c r="K2" s="178"/>
      <c r="L2" s="179"/>
      <c r="M2" s="171"/>
      <c r="N2" s="171"/>
      <c r="O2" s="171"/>
      <c r="P2" s="171"/>
      <c r="Q2" s="171"/>
      <c r="R2" s="171"/>
      <c r="S2" s="171"/>
      <c r="T2" s="171"/>
      <c r="U2" s="171"/>
    </row>
    <row r="3" spans="2:21" ht="18" x14ac:dyDescent="0.25">
      <c r="B3" s="180" t="s">
        <v>1</v>
      </c>
      <c r="C3" s="226"/>
      <c r="D3" s="226"/>
      <c r="E3" s="226"/>
      <c r="F3" s="226"/>
      <c r="G3" s="226"/>
      <c r="H3" s="226"/>
      <c r="I3" s="226"/>
      <c r="J3" s="226"/>
      <c r="K3" s="226"/>
      <c r="L3" s="182"/>
      <c r="M3" s="171"/>
      <c r="N3" s="171"/>
      <c r="O3" s="171"/>
      <c r="P3" s="186"/>
      <c r="Q3" s="186"/>
      <c r="R3" s="186"/>
      <c r="S3" s="186"/>
      <c r="T3" s="186"/>
      <c r="U3" s="186"/>
    </row>
    <row r="4" spans="2:21" ht="15" customHeight="1" x14ac:dyDescent="0.25">
      <c r="B4" s="187" t="str">
        <f>Overall!B4</f>
        <v>As of March 22, 2021</v>
      </c>
      <c r="C4" s="205"/>
      <c r="D4" s="205"/>
      <c r="E4" s="205"/>
      <c r="F4" s="205"/>
      <c r="G4" s="205"/>
      <c r="H4" s="205"/>
      <c r="I4" s="205"/>
      <c r="J4" s="205"/>
      <c r="K4" s="205"/>
      <c r="L4" s="189"/>
      <c r="M4" s="171"/>
      <c r="N4" s="171"/>
      <c r="O4" s="171"/>
      <c r="P4" s="186"/>
      <c r="Q4" s="186"/>
      <c r="R4" s="186"/>
      <c r="S4" s="186"/>
      <c r="T4" s="186"/>
      <c r="U4" s="186"/>
    </row>
    <row r="5" spans="2:21" ht="15" customHeight="1" x14ac:dyDescent="0.25">
      <c r="B5" s="187"/>
      <c r="C5" s="205"/>
      <c r="D5" s="205"/>
      <c r="E5" s="205"/>
      <c r="F5" s="205"/>
      <c r="G5" s="205"/>
      <c r="H5" s="205"/>
      <c r="I5" s="205"/>
      <c r="J5" s="205"/>
      <c r="K5" s="205"/>
      <c r="L5" s="189"/>
      <c r="M5" s="171"/>
      <c r="N5" s="171"/>
      <c r="O5" s="171"/>
      <c r="P5" s="171"/>
      <c r="Q5" s="171"/>
      <c r="R5" s="171"/>
      <c r="S5" s="171"/>
      <c r="T5" s="171"/>
      <c r="U5" s="171"/>
    </row>
    <row r="6" spans="2:21" ht="15" customHeight="1" thickBot="1" x14ac:dyDescent="0.3">
      <c r="B6" s="207" t="s">
        <v>117</v>
      </c>
      <c r="C6" s="208"/>
      <c r="D6" s="208"/>
      <c r="E6" s="208"/>
      <c r="F6" s="208"/>
      <c r="G6" s="208"/>
      <c r="H6" s="208"/>
      <c r="I6" s="208"/>
      <c r="J6" s="208"/>
      <c r="K6" s="208"/>
      <c r="L6" s="209"/>
      <c r="M6" s="171"/>
      <c r="N6" s="171"/>
      <c r="O6" s="171"/>
      <c r="P6" s="171"/>
      <c r="Q6" s="171"/>
      <c r="R6" s="171"/>
      <c r="S6" s="171"/>
      <c r="T6" s="171"/>
      <c r="U6" s="171"/>
    </row>
    <row r="7" spans="2:21" s="2" customFormat="1" ht="18" customHeight="1" x14ac:dyDescent="0.25">
      <c r="B7" s="210" t="s">
        <v>3</v>
      </c>
      <c r="C7" s="212" t="s">
        <v>24</v>
      </c>
      <c r="D7" s="213" t="s">
        <v>4</v>
      </c>
      <c r="E7" s="213" t="s">
        <v>25</v>
      </c>
      <c r="F7" s="213" t="s">
        <v>26</v>
      </c>
      <c r="G7" s="213" t="s">
        <v>27</v>
      </c>
      <c r="H7" s="213" t="s">
        <v>28</v>
      </c>
      <c r="I7" s="222" t="s">
        <v>49</v>
      </c>
      <c r="J7" s="222" t="s">
        <v>50</v>
      </c>
      <c r="K7" s="222" t="s">
        <v>51</v>
      </c>
      <c r="L7" s="216" t="s">
        <v>5</v>
      </c>
      <c r="P7" s="186"/>
      <c r="Q7" s="186"/>
      <c r="R7" s="186"/>
      <c r="S7" s="186"/>
      <c r="T7" s="186"/>
      <c r="U7" s="186"/>
    </row>
    <row r="8" spans="2:21" s="2" customFormat="1" ht="18" customHeight="1" x14ac:dyDescent="0.25">
      <c r="B8" s="211"/>
      <c r="C8" s="199"/>
      <c r="D8" s="197"/>
      <c r="E8" s="197"/>
      <c r="F8" s="197"/>
      <c r="G8" s="197"/>
      <c r="H8" s="197"/>
      <c r="I8" s="219"/>
      <c r="J8" s="219"/>
      <c r="K8" s="219"/>
      <c r="L8" s="217"/>
      <c r="P8" s="186"/>
      <c r="Q8" s="186"/>
      <c r="R8" s="186"/>
      <c r="S8" s="186"/>
      <c r="T8" s="186"/>
      <c r="U8" s="186"/>
    </row>
    <row r="9" spans="2:21" ht="18" x14ac:dyDescent="0.25">
      <c r="B9" s="19">
        <v>356.2</v>
      </c>
      <c r="C9" s="20">
        <v>1</v>
      </c>
      <c r="D9" s="22" t="s">
        <v>15</v>
      </c>
      <c r="E9" s="5"/>
      <c r="F9" s="5"/>
      <c r="G9" s="6"/>
      <c r="H9" s="23"/>
      <c r="I9" s="52"/>
      <c r="J9" s="52"/>
      <c r="K9" s="52"/>
      <c r="L9" s="92"/>
      <c r="M9" s="171"/>
      <c r="N9" s="33"/>
      <c r="O9" s="171"/>
      <c r="P9" s="171"/>
      <c r="Q9" s="186"/>
      <c r="R9" s="186"/>
      <c r="S9" s="186"/>
      <c r="T9" s="186"/>
      <c r="U9" s="171"/>
    </row>
    <row r="10" spans="2:21" ht="18" x14ac:dyDescent="0.25">
      <c r="B10" s="19"/>
      <c r="C10" s="20"/>
      <c r="D10" s="46"/>
      <c r="E10" s="5"/>
      <c r="F10" s="5"/>
      <c r="G10" s="6"/>
      <c r="H10" s="23"/>
      <c r="I10" s="52"/>
      <c r="J10" s="52"/>
      <c r="K10" s="52"/>
      <c r="L10" s="127"/>
      <c r="M10" s="171"/>
      <c r="N10" s="33"/>
      <c r="O10" s="171"/>
      <c r="P10" s="171"/>
      <c r="Q10" s="186"/>
      <c r="R10" s="186"/>
      <c r="S10" s="186"/>
      <c r="T10" s="186"/>
      <c r="U10" s="171"/>
    </row>
    <row r="11" spans="2:21" ht="18" x14ac:dyDescent="0.25">
      <c r="B11" s="9"/>
      <c r="C11" s="20">
        <v>1.1000000000000001</v>
      </c>
      <c r="D11" s="128" t="s">
        <v>29</v>
      </c>
      <c r="E11" s="31">
        <v>1964</v>
      </c>
      <c r="F11" s="31"/>
      <c r="G11" s="6"/>
      <c r="H11" s="24"/>
      <c r="I11" s="53"/>
      <c r="J11" s="3"/>
      <c r="K11" s="24"/>
      <c r="L11" s="134"/>
      <c r="M11" s="171"/>
      <c r="N11" s="171"/>
      <c r="O11" s="171"/>
      <c r="P11" s="171"/>
      <c r="Q11" s="186"/>
      <c r="R11" s="186"/>
      <c r="S11" s="186"/>
      <c r="T11" s="186"/>
      <c r="U11" s="171"/>
    </row>
    <row r="12" spans="2:21" ht="18" x14ac:dyDescent="0.25">
      <c r="B12" s="9"/>
      <c r="C12" s="20"/>
      <c r="D12" s="132" t="s">
        <v>118</v>
      </c>
      <c r="E12" s="31"/>
      <c r="F12" s="31">
        <v>1</v>
      </c>
      <c r="G12" s="6" t="s">
        <v>54</v>
      </c>
      <c r="H12" s="53">
        <v>12500</v>
      </c>
      <c r="I12" s="53">
        <f t="shared" ref="I12:I17" si="0">H12*F12</f>
        <v>12500</v>
      </c>
      <c r="J12" s="24">
        <v>11392</v>
      </c>
      <c r="K12" s="24">
        <v>936</v>
      </c>
      <c r="L12" s="61">
        <f>I12*(K12/J12)</f>
        <v>1027.0365168539327</v>
      </c>
      <c r="M12" s="171"/>
      <c r="N12" s="171"/>
      <c r="O12" s="171"/>
      <c r="P12" s="171"/>
      <c r="Q12" s="171"/>
      <c r="R12" s="171"/>
      <c r="S12" s="171"/>
      <c r="T12" s="171"/>
      <c r="U12" s="171"/>
    </row>
    <row r="13" spans="2:21" ht="18" x14ac:dyDescent="0.25">
      <c r="B13" s="9"/>
      <c r="C13" s="20"/>
      <c r="D13" s="132" t="s">
        <v>119</v>
      </c>
      <c r="E13" s="31"/>
      <c r="F13" s="31">
        <v>1</v>
      </c>
      <c r="G13" s="6" t="s">
        <v>54</v>
      </c>
      <c r="H13" s="53">
        <v>38725</v>
      </c>
      <c r="I13" s="53">
        <f t="shared" si="0"/>
        <v>38725</v>
      </c>
      <c r="J13" s="24">
        <v>11392</v>
      </c>
      <c r="K13" s="24">
        <v>936</v>
      </c>
      <c r="L13" s="61">
        <f t="shared" ref="L13:L17" si="1">I13*(K13/J13)</f>
        <v>3181.7591292134834</v>
      </c>
      <c r="M13" s="171"/>
      <c r="N13" s="171"/>
      <c r="O13" s="171"/>
      <c r="P13" s="171"/>
      <c r="Q13" s="171"/>
      <c r="R13" s="171"/>
      <c r="S13" s="171"/>
      <c r="T13" s="171"/>
      <c r="U13" s="171"/>
    </row>
    <row r="14" spans="2:21" ht="18" x14ac:dyDescent="0.25">
      <c r="B14" s="9"/>
      <c r="C14" s="20"/>
      <c r="D14" s="132" t="s">
        <v>120</v>
      </c>
      <c r="E14" s="31"/>
      <c r="F14" s="31">
        <v>1</v>
      </c>
      <c r="G14" s="6" t="s">
        <v>54</v>
      </c>
      <c r="H14" s="53">
        <v>18500</v>
      </c>
      <c r="I14" s="53">
        <f t="shared" si="0"/>
        <v>18500</v>
      </c>
      <c r="J14" s="24">
        <v>11392</v>
      </c>
      <c r="K14" s="24">
        <v>936</v>
      </c>
      <c r="L14" s="61">
        <f t="shared" si="1"/>
        <v>1520.0140449438204</v>
      </c>
      <c r="M14" s="171"/>
      <c r="N14" s="171"/>
      <c r="O14" s="171"/>
      <c r="P14" s="171"/>
      <c r="Q14" s="171"/>
      <c r="R14" s="171"/>
      <c r="S14" s="171"/>
      <c r="T14" s="171"/>
      <c r="U14" s="171"/>
    </row>
    <row r="15" spans="2:21" ht="18" x14ac:dyDescent="0.25">
      <c r="B15" s="9"/>
      <c r="C15" s="20"/>
      <c r="D15" s="132" t="s">
        <v>121</v>
      </c>
      <c r="E15" s="31"/>
      <c r="F15" s="31">
        <v>1</v>
      </c>
      <c r="G15" s="6" t="s">
        <v>54</v>
      </c>
      <c r="H15" s="53">
        <v>12500</v>
      </c>
      <c r="I15" s="53">
        <f t="shared" si="0"/>
        <v>12500</v>
      </c>
      <c r="J15" s="24">
        <v>11392</v>
      </c>
      <c r="K15" s="24">
        <v>936</v>
      </c>
      <c r="L15" s="61">
        <f t="shared" si="1"/>
        <v>1027.0365168539327</v>
      </c>
      <c r="M15" s="171"/>
      <c r="N15" s="171"/>
      <c r="O15" s="171"/>
      <c r="P15" s="171"/>
      <c r="Q15" s="171"/>
      <c r="R15" s="171"/>
      <c r="S15" s="171"/>
      <c r="T15" s="171"/>
      <c r="U15" s="171"/>
    </row>
    <row r="16" spans="2:21" ht="18" x14ac:dyDescent="0.25">
      <c r="B16" s="9"/>
      <c r="C16" s="20"/>
      <c r="D16" s="132" t="s">
        <v>122</v>
      </c>
      <c r="E16" s="31"/>
      <c r="F16" s="31">
        <v>1</v>
      </c>
      <c r="G16" s="6" t="s">
        <v>123</v>
      </c>
      <c r="H16" s="53">
        <v>4500</v>
      </c>
      <c r="I16" s="53">
        <f t="shared" si="0"/>
        <v>4500</v>
      </c>
      <c r="J16" s="24">
        <v>11392</v>
      </c>
      <c r="K16" s="24">
        <v>936</v>
      </c>
      <c r="L16" s="61">
        <f t="shared" si="1"/>
        <v>369.73314606741576</v>
      </c>
      <c r="M16" s="171"/>
      <c r="N16" s="171"/>
      <c r="O16" s="171"/>
      <c r="P16" s="171"/>
      <c r="Q16" s="171"/>
      <c r="R16" s="171"/>
      <c r="S16" s="171"/>
      <c r="T16" s="171"/>
      <c r="U16" s="171"/>
    </row>
    <row r="17" spans="2:16" ht="18" x14ac:dyDescent="0.25">
      <c r="B17" s="9"/>
      <c r="C17" s="20"/>
      <c r="D17" s="132" t="s">
        <v>124</v>
      </c>
      <c r="E17" s="31"/>
      <c r="F17" s="31">
        <v>1</v>
      </c>
      <c r="G17" s="6" t="s">
        <v>123</v>
      </c>
      <c r="H17" s="53">
        <v>85000</v>
      </c>
      <c r="I17" s="53">
        <f t="shared" si="0"/>
        <v>85000</v>
      </c>
      <c r="J17" s="24">
        <v>11392</v>
      </c>
      <c r="K17" s="24">
        <v>936</v>
      </c>
      <c r="L17" s="61">
        <f t="shared" si="1"/>
        <v>6983.848314606742</v>
      </c>
      <c r="M17" s="171"/>
      <c r="N17" s="171"/>
      <c r="O17" s="171"/>
      <c r="P17" s="171"/>
    </row>
    <row r="18" spans="2:16" ht="18" x14ac:dyDescent="0.25">
      <c r="B18" s="9"/>
      <c r="C18" s="20"/>
      <c r="D18" s="132"/>
      <c r="E18" s="31"/>
      <c r="F18" s="31"/>
      <c r="G18" s="6"/>
      <c r="H18" s="135" t="s">
        <v>11</v>
      </c>
      <c r="I18" s="156">
        <f>SUM(I12:I17)</f>
        <v>171725</v>
      </c>
      <c r="J18" s="24"/>
      <c r="K18" s="135" t="s">
        <v>11</v>
      </c>
      <c r="L18" s="136">
        <f>SUM(L12:L17)</f>
        <v>14109.427668539327</v>
      </c>
      <c r="M18" s="171"/>
      <c r="N18" s="171"/>
      <c r="O18" s="171"/>
      <c r="P18" s="171"/>
    </row>
    <row r="19" spans="2:16" ht="18" x14ac:dyDescent="0.25">
      <c r="B19" s="9"/>
      <c r="C19" s="20"/>
      <c r="D19" s="132"/>
      <c r="E19" s="31"/>
      <c r="F19" s="31"/>
      <c r="G19" s="6"/>
      <c r="H19" s="24"/>
      <c r="I19" s="53"/>
      <c r="J19" s="24"/>
      <c r="K19" s="24"/>
      <c r="L19" s="90"/>
      <c r="M19" s="171"/>
      <c r="N19" s="171"/>
      <c r="O19" s="171"/>
      <c r="P19" s="171"/>
    </row>
    <row r="20" spans="2:16" ht="18" x14ac:dyDescent="0.25">
      <c r="B20" s="8"/>
      <c r="C20" s="20">
        <v>1.2</v>
      </c>
      <c r="D20" s="128" t="s">
        <v>31</v>
      </c>
      <c r="E20" s="31">
        <v>1965</v>
      </c>
      <c r="F20" s="31"/>
      <c r="G20" s="6"/>
      <c r="H20" s="24"/>
      <c r="I20" s="53"/>
      <c r="J20" s="24"/>
      <c r="K20" s="24"/>
      <c r="L20" s="90"/>
      <c r="M20" s="171"/>
      <c r="N20" s="171"/>
      <c r="O20" s="171"/>
      <c r="P20" s="171"/>
    </row>
    <row r="21" spans="2:16" ht="18" x14ac:dyDescent="0.25">
      <c r="B21" s="9"/>
      <c r="C21" s="20"/>
      <c r="D21" s="131" t="s">
        <v>125</v>
      </c>
      <c r="E21" s="31"/>
      <c r="F21" s="31">
        <v>1</v>
      </c>
      <c r="G21" s="6" t="s">
        <v>54</v>
      </c>
      <c r="H21" s="53">
        <v>18500</v>
      </c>
      <c r="I21" s="53">
        <f>H21*F21</f>
        <v>18500</v>
      </c>
      <c r="J21" s="24">
        <v>11392</v>
      </c>
      <c r="K21" s="24">
        <v>971</v>
      </c>
      <c r="L21" s="61">
        <f>I21*(K21/J21)</f>
        <v>1576.8521769662921</v>
      </c>
      <c r="M21" s="171"/>
      <c r="N21" s="171"/>
      <c r="O21" s="171"/>
      <c r="P21" s="171"/>
    </row>
    <row r="22" spans="2:16" ht="18" x14ac:dyDescent="0.25">
      <c r="B22" s="9"/>
      <c r="C22" s="20"/>
      <c r="D22" s="131" t="s">
        <v>118</v>
      </c>
      <c r="E22" s="31"/>
      <c r="F22" s="31">
        <v>1</v>
      </c>
      <c r="G22" s="6" t="s">
        <v>54</v>
      </c>
      <c r="H22" s="53">
        <v>7500</v>
      </c>
      <c r="I22" s="53">
        <f t="shared" ref="I22:I25" si="2">H22*F22</f>
        <v>7500</v>
      </c>
      <c r="J22" s="24">
        <v>11392</v>
      </c>
      <c r="K22" s="24">
        <v>971</v>
      </c>
      <c r="L22" s="61">
        <f t="shared" ref="L22:L25" si="3">I22*(K22/J22)</f>
        <v>639.26439606741576</v>
      </c>
      <c r="M22" s="171"/>
      <c r="N22" s="171"/>
      <c r="O22" s="171"/>
      <c r="P22" s="171"/>
    </row>
    <row r="23" spans="2:16" ht="18" x14ac:dyDescent="0.25">
      <c r="B23" s="9"/>
      <c r="C23" s="20"/>
      <c r="D23" s="131" t="s">
        <v>126</v>
      </c>
      <c r="E23" s="31"/>
      <c r="F23" s="31">
        <v>1</v>
      </c>
      <c r="G23" s="6" t="s">
        <v>54</v>
      </c>
      <c r="H23" s="53">
        <v>3500</v>
      </c>
      <c r="I23" s="53">
        <f t="shared" si="2"/>
        <v>3500</v>
      </c>
      <c r="J23" s="24">
        <v>11392</v>
      </c>
      <c r="K23" s="24">
        <v>971</v>
      </c>
      <c r="L23" s="61">
        <f t="shared" si="3"/>
        <v>298.32338483146066</v>
      </c>
      <c r="M23" s="171"/>
      <c r="N23" s="171"/>
      <c r="O23" s="171"/>
      <c r="P23" s="171"/>
    </row>
    <row r="24" spans="2:16" ht="18" x14ac:dyDescent="0.25">
      <c r="B24" s="9"/>
      <c r="C24" s="20"/>
      <c r="D24" s="131" t="s">
        <v>122</v>
      </c>
      <c r="E24" s="31"/>
      <c r="F24" s="31">
        <v>1</v>
      </c>
      <c r="G24" s="6" t="s">
        <v>123</v>
      </c>
      <c r="H24" s="53">
        <v>2500</v>
      </c>
      <c r="I24" s="53">
        <f t="shared" si="2"/>
        <v>2500</v>
      </c>
      <c r="J24" s="24">
        <v>11392</v>
      </c>
      <c r="K24" s="24">
        <v>971</v>
      </c>
      <c r="L24" s="61">
        <f t="shared" si="3"/>
        <v>213.08813202247191</v>
      </c>
      <c r="M24" s="171"/>
      <c r="N24" s="171"/>
      <c r="O24" s="171"/>
      <c r="P24" s="171"/>
    </row>
    <row r="25" spans="2:16" ht="18" x14ac:dyDescent="0.25">
      <c r="B25" s="9"/>
      <c r="C25" s="20"/>
      <c r="D25" s="131" t="s">
        <v>124</v>
      </c>
      <c r="E25" s="31"/>
      <c r="F25" s="31">
        <v>1</v>
      </c>
      <c r="G25" s="6" t="s">
        <v>123</v>
      </c>
      <c r="H25" s="53">
        <v>12500</v>
      </c>
      <c r="I25" s="53">
        <f t="shared" si="2"/>
        <v>12500</v>
      </c>
      <c r="J25" s="24">
        <v>11392</v>
      </c>
      <c r="K25" s="24">
        <v>971</v>
      </c>
      <c r="L25" s="61">
        <f t="shared" si="3"/>
        <v>1065.4406601123596</v>
      </c>
      <c r="M25" s="171"/>
      <c r="N25" s="171"/>
      <c r="O25" s="171"/>
      <c r="P25" s="171"/>
    </row>
    <row r="26" spans="2:16" ht="18" x14ac:dyDescent="0.25">
      <c r="B26" s="9"/>
      <c r="C26" s="20"/>
      <c r="D26" s="131"/>
      <c r="E26" s="31"/>
      <c r="F26" s="31"/>
      <c r="G26" s="6"/>
      <c r="H26" s="135" t="s">
        <v>11</v>
      </c>
      <c r="I26" s="156">
        <f>SUM(I20:I25)</f>
        <v>44500</v>
      </c>
      <c r="J26" s="24"/>
      <c r="K26" s="135" t="s">
        <v>11</v>
      </c>
      <c r="L26" s="136">
        <f>SUM(L21:L25)</f>
        <v>3792.9687500000005</v>
      </c>
      <c r="M26" s="171"/>
      <c r="N26" s="171"/>
      <c r="O26" s="171"/>
      <c r="P26" s="171"/>
    </row>
    <row r="27" spans="2:16" ht="18" x14ac:dyDescent="0.25">
      <c r="B27" s="9"/>
      <c r="C27" s="20"/>
      <c r="D27" s="132"/>
      <c r="E27" s="31"/>
      <c r="F27" s="31"/>
      <c r="G27" s="6"/>
      <c r="H27" s="24"/>
      <c r="I27" s="53"/>
      <c r="J27" s="24"/>
      <c r="K27" s="24"/>
      <c r="L27" s="90"/>
      <c r="M27" s="171"/>
      <c r="N27" s="171"/>
      <c r="O27" s="171"/>
      <c r="P27" s="171"/>
    </row>
    <row r="28" spans="2:16" ht="18" x14ac:dyDescent="0.25">
      <c r="B28" s="8"/>
      <c r="C28" s="20">
        <v>1.3</v>
      </c>
      <c r="D28" s="128" t="s">
        <v>32</v>
      </c>
      <c r="E28" s="31">
        <v>1965</v>
      </c>
      <c r="F28" s="31"/>
      <c r="G28" s="6"/>
      <c r="H28" s="24"/>
      <c r="I28" s="53"/>
      <c r="J28" s="24"/>
      <c r="K28" s="24"/>
      <c r="L28" s="90"/>
      <c r="M28" s="30"/>
      <c r="N28" s="30"/>
      <c r="O28" s="30"/>
      <c r="P28" s="30"/>
    </row>
    <row r="29" spans="2:16" ht="18" x14ac:dyDescent="0.25">
      <c r="B29" s="9"/>
      <c r="C29" s="20"/>
      <c r="D29" s="131" t="s">
        <v>127</v>
      </c>
      <c r="E29" s="31"/>
      <c r="F29" s="31">
        <v>1</v>
      </c>
      <c r="G29" s="6" t="s">
        <v>54</v>
      </c>
      <c r="H29" s="53">
        <v>12500</v>
      </c>
      <c r="I29" s="53">
        <f>H29*F29</f>
        <v>12500</v>
      </c>
      <c r="J29" s="24">
        <v>11392</v>
      </c>
      <c r="K29" s="24">
        <v>971</v>
      </c>
      <c r="L29" s="61">
        <f>I29*(K29/J29)</f>
        <v>1065.4406601123596</v>
      </c>
      <c r="M29" s="171"/>
      <c r="N29" s="171"/>
      <c r="O29" s="171"/>
      <c r="P29" s="171"/>
    </row>
    <row r="30" spans="2:16" ht="18" x14ac:dyDescent="0.25">
      <c r="B30" s="9"/>
      <c r="C30" s="20"/>
      <c r="D30" s="131" t="s">
        <v>118</v>
      </c>
      <c r="E30" s="31"/>
      <c r="F30" s="31">
        <v>1</v>
      </c>
      <c r="G30" s="6" t="s">
        <v>54</v>
      </c>
      <c r="H30" s="53">
        <v>7500</v>
      </c>
      <c r="I30" s="53">
        <f t="shared" ref="I30:I33" si="4">H30*F30</f>
        <v>7500</v>
      </c>
      <c r="J30" s="24">
        <v>11392</v>
      </c>
      <c r="K30" s="24">
        <v>971</v>
      </c>
      <c r="L30" s="61">
        <f t="shared" ref="L30:L33" si="5">I30*(K30/J30)</f>
        <v>639.26439606741576</v>
      </c>
      <c r="M30" s="171"/>
      <c r="N30" s="171"/>
      <c r="O30" s="171"/>
      <c r="P30" s="171"/>
    </row>
    <row r="31" spans="2:16" ht="18" x14ac:dyDescent="0.25">
      <c r="B31" s="9"/>
      <c r="C31" s="20"/>
      <c r="D31" s="131" t="s">
        <v>121</v>
      </c>
      <c r="E31" s="31"/>
      <c r="F31" s="31">
        <v>1</v>
      </c>
      <c r="G31" s="6" t="s">
        <v>54</v>
      </c>
      <c r="H31" s="53">
        <v>8500</v>
      </c>
      <c r="I31" s="53">
        <f t="shared" si="4"/>
        <v>8500</v>
      </c>
      <c r="J31" s="24">
        <v>11392</v>
      </c>
      <c r="K31" s="24">
        <v>971</v>
      </c>
      <c r="L31" s="61">
        <f t="shared" si="5"/>
        <v>724.49964887640454</v>
      </c>
      <c r="M31" s="171"/>
      <c r="N31" s="171"/>
      <c r="O31" s="171"/>
      <c r="P31" s="171"/>
    </row>
    <row r="32" spans="2:16" ht="18" x14ac:dyDescent="0.25">
      <c r="B32" s="9"/>
      <c r="C32" s="20"/>
      <c r="D32" s="131" t="s">
        <v>122</v>
      </c>
      <c r="E32" s="31"/>
      <c r="F32" s="31">
        <v>1</v>
      </c>
      <c r="G32" s="6" t="s">
        <v>123</v>
      </c>
      <c r="H32" s="53">
        <v>2500</v>
      </c>
      <c r="I32" s="53">
        <f t="shared" si="4"/>
        <v>2500</v>
      </c>
      <c r="J32" s="24">
        <v>11392</v>
      </c>
      <c r="K32" s="24">
        <v>971</v>
      </c>
      <c r="L32" s="61">
        <f t="shared" si="5"/>
        <v>213.08813202247191</v>
      </c>
      <c r="M32" s="171"/>
      <c r="N32" s="171"/>
      <c r="O32" s="171"/>
      <c r="P32" s="171"/>
    </row>
    <row r="33" spans="2:12" ht="18" x14ac:dyDescent="0.25">
      <c r="B33" s="9"/>
      <c r="C33" s="20"/>
      <c r="D33" s="131" t="s">
        <v>124</v>
      </c>
      <c r="E33" s="31"/>
      <c r="F33" s="31">
        <v>1</v>
      </c>
      <c r="G33" s="6" t="s">
        <v>123</v>
      </c>
      <c r="H33" s="53">
        <v>40000</v>
      </c>
      <c r="I33" s="53">
        <f t="shared" si="4"/>
        <v>40000</v>
      </c>
      <c r="J33" s="24">
        <v>11392</v>
      </c>
      <c r="K33" s="24">
        <v>971</v>
      </c>
      <c r="L33" s="61">
        <f t="shared" si="5"/>
        <v>3409.4101123595506</v>
      </c>
    </row>
    <row r="34" spans="2:12" ht="18" x14ac:dyDescent="0.25">
      <c r="B34" s="9"/>
      <c r="C34" s="20"/>
      <c r="D34" s="132"/>
      <c r="E34" s="31"/>
      <c r="F34" s="31"/>
      <c r="G34" s="6"/>
      <c r="H34" s="135" t="s">
        <v>11</v>
      </c>
      <c r="I34" s="156">
        <f>SUM(I29:I33)</f>
        <v>71000</v>
      </c>
      <c r="J34" s="24"/>
      <c r="K34" s="135" t="s">
        <v>11</v>
      </c>
      <c r="L34" s="136">
        <f>SUM(L29:L33)</f>
        <v>6051.7029494382023</v>
      </c>
    </row>
    <row r="35" spans="2:12" ht="18" x14ac:dyDescent="0.25">
      <c r="B35" s="9"/>
      <c r="C35" s="20"/>
      <c r="D35" s="132"/>
      <c r="E35" s="31"/>
      <c r="F35" s="31"/>
      <c r="G35" s="6"/>
      <c r="H35" s="24"/>
      <c r="I35" s="53"/>
      <c r="J35" s="24"/>
      <c r="K35" s="24"/>
      <c r="L35" s="90"/>
    </row>
    <row r="36" spans="2:12" ht="18" x14ac:dyDescent="0.25">
      <c r="B36" s="8"/>
      <c r="C36" s="20">
        <v>1.4</v>
      </c>
      <c r="D36" s="128" t="s">
        <v>34</v>
      </c>
      <c r="E36" s="31">
        <v>1978</v>
      </c>
      <c r="F36" s="31"/>
      <c r="G36" s="6"/>
      <c r="H36" s="24"/>
      <c r="I36" s="53"/>
      <c r="J36" s="24"/>
      <c r="K36" s="24"/>
      <c r="L36" s="90"/>
    </row>
    <row r="37" spans="2:12" ht="18" x14ac:dyDescent="0.25">
      <c r="B37" s="9"/>
      <c r="C37" s="20"/>
      <c r="D37" s="126" t="s">
        <v>127</v>
      </c>
      <c r="E37" s="31"/>
      <c r="F37" s="31">
        <v>1</v>
      </c>
      <c r="G37" s="6" t="s">
        <v>54</v>
      </c>
      <c r="H37" s="53">
        <v>12500</v>
      </c>
      <c r="I37" s="53">
        <f>H37*F37</f>
        <v>12500</v>
      </c>
      <c r="J37" s="24">
        <v>11392</v>
      </c>
      <c r="K37" s="24">
        <v>2776</v>
      </c>
      <c r="L37" s="61">
        <f>I37*(K37/J37)</f>
        <v>3045.9971910112358</v>
      </c>
    </row>
    <row r="38" spans="2:12" ht="18" x14ac:dyDescent="0.25">
      <c r="B38" s="9"/>
      <c r="C38" s="20"/>
      <c r="D38" s="126" t="s">
        <v>118</v>
      </c>
      <c r="E38" s="31"/>
      <c r="F38" s="31">
        <v>1</v>
      </c>
      <c r="G38" s="6" t="s">
        <v>54</v>
      </c>
      <c r="H38" s="53">
        <v>7500</v>
      </c>
      <c r="I38" s="53">
        <f t="shared" ref="I38:I41" si="6">H38*F38</f>
        <v>7500</v>
      </c>
      <c r="J38" s="24">
        <v>11392</v>
      </c>
      <c r="K38" s="24">
        <v>2776</v>
      </c>
      <c r="L38" s="61">
        <f t="shared" ref="L38:L41" si="7">I38*(K38/J38)</f>
        <v>1827.5983146067415</v>
      </c>
    </row>
    <row r="39" spans="2:12" ht="18" x14ac:dyDescent="0.25">
      <c r="B39" s="9"/>
      <c r="C39" s="20"/>
      <c r="D39" s="126" t="s">
        <v>121</v>
      </c>
      <c r="E39" s="31"/>
      <c r="F39" s="31">
        <v>1</v>
      </c>
      <c r="G39" s="6" t="s">
        <v>54</v>
      </c>
      <c r="H39" s="53">
        <v>8500</v>
      </c>
      <c r="I39" s="53">
        <f t="shared" si="6"/>
        <v>8500</v>
      </c>
      <c r="J39" s="24">
        <v>11392</v>
      </c>
      <c r="K39" s="24">
        <v>2776</v>
      </c>
      <c r="L39" s="61">
        <f t="shared" si="7"/>
        <v>2071.2780898876404</v>
      </c>
    </row>
    <row r="40" spans="2:12" ht="18" x14ac:dyDescent="0.25">
      <c r="B40" s="9"/>
      <c r="C40" s="20"/>
      <c r="D40" s="126" t="s">
        <v>122</v>
      </c>
      <c r="E40" s="31"/>
      <c r="F40" s="31">
        <v>1</v>
      </c>
      <c r="G40" s="6" t="s">
        <v>123</v>
      </c>
      <c r="H40" s="53">
        <v>2500</v>
      </c>
      <c r="I40" s="53">
        <f t="shared" si="6"/>
        <v>2500</v>
      </c>
      <c r="J40" s="24">
        <v>11392</v>
      </c>
      <c r="K40" s="24">
        <v>2776</v>
      </c>
      <c r="L40" s="61">
        <f t="shared" si="7"/>
        <v>609.19943820224717</v>
      </c>
    </row>
    <row r="41" spans="2:12" ht="18" x14ac:dyDescent="0.25">
      <c r="B41" s="9"/>
      <c r="C41" s="20"/>
      <c r="D41" s="126" t="s">
        <v>124</v>
      </c>
      <c r="E41" s="31"/>
      <c r="F41" s="31">
        <v>1</v>
      </c>
      <c r="G41" s="6" t="s">
        <v>123</v>
      </c>
      <c r="H41" s="53">
        <v>40000</v>
      </c>
      <c r="I41" s="53">
        <f t="shared" si="6"/>
        <v>40000</v>
      </c>
      <c r="J41" s="24">
        <v>11392</v>
      </c>
      <c r="K41" s="24">
        <v>2776</v>
      </c>
      <c r="L41" s="61">
        <f t="shared" si="7"/>
        <v>9747.1910112359546</v>
      </c>
    </row>
    <row r="42" spans="2:12" ht="18" x14ac:dyDescent="0.25">
      <c r="B42" s="9"/>
      <c r="C42" s="20"/>
      <c r="D42" s="132"/>
      <c r="E42" s="31"/>
      <c r="F42" s="31"/>
      <c r="G42" s="6"/>
      <c r="H42" s="135" t="s">
        <v>11</v>
      </c>
      <c r="I42" s="156">
        <f>SUM(I37:I41)</f>
        <v>71000</v>
      </c>
      <c r="J42" s="24"/>
      <c r="K42" s="135" t="s">
        <v>11</v>
      </c>
      <c r="L42" s="136">
        <f>SUM(L37:L41)</f>
        <v>17301.264044943819</v>
      </c>
    </row>
    <row r="43" spans="2:12" ht="18" x14ac:dyDescent="0.25">
      <c r="B43" s="9"/>
      <c r="C43" s="20"/>
      <c r="D43" s="132"/>
      <c r="E43" s="31"/>
      <c r="F43" s="31"/>
      <c r="G43" s="6"/>
      <c r="H43" s="24"/>
      <c r="I43" s="53"/>
      <c r="J43" s="24"/>
      <c r="K43" s="24"/>
      <c r="L43" s="90"/>
    </row>
    <row r="44" spans="2:12" ht="18" x14ac:dyDescent="0.25">
      <c r="B44" s="8"/>
      <c r="C44" s="20">
        <v>1.5</v>
      </c>
      <c r="D44" s="128" t="s">
        <v>35</v>
      </c>
      <c r="E44" s="31">
        <v>1978</v>
      </c>
      <c r="F44" s="31"/>
      <c r="G44" s="6"/>
      <c r="H44" s="24"/>
      <c r="I44" s="53"/>
      <c r="J44" s="24"/>
      <c r="K44" s="24"/>
      <c r="L44" s="90"/>
    </row>
    <row r="45" spans="2:12" ht="18" x14ac:dyDescent="0.25">
      <c r="B45" s="9"/>
      <c r="C45" s="20"/>
      <c r="D45" s="131" t="s">
        <v>127</v>
      </c>
      <c r="E45" s="31"/>
      <c r="F45" s="31">
        <v>1</v>
      </c>
      <c r="G45" s="6" t="s">
        <v>54</v>
      </c>
      <c r="H45" s="53">
        <v>18500</v>
      </c>
      <c r="I45" s="53">
        <f>H45*F45</f>
        <v>18500</v>
      </c>
      <c r="J45" s="24">
        <v>11392</v>
      </c>
      <c r="K45" s="24">
        <v>2776</v>
      </c>
      <c r="L45" s="61">
        <f>I45*(K45/J45)</f>
        <v>4508.0758426966295</v>
      </c>
    </row>
    <row r="46" spans="2:12" ht="18" x14ac:dyDescent="0.25">
      <c r="B46" s="9"/>
      <c r="C46" s="20"/>
      <c r="D46" s="131" t="s">
        <v>118</v>
      </c>
      <c r="E46" s="31"/>
      <c r="F46" s="31">
        <v>1</v>
      </c>
      <c r="G46" s="6" t="s">
        <v>54</v>
      </c>
      <c r="H46" s="53">
        <v>7500</v>
      </c>
      <c r="I46" s="53">
        <f t="shared" ref="I46:I49" si="8">H46*F46</f>
        <v>7500</v>
      </c>
      <c r="J46" s="24">
        <v>11392</v>
      </c>
      <c r="K46" s="24">
        <v>2776</v>
      </c>
      <c r="L46" s="61">
        <f t="shared" ref="L46:L49" si="9">I46*(K46/J46)</f>
        <v>1827.5983146067415</v>
      </c>
    </row>
    <row r="47" spans="2:12" ht="18" x14ac:dyDescent="0.25">
      <c r="B47" s="9"/>
      <c r="C47" s="20"/>
      <c r="D47" s="131" t="s">
        <v>121</v>
      </c>
      <c r="E47" s="31"/>
      <c r="F47" s="31">
        <v>1</v>
      </c>
      <c r="G47" s="6" t="s">
        <v>54</v>
      </c>
      <c r="H47" s="53">
        <v>8500</v>
      </c>
      <c r="I47" s="53">
        <f t="shared" si="8"/>
        <v>8500</v>
      </c>
      <c r="J47" s="24">
        <v>11392</v>
      </c>
      <c r="K47" s="24">
        <v>2776</v>
      </c>
      <c r="L47" s="61">
        <f t="shared" si="9"/>
        <v>2071.2780898876404</v>
      </c>
    </row>
    <row r="48" spans="2:12" ht="18" x14ac:dyDescent="0.25">
      <c r="B48" s="9"/>
      <c r="C48" s="20"/>
      <c r="D48" s="131" t="s">
        <v>122</v>
      </c>
      <c r="E48" s="31"/>
      <c r="F48" s="31">
        <v>1</v>
      </c>
      <c r="G48" s="6" t="s">
        <v>123</v>
      </c>
      <c r="H48" s="53">
        <v>2500</v>
      </c>
      <c r="I48" s="53">
        <f t="shared" si="8"/>
        <v>2500</v>
      </c>
      <c r="J48" s="24">
        <v>11392</v>
      </c>
      <c r="K48" s="24">
        <v>2776</v>
      </c>
      <c r="L48" s="61">
        <f t="shared" si="9"/>
        <v>609.19943820224717</v>
      </c>
    </row>
    <row r="49" spans="2:14" ht="18" x14ac:dyDescent="0.25">
      <c r="B49" s="9"/>
      <c r="C49" s="20"/>
      <c r="D49" s="131" t="s">
        <v>124</v>
      </c>
      <c r="E49" s="31"/>
      <c r="F49" s="31">
        <v>1</v>
      </c>
      <c r="G49" s="6" t="s">
        <v>123</v>
      </c>
      <c r="H49" s="53">
        <v>47250</v>
      </c>
      <c r="I49" s="53">
        <f t="shared" si="8"/>
        <v>47250</v>
      </c>
      <c r="J49" s="24">
        <v>11392</v>
      </c>
      <c r="K49" s="24">
        <v>2776</v>
      </c>
      <c r="L49" s="61">
        <f t="shared" si="9"/>
        <v>11513.869382022473</v>
      </c>
      <c r="M49" s="171"/>
      <c r="N49" s="171"/>
    </row>
    <row r="50" spans="2:14" ht="18.75" thickBot="1" x14ac:dyDescent="0.3">
      <c r="B50" s="13"/>
      <c r="C50" s="66"/>
      <c r="D50" s="138"/>
      <c r="E50" s="65"/>
      <c r="F50" s="65"/>
      <c r="G50" s="37"/>
      <c r="H50" s="139" t="s">
        <v>11</v>
      </c>
      <c r="I50" s="162">
        <f>SUM(I45:I49)</f>
        <v>84250</v>
      </c>
      <c r="J50" s="63"/>
      <c r="K50" s="139" t="s">
        <v>11</v>
      </c>
      <c r="L50" s="140">
        <f>SUM(L45:L49)</f>
        <v>20530.021067415732</v>
      </c>
      <c r="M50" s="171"/>
      <c r="N50" s="171"/>
    </row>
    <row r="51" spans="2:14" ht="18" x14ac:dyDescent="0.25">
      <c r="B51" s="99"/>
      <c r="C51" s="141"/>
      <c r="D51" s="142"/>
      <c r="E51" s="104"/>
      <c r="F51" s="104"/>
      <c r="G51" s="103"/>
      <c r="H51" s="143"/>
      <c r="I51" s="144"/>
      <c r="J51" s="143"/>
      <c r="K51" s="143"/>
      <c r="L51" s="145"/>
      <c r="M51" s="171"/>
      <c r="N51" s="171"/>
    </row>
    <row r="52" spans="2:14" ht="18" x14ac:dyDescent="0.25">
      <c r="B52" s="8"/>
      <c r="C52" s="20">
        <v>1.6</v>
      </c>
      <c r="D52" s="128" t="s">
        <v>77</v>
      </c>
      <c r="E52" s="31">
        <v>1980</v>
      </c>
      <c r="F52" s="31" t="s">
        <v>78</v>
      </c>
      <c r="G52" s="6" t="s">
        <v>78</v>
      </c>
      <c r="H52" s="24" t="s">
        <v>78</v>
      </c>
      <c r="I52" s="53" t="s">
        <v>78</v>
      </c>
      <c r="J52" s="24" t="s">
        <v>78</v>
      </c>
      <c r="K52" s="28" t="s">
        <v>78</v>
      </c>
      <c r="L52" s="137" t="s">
        <v>78</v>
      </c>
      <c r="M52" s="171"/>
      <c r="N52" s="171"/>
    </row>
    <row r="53" spans="2:14" ht="18" x14ac:dyDescent="0.25">
      <c r="B53" s="8"/>
      <c r="C53" s="20"/>
      <c r="D53" s="128"/>
      <c r="E53" s="31"/>
      <c r="F53" s="31"/>
      <c r="G53" s="6"/>
      <c r="H53" s="24"/>
      <c r="I53" s="53"/>
      <c r="J53" s="24"/>
      <c r="K53" s="24"/>
      <c r="L53" s="90"/>
      <c r="M53" s="171"/>
      <c r="N53" s="171"/>
    </row>
    <row r="54" spans="2:14" ht="18" x14ac:dyDescent="0.25">
      <c r="B54" s="8"/>
      <c r="C54" s="20">
        <v>1.7</v>
      </c>
      <c r="D54" s="128" t="s">
        <v>37</v>
      </c>
      <c r="E54" s="31">
        <v>1985</v>
      </c>
      <c r="F54" s="31"/>
      <c r="G54" s="6"/>
      <c r="H54" s="24"/>
      <c r="I54" s="53"/>
      <c r="J54" s="24"/>
      <c r="K54" s="24"/>
      <c r="L54" s="90"/>
      <c r="M54" s="171"/>
      <c r="N54" s="26"/>
    </row>
    <row r="55" spans="2:14" ht="18" x14ac:dyDescent="0.25">
      <c r="B55" s="9"/>
      <c r="C55" s="20"/>
      <c r="D55" s="131" t="s">
        <v>125</v>
      </c>
      <c r="E55" s="31"/>
      <c r="F55" s="31">
        <v>1</v>
      </c>
      <c r="G55" s="6" t="s">
        <v>54</v>
      </c>
      <c r="H55" s="53">
        <v>18500</v>
      </c>
      <c r="I55" s="53">
        <f>H55*F55</f>
        <v>18500</v>
      </c>
      <c r="J55" s="24">
        <v>11392</v>
      </c>
      <c r="K55" s="24">
        <v>4182</v>
      </c>
      <c r="L55" s="61">
        <f>I55*(K55/J55)</f>
        <v>6791.3448033707864</v>
      </c>
      <c r="M55" s="171"/>
      <c r="N55" s="171"/>
    </row>
    <row r="56" spans="2:14" ht="18" x14ac:dyDescent="0.25">
      <c r="B56" s="9"/>
      <c r="C56" s="20"/>
      <c r="D56" s="131" t="s">
        <v>118</v>
      </c>
      <c r="E56" s="31"/>
      <c r="F56" s="31">
        <v>1</v>
      </c>
      <c r="G56" s="6" t="s">
        <v>54</v>
      </c>
      <c r="H56" s="53">
        <v>7500</v>
      </c>
      <c r="I56" s="53">
        <f t="shared" ref="I56:I59" si="10">H56*F56</f>
        <v>7500</v>
      </c>
      <c r="J56" s="24">
        <v>11392</v>
      </c>
      <c r="K56" s="24">
        <v>4182</v>
      </c>
      <c r="L56" s="61">
        <f t="shared" ref="L56:L59" si="11">I56*(K56/J56)</f>
        <v>2753.2478932584272</v>
      </c>
      <c r="M56" s="171"/>
      <c r="N56" s="171"/>
    </row>
    <row r="57" spans="2:14" ht="18" x14ac:dyDescent="0.25">
      <c r="B57" s="9"/>
      <c r="C57" s="20"/>
      <c r="D57" s="131" t="s">
        <v>126</v>
      </c>
      <c r="E57" s="31"/>
      <c r="F57" s="31">
        <v>1</v>
      </c>
      <c r="G57" s="6" t="s">
        <v>54</v>
      </c>
      <c r="H57" s="53">
        <v>3500</v>
      </c>
      <c r="I57" s="53">
        <f t="shared" si="10"/>
        <v>3500</v>
      </c>
      <c r="J57" s="24">
        <v>11392</v>
      </c>
      <c r="K57" s="24">
        <v>4182</v>
      </c>
      <c r="L57" s="61">
        <f t="shared" si="11"/>
        <v>1284.8490168539327</v>
      </c>
      <c r="M57" s="171"/>
      <c r="N57" s="171"/>
    </row>
    <row r="58" spans="2:14" ht="18" x14ac:dyDescent="0.25">
      <c r="B58" s="9"/>
      <c r="C58" s="20"/>
      <c r="D58" s="131" t="s">
        <v>122</v>
      </c>
      <c r="E58" s="31"/>
      <c r="F58" s="31">
        <v>1</v>
      </c>
      <c r="G58" s="6" t="s">
        <v>123</v>
      </c>
      <c r="H58" s="53">
        <v>2500</v>
      </c>
      <c r="I58" s="53">
        <f t="shared" si="10"/>
        <v>2500</v>
      </c>
      <c r="J58" s="24">
        <v>11392</v>
      </c>
      <c r="K58" s="24">
        <v>4182</v>
      </c>
      <c r="L58" s="61">
        <f t="shared" si="11"/>
        <v>917.74929775280896</v>
      </c>
      <c r="M58" s="171"/>
      <c r="N58" s="171"/>
    </row>
    <row r="59" spans="2:14" ht="18" x14ac:dyDescent="0.25">
      <c r="B59" s="9"/>
      <c r="C59" s="20"/>
      <c r="D59" s="131" t="s">
        <v>124</v>
      </c>
      <c r="E59" s="31"/>
      <c r="F59" s="31">
        <v>1</v>
      </c>
      <c r="G59" s="6" t="s">
        <v>123</v>
      </c>
      <c r="H59" s="53">
        <v>12500</v>
      </c>
      <c r="I59" s="53">
        <f t="shared" si="10"/>
        <v>12500</v>
      </c>
      <c r="J59" s="24">
        <v>11392</v>
      </c>
      <c r="K59" s="24">
        <v>4182</v>
      </c>
      <c r="L59" s="61">
        <f t="shared" si="11"/>
        <v>4588.7464887640454</v>
      </c>
      <c r="M59" s="171"/>
      <c r="N59" s="171"/>
    </row>
    <row r="60" spans="2:14" ht="18" x14ac:dyDescent="0.25">
      <c r="B60" s="9"/>
      <c r="C60" s="20"/>
      <c r="D60" s="132"/>
      <c r="E60" s="31"/>
      <c r="F60" s="31"/>
      <c r="G60" s="6"/>
      <c r="H60" s="135" t="s">
        <v>11</v>
      </c>
      <c r="I60" s="156">
        <f>SUM(I55:I59)</f>
        <v>44500</v>
      </c>
      <c r="J60" s="24"/>
      <c r="K60" s="135" t="s">
        <v>11</v>
      </c>
      <c r="L60" s="136">
        <f>SUM(L55:L59)</f>
        <v>16335.9375</v>
      </c>
      <c r="M60" s="171"/>
      <c r="N60" s="171"/>
    </row>
    <row r="61" spans="2:14" ht="18" x14ac:dyDescent="0.25">
      <c r="B61" s="9"/>
      <c r="C61" s="20"/>
      <c r="D61" s="132"/>
      <c r="E61" s="31"/>
      <c r="F61" s="31"/>
      <c r="G61" s="6"/>
      <c r="H61" s="24"/>
      <c r="I61" s="53"/>
      <c r="J61" s="24"/>
      <c r="K61" s="24"/>
      <c r="L61" s="90"/>
      <c r="M61" s="171"/>
      <c r="N61" s="171"/>
    </row>
    <row r="62" spans="2:14" ht="18" x14ac:dyDescent="0.25">
      <c r="B62" s="8"/>
      <c r="C62" s="20">
        <v>1.8</v>
      </c>
      <c r="D62" s="128" t="s">
        <v>38</v>
      </c>
      <c r="E62" s="31">
        <v>1985</v>
      </c>
      <c r="F62" s="31"/>
      <c r="G62" s="6"/>
      <c r="H62" s="24"/>
      <c r="I62" s="53"/>
      <c r="J62" s="24"/>
      <c r="K62" s="24"/>
      <c r="L62" s="90"/>
      <c r="M62" s="171"/>
      <c r="N62" s="171"/>
    </row>
    <row r="63" spans="2:14" ht="18" x14ac:dyDescent="0.25">
      <c r="B63" s="9"/>
      <c r="C63" s="20"/>
      <c r="D63" s="131" t="s">
        <v>127</v>
      </c>
      <c r="E63" s="31"/>
      <c r="F63" s="31">
        <v>1</v>
      </c>
      <c r="G63" s="6" t="s">
        <v>54</v>
      </c>
      <c r="H63" s="53">
        <v>18500</v>
      </c>
      <c r="I63" s="53">
        <f>H63*F63</f>
        <v>18500</v>
      </c>
      <c r="J63" s="24">
        <v>11392</v>
      </c>
      <c r="K63" s="24">
        <v>4182</v>
      </c>
      <c r="L63" s="61">
        <f>I63*(K63/J63)</f>
        <v>6791.3448033707864</v>
      </c>
      <c r="M63" s="171"/>
      <c r="N63" s="171"/>
    </row>
    <row r="64" spans="2:14" ht="18" x14ac:dyDescent="0.25">
      <c r="B64" s="9"/>
      <c r="C64" s="20"/>
      <c r="D64" s="131" t="s">
        <v>118</v>
      </c>
      <c r="E64" s="31"/>
      <c r="F64" s="31">
        <v>1</v>
      </c>
      <c r="G64" s="6" t="s">
        <v>54</v>
      </c>
      <c r="H64" s="53">
        <v>7500</v>
      </c>
      <c r="I64" s="53">
        <f t="shared" ref="I64:I67" si="12">H64*F64</f>
        <v>7500</v>
      </c>
      <c r="J64" s="24">
        <v>11392</v>
      </c>
      <c r="K64" s="24">
        <v>4182</v>
      </c>
      <c r="L64" s="61">
        <f t="shared" ref="L64:L67" si="13">I64*(K64/J64)</f>
        <v>2753.2478932584272</v>
      </c>
      <c r="M64" s="171"/>
      <c r="N64" s="171"/>
    </row>
    <row r="65" spans="2:12" ht="18" x14ac:dyDescent="0.25">
      <c r="B65" s="9"/>
      <c r="C65" s="20"/>
      <c r="D65" s="131" t="s">
        <v>121</v>
      </c>
      <c r="E65" s="31"/>
      <c r="F65" s="31">
        <v>1</v>
      </c>
      <c r="G65" s="6" t="s">
        <v>54</v>
      </c>
      <c r="H65" s="53">
        <v>8500</v>
      </c>
      <c r="I65" s="53">
        <f t="shared" si="12"/>
        <v>8500</v>
      </c>
      <c r="J65" s="24">
        <v>11392</v>
      </c>
      <c r="K65" s="24">
        <v>4182</v>
      </c>
      <c r="L65" s="61">
        <f t="shared" si="13"/>
        <v>3120.3476123595506</v>
      </c>
    </row>
    <row r="66" spans="2:12" ht="18" x14ac:dyDescent="0.25">
      <c r="B66" s="9"/>
      <c r="C66" s="20"/>
      <c r="D66" s="131" t="s">
        <v>122</v>
      </c>
      <c r="E66" s="31"/>
      <c r="F66" s="31">
        <v>1</v>
      </c>
      <c r="G66" s="6" t="s">
        <v>123</v>
      </c>
      <c r="H66" s="53">
        <v>2500</v>
      </c>
      <c r="I66" s="53">
        <f t="shared" si="12"/>
        <v>2500</v>
      </c>
      <c r="J66" s="24">
        <v>11392</v>
      </c>
      <c r="K66" s="24">
        <v>4182</v>
      </c>
      <c r="L66" s="61">
        <f t="shared" si="13"/>
        <v>917.74929775280896</v>
      </c>
    </row>
    <row r="67" spans="2:12" ht="18" x14ac:dyDescent="0.25">
      <c r="B67" s="9"/>
      <c r="C67" s="20"/>
      <c r="D67" s="131" t="s">
        <v>124</v>
      </c>
      <c r="E67" s="31"/>
      <c r="F67" s="31">
        <v>1</v>
      </c>
      <c r="G67" s="6" t="s">
        <v>123</v>
      </c>
      <c r="H67" s="53">
        <v>47250</v>
      </c>
      <c r="I67" s="53">
        <f t="shared" si="12"/>
        <v>47250</v>
      </c>
      <c r="J67" s="24">
        <v>11392</v>
      </c>
      <c r="K67" s="24">
        <v>4182</v>
      </c>
      <c r="L67" s="61">
        <f t="shared" si="13"/>
        <v>17345.461727528091</v>
      </c>
    </row>
    <row r="68" spans="2:12" ht="18" x14ac:dyDescent="0.25">
      <c r="B68" s="9"/>
      <c r="C68" s="20"/>
      <c r="D68" s="132"/>
      <c r="E68" s="31"/>
      <c r="F68" s="31"/>
      <c r="G68" s="6"/>
      <c r="H68" s="135" t="s">
        <v>11</v>
      </c>
      <c r="I68" s="156">
        <f>SUM(I63:I67)</f>
        <v>84250</v>
      </c>
      <c r="J68" s="24"/>
      <c r="K68" s="135" t="s">
        <v>11</v>
      </c>
      <c r="L68" s="136">
        <f>SUM(L63:L67)</f>
        <v>30928.151334269663</v>
      </c>
    </row>
    <row r="69" spans="2:12" ht="18" x14ac:dyDescent="0.25">
      <c r="B69" s="9"/>
      <c r="C69" s="20"/>
      <c r="D69" s="132"/>
      <c r="E69" s="31"/>
      <c r="F69" s="31"/>
      <c r="G69" s="6"/>
      <c r="H69" s="24"/>
      <c r="I69" s="53"/>
      <c r="J69" s="24"/>
      <c r="K69" s="24"/>
      <c r="L69" s="90"/>
    </row>
    <row r="70" spans="2:12" ht="18" x14ac:dyDescent="0.25">
      <c r="B70" s="8"/>
      <c r="C70" s="20">
        <v>1.9</v>
      </c>
      <c r="D70" s="128" t="s">
        <v>39</v>
      </c>
      <c r="E70" s="31">
        <v>1987</v>
      </c>
      <c r="F70" s="31"/>
      <c r="G70" s="6"/>
      <c r="H70" s="24"/>
      <c r="I70" s="53"/>
      <c r="J70" s="24"/>
      <c r="K70" s="24"/>
      <c r="L70" s="90"/>
    </row>
    <row r="71" spans="2:12" ht="18" x14ac:dyDescent="0.25">
      <c r="B71" s="9"/>
      <c r="C71" s="20"/>
      <c r="D71" s="131" t="s">
        <v>118</v>
      </c>
      <c r="E71" s="31"/>
      <c r="F71" s="31">
        <v>1</v>
      </c>
      <c r="G71" s="6" t="s">
        <v>54</v>
      </c>
      <c r="H71" s="53">
        <v>12500</v>
      </c>
      <c r="I71" s="53">
        <f>H71*F71</f>
        <v>12500</v>
      </c>
      <c r="J71" s="24">
        <v>11392</v>
      </c>
      <c r="K71" s="24">
        <v>4406</v>
      </c>
      <c r="L71" s="61">
        <f>I71*(K71/J71)</f>
        <v>4834.5330056179773</v>
      </c>
    </row>
    <row r="72" spans="2:12" ht="18" x14ac:dyDescent="0.25">
      <c r="B72" s="9"/>
      <c r="C72" s="20"/>
      <c r="D72" s="131" t="s">
        <v>119</v>
      </c>
      <c r="E72" s="31"/>
      <c r="F72" s="31">
        <v>1</v>
      </c>
      <c r="G72" s="6" t="s">
        <v>54</v>
      </c>
      <c r="H72" s="53">
        <v>36250</v>
      </c>
      <c r="I72" s="53">
        <f t="shared" ref="I72:I74" si="14">H72*F72</f>
        <v>36250</v>
      </c>
      <c r="J72" s="24">
        <v>11392</v>
      </c>
      <c r="K72" s="24">
        <v>4406</v>
      </c>
      <c r="L72" s="61">
        <f t="shared" ref="L72:L74" si="15">I72*(K72/J72)</f>
        <v>14020.145716292134</v>
      </c>
    </row>
    <row r="73" spans="2:12" ht="18" x14ac:dyDescent="0.25">
      <c r="B73" s="9"/>
      <c r="C73" s="20"/>
      <c r="D73" s="131" t="s">
        <v>120</v>
      </c>
      <c r="E73" s="31"/>
      <c r="F73" s="31">
        <v>1</v>
      </c>
      <c r="G73" s="6" t="s">
        <v>54</v>
      </c>
      <c r="H73" s="53">
        <v>18500</v>
      </c>
      <c r="I73" s="53">
        <f t="shared" si="14"/>
        <v>18500</v>
      </c>
      <c r="J73" s="24">
        <v>11392</v>
      </c>
      <c r="K73" s="24">
        <v>4406</v>
      </c>
      <c r="L73" s="61">
        <f t="shared" si="15"/>
        <v>7155.1088483146068</v>
      </c>
    </row>
    <row r="74" spans="2:12" ht="18" x14ac:dyDescent="0.25">
      <c r="B74" s="9"/>
      <c r="C74" s="20"/>
      <c r="D74" s="131" t="s">
        <v>121</v>
      </c>
      <c r="E74" s="31"/>
      <c r="F74" s="31">
        <v>1</v>
      </c>
      <c r="G74" s="6" t="s">
        <v>54</v>
      </c>
      <c r="H74" s="53">
        <v>12500</v>
      </c>
      <c r="I74" s="53">
        <f t="shared" si="14"/>
        <v>12500</v>
      </c>
      <c r="J74" s="24">
        <v>11392</v>
      </c>
      <c r="K74" s="24">
        <v>4406</v>
      </c>
      <c r="L74" s="61">
        <f t="shared" si="15"/>
        <v>4834.5330056179773</v>
      </c>
    </row>
    <row r="75" spans="2:12" ht="18" x14ac:dyDescent="0.25">
      <c r="B75" s="9"/>
      <c r="C75" s="20"/>
      <c r="D75" s="131" t="s">
        <v>122</v>
      </c>
      <c r="E75" s="31"/>
      <c r="F75" s="31">
        <v>1</v>
      </c>
      <c r="G75" s="6" t="s">
        <v>123</v>
      </c>
      <c r="H75" s="53">
        <v>4500</v>
      </c>
      <c r="I75" s="53">
        <f t="shared" ref="I75:I76" si="16">H75*F75</f>
        <v>4500</v>
      </c>
      <c r="J75" s="24">
        <v>11392</v>
      </c>
      <c r="K75" s="24">
        <v>4406</v>
      </c>
      <c r="L75" s="61">
        <f t="shared" ref="L75:L76" si="17">I75*(K75/J75)</f>
        <v>1740.4318820224719</v>
      </c>
    </row>
    <row r="76" spans="2:12" ht="18" x14ac:dyDescent="0.25">
      <c r="B76" s="9"/>
      <c r="C76" s="20"/>
      <c r="D76" s="131" t="s">
        <v>124</v>
      </c>
      <c r="E76" s="31"/>
      <c r="F76" s="31">
        <v>1</v>
      </c>
      <c r="G76" s="6" t="s">
        <v>123</v>
      </c>
      <c r="H76" s="53">
        <v>74000</v>
      </c>
      <c r="I76" s="53">
        <f t="shared" si="16"/>
        <v>74000</v>
      </c>
      <c r="J76" s="24">
        <v>11392</v>
      </c>
      <c r="K76" s="24">
        <v>4406</v>
      </c>
      <c r="L76" s="61">
        <f t="shared" si="17"/>
        <v>28620.435393258427</v>
      </c>
    </row>
    <row r="77" spans="2:12" ht="18" x14ac:dyDescent="0.25">
      <c r="B77" s="9"/>
      <c r="C77" s="20"/>
      <c r="D77" s="132"/>
      <c r="E77" s="31"/>
      <c r="F77" s="31"/>
      <c r="G77" s="6"/>
      <c r="H77" s="135" t="s">
        <v>11</v>
      </c>
      <c r="I77" s="156">
        <f>SUM(I71:I76)</f>
        <v>158250</v>
      </c>
      <c r="J77" s="24"/>
      <c r="K77" s="135" t="s">
        <v>11</v>
      </c>
      <c r="L77" s="136">
        <f>SUM(L71:L76)</f>
        <v>61205.187851123599</v>
      </c>
    </row>
    <row r="78" spans="2:12" ht="18" x14ac:dyDescent="0.25">
      <c r="B78" s="9"/>
      <c r="C78" s="20"/>
      <c r="D78" s="132"/>
      <c r="E78" s="31"/>
      <c r="F78" s="31"/>
      <c r="G78" s="6"/>
      <c r="H78" s="24"/>
      <c r="I78" s="53"/>
      <c r="J78" s="24"/>
      <c r="K78" s="24"/>
      <c r="L78" s="90"/>
    </row>
    <row r="79" spans="2:12" ht="18" x14ac:dyDescent="0.25">
      <c r="B79" s="9"/>
      <c r="C79" s="12">
        <v>1.1000000000000001</v>
      </c>
      <c r="D79" s="128" t="s">
        <v>40</v>
      </c>
      <c r="E79" s="31">
        <v>1988</v>
      </c>
      <c r="F79" s="31"/>
      <c r="G79" s="6"/>
      <c r="H79" s="24"/>
      <c r="I79" s="53"/>
      <c r="J79" s="24"/>
      <c r="K79" s="24"/>
      <c r="L79" s="90"/>
    </row>
    <row r="80" spans="2:12" ht="18" x14ac:dyDescent="0.25">
      <c r="B80" s="9"/>
      <c r="C80" s="20"/>
      <c r="D80" s="131" t="s">
        <v>118</v>
      </c>
      <c r="E80" s="31"/>
      <c r="F80" s="31">
        <v>1</v>
      </c>
      <c r="G80" s="6" t="s">
        <v>54</v>
      </c>
      <c r="H80" s="53">
        <v>12500</v>
      </c>
      <c r="I80" s="53">
        <f>H80*F80</f>
        <v>12500</v>
      </c>
      <c r="J80" s="24">
        <v>11392</v>
      </c>
      <c r="K80" s="28">
        <v>4519</v>
      </c>
      <c r="L80" s="61">
        <f>I80*(K80/J80)</f>
        <v>4958.5235252808989</v>
      </c>
    </row>
    <row r="81" spans="2:12" ht="18" x14ac:dyDescent="0.25">
      <c r="B81" s="9"/>
      <c r="C81" s="20"/>
      <c r="D81" s="131" t="s">
        <v>119</v>
      </c>
      <c r="E81" s="31"/>
      <c r="F81" s="31">
        <v>1</v>
      </c>
      <c r="G81" s="6" t="s">
        <v>54</v>
      </c>
      <c r="H81" s="53">
        <v>56000</v>
      </c>
      <c r="I81" s="53">
        <f t="shared" ref="I81:I83" si="18">H81*F81</f>
        <v>56000</v>
      </c>
      <c r="J81" s="24">
        <v>11392</v>
      </c>
      <c r="K81" s="28">
        <v>4519</v>
      </c>
      <c r="L81" s="61">
        <f t="shared" ref="L81:L83" si="19">I81*(K81/J81)</f>
        <v>22214.185393258427</v>
      </c>
    </row>
    <row r="82" spans="2:12" ht="18" x14ac:dyDescent="0.25">
      <c r="B82" s="9"/>
      <c r="C82" s="20"/>
      <c r="D82" s="131" t="s">
        <v>120</v>
      </c>
      <c r="E82" s="31"/>
      <c r="F82" s="31">
        <v>1</v>
      </c>
      <c r="G82" s="6" t="s">
        <v>54</v>
      </c>
      <c r="H82" s="53">
        <v>22500</v>
      </c>
      <c r="I82" s="53">
        <f t="shared" si="18"/>
        <v>22500</v>
      </c>
      <c r="J82" s="24">
        <v>11392</v>
      </c>
      <c r="K82" s="28">
        <v>4519</v>
      </c>
      <c r="L82" s="61">
        <f t="shared" si="19"/>
        <v>8925.3423455056181</v>
      </c>
    </row>
    <row r="83" spans="2:12" ht="18" x14ac:dyDescent="0.25">
      <c r="B83" s="9"/>
      <c r="C83" s="20"/>
      <c r="D83" s="131" t="s">
        <v>121</v>
      </c>
      <c r="E83" s="31"/>
      <c r="F83" s="31">
        <v>1</v>
      </c>
      <c r="G83" s="6" t="s">
        <v>54</v>
      </c>
      <c r="H83" s="53">
        <v>12500</v>
      </c>
      <c r="I83" s="53">
        <f t="shared" si="18"/>
        <v>12500</v>
      </c>
      <c r="J83" s="24">
        <v>11392</v>
      </c>
      <c r="K83" s="28">
        <v>4519</v>
      </c>
      <c r="L83" s="61">
        <f t="shared" si="19"/>
        <v>4958.5235252808989</v>
      </c>
    </row>
    <row r="84" spans="2:12" ht="18" x14ac:dyDescent="0.25">
      <c r="B84" s="9"/>
      <c r="C84" s="20"/>
      <c r="D84" s="131" t="s">
        <v>122</v>
      </c>
      <c r="E84" s="31"/>
      <c r="F84" s="31">
        <v>1</v>
      </c>
      <c r="G84" s="6" t="s">
        <v>123</v>
      </c>
      <c r="H84" s="53">
        <v>4500</v>
      </c>
      <c r="I84" s="53">
        <f t="shared" ref="I84:I85" si="20">H84*F84</f>
        <v>4500</v>
      </c>
      <c r="J84" s="24">
        <v>11392</v>
      </c>
      <c r="K84" s="28">
        <v>4519</v>
      </c>
      <c r="L84" s="61">
        <f t="shared" ref="L84:L85" si="21">I84*(K84/J84)</f>
        <v>1785.0684691011236</v>
      </c>
    </row>
    <row r="85" spans="2:12" ht="18" x14ac:dyDescent="0.25">
      <c r="B85" s="9"/>
      <c r="C85" s="20"/>
      <c r="D85" s="131" t="s">
        <v>124</v>
      </c>
      <c r="E85" s="31"/>
      <c r="F85" s="31">
        <v>1</v>
      </c>
      <c r="G85" s="6" t="s">
        <v>123</v>
      </c>
      <c r="H85" s="53">
        <v>105000</v>
      </c>
      <c r="I85" s="53">
        <f t="shared" si="20"/>
        <v>105000</v>
      </c>
      <c r="J85" s="24">
        <v>11392</v>
      </c>
      <c r="K85" s="28">
        <v>4519</v>
      </c>
      <c r="L85" s="61">
        <f t="shared" si="21"/>
        <v>41651.597612359546</v>
      </c>
    </row>
    <row r="86" spans="2:12" ht="18" x14ac:dyDescent="0.25">
      <c r="B86" s="9"/>
      <c r="C86" s="20"/>
      <c r="D86" s="132"/>
      <c r="E86" s="31"/>
      <c r="F86" s="31"/>
      <c r="G86" s="6"/>
      <c r="H86" s="135" t="s">
        <v>11</v>
      </c>
      <c r="I86" s="156">
        <f>SUM(I80:I85)</f>
        <v>213000</v>
      </c>
      <c r="J86" s="24"/>
      <c r="K86" s="135" t="s">
        <v>11</v>
      </c>
      <c r="L86" s="136">
        <f>SUM(L80:L85)</f>
        <v>84493.240870786511</v>
      </c>
    </row>
    <row r="87" spans="2:12" ht="18" x14ac:dyDescent="0.25">
      <c r="B87" s="9"/>
      <c r="C87" s="20"/>
      <c r="D87" s="132"/>
      <c r="E87" s="31"/>
      <c r="F87" s="31"/>
      <c r="G87" s="6"/>
      <c r="H87" s="24"/>
      <c r="I87" s="53"/>
      <c r="J87" s="24"/>
      <c r="K87" s="24"/>
      <c r="L87" s="90"/>
    </row>
    <row r="88" spans="2:12" ht="18" x14ac:dyDescent="0.25">
      <c r="B88" s="9"/>
      <c r="C88" s="12">
        <v>1.1100000000000001</v>
      </c>
      <c r="D88" s="128" t="s">
        <v>108</v>
      </c>
      <c r="E88" s="31">
        <v>2021</v>
      </c>
      <c r="F88" s="31"/>
      <c r="G88" s="6"/>
      <c r="H88" s="24"/>
      <c r="I88" s="53"/>
      <c r="J88" s="24"/>
      <c r="K88" s="24"/>
      <c r="L88" s="90"/>
    </row>
    <row r="89" spans="2:12" ht="18" x14ac:dyDescent="0.25">
      <c r="B89" s="9"/>
      <c r="C89" s="20"/>
      <c r="D89" s="131" t="s">
        <v>128</v>
      </c>
      <c r="E89" s="31"/>
      <c r="F89" s="31">
        <v>1</v>
      </c>
      <c r="G89" s="6" t="s">
        <v>54</v>
      </c>
      <c r="H89" s="53">
        <v>10000</v>
      </c>
      <c r="I89" s="53">
        <f>H89*F89</f>
        <v>10000</v>
      </c>
      <c r="J89" s="24" t="s">
        <v>110</v>
      </c>
      <c r="K89" s="24" t="s">
        <v>110</v>
      </c>
      <c r="L89" s="61">
        <f>I89</f>
        <v>10000</v>
      </c>
    </row>
    <row r="90" spans="2:12" ht="18" x14ac:dyDescent="0.25">
      <c r="B90" s="9"/>
      <c r="C90" s="20"/>
      <c r="D90" s="131" t="s">
        <v>129</v>
      </c>
      <c r="E90" s="31"/>
      <c r="F90" s="31">
        <v>1</v>
      </c>
      <c r="G90" s="6" t="s">
        <v>54</v>
      </c>
      <c r="H90" s="53">
        <v>15000</v>
      </c>
      <c r="I90" s="53">
        <f t="shared" ref="I90:I93" si="22">H90*F90</f>
        <v>15000</v>
      </c>
      <c r="J90" s="24" t="s">
        <v>110</v>
      </c>
      <c r="K90" s="24" t="s">
        <v>110</v>
      </c>
      <c r="L90" s="61">
        <f t="shared" ref="L90:L93" si="23">I90</f>
        <v>15000</v>
      </c>
    </row>
    <row r="91" spans="2:12" ht="18" x14ac:dyDescent="0.25">
      <c r="B91" s="9"/>
      <c r="C91" s="20"/>
      <c r="D91" s="131" t="s">
        <v>121</v>
      </c>
      <c r="E91" s="31"/>
      <c r="F91" s="31">
        <v>1</v>
      </c>
      <c r="G91" s="6" t="s">
        <v>54</v>
      </c>
      <c r="H91" s="53">
        <v>8500</v>
      </c>
      <c r="I91" s="53">
        <f t="shared" si="22"/>
        <v>8500</v>
      </c>
      <c r="J91" s="24" t="s">
        <v>110</v>
      </c>
      <c r="K91" s="24" t="s">
        <v>110</v>
      </c>
      <c r="L91" s="61">
        <f t="shared" si="23"/>
        <v>8500</v>
      </c>
    </row>
    <row r="92" spans="2:12" ht="18" x14ac:dyDescent="0.25">
      <c r="B92" s="9"/>
      <c r="C92" s="20"/>
      <c r="D92" s="131" t="s">
        <v>130</v>
      </c>
      <c r="E92" s="31"/>
      <c r="F92" s="31">
        <v>1</v>
      </c>
      <c r="G92" s="6" t="s">
        <v>54</v>
      </c>
      <c r="H92" s="53">
        <v>7500</v>
      </c>
      <c r="I92" s="53">
        <f t="shared" si="22"/>
        <v>7500</v>
      </c>
      <c r="J92" s="24" t="s">
        <v>110</v>
      </c>
      <c r="K92" s="24" t="s">
        <v>110</v>
      </c>
      <c r="L92" s="61">
        <f t="shared" si="23"/>
        <v>7500</v>
      </c>
    </row>
    <row r="93" spans="2:12" ht="18" x14ac:dyDescent="0.25">
      <c r="B93" s="9"/>
      <c r="C93" s="20"/>
      <c r="D93" s="131" t="s">
        <v>131</v>
      </c>
      <c r="E93" s="31"/>
      <c r="F93" s="31">
        <v>1</v>
      </c>
      <c r="G93" s="6" t="s">
        <v>54</v>
      </c>
      <c r="H93" s="53">
        <v>10000</v>
      </c>
      <c r="I93" s="53">
        <f t="shared" si="22"/>
        <v>10000</v>
      </c>
      <c r="J93" s="24" t="s">
        <v>110</v>
      </c>
      <c r="K93" s="24" t="s">
        <v>110</v>
      </c>
      <c r="L93" s="61">
        <f t="shared" si="23"/>
        <v>10000</v>
      </c>
    </row>
    <row r="94" spans="2:12" s="167" customFormat="1" ht="18" x14ac:dyDescent="0.25">
      <c r="B94" s="9"/>
      <c r="C94" s="20"/>
      <c r="D94" s="131" t="s">
        <v>132</v>
      </c>
      <c r="E94" s="31"/>
      <c r="F94" s="31">
        <v>1</v>
      </c>
      <c r="G94" s="6" t="s">
        <v>54</v>
      </c>
      <c r="H94" s="53">
        <v>15000</v>
      </c>
      <c r="I94" s="53">
        <f t="shared" ref="I94" si="24">H94*F94</f>
        <v>15000</v>
      </c>
      <c r="J94" s="24" t="s">
        <v>110</v>
      </c>
      <c r="K94" s="24" t="s">
        <v>110</v>
      </c>
      <c r="L94" s="61">
        <f t="shared" ref="L94" si="25">I94</f>
        <v>15000</v>
      </c>
    </row>
    <row r="95" spans="2:12" ht="18" x14ac:dyDescent="0.25">
      <c r="B95" s="9"/>
      <c r="C95" s="20"/>
      <c r="D95" s="132"/>
      <c r="E95" s="31"/>
      <c r="F95" s="31"/>
      <c r="G95" s="6"/>
      <c r="H95" s="135" t="s">
        <v>11</v>
      </c>
      <c r="I95" s="156">
        <f>SUM(I89:I94)</f>
        <v>66000</v>
      </c>
      <c r="J95" s="24"/>
      <c r="K95" s="135" t="s">
        <v>11</v>
      </c>
      <c r="L95" s="136">
        <f>SUM(L89:L94)</f>
        <v>66000</v>
      </c>
    </row>
    <row r="96" spans="2:12" ht="18" x14ac:dyDescent="0.25">
      <c r="B96" s="9"/>
      <c r="C96" s="20"/>
      <c r="D96" s="132"/>
      <c r="E96" s="31"/>
      <c r="F96" s="31"/>
      <c r="G96" s="6"/>
      <c r="H96" s="24"/>
      <c r="I96" s="53"/>
      <c r="J96" s="24"/>
      <c r="K96" s="24"/>
      <c r="L96" s="90"/>
    </row>
    <row r="97" spans="2:13" ht="18" x14ac:dyDescent="0.25">
      <c r="B97" s="9"/>
      <c r="C97" s="12">
        <v>1.1200000000000001</v>
      </c>
      <c r="D97" s="128" t="s">
        <v>42</v>
      </c>
      <c r="E97" s="31">
        <v>1993</v>
      </c>
      <c r="F97" s="31"/>
      <c r="G97" s="6"/>
      <c r="H97" s="24"/>
      <c r="I97" s="53"/>
      <c r="J97" s="24"/>
      <c r="K97" s="24"/>
      <c r="L97" s="90"/>
      <c r="M97" s="171"/>
    </row>
    <row r="98" spans="2:13" ht="18" x14ac:dyDescent="0.25">
      <c r="B98" s="9"/>
      <c r="C98" s="20"/>
      <c r="D98" s="131" t="s">
        <v>127</v>
      </c>
      <c r="E98" s="31"/>
      <c r="F98" s="31">
        <v>1</v>
      </c>
      <c r="G98" s="6" t="s">
        <v>54</v>
      </c>
      <c r="H98" s="53">
        <v>18500</v>
      </c>
      <c r="I98" s="53">
        <f>H98*F98</f>
        <v>18500</v>
      </c>
      <c r="J98" s="24">
        <v>11392</v>
      </c>
      <c r="K98" s="24">
        <v>5210</v>
      </c>
      <c r="L98" s="61">
        <f>I98*(K98/J98)</f>
        <v>8460.7619382022476</v>
      </c>
      <c r="M98" s="171"/>
    </row>
    <row r="99" spans="2:13" ht="18" x14ac:dyDescent="0.25">
      <c r="B99" s="9"/>
      <c r="C99" s="20"/>
      <c r="D99" s="131" t="s">
        <v>118</v>
      </c>
      <c r="E99" s="31"/>
      <c r="F99" s="31">
        <v>1</v>
      </c>
      <c r="G99" s="6" t="s">
        <v>54</v>
      </c>
      <c r="H99" s="53">
        <v>7500</v>
      </c>
      <c r="I99" s="53">
        <f t="shared" ref="I99:I102" si="26">H99*F99</f>
        <v>7500</v>
      </c>
      <c r="J99" s="24">
        <v>11392</v>
      </c>
      <c r="K99" s="24">
        <v>5210</v>
      </c>
      <c r="L99" s="61">
        <f t="shared" ref="L99:L102" si="27">I99*(K99/J99)</f>
        <v>3430.0386235955057</v>
      </c>
      <c r="M99" s="171"/>
    </row>
    <row r="100" spans="2:13" ht="18" x14ac:dyDescent="0.25">
      <c r="B100" s="9"/>
      <c r="C100" s="20"/>
      <c r="D100" s="131" t="s">
        <v>121</v>
      </c>
      <c r="E100" s="31"/>
      <c r="F100" s="31">
        <v>1</v>
      </c>
      <c r="G100" s="6" t="s">
        <v>54</v>
      </c>
      <c r="H100" s="53">
        <v>8500</v>
      </c>
      <c r="I100" s="53">
        <f t="shared" si="26"/>
        <v>8500</v>
      </c>
      <c r="J100" s="24">
        <v>11392</v>
      </c>
      <c r="K100" s="24">
        <v>5210</v>
      </c>
      <c r="L100" s="61">
        <f t="shared" si="27"/>
        <v>3887.3771067415728</v>
      </c>
      <c r="M100" s="171"/>
    </row>
    <row r="101" spans="2:13" ht="18" x14ac:dyDescent="0.25">
      <c r="B101" s="9"/>
      <c r="C101" s="20"/>
      <c r="D101" s="131" t="s">
        <v>122</v>
      </c>
      <c r="E101" s="31"/>
      <c r="F101" s="31">
        <v>1</v>
      </c>
      <c r="G101" s="6" t="s">
        <v>123</v>
      </c>
      <c r="H101" s="53">
        <v>2500</v>
      </c>
      <c r="I101" s="53">
        <f t="shared" si="26"/>
        <v>2500</v>
      </c>
      <c r="J101" s="24">
        <v>11392</v>
      </c>
      <c r="K101" s="24">
        <v>5210</v>
      </c>
      <c r="L101" s="61">
        <f t="shared" si="27"/>
        <v>1143.3462078651685</v>
      </c>
      <c r="M101" s="171"/>
    </row>
    <row r="102" spans="2:13" ht="18" x14ac:dyDescent="0.25">
      <c r="B102" s="9"/>
      <c r="C102" s="20"/>
      <c r="D102" s="131" t="s">
        <v>124</v>
      </c>
      <c r="E102" s="31"/>
      <c r="F102" s="31">
        <v>1</v>
      </c>
      <c r="G102" s="6" t="s">
        <v>123</v>
      </c>
      <c r="H102" s="53">
        <v>47250</v>
      </c>
      <c r="I102" s="53">
        <f t="shared" si="26"/>
        <v>47250</v>
      </c>
      <c r="J102" s="24">
        <v>11392</v>
      </c>
      <c r="K102" s="24">
        <v>5210</v>
      </c>
      <c r="L102" s="61">
        <f t="shared" si="27"/>
        <v>21609.243328651686</v>
      </c>
      <c r="M102" s="171"/>
    </row>
    <row r="103" spans="2:13" ht="18.75" thickBot="1" x14ac:dyDescent="0.3">
      <c r="B103" s="13"/>
      <c r="C103" s="66"/>
      <c r="D103" s="138"/>
      <c r="E103" s="65"/>
      <c r="F103" s="65"/>
      <c r="G103" s="37"/>
      <c r="H103" s="135" t="s">
        <v>11</v>
      </c>
      <c r="I103" s="156">
        <f>SUM(I97:I102)</f>
        <v>84250</v>
      </c>
      <c r="J103" s="63"/>
      <c r="K103" s="139" t="s">
        <v>11</v>
      </c>
      <c r="L103" s="140">
        <f>SUM(L98:L102)</f>
        <v>38530.767205056181</v>
      </c>
      <c r="M103" s="171"/>
    </row>
    <row r="104" spans="2:13" ht="18" x14ac:dyDescent="0.25">
      <c r="B104" s="99"/>
      <c r="C104" s="141"/>
      <c r="D104" s="142"/>
      <c r="E104" s="104"/>
      <c r="F104" s="104"/>
      <c r="G104" s="103"/>
      <c r="H104" s="143"/>
      <c r="I104" s="144"/>
      <c r="J104" s="143"/>
      <c r="K104" s="143"/>
      <c r="L104" s="145"/>
      <c r="M104" s="171"/>
    </row>
    <row r="105" spans="2:13" ht="18" x14ac:dyDescent="0.25">
      <c r="B105" s="9"/>
      <c r="C105" s="12">
        <v>1.1299999999999999</v>
      </c>
      <c r="D105" s="128" t="s">
        <v>43</v>
      </c>
      <c r="E105" s="31">
        <v>2002</v>
      </c>
      <c r="F105" s="31"/>
      <c r="G105" s="6"/>
      <c r="H105" s="24"/>
      <c r="I105" s="53"/>
      <c r="J105" s="24"/>
      <c r="K105" s="24"/>
      <c r="L105" s="90"/>
      <c r="M105" s="29"/>
    </row>
    <row r="106" spans="2:13" ht="18" x14ac:dyDescent="0.25">
      <c r="B106" s="9"/>
      <c r="C106" s="20"/>
      <c r="D106" s="126" t="s">
        <v>127</v>
      </c>
      <c r="E106" s="31"/>
      <c r="F106" s="31">
        <v>1</v>
      </c>
      <c r="G106" s="6" t="s">
        <v>54</v>
      </c>
      <c r="H106" s="53">
        <v>12500</v>
      </c>
      <c r="I106" s="53">
        <f>H106*F106</f>
        <v>12500</v>
      </c>
      <c r="J106" s="24">
        <v>11392</v>
      </c>
      <c r="K106" s="24">
        <v>6538</v>
      </c>
      <c r="L106" s="61">
        <f>I106*(K106/J106)</f>
        <v>7173.8939606741578</v>
      </c>
      <c r="M106" s="171"/>
    </row>
    <row r="107" spans="2:13" ht="18" x14ac:dyDescent="0.25">
      <c r="B107" s="9"/>
      <c r="C107" s="20"/>
      <c r="D107" s="126" t="s">
        <v>118</v>
      </c>
      <c r="E107" s="31"/>
      <c r="F107" s="31">
        <v>1</v>
      </c>
      <c r="G107" s="6" t="s">
        <v>54</v>
      </c>
      <c r="H107" s="53">
        <v>7500</v>
      </c>
      <c r="I107" s="53">
        <f t="shared" ref="I107:I110" si="28">H107*F107</f>
        <v>7500</v>
      </c>
      <c r="J107" s="24">
        <v>11392</v>
      </c>
      <c r="K107" s="24">
        <v>6538</v>
      </c>
      <c r="L107" s="61">
        <f t="shared" ref="L107:L110" si="29">I107*(K107/J107)</f>
        <v>4304.3363764044943</v>
      </c>
      <c r="M107" s="171"/>
    </row>
    <row r="108" spans="2:13" ht="18" x14ac:dyDescent="0.25">
      <c r="B108" s="9"/>
      <c r="C108" s="20"/>
      <c r="D108" s="126" t="s">
        <v>121</v>
      </c>
      <c r="E108" s="31"/>
      <c r="F108" s="31">
        <v>1</v>
      </c>
      <c r="G108" s="6" t="s">
        <v>54</v>
      </c>
      <c r="H108" s="53">
        <v>8500</v>
      </c>
      <c r="I108" s="53">
        <f t="shared" si="28"/>
        <v>8500</v>
      </c>
      <c r="J108" s="24">
        <v>11392</v>
      </c>
      <c r="K108" s="24">
        <v>6538</v>
      </c>
      <c r="L108" s="61">
        <f t="shared" si="29"/>
        <v>4878.2478932584272</v>
      </c>
      <c r="M108" s="171"/>
    </row>
    <row r="109" spans="2:13" ht="18" x14ac:dyDescent="0.25">
      <c r="B109" s="9"/>
      <c r="C109" s="20"/>
      <c r="D109" s="126" t="s">
        <v>122</v>
      </c>
      <c r="E109" s="31"/>
      <c r="F109" s="31">
        <v>1</v>
      </c>
      <c r="G109" s="6" t="s">
        <v>123</v>
      </c>
      <c r="H109" s="53">
        <v>2500</v>
      </c>
      <c r="I109" s="53">
        <f t="shared" si="28"/>
        <v>2500</v>
      </c>
      <c r="J109" s="24">
        <v>11392</v>
      </c>
      <c r="K109" s="24">
        <v>6538</v>
      </c>
      <c r="L109" s="61">
        <f t="shared" si="29"/>
        <v>1434.7787921348315</v>
      </c>
      <c r="M109" s="171"/>
    </row>
    <row r="110" spans="2:13" ht="18" x14ac:dyDescent="0.25">
      <c r="B110" s="9"/>
      <c r="C110" s="20"/>
      <c r="D110" s="126" t="s">
        <v>124</v>
      </c>
      <c r="E110" s="31"/>
      <c r="F110" s="31">
        <v>1</v>
      </c>
      <c r="G110" s="6" t="s">
        <v>123</v>
      </c>
      <c r="H110" s="53">
        <v>40000</v>
      </c>
      <c r="I110" s="53">
        <f t="shared" si="28"/>
        <v>40000</v>
      </c>
      <c r="J110" s="24">
        <v>11392</v>
      </c>
      <c r="K110" s="24">
        <v>6538</v>
      </c>
      <c r="L110" s="61">
        <f t="shared" si="29"/>
        <v>22956.460674157304</v>
      </c>
      <c r="M110" s="171"/>
    </row>
    <row r="111" spans="2:13" ht="18" x14ac:dyDescent="0.25">
      <c r="B111" s="9"/>
      <c r="C111" s="20"/>
      <c r="D111" s="132"/>
      <c r="E111" s="31"/>
      <c r="F111" s="31"/>
      <c r="G111" s="6"/>
      <c r="H111" s="135" t="s">
        <v>11</v>
      </c>
      <c r="I111" s="156">
        <f>SUM(I105:I110)</f>
        <v>71000</v>
      </c>
      <c r="J111" s="24"/>
      <c r="K111" s="135" t="s">
        <v>11</v>
      </c>
      <c r="L111" s="136">
        <f>SUM(L106:L110)</f>
        <v>40747.717696629217</v>
      </c>
      <c r="M111" s="171"/>
    </row>
    <row r="112" spans="2:13" ht="18" x14ac:dyDescent="0.25">
      <c r="B112" s="9"/>
      <c r="C112" s="20"/>
      <c r="D112" s="132"/>
      <c r="E112" s="31"/>
      <c r="F112" s="31"/>
      <c r="G112" s="6"/>
      <c r="H112" s="24"/>
      <c r="I112" s="53"/>
      <c r="J112" s="24"/>
      <c r="K112" s="24"/>
      <c r="L112" s="90"/>
      <c r="M112" s="171"/>
    </row>
    <row r="113" spans="2:13" ht="18" x14ac:dyDescent="0.25">
      <c r="B113" s="9"/>
      <c r="C113" s="12">
        <v>1.1399999999999999</v>
      </c>
      <c r="D113" s="128" t="s">
        <v>44</v>
      </c>
      <c r="E113" s="31">
        <v>2005</v>
      </c>
      <c r="F113" s="31"/>
      <c r="G113" s="6"/>
      <c r="H113" s="24"/>
      <c r="I113" s="53"/>
      <c r="J113" s="156"/>
      <c r="K113" s="24"/>
      <c r="L113" s="90"/>
      <c r="M113" s="171"/>
    </row>
    <row r="114" spans="2:13" ht="18" x14ac:dyDescent="0.25">
      <c r="B114" s="9"/>
      <c r="C114" s="20"/>
      <c r="D114" s="126" t="s">
        <v>127</v>
      </c>
      <c r="E114" s="31"/>
      <c r="F114" s="31">
        <v>1</v>
      </c>
      <c r="G114" s="6" t="s">
        <v>54</v>
      </c>
      <c r="H114" s="53">
        <v>18500</v>
      </c>
      <c r="I114" s="53">
        <f>H114*F114</f>
        <v>18500</v>
      </c>
      <c r="J114" s="24">
        <v>11392</v>
      </c>
      <c r="K114" s="24">
        <v>7446</v>
      </c>
      <c r="L114" s="61">
        <f>I114*(K114/J114)</f>
        <v>12091.906601123595</v>
      </c>
      <c r="M114" s="171"/>
    </row>
    <row r="115" spans="2:13" ht="18" x14ac:dyDescent="0.25">
      <c r="B115" s="9"/>
      <c r="C115" s="20"/>
      <c r="D115" s="126" t="s">
        <v>118</v>
      </c>
      <c r="E115" s="31"/>
      <c r="F115" s="31">
        <v>1</v>
      </c>
      <c r="G115" s="6" t="s">
        <v>54</v>
      </c>
      <c r="H115" s="53">
        <v>7500</v>
      </c>
      <c r="I115" s="53">
        <f t="shared" ref="I115:I118" si="30">H115*F115</f>
        <v>7500</v>
      </c>
      <c r="J115" s="24">
        <v>11392</v>
      </c>
      <c r="K115" s="24">
        <v>7446</v>
      </c>
      <c r="L115" s="61">
        <f t="shared" ref="L115:L118" si="31">I115*(K115/J115)</f>
        <v>4902.1242977528091</v>
      </c>
      <c r="M115" s="171"/>
    </row>
    <row r="116" spans="2:13" ht="18" x14ac:dyDescent="0.25">
      <c r="B116" s="9"/>
      <c r="C116" s="20"/>
      <c r="D116" s="126" t="s">
        <v>121</v>
      </c>
      <c r="E116" s="31"/>
      <c r="F116" s="31">
        <v>1</v>
      </c>
      <c r="G116" s="6" t="s">
        <v>54</v>
      </c>
      <c r="H116" s="53">
        <v>8500</v>
      </c>
      <c r="I116" s="53">
        <f t="shared" si="30"/>
        <v>8500</v>
      </c>
      <c r="J116" s="24">
        <v>11392</v>
      </c>
      <c r="K116" s="24">
        <v>7446</v>
      </c>
      <c r="L116" s="61">
        <f t="shared" si="31"/>
        <v>5555.740870786517</v>
      </c>
      <c r="M116" s="171"/>
    </row>
    <row r="117" spans="2:13" ht="18" x14ac:dyDescent="0.25">
      <c r="B117" s="9"/>
      <c r="C117" s="20"/>
      <c r="D117" s="126" t="s">
        <v>122</v>
      </c>
      <c r="E117" s="31"/>
      <c r="F117" s="31">
        <v>1</v>
      </c>
      <c r="G117" s="6" t="s">
        <v>123</v>
      </c>
      <c r="H117" s="53">
        <v>2500</v>
      </c>
      <c r="I117" s="53">
        <f t="shared" si="30"/>
        <v>2500</v>
      </c>
      <c r="J117" s="24">
        <v>11392</v>
      </c>
      <c r="K117" s="24">
        <v>7446</v>
      </c>
      <c r="L117" s="61">
        <f t="shared" si="31"/>
        <v>1634.0414325842698</v>
      </c>
      <c r="M117" s="171"/>
    </row>
    <row r="118" spans="2:13" ht="18" x14ac:dyDescent="0.25">
      <c r="B118" s="9"/>
      <c r="C118" s="20"/>
      <c r="D118" s="126" t="s">
        <v>124</v>
      </c>
      <c r="E118" s="31"/>
      <c r="F118" s="31">
        <v>1</v>
      </c>
      <c r="G118" s="6" t="s">
        <v>123</v>
      </c>
      <c r="H118" s="53">
        <v>52500</v>
      </c>
      <c r="I118" s="53">
        <f t="shared" si="30"/>
        <v>52500</v>
      </c>
      <c r="J118" s="24">
        <v>11392</v>
      </c>
      <c r="K118" s="24">
        <v>7446</v>
      </c>
      <c r="L118" s="61">
        <f t="shared" si="31"/>
        <v>34314.870084269663</v>
      </c>
      <c r="M118" s="171"/>
    </row>
    <row r="119" spans="2:13" s="155" customFormat="1" ht="18" x14ac:dyDescent="0.25">
      <c r="B119" s="9"/>
      <c r="C119" s="20"/>
      <c r="D119" s="126" t="s">
        <v>133</v>
      </c>
      <c r="E119" s="31">
        <v>2020</v>
      </c>
      <c r="F119" s="31">
        <v>1</v>
      </c>
      <c r="G119" s="6" t="s">
        <v>54</v>
      </c>
      <c r="H119" s="53">
        <v>48195</v>
      </c>
      <c r="I119" s="53">
        <f t="shared" ref="I119" si="32">H119*F119</f>
        <v>48195</v>
      </c>
      <c r="J119" s="24">
        <v>11392</v>
      </c>
      <c r="K119" s="24">
        <v>11392</v>
      </c>
      <c r="L119" s="61">
        <f t="shared" ref="L119" si="33">I119*(K119/J119)</f>
        <v>48195</v>
      </c>
      <c r="M119" s="171"/>
    </row>
    <row r="120" spans="2:13" ht="18.75" thickBot="1" x14ac:dyDescent="0.3">
      <c r="B120" s="9"/>
      <c r="C120" s="20"/>
      <c r="D120" s="132"/>
      <c r="E120" s="31"/>
      <c r="F120" s="31"/>
      <c r="G120" s="6"/>
      <c r="H120" s="135" t="s">
        <v>11</v>
      </c>
      <c r="I120" s="156">
        <f>SUM(I113:I119)</f>
        <v>137695</v>
      </c>
      <c r="J120" s="24"/>
      <c r="K120" s="135" t="s">
        <v>11</v>
      </c>
      <c r="L120" s="136">
        <f>SUM(L114:L119)</f>
        <v>106693.68328651685</v>
      </c>
      <c r="M120" s="171"/>
    </row>
    <row r="121" spans="2:13" ht="18" x14ac:dyDescent="0.25">
      <c r="B121" s="67"/>
      <c r="C121" s="68"/>
      <c r="D121" s="69"/>
      <c r="E121" s="70"/>
      <c r="F121" s="70"/>
      <c r="G121" s="71"/>
      <c r="H121" s="72"/>
      <c r="I121" s="73"/>
      <c r="J121" s="72"/>
      <c r="K121" s="72"/>
      <c r="L121" s="74"/>
      <c r="M121" s="29"/>
    </row>
    <row r="122" spans="2:13" ht="18.75" thickBot="1" x14ac:dyDescent="0.25">
      <c r="B122" s="214" t="s">
        <v>134</v>
      </c>
      <c r="C122" s="215"/>
      <c r="D122" s="215"/>
      <c r="E122" s="215"/>
      <c r="F122" s="215"/>
      <c r="G122" s="215"/>
      <c r="H122" s="215"/>
      <c r="I122" s="215"/>
      <c r="J122" s="215"/>
      <c r="K122" s="215"/>
      <c r="L122" s="75">
        <f>SUM(L120+L111+L103+L95+L86+L77+L68+L60+L50+L42+L34+L26+L18)</f>
        <v>506720.07022471918</v>
      </c>
      <c r="M122" s="171"/>
    </row>
    <row r="123" spans="2:13" x14ac:dyDescent="0.2">
      <c r="B123" s="206" t="s">
        <v>114</v>
      </c>
      <c r="C123" s="206"/>
      <c r="D123" s="206"/>
      <c r="E123" s="206"/>
      <c r="F123" s="206"/>
      <c r="G123" s="206"/>
      <c r="H123" s="206"/>
      <c r="I123" s="206"/>
      <c r="J123" s="206"/>
      <c r="K123" s="206"/>
      <c r="L123" s="206"/>
      <c r="M123" s="171"/>
    </row>
    <row r="124" spans="2:13" s="167" customFormat="1" x14ac:dyDescent="0.2">
      <c r="B124" s="206" t="s">
        <v>115</v>
      </c>
      <c r="C124" s="206"/>
      <c r="D124" s="206"/>
      <c r="E124" s="206"/>
      <c r="F124" s="206"/>
      <c r="G124" s="206"/>
      <c r="H124" s="206"/>
      <c r="I124" s="206"/>
      <c r="J124" s="206"/>
      <c r="K124" s="206"/>
      <c r="L124" s="206"/>
      <c r="M124" s="171"/>
    </row>
    <row r="125" spans="2:13" x14ac:dyDescent="0.2">
      <c r="B125" s="206" t="s">
        <v>135</v>
      </c>
      <c r="C125" s="206"/>
      <c r="D125" s="206"/>
      <c r="E125" s="206"/>
      <c r="F125" s="206"/>
      <c r="G125" s="206"/>
      <c r="H125" s="206"/>
      <c r="I125" s="206"/>
      <c r="J125" s="206"/>
      <c r="K125" s="206"/>
      <c r="L125" s="206"/>
      <c r="M125" s="171"/>
    </row>
    <row r="126" spans="2:13" ht="18" x14ac:dyDescent="0.25">
      <c r="B126" s="93"/>
      <c r="C126" s="94"/>
      <c r="D126" s="95"/>
      <c r="E126" s="96"/>
      <c r="F126" s="96"/>
      <c r="G126" s="97"/>
      <c r="H126" s="98"/>
      <c r="I126" s="86"/>
      <c r="J126" s="98"/>
      <c r="K126" s="98"/>
      <c r="L126" s="86"/>
      <c r="M126" s="29"/>
    </row>
  </sheetData>
  <mergeCells count="28">
    <mergeCell ref="P7:U7"/>
    <mergeCell ref="P8:U8"/>
    <mergeCell ref="Q9:Q11"/>
    <mergeCell ref="R9:R11"/>
    <mergeCell ref="S9:S11"/>
    <mergeCell ref="T9:T11"/>
    <mergeCell ref="B122:K122"/>
    <mergeCell ref="B123:L123"/>
    <mergeCell ref="B125:L125"/>
    <mergeCell ref="B6:L6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B124:L124"/>
    <mergeCell ref="B5:L5"/>
    <mergeCell ref="B2:L2"/>
    <mergeCell ref="B3:L3"/>
    <mergeCell ref="P3:U3"/>
    <mergeCell ref="B4:L4"/>
    <mergeCell ref="P4:U4"/>
  </mergeCells>
  <printOptions horizontalCentered="1"/>
  <pageMargins left="0.7" right="0.7" top="1.2" bottom="0.75" header="0.3" footer="0.3"/>
  <pageSetup scale="49" fitToHeight="0" orientation="landscape" r:id="rId1"/>
  <headerFooter>
    <oddFooter>Page &amp;P of &amp;N</oddFooter>
  </headerFooter>
  <rowBreaks count="2" manualBreakCount="2">
    <brk id="50" min="1" max="11" man="1"/>
    <brk id="103" min="1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08624-545D-485B-96B9-39BBCDE987DE}">
  <sheetPr>
    <pageSetUpPr fitToPage="1"/>
  </sheetPr>
  <dimension ref="B1:Y21"/>
  <sheetViews>
    <sheetView view="pageBreakPreview" zoomScale="70" zoomScaleNormal="70" zoomScaleSheetLayoutView="70" workbookViewId="0">
      <selection activeCell="K13" sqref="K13"/>
    </sheetView>
  </sheetViews>
  <sheetFormatPr defaultColWidth="13.875" defaultRowHeight="14.25" x14ac:dyDescent="0.2"/>
  <cols>
    <col min="1" max="1" width="13.875" style="18"/>
    <col min="2" max="2" width="11.5" style="18" bestFit="1" customWidth="1"/>
    <col min="3" max="3" width="11.5" style="18" customWidth="1"/>
    <col min="4" max="4" width="42.25" style="18" customWidth="1"/>
    <col min="5" max="5" width="13.375" style="1" customWidth="1"/>
    <col min="6" max="6" width="14" style="1" customWidth="1"/>
    <col min="7" max="7" width="20.75" style="1" customWidth="1"/>
    <col min="8" max="8" width="14.5" style="1" customWidth="1"/>
    <col min="9" max="9" width="18.125" style="1" customWidth="1"/>
    <col min="10" max="10" width="9.5" style="18" customWidth="1"/>
    <col min="11" max="12" width="17.5" style="25" customWidth="1"/>
    <col min="13" max="13" width="16.375" style="25" bestFit="1" customWidth="1"/>
    <col min="14" max="14" width="13.75" style="25" customWidth="1"/>
    <col min="15" max="15" width="13.875" style="18" customWidth="1"/>
    <col min="16" max="16" width="20.875" style="25" customWidth="1"/>
    <col min="17" max="17" width="27.5" style="18" customWidth="1"/>
    <col min="18" max="18" width="17.5" style="18" customWidth="1"/>
    <col min="19" max="19" width="14.875" style="18" customWidth="1"/>
    <col min="20" max="20" width="82.625" style="18" bestFit="1" customWidth="1"/>
    <col min="21" max="21" width="13.875" style="18"/>
    <col min="22" max="22" width="8.25" style="18" bestFit="1" customWidth="1"/>
    <col min="23" max="23" width="24.75" style="18" bestFit="1" customWidth="1"/>
    <col min="24" max="24" width="16.625" style="18" bestFit="1" customWidth="1"/>
    <col min="25" max="25" width="19" style="18" customWidth="1"/>
    <col min="26" max="16384" width="13.875" style="18"/>
  </cols>
  <sheetData>
    <row r="1" spans="2:25" ht="20.25" customHeight="1" thickBot="1" x14ac:dyDescent="0.25">
      <c r="B1" s="171"/>
      <c r="C1" s="171"/>
      <c r="D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</row>
    <row r="2" spans="2:25" ht="18" x14ac:dyDescent="0.25">
      <c r="B2" s="177" t="s">
        <v>0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9"/>
      <c r="Q2" s="171"/>
      <c r="R2" s="171"/>
      <c r="S2" s="171"/>
      <c r="T2" s="171"/>
      <c r="U2" s="171"/>
      <c r="V2" s="171"/>
      <c r="W2" s="171"/>
      <c r="X2" s="171"/>
      <c r="Y2" s="171"/>
    </row>
    <row r="3" spans="2:25" ht="18" x14ac:dyDescent="0.25">
      <c r="B3" s="180" t="s">
        <v>136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182"/>
      <c r="Q3" s="171"/>
      <c r="R3" s="171"/>
      <c r="S3" s="171"/>
      <c r="T3" s="186"/>
      <c r="U3" s="186"/>
      <c r="V3" s="186"/>
      <c r="W3" s="186"/>
      <c r="X3" s="186"/>
      <c r="Y3" s="186"/>
    </row>
    <row r="4" spans="2:25" ht="15" customHeight="1" x14ac:dyDescent="0.25">
      <c r="B4" s="187" t="str">
        <f>Overall!B4</f>
        <v>As of March 22, 2021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189"/>
      <c r="Q4" s="171"/>
      <c r="R4" s="171"/>
      <c r="S4" s="171"/>
      <c r="T4" s="186"/>
      <c r="U4" s="186"/>
      <c r="V4" s="186"/>
      <c r="W4" s="186"/>
      <c r="X4" s="186"/>
      <c r="Y4" s="186"/>
    </row>
    <row r="5" spans="2:25" ht="15" customHeight="1" x14ac:dyDescent="0.25">
      <c r="B5" s="187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189"/>
      <c r="Q5" s="171"/>
      <c r="R5" s="171"/>
      <c r="S5" s="171"/>
      <c r="T5" s="171"/>
      <c r="U5" s="171"/>
      <c r="V5" s="171"/>
      <c r="W5" s="171"/>
      <c r="X5" s="171"/>
      <c r="Y5" s="171"/>
    </row>
    <row r="6" spans="2:25" ht="19.5" customHeight="1" thickBot="1" x14ac:dyDescent="0.3">
      <c r="B6" s="190" t="s">
        <v>137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2"/>
      <c r="Q6" s="171"/>
      <c r="R6" s="171"/>
      <c r="S6" s="171"/>
      <c r="T6" s="171"/>
      <c r="U6" s="171"/>
      <c r="V6" s="171"/>
      <c r="W6" s="171"/>
      <c r="X6" s="171"/>
      <c r="Y6" s="171"/>
    </row>
    <row r="7" spans="2:25" s="2" customFormat="1" ht="18" customHeight="1" x14ac:dyDescent="0.25">
      <c r="B7" s="228" t="s">
        <v>3</v>
      </c>
      <c r="C7" s="228" t="s">
        <v>24</v>
      </c>
      <c r="D7" s="221" t="s">
        <v>4</v>
      </c>
      <c r="E7" s="218" t="s">
        <v>138</v>
      </c>
      <c r="F7" s="222" t="s">
        <v>139</v>
      </c>
      <c r="G7" s="213" t="s">
        <v>140</v>
      </c>
      <c r="H7" s="221" t="s">
        <v>141</v>
      </c>
      <c r="I7" s="218" t="s">
        <v>142</v>
      </c>
      <c r="J7" s="221" t="s">
        <v>93</v>
      </c>
      <c r="K7" s="222" t="s">
        <v>143</v>
      </c>
      <c r="L7" s="222" t="s">
        <v>144</v>
      </c>
      <c r="M7" s="222" t="s">
        <v>145</v>
      </c>
      <c r="N7" s="222" t="s">
        <v>146</v>
      </c>
      <c r="O7" s="222" t="s">
        <v>147</v>
      </c>
      <c r="P7" s="216" t="s">
        <v>5</v>
      </c>
      <c r="Q7" s="171"/>
      <c r="R7" s="33"/>
      <c r="T7" s="186"/>
      <c r="U7" s="186"/>
      <c r="V7" s="186"/>
      <c r="W7" s="186"/>
      <c r="X7" s="186"/>
      <c r="Y7" s="186"/>
    </row>
    <row r="8" spans="2:25" s="2" customFormat="1" ht="18" customHeight="1" x14ac:dyDescent="0.25">
      <c r="B8" s="194"/>
      <c r="C8" s="194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8"/>
      <c r="T8" s="186"/>
      <c r="U8" s="186"/>
      <c r="V8" s="186"/>
      <c r="W8" s="186"/>
      <c r="X8" s="186"/>
      <c r="Y8" s="186"/>
    </row>
    <row r="9" spans="2:25" ht="18" x14ac:dyDescent="0.25">
      <c r="B9" s="19">
        <v>359.2</v>
      </c>
      <c r="C9" s="20">
        <v>3</v>
      </c>
      <c r="D9" s="22" t="s">
        <v>148</v>
      </c>
      <c r="E9" s="5"/>
      <c r="F9" s="5"/>
      <c r="G9" s="5"/>
      <c r="H9" s="6"/>
      <c r="I9" s="6"/>
      <c r="J9" s="23"/>
      <c r="K9" s="27"/>
      <c r="L9" s="27"/>
      <c r="M9" s="27"/>
      <c r="N9" s="27"/>
      <c r="O9" s="27"/>
      <c r="P9" s="60"/>
      <c r="Q9" s="171"/>
      <c r="R9" s="171"/>
      <c r="S9" s="171"/>
      <c r="T9" s="171"/>
      <c r="U9" s="186"/>
      <c r="V9" s="186"/>
      <c r="W9" s="186"/>
      <c r="X9" s="186"/>
      <c r="Y9" s="171"/>
    </row>
    <row r="10" spans="2:25" ht="18" x14ac:dyDescent="0.25">
      <c r="B10" s="9" t="s">
        <v>95</v>
      </c>
      <c r="C10" s="20">
        <v>3.1</v>
      </c>
      <c r="D10" s="15" t="s">
        <v>149</v>
      </c>
      <c r="E10" s="5">
        <v>583</v>
      </c>
      <c r="F10" s="5">
        <v>3</v>
      </c>
      <c r="G10" s="5" t="s">
        <v>150</v>
      </c>
      <c r="H10" s="6">
        <v>2</v>
      </c>
      <c r="I10" s="6">
        <v>3</v>
      </c>
      <c r="J10" s="24">
        <v>2016</v>
      </c>
      <c r="K10" s="28" t="s">
        <v>78</v>
      </c>
      <c r="L10" s="28" t="s">
        <v>78</v>
      </c>
      <c r="M10" s="49" t="s">
        <v>78</v>
      </c>
      <c r="N10" s="28" t="s">
        <v>78</v>
      </c>
      <c r="O10" s="28" t="s">
        <v>78</v>
      </c>
      <c r="P10" s="61">
        <v>150367.20000000001</v>
      </c>
      <c r="Q10" s="47"/>
      <c r="R10" s="171"/>
      <c r="S10" s="171"/>
      <c r="T10" s="171"/>
      <c r="U10" s="186"/>
      <c r="V10" s="186"/>
      <c r="W10" s="186"/>
      <c r="X10" s="186"/>
      <c r="Y10" s="171"/>
    </row>
    <row r="11" spans="2:25" s="25" customFormat="1" ht="18" x14ac:dyDescent="0.25">
      <c r="B11" s="9"/>
      <c r="C11" s="20">
        <v>3.1</v>
      </c>
      <c r="D11" s="15" t="s">
        <v>149</v>
      </c>
      <c r="E11" s="5">
        <v>1155</v>
      </c>
      <c r="F11" s="5">
        <v>2</v>
      </c>
      <c r="G11" s="5" t="s">
        <v>150</v>
      </c>
      <c r="H11" s="6">
        <v>1</v>
      </c>
      <c r="I11" s="6"/>
      <c r="J11" s="24"/>
      <c r="K11" s="28" t="s">
        <v>78</v>
      </c>
      <c r="L11" s="28" t="s">
        <v>78</v>
      </c>
      <c r="M11" s="28" t="s">
        <v>78</v>
      </c>
      <c r="N11" s="28" t="s">
        <v>78</v>
      </c>
      <c r="O11" s="28" t="s">
        <v>78</v>
      </c>
      <c r="P11" s="61" t="s">
        <v>151</v>
      </c>
      <c r="Q11" s="47"/>
      <c r="R11" s="171"/>
      <c r="S11" s="171"/>
      <c r="T11" s="171"/>
      <c r="U11" s="171"/>
      <c r="V11" s="171"/>
      <c r="W11" s="171"/>
      <c r="X11" s="171"/>
      <c r="Y11" s="171"/>
    </row>
    <row r="12" spans="2:25" s="168" customFormat="1" ht="18" x14ac:dyDescent="0.25">
      <c r="B12" s="9"/>
      <c r="C12" s="20">
        <v>3.2</v>
      </c>
      <c r="D12" s="15" t="s">
        <v>152</v>
      </c>
      <c r="E12" s="5">
        <f>1390+550+400</f>
        <v>2340</v>
      </c>
      <c r="F12" s="5">
        <v>2</v>
      </c>
      <c r="G12" s="5" t="s">
        <v>150</v>
      </c>
      <c r="H12" s="6">
        <v>10</v>
      </c>
      <c r="I12" s="6" t="s">
        <v>153</v>
      </c>
      <c r="J12" s="24">
        <v>2011</v>
      </c>
      <c r="K12" s="49">
        <v>63</v>
      </c>
      <c r="L12" s="49">
        <v>4500</v>
      </c>
      <c r="M12" s="34">
        <f>E12*K12+H12*L12</f>
        <v>192420</v>
      </c>
      <c r="N12" s="28">
        <v>11392</v>
      </c>
      <c r="O12" s="28">
        <v>9070</v>
      </c>
      <c r="P12" s="61">
        <f>M12*(O12/N12)</f>
        <v>153199.56109550563</v>
      </c>
      <c r="Q12" s="47"/>
      <c r="R12" s="171"/>
      <c r="S12" s="171"/>
      <c r="T12" s="171"/>
      <c r="U12" s="171"/>
      <c r="V12" s="171"/>
      <c r="W12" s="171"/>
      <c r="X12" s="171"/>
      <c r="Y12" s="171"/>
    </row>
    <row r="13" spans="2:25" s="168" customFormat="1" ht="18" x14ac:dyDescent="0.25">
      <c r="B13" s="9"/>
      <c r="C13" s="20">
        <v>3.3</v>
      </c>
      <c r="D13" s="15" t="s">
        <v>154</v>
      </c>
      <c r="E13" s="5">
        <v>87</v>
      </c>
      <c r="F13" s="170">
        <v>1.5</v>
      </c>
      <c r="G13" s="5" t="s">
        <v>150</v>
      </c>
      <c r="H13" s="6">
        <v>1</v>
      </c>
      <c r="I13" s="6" t="s">
        <v>155</v>
      </c>
      <c r="J13" s="24">
        <v>2019</v>
      </c>
      <c r="K13" s="49">
        <v>120</v>
      </c>
      <c r="L13" s="49">
        <v>4500</v>
      </c>
      <c r="M13" s="34">
        <f>E13*K13+H13*L13</f>
        <v>14940</v>
      </c>
      <c r="N13" s="28">
        <v>11392</v>
      </c>
      <c r="O13" s="28">
        <v>11281</v>
      </c>
      <c r="P13" s="61">
        <f>M13*(O13/N13)</f>
        <v>14794.429424157302</v>
      </c>
      <c r="Q13" s="47"/>
      <c r="R13" s="171"/>
      <c r="S13" s="171"/>
      <c r="T13" s="171"/>
      <c r="U13" s="171"/>
      <c r="V13" s="171"/>
      <c r="W13" s="171"/>
      <c r="X13" s="171"/>
      <c r="Y13" s="171"/>
    </row>
    <row r="14" spans="2:25" ht="18.75" thickBot="1" x14ac:dyDescent="0.3">
      <c r="B14" s="9"/>
      <c r="C14" s="20">
        <v>3.3</v>
      </c>
      <c r="D14" s="15" t="s">
        <v>154</v>
      </c>
      <c r="E14" s="5">
        <v>627</v>
      </c>
      <c r="F14" s="170">
        <v>1.5</v>
      </c>
      <c r="G14" s="5" t="s">
        <v>150</v>
      </c>
      <c r="H14" s="6">
        <v>0</v>
      </c>
      <c r="I14" s="6" t="s">
        <v>153</v>
      </c>
      <c r="J14" s="24">
        <v>2019</v>
      </c>
      <c r="K14" s="49">
        <v>58</v>
      </c>
      <c r="L14" s="49">
        <v>4500</v>
      </c>
      <c r="M14" s="34">
        <f>E14*K14+H14*L14</f>
        <v>36366</v>
      </c>
      <c r="N14" s="28">
        <v>11392</v>
      </c>
      <c r="O14" s="28">
        <v>11281</v>
      </c>
      <c r="P14" s="61">
        <f>M14*(O14/N14)</f>
        <v>36011.661341292136</v>
      </c>
      <c r="Q14" s="47"/>
      <c r="R14" s="171"/>
      <c r="S14" s="171"/>
      <c r="T14" s="171"/>
      <c r="U14" s="171"/>
      <c r="V14" s="171"/>
      <c r="W14" s="171"/>
      <c r="X14" s="171"/>
      <c r="Y14" s="171"/>
    </row>
    <row r="15" spans="2:25" s="25" customFormat="1" ht="18" x14ac:dyDescent="0.25">
      <c r="B15" s="67"/>
      <c r="C15" s="68"/>
      <c r="D15" s="69"/>
      <c r="E15" s="70"/>
      <c r="F15" s="71"/>
      <c r="G15" s="71"/>
      <c r="H15" s="73"/>
      <c r="I15" s="73"/>
      <c r="J15" s="72"/>
      <c r="K15" s="72"/>
      <c r="L15" s="72"/>
      <c r="M15" s="73"/>
      <c r="N15" s="80"/>
      <c r="O15" s="80"/>
      <c r="P15" s="111"/>
      <c r="Q15" s="29"/>
      <c r="R15" s="171"/>
      <c r="S15" s="171"/>
      <c r="T15" s="171"/>
      <c r="U15" s="171"/>
      <c r="V15" s="171"/>
      <c r="W15" s="171"/>
      <c r="X15" s="171"/>
      <c r="Y15" s="171"/>
    </row>
    <row r="16" spans="2:25" s="25" customFormat="1" ht="18.75" thickBot="1" x14ac:dyDescent="0.3">
      <c r="B16" s="214" t="s">
        <v>156</v>
      </c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112">
        <f>SUM(P10:P14)</f>
        <v>354372.85186095512</v>
      </c>
      <c r="Q16" s="171"/>
      <c r="R16" s="171"/>
      <c r="S16" s="171"/>
      <c r="T16" s="171"/>
      <c r="U16" s="171"/>
      <c r="V16" s="171"/>
      <c r="W16" s="171"/>
      <c r="X16" s="171"/>
      <c r="Y16" s="171"/>
    </row>
    <row r="17" spans="2:17" s="25" customFormat="1" ht="15" x14ac:dyDescent="0.2">
      <c r="B17" s="225" t="s">
        <v>90</v>
      </c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171"/>
    </row>
    <row r="18" spans="2:17" ht="15" x14ac:dyDescent="0.2">
      <c r="B18" s="130" t="s">
        <v>157</v>
      </c>
      <c r="C18" s="171"/>
      <c r="D18" s="171"/>
      <c r="J18" s="171"/>
      <c r="K18" s="171"/>
      <c r="L18" s="171"/>
      <c r="M18" s="171"/>
      <c r="N18" s="171"/>
      <c r="O18" s="171"/>
      <c r="P18" s="171"/>
      <c r="Q18" s="171"/>
    </row>
    <row r="21" spans="2:17" x14ac:dyDescent="0.2">
      <c r="B21" s="171"/>
      <c r="C21" s="171"/>
      <c r="D21" s="171"/>
      <c r="J21" s="171"/>
      <c r="K21" s="171"/>
      <c r="L21" s="171"/>
      <c r="M21" s="171"/>
      <c r="N21" s="171"/>
      <c r="O21" s="171"/>
      <c r="P21" s="171"/>
      <c r="Q21" s="171" t="s">
        <v>158</v>
      </c>
    </row>
  </sheetData>
  <mergeCells count="30">
    <mergeCell ref="U9:U10"/>
    <mergeCell ref="V9:V10"/>
    <mergeCell ref="W9:W10"/>
    <mergeCell ref="X9:X10"/>
    <mergeCell ref="G7:G8"/>
    <mergeCell ref="T3:Y3"/>
    <mergeCell ref="B4:P4"/>
    <mergeCell ref="T4:Y4"/>
    <mergeCell ref="B6:P6"/>
    <mergeCell ref="D7:D8"/>
    <mergeCell ref="E7:E8"/>
    <mergeCell ref="F7:F8"/>
    <mergeCell ref="H7:H8"/>
    <mergeCell ref="J7:J8"/>
    <mergeCell ref="O7:O8"/>
    <mergeCell ref="P7:P8"/>
    <mergeCell ref="T7:Y7"/>
    <mergeCell ref="T8:Y8"/>
    <mergeCell ref="C7:C8"/>
    <mergeCell ref="B17:P17"/>
    <mergeCell ref="B16:O16"/>
    <mergeCell ref="K7:K8"/>
    <mergeCell ref="L7:L8"/>
    <mergeCell ref="B2:P2"/>
    <mergeCell ref="B3:P3"/>
    <mergeCell ref="B5:P5"/>
    <mergeCell ref="M7:M8"/>
    <mergeCell ref="B7:B8"/>
    <mergeCell ref="N7:N8"/>
    <mergeCell ref="I7:I8"/>
  </mergeCells>
  <phoneticPr fontId="16" type="noConversion"/>
  <printOptions horizontalCentered="1"/>
  <pageMargins left="0.7" right="0.7" top="1.2" bottom="0.75" header="0.3" footer="0.3"/>
  <pageSetup scale="44" fitToHeight="0" orientation="landscape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5C1E1-F03E-4751-A992-FEF57608112E}">
  <sheetPr>
    <pageSetUpPr fitToPage="1"/>
  </sheetPr>
  <dimension ref="B1:U37"/>
  <sheetViews>
    <sheetView view="pageBreakPreview" zoomScale="70" zoomScaleNormal="70" zoomScaleSheetLayoutView="70" workbookViewId="0">
      <selection activeCell="N10" sqref="N10:N31"/>
    </sheetView>
  </sheetViews>
  <sheetFormatPr defaultColWidth="13.875" defaultRowHeight="14.25" x14ac:dyDescent="0.2"/>
  <cols>
    <col min="1" max="1" width="13.875" style="18"/>
    <col min="2" max="2" width="11.5" style="18" bestFit="1" customWidth="1"/>
    <col min="3" max="3" width="11.5" style="18" customWidth="1"/>
    <col min="4" max="4" width="49.125" style="18" customWidth="1"/>
    <col min="5" max="5" width="20.375" style="1" customWidth="1"/>
    <col min="6" max="8" width="20.125" style="1" customWidth="1"/>
    <col min="9" max="9" width="11.25" style="18" customWidth="1"/>
    <col min="10" max="10" width="18.875" style="25" customWidth="1"/>
    <col min="11" max="11" width="20.25" style="25" customWidth="1"/>
    <col min="12" max="12" width="14.875" style="18" customWidth="1"/>
    <col min="13" max="13" width="14.25" style="25" customWidth="1"/>
    <col min="14" max="14" width="21.5" style="18" customWidth="1"/>
    <col min="15" max="15" width="32.875" style="18" customWidth="1"/>
    <col min="16" max="16" width="11.125" style="18" customWidth="1"/>
    <col min="17" max="17" width="13.875" style="18"/>
    <col min="18" max="18" width="8.25" style="18" bestFit="1" customWidth="1"/>
    <col min="19" max="19" width="24.75" style="18" bestFit="1" customWidth="1"/>
    <col min="20" max="20" width="16.625" style="18" bestFit="1" customWidth="1"/>
    <col min="21" max="21" width="19" style="18" customWidth="1"/>
    <col min="22" max="16384" width="13.875" style="18"/>
  </cols>
  <sheetData>
    <row r="1" spans="2:21" ht="20.25" customHeight="1" thickBot="1" x14ac:dyDescent="0.25">
      <c r="B1" s="171"/>
      <c r="C1" s="171"/>
      <c r="D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</row>
    <row r="2" spans="2:21" ht="18" x14ac:dyDescent="0.25">
      <c r="B2" s="177" t="s">
        <v>0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9"/>
      <c r="O2" s="171"/>
      <c r="P2" s="171"/>
      <c r="Q2" s="171"/>
      <c r="R2" s="171"/>
      <c r="S2" s="171"/>
      <c r="T2" s="171"/>
      <c r="U2" s="171"/>
    </row>
    <row r="3" spans="2:21" ht="18" x14ac:dyDescent="0.25">
      <c r="B3" s="180" t="s">
        <v>136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182"/>
      <c r="O3" s="171"/>
      <c r="P3" s="186"/>
      <c r="Q3" s="186"/>
      <c r="R3" s="186"/>
      <c r="S3" s="186"/>
      <c r="T3" s="186"/>
      <c r="U3" s="186"/>
    </row>
    <row r="4" spans="2:21" ht="15" customHeight="1" x14ac:dyDescent="0.25">
      <c r="B4" s="187" t="str">
        <f>Overall!B4</f>
        <v>As of March 22, 2021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189"/>
      <c r="O4" s="171"/>
      <c r="P4" s="186"/>
      <c r="Q4" s="186"/>
      <c r="R4" s="186"/>
      <c r="S4" s="186"/>
      <c r="T4" s="186"/>
      <c r="U4" s="186"/>
    </row>
    <row r="5" spans="2:21" ht="15" customHeight="1" x14ac:dyDescent="0.25">
      <c r="B5" s="187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189"/>
      <c r="O5" s="171"/>
      <c r="P5" s="171"/>
      <c r="Q5" s="171"/>
      <c r="R5" s="171"/>
      <c r="S5" s="171"/>
      <c r="T5" s="171"/>
      <c r="U5" s="171"/>
    </row>
    <row r="6" spans="2:21" ht="15" customHeight="1" thickBot="1" x14ac:dyDescent="0.3">
      <c r="B6" s="190" t="s">
        <v>159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2"/>
      <c r="O6" s="171"/>
      <c r="P6" s="171"/>
      <c r="Q6" s="171"/>
      <c r="R6" s="171"/>
      <c r="S6" s="171"/>
      <c r="T6" s="171"/>
      <c r="U6" s="171"/>
    </row>
    <row r="7" spans="2:21" s="2" customFormat="1" ht="18" customHeight="1" x14ac:dyDescent="0.25">
      <c r="B7" s="228" t="s">
        <v>160</v>
      </c>
      <c r="C7" s="212" t="s">
        <v>24</v>
      </c>
      <c r="D7" s="221" t="s">
        <v>4</v>
      </c>
      <c r="E7" s="221" t="s">
        <v>161</v>
      </c>
      <c r="F7" s="213" t="s">
        <v>162</v>
      </c>
      <c r="G7" s="213" t="s">
        <v>140</v>
      </c>
      <c r="H7" s="222" t="s">
        <v>163</v>
      </c>
      <c r="I7" s="221" t="s">
        <v>93</v>
      </c>
      <c r="J7" s="222" t="s">
        <v>164</v>
      </c>
      <c r="K7" s="222" t="s">
        <v>145</v>
      </c>
      <c r="L7" s="222" t="s">
        <v>146</v>
      </c>
      <c r="M7" s="222" t="s">
        <v>147</v>
      </c>
      <c r="N7" s="216" t="s">
        <v>165</v>
      </c>
      <c r="P7" s="186"/>
      <c r="Q7" s="186"/>
      <c r="R7" s="186"/>
      <c r="S7" s="186"/>
      <c r="T7" s="186"/>
      <c r="U7" s="186"/>
    </row>
    <row r="8" spans="2:21" s="2" customFormat="1" ht="18" customHeight="1" x14ac:dyDescent="0.25">
      <c r="B8" s="194"/>
      <c r="C8" s="199"/>
      <c r="D8" s="197"/>
      <c r="E8" s="197"/>
      <c r="F8" s="197"/>
      <c r="G8" s="197"/>
      <c r="H8" s="197"/>
      <c r="I8" s="197"/>
      <c r="J8" s="197"/>
      <c r="K8" s="219"/>
      <c r="L8" s="197"/>
      <c r="M8" s="197"/>
      <c r="N8" s="217"/>
      <c r="P8" s="186"/>
      <c r="Q8" s="186"/>
      <c r="R8" s="186"/>
      <c r="S8" s="186"/>
      <c r="T8" s="186"/>
      <c r="U8" s="186"/>
    </row>
    <row r="9" spans="2:21" ht="18" x14ac:dyDescent="0.25">
      <c r="B9" s="19">
        <v>360.2</v>
      </c>
      <c r="C9" s="20">
        <v>4</v>
      </c>
      <c r="D9" s="22" t="s">
        <v>17</v>
      </c>
      <c r="E9" s="5"/>
      <c r="F9" s="5"/>
      <c r="G9" s="5"/>
      <c r="H9" s="5"/>
      <c r="I9" s="23"/>
      <c r="J9" s="27"/>
      <c r="K9" s="52"/>
      <c r="L9" s="27"/>
      <c r="M9" s="27"/>
      <c r="N9" s="60"/>
      <c r="O9" s="32"/>
      <c r="P9" s="83"/>
      <c r="Q9" s="171"/>
      <c r="R9" s="171"/>
      <c r="S9" s="171"/>
      <c r="T9" s="171"/>
      <c r="U9" s="171"/>
    </row>
    <row r="10" spans="2:21" s="48" customFormat="1" ht="18" x14ac:dyDescent="0.25">
      <c r="B10" s="8"/>
      <c r="C10" s="20">
        <v>4.0999999999999996</v>
      </c>
      <c r="D10" s="15" t="s">
        <v>29</v>
      </c>
      <c r="E10" s="5">
        <v>81</v>
      </c>
      <c r="F10" s="5">
        <v>6</v>
      </c>
      <c r="G10" s="5" t="s">
        <v>166</v>
      </c>
      <c r="H10" s="5" t="s">
        <v>153</v>
      </c>
      <c r="I10" s="24">
        <v>1965</v>
      </c>
      <c r="J10" s="49">
        <v>138</v>
      </c>
      <c r="K10" s="49">
        <f>E10*J10</f>
        <v>11178</v>
      </c>
      <c r="L10" s="28">
        <v>11392</v>
      </c>
      <c r="M10" s="28">
        <v>971</v>
      </c>
      <c r="N10" s="61">
        <f>K10*(M10/L10)</f>
        <v>952.75965589887642</v>
      </c>
      <c r="O10" s="57"/>
      <c r="P10" s="83"/>
      <c r="Q10" s="171"/>
      <c r="R10" s="171"/>
      <c r="S10" s="171"/>
      <c r="T10" s="171"/>
      <c r="U10" s="171"/>
    </row>
    <row r="11" spans="2:21" ht="18" x14ac:dyDescent="0.25">
      <c r="B11" s="8"/>
      <c r="C11" s="20">
        <v>4.0999999999999996</v>
      </c>
      <c r="D11" s="15" t="s">
        <v>29</v>
      </c>
      <c r="E11" s="5">
        <v>300</v>
      </c>
      <c r="F11" s="5">
        <v>6</v>
      </c>
      <c r="G11" s="5" t="s">
        <v>166</v>
      </c>
      <c r="H11" s="5" t="s">
        <v>155</v>
      </c>
      <c r="I11" s="24">
        <v>1965</v>
      </c>
      <c r="J11" s="49">
        <v>200</v>
      </c>
      <c r="K11" s="49">
        <f>E11*J11</f>
        <v>60000</v>
      </c>
      <c r="L11" s="28">
        <v>11392</v>
      </c>
      <c r="M11" s="28">
        <v>971</v>
      </c>
      <c r="N11" s="61">
        <f>K11*(M11/L11)</f>
        <v>5114.1151685393261</v>
      </c>
      <c r="O11" s="57"/>
      <c r="P11" s="83"/>
      <c r="Q11" s="171"/>
      <c r="R11" s="171"/>
      <c r="S11" s="171"/>
      <c r="T11" s="171"/>
      <c r="U11" s="171"/>
    </row>
    <row r="12" spans="2:21" ht="18" x14ac:dyDescent="0.25">
      <c r="B12" s="8"/>
      <c r="C12" s="20">
        <v>4.2</v>
      </c>
      <c r="D12" s="15" t="s">
        <v>31</v>
      </c>
      <c r="E12" s="5">
        <v>894</v>
      </c>
      <c r="F12" s="5">
        <v>2</v>
      </c>
      <c r="G12" s="5" t="s">
        <v>167</v>
      </c>
      <c r="H12" s="5" t="s">
        <v>153</v>
      </c>
      <c r="I12" s="24">
        <v>1999</v>
      </c>
      <c r="J12" s="49">
        <v>63</v>
      </c>
      <c r="K12" s="49">
        <f t="shared" ref="K12:K31" si="0">E12*J12</f>
        <v>56322</v>
      </c>
      <c r="L12" s="28">
        <v>11392</v>
      </c>
      <c r="M12" s="28">
        <v>6059</v>
      </c>
      <c r="N12" s="61">
        <f t="shared" ref="N12:N31" si="1">K12*(M12/L12)</f>
        <v>29955.670470505615</v>
      </c>
      <c r="O12" s="57"/>
      <c r="P12" s="55"/>
      <c r="Q12" s="171"/>
      <c r="R12" s="171"/>
      <c r="S12" s="171"/>
      <c r="T12" s="171"/>
      <c r="U12" s="171"/>
    </row>
    <row r="13" spans="2:21" s="48" customFormat="1" ht="18" x14ac:dyDescent="0.25">
      <c r="B13" s="8"/>
      <c r="C13" s="20">
        <v>4.3</v>
      </c>
      <c r="D13" s="15" t="s">
        <v>32</v>
      </c>
      <c r="E13" s="5">
        <f>2881-1211</f>
        <v>1670</v>
      </c>
      <c r="F13" s="5">
        <v>6</v>
      </c>
      <c r="G13" s="5" t="s">
        <v>168</v>
      </c>
      <c r="H13" s="5" t="s">
        <v>153</v>
      </c>
      <c r="I13" s="24">
        <v>2002</v>
      </c>
      <c r="J13" s="49">
        <v>88</v>
      </c>
      <c r="K13" s="49">
        <f t="shared" ref="K13" si="2">E13*J13</f>
        <v>146960</v>
      </c>
      <c r="L13" s="28">
        <v>11392</v>
      </c>
      <c r="M13" s="28">
        <v>6538</v>
      </c>
      <c r="N13" s="61">
        <f t="shared" ref="N13" si="3">K13*(M13/L13)</f>
        <v>84342.036516853928</v>
      </c>
      <c r="O13" s="58"/>
      <c r="P13" s="55"/>
      <c r="Q13" s="171"/>
      <c r="R13" s="171"/>
      <c r="S13" s="171"/>
      <c r="T13" s="171"/>
      <c r="U13" s="171"/>
    </row>
    <row r="14" spans="2:21" ht="18" x14ac:dyDescent="0.25">
      <c r="B14" s="8"/>
      <c r="C14" s="20">
        <v>4.3</v>
      </c>
      <c r="D14" s="15" t="s">
        <v>32</v>
      </c>
      <c r="E14" s="5">
        <v>1211</v>
      </c>
      <c r="F14" s="5">
        <v>6</v>
      </c>
      <c r="G14" s="5" t="s">
        <v>168</v>
      </c>
      <c r="H14" s="5" t="s">
        <v>169</v>
      </c>
      <c r="I14" s="24">
        <v>2002</v>
      </c>
      <c r="J14" s="49">
        <v>150</v>
      </c>
      <c r="K14" s="49">
        <f t="shared" si="0"/>
        <v>181650</v>
      </c>
      <c r="L14" s="28">
        <v>11392</v>
      </c>
      <c r="M14" s="28">
        <v>6538</v>
      </c>
      <c r="N14" s="61">
        <f t="shared" si="1"/>
        <v>104251.02703651685</v>
      </c>
      <c r="O14" s="58"/>
      <c r="P14" s="55"/>
      <c r="Q14" s="171"/>
      <c r="R14" s="171"/>
      <c r="S14" s="171"/>
      <c r="T14" s="171"/>
      <c r="U14" s="171"/>
    </row>
    <row r="15" spans="2:21" s="48" customFormat="1" ht="18" x14ac:dyDescent="0.25">
      <c r="B15" s="8"/>
      <c r="C15" s="20">
        <v>4.4000000000000004</v>
      </c>
      <c r="D15" s="15" t="s">
        <v>34</v>
      </c>
      <c r="E15" s="5">
        <v>2410</v>
      </c>
      <c r="F15" s="5">
        <v>4</v>
      </c>
      <c r="G15" s="5" t="s">
        <v>168</v>
      </c>
      <c r="H15" s="5" t="s">
        <v>153</v>
      </c>
      <c r="I15" s="24">
        <v>1999</v>
      </c>
      <c r="J15" s="49">
        <v>73</v>
      </c>
      <c r="K15" s="49">
        <f t="shared" ref="K15" si="4">E15*J15</f>
        <v>175930</v>
      </c>
      <c r="L15" s="28">
        <v>11392</v>
      </c>
      <c r="M15" s="28">
        <v>6059</v>
      </c>
      <c r="N15" s="61">
        <f t="shared" ref="N15" si="5">K15*(M15/L15)</f>
        <v>93570.915554775274</v>
      </c>
      <c r="O15" s="59"/>
      <c r="P15" s="56"/>
      <c r="Q15" s="171"/>
      <c r="R15" s="171"/>
      <c r="S15" s="171"/>
      <c r="T15" s="171"/>
      <c r="U15" s="171"/>
    </row>
    <row r="16" spans="2:21" ht="18" x14ac:dyDescent="0.25">
      <c r="B16" s="8"/>
      <c r="C16" s="20">
        <v>4.4000000000000004</v>
      </c>
      <c r="D16" s="15" t="s">
        <v>34</v>
      </c>
      <c r="E16" s="5">
        <v>50</v>
      </c>
      <c r="F16" s="5">
        <v>4</v>
      </c>
      <c r="G16" s="5" t="s">
        <v>168</v>
      </c>
      <c r="H16" s="5" t="s">
        <v>155</v>
      </c>
      <c r="I16" s="24">
        <v>1999</v>
      </c>
      <c r="J16" s="49">
        <v>135</v>
      </c>
      <c r="K16" s="49">
        <f t="shared" si="0"/>
        <v>6750</v>
      </c>
      <c r="L16" s="28">
        <v>11392</v>
      </c>
      <c r="M16" s="28">
        <v>6059</v>
      </c>
      <c r="N16" s="61">
        <f t="shared" si="1"/>
        <v>3590.0851474719097</v>
      </c>
      <c r="O16" s="59"/>
      <c r="P16" s="56"/>
      <c r="Q16" s="171"/>
      <c r="R16" s="171"/>
      <c r="S16" s="171"/>
      <c r="T16" s="171"/>
      <c r="U16" s="171"/>
    </row>
    <row r="17" spans="2:17" ht="18" x14ac:dyDescent="0.25">
      <c r="B17" s="8"/>
      <c r="C17" s="20">
        <v>4.5</v>
      </c>
      <c r="D17" s="15" t="s">
        <v>35</v>
      </c>
      <c r="E17" s="5">
        <v>2296</v>
      </c>
      <c r="F17" s="5">
        <v>6</v>
      </c>
      <c r="G17" s="5" t="s">
        <v>168</v>
      </c>
      <c r="H17" s="5" t="s">
        <v>153</v>
      </c>
      <c r="I17" s="24">
        <v>1978</v>
      </c>
      <c r="J17" s="49">
        <v>88</v>
      </c>
      <c r="K17" s="49">
        <f t="shared" si="0"/>
        <v>202048</v>
      </c>
      <c r="L17" s="28">
        <v>11392</v>
      </c>
      <c r="M17" s="28">
        <v>2776</v>
      </c>
      <c r="N17" s="61">
        <f t="shared" si="1"/>
        <v>49235.011235955055</v>
      </c>
      <c r="O17" s="58"/>
      <c r="P17" s="55"/>
      <c r="Q17" s="171"/>
    </row>
    <row r="18" spans="2:17" ht="18" x14ac:dyDescent="0.25">
      <c r="B18" s="8"/>
      <c r="C18" s="20">
        <v>4.5999999999999996</v>
      </c>
      <c r="D18" s="15" t="s">
        <v>77</v>
      </c>
      <c r="E18" s="5">
        <v>14825</v>
      </c>
      <c r="F18" s="5">
        <v>12</v>
      </c>
      <c r="G18" s="5" t="s">
        <v>78</v>
      </c>
      <c r="H18" s="5" t="s">
        <v>78</v>
      </c>
      <c r="I18" s="24">
        <v>1980</v>
      </c>
      <c r="J18" s="49" t="s">
        <v>78</v>
      </c>
      <c r="K18" s="49" t="s">
        <v>78</v>
      </c>
      <c r="L18" s="28" t="s">
        <v>78</v>
      </c>
      <c r="M18" s="28" t="s">
        <v>78</v>
      </c>
      <c r="N18" s="61" t="s">
        <v>78</v>
      </c>
      <c r="O18" s="171"/>
      <c r="P18" s="54"/>
      <c r="Q18" s="171"/>
    </row>
    <row r="19" spans="2:17" ht="18" x14ac:dyDescent="0.25">
      <c r="B19" s="8"/>
      <c r="C19" s="20">
        <v>4.7</v>
      </c>
      <c r="D19" s="15" t="s">
        <v>37</v>
      </c>
      <c r="E19" s="5">
        <v>255</v>
      </c>
      <c r="F19" s="5">
        <v>4</v>
      </c>
      <c r="G19" s="5" t="s">
        <v>166</v>
      </c>
      <c r="H19" s="5" t="s">
        <v>153</v>
      </c>
      <c r="I19" s="24">
        <v>1965</v>
      </c>
      <c r="J19" s="49">
        <v>113</v>
      </c>
      <c r="K19" s="49">
        <f t="shared" si="0"/>
        <v>28815</v>
      </c>
      <c r="L19" s="28">
        <v>11392</v>
      </c>
      <c r="M19" s="28">
        <v>971</v>
      </c>
      <c r="N19" s="61">
        <f t="shared" si="1"/>
        <v>2456.0538096910113</v>
      </c>
      <c r="O19" s="171"/>
      <c r="P19" s="33"/>
      <c r="Q19" s="171"/>
    </row>
    <row r="20" spans="2:17" ht="18" x14ac:dyDescent="0.25">
      <c r="B20" s="9"/>
      <c r="C20" s="20">
        <v>4.8</v>
      </c>
      <c r="D20" s="15" t="s">
        <v>38</v>
      </c>
      <c r="E20" s="5">
        <v>944</v>
      </c>
      <c r="F20" s="5">
        <v>4</v>
      </c>
      <c r="G20" s="5" t="s">
        <v>168</v>
      </c>
      <c r="H20" s="5" t="s">
        <v>153</v>
      </c>
      <c r="I20" s="24">
        <v>1989</v>
      </c>
      <c r="J20" s="49">
        <v>73</v>
      </c>
      <c r="K20" s="49">
        <f t="shared" si="0"/>
        <v>68912</v>
      </c>
      <c r="L20" s="28">
        <v>11392</v>
      </c>
      <c r="M20" s="28">
        <v>4615</v>
      </c>
      <c r="N20" s="61">
        <f t="shared" si="1"/>
        <v>27916.860955056181</v>
      </c>
      <c r="O20" s="171"/>
      <c r="P20" s="171"/>
      <c r="Q20" s="171"/>
    </row>
    <row r="21" spans="2:17" s="48" customFormat="1" ht="18" x14ac:dyDescent="0.25">
      <c r="B21" s="9"/>
      <c r="C21" s="20">
        <v>4.9000000000000004</v>
      </c>
      <c r="D21" s="15" t="s">
        <v>39</v>
      </c>
      <c r="E21" s="5">
        <v>1850</v>
      </c>
      <c r="F21" s="5">
        <v>8</v>
      </c>
      <c r="G21" s="5" t="s">
        <v>166</v>
      </c>
      <c r="H21" s="5" t="s">
        <v>153</v>
      </c>
      <c r="I21" s="24">
        <v>1965</v>
      </c>
      <c r="J21" s="49">
        <v>166</v>
      </c>
      <c r="K21" s="49">
        <f t="shared" ref="K21" si="6">E21*J21</f>
        <v>307100</v>
      </c>
      <c r="L21" s="28">
        <v>11392</v>
      </c>
      <c r="M21" s="28">
        <v>971</v>
      </c>
      <c r="N21" s="61">
        <f t="shared" ref="N21" si="7">K21*(M21/L21)</f>
        <v>26175.74613764045</v>
      </c>
      <c r="O21" s="171"/>
      <c r="P21" s="171"/>
      <c r="Q21" s="171"/>
    </row>
    <row r="22" spans="2:17" ht="18" x14ac:dyDescent="0.25">
      <c r="B22" s="9"/>
      <c r="C22" s="20">
        <v>4.9000000000000004</v>
      </c>
      <c r="D22" s="15" t="s">
        <v>39</v>
      </c>
      <c r="E22" s="5">
        <v>50</v>
      </c>
      <c r="F22" s="5">
        <v>8</v>
      </c>
      <c r="G22" s="5" t="s">
        <v>166</v>
      </c>
      <c r="H22" s="5" t="s">
        <v>155</v>
      </c>
      <c r="I22" s="24">
        <v>1965</v>
      </c>
      <c r="J22" s="49">
        <v>233</v>
      </c>
      <c r="K22" s="49">
        <f t="shared" si="0"/>
        <v>11650</v>
      </c>
      <c r="L22" s="28">
        <v>11392</v>
      </c>
      <c r="M22" s="28">
        <v>971</v>
      </c>
      <c r="N22" s="61">
        <f t="shared" si="1"/>
        <v>992.99069522471905</v>
      </c>
      <c r="O22" s="171"/>
      <c r="P22" s="171"/>
      <c r="Q22" s="171"/>
    </row>
    <row r="23" spans="2:17" s="48" customFormat="1" ht="18" x14ac:dyDescent="0.25">
      <c r="B23" s="9"/>
      <c r="C23" s="12">
        <v>4.0999999999999996</v>
      </c>
      <c r="D23" s="15" t="s">
        <v>40</v>
      </c>
      <c r="E23" s="5">
        <v>2905</v>
      </c>
      <c r="F23" s="5">
        <v>10</v>
      </c>
      <c r="G23" s="5" t="s">
        <v>170</v>
      </c>
      <c r="H23" s="5" t="s">
        <v>153</v>
      </c>
      <c r="I23" s="24">
        <v>1965</v>
      </c>
      <c r="J23" s="49">
        <v>186</v>
      </c>
      <c r="K23" s="49">
        <f t="shared" ref="K23" si="8">E23*J23</f>
        <v>540330</v>
      </c>
      <c r="L23" s="28">
        <v>11392</v>
      </c>
      <c r="M23" s="28">
        <v>971</v>
      </c>
      <c r="N23" s="61">
        <f t="shared" ref="N23" si="9">K23*(M23/L23)</f>
        <v>46055.1641502809</v>
      </c>
      <c r="O23" s="171"/>
      <c r="P23" s="171"/>
      <c r="Q23" s="171"/>
    </row>
    <row r="24" spans="2:17" ht="18" x14ac:dyDescent="0.25">
      <c r="B24" s="9"/>
      <c r="C24" s="12">
        <v>4.0999999999999996</v>
      </c>
      <c r="D24" s="15" t="s">
        <v>40</v>
      </c>
      <c r="E24" s="5">
        <v>50</v>
      </c>
      <c r="F24" s="5">
        <v>10</v>
      </c>
      <c r="G24" s="5" t="s">
        <v>170</v>
      </c>
      <c r="H24" s="5" t="s">
        <v>155</v>
      </c>
      <c r="I24" s="24">
        <v>1965</v>
      </c>
      <c r="J24" s="49">
        <v>253</v>
      </c>
      <c r="K24" s="49">
        <f t="shared" si="0"/>
        <v>12650</v>
      </c>
      <c r="L24" s="28">
        <v>11392</v>
      </c>
      <c r="M24" s="28">
        <v>971</v>
      </c>
      <c r="N24" s="61">
        <f t="shared" si="1"/>
        <v>1078.2259480337079</v>
      </c>
      <c r="O24" s="171"/>
      <c r="P24" s="171"/>
      <c r="Q24" s="171"/>
    </row>
    <row r="25" spans="2:17" s="48" customFormat="1" ht="18" x14ac:dyDescent="0.25">
      <c r="B25" s="9"/>
      <c r="C25" s="12">
        <v>4.1100000000000003</v>
      </c>
      <c r="D25" s="15" t="s">
        <v>41</v>
      </c>
      <c r="E25" s="5">
        <v>619</v>
      </c>
      <c r="F25" s="5">
        <v>4</v>
      </c>
      <c r="G25" s="5" t="s">
        <v>166</v>
      </c>
      <c r="H25" s="5" t="s">
        <v>153</v>
      </c>
      <c r="I25" s="24">
        <v>1965</v>
      </c>
      <c r="J25" s="49">
        <v>113</v>
      </c>
      <c r="K25" s="49">
        <f t="shared" ref="K25" si="10">E25*J25</f>
        <v>69947</v>
      </c>
      <c r="L25" s="28">
        <v>11392</v>
      </c>
      <c r="M25" s="28">
        <v>971</v>
      </c>
      <c r="N25" s="61">
        <f t="shared" ref="N25" si="11">K25*(M25/L25)</f>
        <v>5961.9502282303365</v>
      </c>
      <c r="O25" s="171"/>
      <c r="P25" s="171"/>
      <c r="Q25" s="171"/>
    </row>
    <row r="26" spans="2:17" ht="18" x14ac:dyDescent="0.25">
      <c r="B26" s="9"/>
      <c r="C26" s="12">
        <v>4.1100000000000003</v>
      </c>
      <c r="D26" s="15" t="s">
        <v>41</v>
      </c>
      <c r="E26" s="5">
        <v>100</v>
      </c>
      <c r="F26" s="5">
        <v>4</v>
      </c>
      <c r="G26" s="5" t="s">
        <v>166</v>
      </c>
      <c r="H26" s="5" t="s">
        <v>155</v>
      </c>
      <c r="I26" s="24">
        <v>1965</v>
      </c>
      <c r="J26" s="49">
        <v>175</v>
      </c>
      <c r="K26" s="49">
        <f t="shared" si="0"/>
        <v>17500</v>
      </c>
      <c r="L26" s="28">
        <v>11392</v>
      </c>
      <c r="M26" s="28">
        <v>971</v>
      </c>
      <c r="N26" s="61">
        <f t="shared" si="1"/>
        <v>1491.6169241573034</v>
      </c>
      <c r="O26" s="171"/>
      <c r="P26" s="171"/>
      <c r="Q26" s="171"/>
    </row>
    <row r="27" spans="2:17" s="167" customFormat="1" ht="18" x14ac:dyDescent="0.25">
      <c r="B27" s="9"/>
      <c r="C27" s="12">
        <v>4.1100000000000003</v>
      </c>
      <c r="D27" s="15" t="s">
        <v>108</v>
      </c>
      <c r="E27" s="5">
        <v>423</v>
      </c>
      <c r="F27" s="5">
        <v>4</v>
      </c>
      <c r="G27" s="5" t="s">
        <v>171</v>
      </c>
      <c r="H27" s="5" t="s">
        <v>110</v>
      </c>
      <c r="I27" s="24">
        <v>2021</v>
      </c>
      <c r="J27" s="49" t="s">
        <v>110</v>
      </c>
      <c r="K27" s="49">
        <v>32650</v>
      </c>
      <c r="L27" s="28" t="s">
        <v>110</v>
      </c>
      <c r="M27" s="28" t="s">
        <v>110</v>
      </c>
      <c r="N27" s="61">
        <v>32650</v>
      </c>
      <c r="O27" s="171"/>
      <c r="P27" s="171"/>
      <c r="Q27" s="171"/>
    </row>
    <row r="28" spans="2:17" s="48" customFormat="1" ht="18" x14ac:dyDescent="0.25">
      <c r="B28" s="9"/>
      <c r="C28" s="12">
        <v>4.12</v>
      </c>
      <c r="D28" s="15" t="s">
        <v>42</v>
      </c>
      <c r="E28" s="5">
        <f>1991-305</f>
        <v>1686</v>
      </c>
      <c r="F28" s="5">
        <v>4</v>
      </c>
      <c r="G28" s="5" t="s">
        <v>168</v>
      </c>
      <c r="H28" s="5" t="s">
        <v>153</v>
      </c>
      <c r="I28" s="24">
        <v>1987</v>
      </c>
      <c r="J28" s="49">
        <v>73</v>
      </c>
      <c r="K28" s="49">
        <f t="shared" ref="K28" si="12">E28*J28</f>
        <v>123078</v>
      </c>
      <c r="L28" s="28">
        <v>11392</v>
      </c>
      <c r="M28" s="28">
        <v>4406</v>
      </c>
      <c r="N28" s="61">
        <f t="shared" ref="N28" si="13">K28*(M28/L28)</f>
        <v>47601.972261235955</v>
      </c>
      <c r="O28" s="171"/>
      <c r="P28" s="171"/>
      <c r="Q28" s="171"/>
    </row>
    <row r="29" spans="2:17" ht="18" x14ac:dyDescent="0.25">
      <c r="B29" s="9"/>
      <c r="C29" s="12">
        <v>4.12</v>
      </c>
      <c r="D29" s="15" t="s">
        <v>42</v>
      </c>
      <c r="E29" s="5">
        <v>305</v>
      </c>
      <c r="F29" s="5">
        <v>4</v>
      </c>
      <c r="G29" s="5" t="s">
        <v>168</v>
      </c>
      <c r="H29" s="5" t="s">
        <v>155</v>
      </c>
      <c r="I29" s="24">
        <v>1987</v>
      </c>
      <c r="J29" s="49">
        <v>135</v>
      </c>
      <c r="K29" s="49">
        <f t="shared" si="0"/>
        <v>41175</v>
      </c>
      <c r="L29" s="28">
        <v>11392</v>
      </c>
      <c r="M29" s="28">
        <v>4406</v>
      </c>
      <c r="N29" s="61">
        <f t="shared" si="1"/>
        <v>15924.951720505618</v>
      </c>
      <c r="O29" s="171"/>
      <c r="P29" s="171"/>
      <c r="Q29" s="171"/>
    </row>
    <row r="30" spans="2:17" ht="18" x14ac:dyDescent="0.25">
      <c r="B30" s="9"/>
      <c r="C30" s="12">
        <v>4.13</v>
      </c>
      <c r="D30" s="15" t="s">
        <v>43</v>
      </c>
      <c r="E30" s="5">
        <v>2414</v>
      </c>
      <c r="F30" s="5">
        <v>4</v>
      </c>
      <c r="G30" s="5" t="s">
        <v>168</v>
      </c>
      <c r="H30" s="5" t="s">
        <v>153</v>
      </c>
      <c r="I30" s="24">
        <v>2004</v>
      </c>
      <c r="J30" s="49">
        <v>73</v>
      </c>
      <c r="K30" s="49">
        <f t="shared" si="0"/>
        <v>176222</v>
      </c>
      <c r="L30" s="28">
        <v>11392</v>
      </c>
      <c r="M30" s="28">
        <v>7115</v>
      </c>
      <c r="N30" s="61">
        <f t="shared" si="1"/>
        <v>110061.40537219102</v>
      </c>
      <c r="O30" s="171"/>
      <c r="P30" s="171"/>
      <c r="Q30" s="171"/>
    </row>
    <row r="31" spans="2:17" s="25" customFormat="1" ht="18.75" thickBot="1" x14ac:dyDescent="0.3">
      <c r="B31" s="13"/>
      <c r="C31" s="62">
        <v>4.1399999999999997</v>
      </c>
      <c r="D31" s="15" t="s">
        <v>44</v>
      </c>
      <c r="E31" s="5">
        <v>3026</v>
      </c>
      <c r="F31" s="5">
        <v>6</v>
      </c>
      <c r="G31" s="5" t="s">
        <v>172</v>
      </c>
      <c r="H31" s="5" t="s">
        <v>153</v>
      </c>
      <c r="I31" s="24">
        <v>2001</v>
      </c>
      <c r="J31" s="49">
        <v>88</v>
      </c>
      <c r="K31" s="49">
        <f t="shared" si="0"/>
        <v>266288</v>
      </c>
      <c r="L31" s="28">
        <v>11392</v>
      </c>
      <c r="M31" s="28">
        <v>6334</v>
      </c>
      <c r="N31" s="61">
        <f t="shared" si="1"/>
        <v>148057.25</v>
      </c>
      <c r="O31" s="171"/>
      <c r="P31" s="171"/>
      <c r="Q31" s="171"/>
    </row>
    <row r="32" spans="2:17" s="25" customFormat="1" ht="18" x14ac:dyDescent="0.25">
      <c r="B32" s="67"/>
      <c r="C32" s="68"/>
      <c r="D32" s="69"/>
      <c r="E32" s="70"/>
      <c r="F32" s="71"/>
      <c r="G32" s="71"/>
      <c r="H32" s="71"/>
      <c r="I32" s="73"/>
      <c r="J32" s="73"/>
      <c r="K32" s="73"/>
      <c r="L32" s="72"/>
      <c r="M32" s="72"/>
      <c r="N32" s="74"/>
      <c r="O32" s="171"/>
      <c r="P32" s="171"/>
      <c r="Q32" s="29"/>
    </row>
    <row r="33" spans="2:16" s="25" customFormat="1" ht="18.75" thickBot="1" x14ac:dyDescent="0.25">
      <c r="B33" s="214" t="s">
        <v>173</v>
      </c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75">
        <f>SUM(N10:N31)</f>
        <v>837435.80898876395</v>
      </c>
      <c r="O33" s="171"/>
      <c r="P33" s="171"/>
    </row>
    <row r="34" spans="2:16" x14ac:dyDescent="0.2">
      <c r="B34" s="171" t="s">
        <v>114</v>
      </c>
      <c r="C34" s="171"/>
      <c r="D34" s="171"/>
      <c r="I34" s="171"/>
      <c r="J34" s="171"/>
      <c r="K34" s="171"/>
      <c r="L34" s="171"/>
      <c r="M34" s="171"/>
      <c r="N34" s="171"/>
      <c r="O34" s="171"/>
      <c r="P34" s="171"/>
    </row>
    <row r="35" spans="2:16" s="167" customFormat="1" x14ac:dyDescent="0.2">
      <c r="B35" s="171" t="s">
        <v>115</v>
      </c>
      <c r="C35" s="171"/>
      <c r="D35" s="171"/>
      <c r="E35" s="1"/>
      <c r="F35" s="1"/>
      <c r="G35" s="1"/>
      <c r="H35" s="1"/>
      <c r="I35" s="171"/>
      <c r="J35" s="171"/>
      <c r="K35" s="171"/>
      <c r="L35" s="171"/>
      <c r="M35" s="171"/>
      <c r="N35" s="171"/>
      <c r="O35" s="171"/>
      <c r="P35" s="171"/>
    </row>
    <row r="36" spans="2:16" x14ac:dyDescent="0.2">
      <c r="B36" s="171" t="s">
        <v>174</v>
      </c>
      <c r="C36" s="171"/>
      <c r="D36" s="171"/>
      <c r="I36" s="171"/>
      <c r="J36" s="171"/>
      <c r="K36" s="171"/>
      <c r="L36" s="171"/>
      <c r="M36" s="171"/>
      <c r="N36" s="171"/>
      <c r="O36" s="171"/>
      <c r="P36" s="171"/>
    </row>
    <row r="37" spans="2:16" x14ac:dyDescent="0.2">
      <c r="B37" s="171" t="s">
        <v>175</v>
      </c>
      <c r="C37" s="171"/>
      <c r="D37" s="171"/>
      <c r="I37" s="171"/>
      <c r="J37" s="171"/>
      <c r="K37" s="171"/>
      <c r="L37" s="171"/>
      <c r="M37" s="171"/>
      <c r="N37" s="171"/>
      <c r="O37" s="171"/>
      <c r="P37" s="171"/>
    </row>
  </sheetData>
  <mergeCells count="23">
    <mergeCell ref="B33:M33"/>
    <mergeCell ref="B2:N2"/>
    <mergeCell ref="B3:N3"/>
    <mergeCell ref="P3:U3"/>
    <mergeCell ref="B4:N4"/>
    <mergeCell ref="P4:U4"/>
    <mergeCell ref="B6:N6"/>
    <mergeCell ref="D7:D8"/>
    <mergeCell ref="E7:E8"/>
    <mergeCell ref="I7:I8"/>
    <mergeCell ref="F7:F8"/>
    <mergeCell ref="L7:L8"/>
    <mergeCell ref="N7:N8"/>
    <mergeCell ref="P7:U7"/>
    <mergeCell ref="P8:U8"/>
    <mergeCell ref="H7:H8"/>
    <mergeCell ref="B5:N5"/>
    <mergeCell ref="B7:B8"/>
    <mergeCell ref="C7:C8"/>
    <mergeCell ref="M7:M8"/>
    <mergeCell ref="K7:K8"/>
    <mergeCell ref="J7:J8"/>
    <mergeCell ref="G7:G8"/>
  </mergeCells>
  <printOptions horizontalCentered="1"/>
  <pageMargins left="0.7" right="0.7" top="1.2" bottom="0.75" header="0.3" footer="0.3"/>
  <pageSetup scale="44" fitToHeight="0" orientation="landscape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247"/>
  <sheetViews>
    <sheetView view="pageBreakPreview" topLeftCell="B43" zoomScale="70" zoomScaleNormal="70" zoomScaleSheetLayoutView="70" workbookViewId="0">
      <selection activeCell="K16" sqref="K16"/>
    </sheetView>
  </sheetViews>
  <sheetFormatPr defaultColWidth="13.875" defaultRowHeight="14.25" x14ac:dyDescent="0.2"/>
  <cols>
    <col min="2" max="2" width="11.5" bestFit="1" customWidth="1"/>
    <col min="3" max="3" width="12" style="120" customWidth="1"/>
    <col min="4" max="4" width="55.25" customWidth="1"/>
    <col min="5" max="5" width="14.125" style="1" customWidth="1"/>
    <col min="6" max="7" width="14.25" style="1" customWidth="1"/>
    <col min="8" max="8" width="15.375" style="1" customWidth="1"/>
    <col min="9" max="9" width="20.375" style="48" customWidth="1"/>
    <col min="10" max="10" width="11.75" style="25" customWidth="1"/>
    <col min="11" max="12" width="17.75" style="25" customWidth="1"/>
    <col min="13" max="13" width="19.625" customWidth="1"/>
    <col min="14" max="14" width="16" style="25" bestFit="1" customWidth="1"/>
    <col min="15" max="15" width="16" style="18" bestFit="1" customWidth="1"/>
    <col min="16" max="16" width="19.875" style="18" bestFit="1" customWidth="1"/>
    <col min="17" max="17" width="21.875" customWidth="1"/>
    <col min="18" max="18" width="26.375" customWidth="1"/>
    <col min="19" max="19" width="14.5" customWidth="1"/>
    <col min="20" max="20" width="21.75" customWidth="1"/>
    <col min="22" max="22" width="8.25" bestFit="1" customWidth="1"/>
    <col min="23" max="23" width="24.75" bestFit="1" customWidth="1"/>
    <col min="24" max="24" width="16.625" bestFit="1" customWidth="1"/>
    <col min="25" max="25" width="19" customWidth="1"/>
  </cols>
  <sheetData>
    <row r="1" spans="2:25" ht="20.25" customHeight="1" thickBot="1" x14ac:dyDescent="0.25">
      <c r="B1" s="171"/>
      <c r="D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</row>
    <row r="2" spans="2:25" ht="18" x14ac:dyDescent="0.25">
      <c r="B2" s="177" t="s">
        <v>0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9"/>
      <c r="Q2" s="171"/>
      <c r="R2" s="171"/>
      <c r="S2" s="171"/>
      <c r="T2" s="171"/>
      <c r="U2" s="171"/>
      <c r="V2" s="171"/>
      <c r="W2" s="171"/>
      <c r="X2" s="171"/>
      <c r="Y2" s="171"/>
    </row>
    <row r="3" spans="2:25" ht="18" x14ac:dyDescent="0.25">
      <c r="B3" s="187" t="s">
        <v>1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189"/>
      <c r="Q3" s="171"/>
      <c r="R3" s="171"/>
      <c r="S3" s="171"/>
      <c r="T3" s="186"/>
      <c r="U3" s="186"/>
      <c r="V3" s="186"/>
      <c r="W3" s="186"/>
      <c r="X3" s="186"/>
      <c r="Y3" s="186"/>
    </row>
    <row r="4" spans="2:25" ht="15" customHeight="1" x14ac:dyDescent="0.25">
      <c r="B4" s="187" t="str">
        <f>Overall!B4</f>
        <v>As of March 22, 2021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189"/>
      <c r="Q4" s="171"/>
      <c r="R4" s="171"/>
      <c r="S4" s="171"/>
      <c r="T4" s="186"/>
      <c r="U4" s="186"/>
      <c r="V4" s="186"/>
      <c r="W4" s="186"/>
      <c r="X4" s="186"/>
      <c r="Y4" s="186"/>
    </row>
    <row r="5" spans="2:25" s="17" customFormat="1" ht="15" customHeight="1" x14ac:dyDescent="0.25">
      <c r="B5" s="187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189"/>
      <c r="Q5" s="171"/>
      <c r="R5" s="171"/>
      <c r="S5" s="171"/>
      <c r="T5" s="171"/>
      <c r="U5" s="171"/>
      <c r="V5" s="171"/>
      <c r="W5" s="171"/>
      <c r="X5" s="171"/>
      <c r="Y5" s="171"/>
    </row>
    <row r="6" spans="2:25" s="17" customFormat="1" ht="15" customHeight="1" thickBot="1" x14ac:dyDescent="0.3">
      <c r="B6" s="190" t="s">
        <v>176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2"/>
      <c r="Q6" s="171"/>
      <c r="R6" s="171"/>
      <c r="S6" s="171"/>
      <c r="T6" s="171"/>
      <c r="U6" s="171"/>
      <c r="V6" s="171"/>
      <c r="W6" s="171"/>
      <c r="X6" s="171"/>
      <c r="Y6" s="171"/>
    </row>
    <row r="7" spans="2:25" s="2" customFormat="1" ht="18" customHeight="1" x14ac:dyDescent="0.25">
      <c r="B7" s="228" t="s">
        <v>3</v>
      </c>
      <c r="C7" s="229" t="s">
        <v>24</v>
      </c>
      <c r="D7" s="221" t="s">
        <v>4</v>
      </c>
      <c r="E7" s="218" t="s">
        <v>138</v>
      </c>
      <c r="F7" s="222" t="s">
        <v>139</v>
      </c>
      <c r="G7" s="222" t="s">
        <v>140</v>
      </c>
      <c r="H7" s="221" t="s">
        <v>141</v>
      </c>
      <c r="I7" s="222" t="s">
        <v>177</v>
      </c>
      <c r="J7" s="213" t="s">
        <v>93</v>
      </c>
      <c r="K7" s="218" t="s">
        <v>178</v>
      </c>
      <c r="L7" s="218" t="s">
        <v>144</v>
      </c>
      <c r="M7" s="218" t="s">
        <v>179</v>
      </c>
      <c r="N7" s="222" t="s">
        <v>180</v>
      </c>
      <c r="O7" s="222" t="s">
        <v>181</v>
      </c>
      <c r="P7" s="216" t="s">
        <v>5</v>
      </c>
      <c r="T7" s="186"/>
      <c r="U7" s="186"/>
      <c r="V7" s="186"/>
      <c r="W7" s="186"/>
      <c r="X7" s="186"/>
      <c r="Y7" s="186"/>
    </row>
    <row r="8" spans="2:25" s="2" customFormat="1" ht="18" customHeight="1" x14ac:dyDescent="0.25">
      <c r="B8" s="194"/>
      <c r="C8" s="230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8"/>
      <c r="R8" s="32"/>
      <c r="S8" s="84"/>
      <c r="T8" s="186"/>
      <c r="U8" s="186"/>
      <c r="V8" s="186"/>
      <c r="W8" s="186"/>
      <c r="X8" s="186"/>
      <c r="Y8" s="186"/>
    </row>
    <row r="9" spans="2:25" ht="18" x14ac:dyDescent="0.25">
      <c r="B9" s="19">
        <v>361.2</v>
      </c>
      <c r="C9" s="20">
        <v>5</v>
      </c>
      <c r="D9" s="22" t="s">
        <v>182</v>
      </c>
      <c r="E9" s="5"/>
      <c r="F9" s="5"/>
      <c r="G9" s="5"/>
      <c r="H9" s="6"/>
      <c r="I9" s="5"/>
      <c r="J9" s="5"/>
      <c r="K9" s="5"/>
      <c r="L9" s="5"/>
      <c r="M9" s="5"/>
      <c r="N9" s="27"/>
      <c r="O9" s="27"/>
      <c r="P9" s="60"/>
      <c r="Q9" s="171"/>
      <c r="R9" s="171"/>
      <c r="S9" s="85"/>
      <c r="T9" s="171"/>
      <c r="U9" s="186"/>
      <c r="V9" s="186"/>
      <c r="W9" s="186"/>
      <c r="X9" s="186"/>
      <c r="Y9" s="171"/>
    </row>
    <row r="10" spans="2:25" ht="18" x14ac:dyDescent="0.25">
      <c r="B10" s="9"/>
      <c r="C10" s="20">
        <v>5.0999999999999996</v>
      </c>
      <c r="D10" s="15" t="s">
        <v>183</v>
      </c>
      <c r="E10" s="5">
        <f>1443-160</f>
        <v>1283</v>
      </c>
      <c r="F10" s="5">
        <v>8</v>
      </c>
      <c r="G10" s="5" t="str">
        <f t="shared" ref="G10:G11" si="0">IF(J10&lt;1980, "VCP","SDR-35")</f>
        <v>VCP</v>
      </c>
      <c r="H10" s="6">
        <v>6</v>
      </c>
      <c r="I10" s="31" t="s">
        <v>184</v>
      </c>
      <c r="J10" s="31">
        <v>1968</v>
      </c>
      <c r="K10" s="125" t="str">
        <f>IF(I10="In Road",(IF(J10&lt;1980,"$          140.00","$          130.00")),(IF(J10&lt;1980,"$            57.00","$            47.00")))</f>
        <v>$            57.00</v>
      </c>
      <c r="L10" s="35">
        <v>4500</v>
      </c>
      <c r="M10" s="89">
        <f>(E10*K10+H10*L10)</f>
        <v>100131</v>
      </c>
      <c r="N10" s="28">
        <v>11392</v>
      </c>
      <c r="O10" s="28">
        <v>1155</v>
      </c>
      <c r="P10" s="61">
        <f>M10*(O10/N10)</f>
        <v>10151.975509129214</v>
      </c>
      <c r="Q10" s="171"/>
      <c r="R10" s="171"/>
      <c r="S10" s="33"/>
      <c r="T10" s="171"/>
      <c r="U10" s="186"/>
      <c r="V10" s="186"/>
      <c r="W10" s="186"/>
      <c r="X10" s="186"/>
      <c r="Y10" s="171"/>
    </row>
    <row r="11" spans="2:25" s="48" customFormat="1" ht="18" x14ac:dyDescent="0.25">
      <c r="B11" s="8"/>
      <c r="C11" s="20">
        <v>5.0999999999999996</v>
      </c>
      <c r="D11" s="15" t="s">
        <v>183</v>
      </c>
      <c r="E11" s="5">
        <v>160</v>
      </c>
      <c r="F11" s="5">
        <v>8</v>
      </c>
      <c r="G11" s="5" t="str">
        <f t="shared" si="0"/>
        <v>VCP</v>
      </c>
      <c r="H11" s="6">
        <v>2</v>
      </c>
      <c r="I11" s="31" t="s">
        <v>155</v>
      </c>
      <c r="J11" s="31">
        <v>1968</v>
      </c>
      <c r="K11" s="125" t="str">
        <f t="shared" ref="K11:K74" si="1">IF(I11="In Road",(IF(J11&lt;1980,"$          140.00","$          130.00")),(IF(J11&lt;1980,"$            57.00","$            47.00")))</f>
        <v>$          140.00</v>
      </c>
      <c r="L11" s="35">
        <v>4500</v>
      </c>
      <c r="M11" s="89">
        <f>(E11*K11+H11*L11)</f>
        <v>31400</v>
      </c>
      <c r="N11" s="28">
        <v>11392</v>
      </c>
      <c r="O11" s="28">
        <v>1155</v>
      </c>
      <c r="P11" s="61">
        <f>M11*(O11/N11)</f>
        <v>3183.5498595505615</v>
      </c>
      <c r="Q11" s="171"/>
      <c r="R11" s="171"/>
      <c r="S11" s="33"/>
      <c r="T11" s="171"/>
      <c r="U11" s="171"/>
      <c r="V11" s="171"/>
      <c r="W11" s="171"/>
      <c r="X11" s="171"/>
      <c r="Y11" s="171"/>
    </row>
    <row r="12" spans="2:25" ht="18" x14ac:dyDescent="0.25">
      <c r="B12" s="8"/>
      <c r="C12" s="20">
        <v>5.2</v>
      </c>
      <c r="D12" s="15" t="s">
        <v>185</v>
      </c>
      <c r="E12" s="5">
        <f>3094-1216</f>
        <v>1878</v>
      </c>
      <c r="F12" s="5">
        <v>4</v>
      </c>
      <c r="G12" s="5" t="str">
        <f>IF(J12&lt;1980, "VCP","SDR-35")</f>
        <v>SDR-35</v>
      </c>
      <c r="H12" s="6">
        <v>9</v>
      </c>
      <c r="I12" s="31" t="s">
        <v>153</v>
      </c>
      <c r="J12" s="31">
        <v>1988</v>
      </c>
      <c r="K12" s="125" t="str">
        <f t="shared" si="1"/>
        <v>$            47.00</v>
      </c>
      <c r="L12" s="35">
        <v>4500</v>
      </c>
      <c r="M12" s="89">
        <f t="shared" ref="M12:M115" si="2">(E12*K12+H12*L12)</f>
        <v>128766</v>
      </c>
      <c r="N12" s="28">
        <v>11392</v>
      </c>
      <c r="O12" s="28">
        <v>4519</v>
      </c>
      <c r="P12" s="61">
        <f t="shared" ref="P12:P115" si="3">M12*(O12/N12)</f>
        <v>51079.139220505618</v>
      </c>
      <c r="Q12" s="171"/>
      <c r="R12" s="171"/>
      <c r="S12" s="171"/>
      <c r="T12" s="171"/>
      <c r="U12" s="171"/>
      <c r="V12" s="171"/>
      <c r="W12" s="171"/>
      <c r="X12" s="171"/>
      <c r="Y12" s="171"/>
    </row>
    <row r="13" spans="2:25" s="48" customFormat="1" ht="18" x14ac:dyDescent="0.25">
      <c r="B13" s="8"/>
      <c r="C13" s="20">
        <v>5.2</v>
      </c>
      <c r="D13" s="15" t="s">
        <v>185</v>
      </c>
      <c r="E13" s="5">
        <v>1216</v>
      </c>
      <c r="F13" s="5">
        <v>4</v>
      </c>
      <c r="G13" s="5" t="str">
        <f t="shared" ref="G13:G76" si="4">IF(J13&lt;1980, "VCP","SDR-35")</f>
        <v>SDR-35</v>
      </c>
      <c r="H13" s="6">
        <v>4</v>
      </c>
      <c r="I13" s="31" t="s">
        <v>155</v>
      </c>
      <c r="J13" s="31">
        <v>1988</v>
      </c>
      <c r="K13" s="125" t="str">
        <f t="shared" si="1"/>
        <v>$          130.00</v>
      </c>
      <c r="L13" s="35">
        <v>4500</v>
      </c>
      <c r="M13" s="89">
        <f t="shared" ref="M13" si="5">(E13*K13+H13*L13)</f>
        <v>176080</v>
      </c>
      <c r="N13" s="28">
        <v>11392</v>
      </c>
      <c r="O13" s="28">
        <v>4519</v>
      </c>
      <c r="P13" s="61">
        <f t="shared" ref="P13" si="6">M13*(O13/N13)</f>
        <v>69847.745786516854</v>
      </c>
      <c r="Q13" s="171"/>
      <c r="R13" s="171"/>
      <c r="S13" s="171"/>
      <c r="T13" s="171"/>
      <c r="U13" s="171"/>
      <c r="V13" s="171"/>
      <c r="W13" s="171"/>
      <c r="X13" s="171"/>
      <c r="Y13" s="171"/>
    </row>
    <row r="14" spans="2:25" ht="18" x14ac:dyDescent="0.25">
      <c r="B14" s="8"/>
      <c r="C14" s="20">
        <v>5.3</v>
      </c>
      <c r="D14" s="15" t="s">
        <v>186</v>
      </c>
      <c r="E14" s="5">
        <v>15708</v>
      </c>
      <c r="F14" s="5">
        <v>8</v>
      </c>
      <c r="G14" s="5" t="str">
        <f t="shared" si="4"/>
        <v>VCP</v>
      </c>
      <c r="H14" s="6">
        <v>46</v>
      </c>
      <c r="I14" s="31" t="s">
        <v>184</v>
      </c>
      <c r="J14" s="31">
        <v>1968</v>
      </c>
      <c r="K14" s="125" t="str">
        <f t="shared" si="1"/>
        <v>$            57.00</v>
      </c>
      <c r="L14" s="35">
        <v>4500</v>
      </c>
      <c r="M14" s="89">
        <f t="shared" si="2"/>
        <v>1102356</v>
      </c>
      <c r="N14" s="28">
        <v>11392</v>
      </c>
      <c r="O14" s="28">
        <v>1155</v>
      </c>
      <c r="P14" s="61">
        <f t="shared" si="3"/>
        <v>111764.4996488764</v>
      </c>
      <c r="Q14" s="171"/>
      <c r="R14" s="50"/>
      <c r="S14" s="171"/>
      <c r="T14" s="171"/>
      <c r="U14" s="171"/>
      <c r="V14" s="171"/>
      <c r="W14" s="171"/>
      <c r="X14" s="171"/>
      <c r="Y14" s="171"/>
    </row>
    <row r="15" spans="2:25" s="48" customFormat="1" ht="18" x14ac:dyDescent="0.25">
      <c r="B15" s="8"/>
      <c r="C15" s="20">
        <v>5.3</v>
      </c>
      <c r="D15" s="15" t="s">
        <v>186</v>
      </c>
      <c r="E15" s="5">
        <v>6510</v>
      </c>
      <c r="F15" s="5">
        <v>8</v>
      </c>
      <c r="G15" s="5" t="str">
        <f t="shared" si="4"/>
        <v>VCP</v>
      </c>
      <c r="H15" s="6">
        <v>22</v>
      </c>
      <c r="I15" s="31" t="s">
        <v>155</v>
      </c>
      <c r="J15" s="31">
        <v>1968</v>
      </c>
      <c r="K15" s="125" t="str">
        <f t="shared" si="1"/>
        <v>$          140.00</v>
      </c>
      <c r="L15" s="35">
        <v>4500</v>
      </c>
      <c r="M15" s="89">
        <f t="shared" ref="M15" si="7">(E15*K15+H15*L15)</f>
        <v>1010400</v>
      </c>
      <c r="N15" s="28">
        <v>11392</v>
      </c>
      <c r="O15" s="28">
        <v>1155</v>
      </c>
      <c r="P15" s="61">
        <f t="shared" ref="P15" si="8">M15*(O15/N15)</f>
        <v>102441.36235955056</v>
      </c>
      <c r="Q15" s="171"/>
      <c r="R15" s="50"/>
      <c r="S15" s="171"/>
      <c r="T15" s="171"/>
      <c r="U15" s="171"/>
      <c r="V15" s="171"/>
      <c r="W15" s="171"/>
      <c r="X15" s="171"/>
      <c r="Y15" s="171"/>
    </row>
    <row r="16" spans="2:25" ht="18" x14ac:dyDescent="0.25">
      <c r="B16" s="8"/>
      <c r="C16" s="20">
        <v>5.4</v>
      </c>
      <c r="D16" s="15" t="s">
        <v>187</v>
      </c>
      <c r="E16" s="5">
        <f>1968-1215</f>
        <v>753</v>
      </c>
      <c r="F16" s="5">
        <v>8</v>
      </c>
      <c r="G16" s="5" t="str">
        <f t="shared" si="4"/>
        <v>SDR-35</v>
      </c>
      <c r="H16" s="6">
        <v>8</v>
      </c>
      <c r="I16" s="31" t="s">
        <v>153</v>
      </c>
      <c r="J16" s="31">
        <v>1997</v>
      </c>
      <c r="K16" s="125" t="str">
        <f t="shared" si="1"/>
        <v>$            47.00</v>
      </c>
      <c r="L16" s="35">
        <v>4500</v>
      </c>
      <c r="M16" s="89">
        <f t="shared" si="2"/>
        <v>71391</v>
      </c>
      <c r="N16" s="28">
        <v>11392</v>
      </c>
      <c r="O16" s="28">
        <v>5826</v>
      </c>
      <c r="P16" s="61">
        <f t="shared" si="3"/>
        <v>36510.1795997191</v>
      </c>
      <c r="Q16" s="171"/>
      <c r="R16" s="50"/>
      <c r="S16" s="171"/>
      <c r="T16" s="171"/>
      <c r="U16" s="171"/>
      <c r="V16" s="171"/>
      <c r="W16" s="171"/>
      <c r="X16" s="171"/>
      <c r="Y16" s="171"/>
    </row>
    <row r="17" spans="2:18" s="48" customFormat="1" ht="18" x14ac:dyDescent="0.25">
      <c r="B17" s="8"/>
      <c r="C17" s="20">
        <v>5.4</v>
      </c>
      <c r="D17" s="15" t="s">
        <v>187</v>
      </c>
      <c r="E17" s="5">
        <v>1215</v>
      </c>
      <c r="F17" s="5">
        <v>8</v>
      </c>
      <c r="G17" s="5" t="str">
        <f t="shared" si="4"/>
        <v>SDR-35</v>
      </c>
      <c r="H17" s="6">
        <v>6</v>
      </c>
      <c r="I17" s="31" t="s">
        <v>155</v>
      </c>
      <c r="J17" s="31">
        <v>1997</v>
      </c>
      <c r="K17" s="125" t="str">
        <f t="shared" si="1"/>
        <v>$          130.00</v>
      </c>
      <c r="L17" s="35">
        <v>4500</v>
      </c>
      <c r="M17" s="89">
        <f t="shared" ref="M17" si="9">(E17*K17+H17*L17)</f>
        <v>184950</v>
      </c>
      <c r="N17" s="28">
        <v>11392</v>
      </c>
      <c r="O17" s="28">
        <v>5826</v>
      </c>
      <c r="P17" s="61">
        <f t="shared" ref="P17" si="10">M17*(O17/N17)</f>
        <v>94585.560042134835</v>
      </c>
      <c r="Q17" s="171"/>
      <c r="R17" s="50"/>
    </row>
    <row r="18" spans="2:18" ht="18" x14ac:dyDescent="0.25">
      <c r="B18" s="8"/>
      <c r="C18" s="20">
        <v>5.5</v>
      </c>
      <c r="D18" s="15" t="s">
        <v>188</v>
      </c>
      <c r="E18" s="5">
        <v>1109</v>
      </c>
      <c r="F18" s="5">
        <v>8</v>
      </c>
      <c r="G18" s="5" t="str">
        <f t="shared" si="4"/>
        <v>VCP</v>
      </c>
      <c r="H18" s="6">
        <v>4</v>
      </c>
      <c r="I18" s="31" t="s">
        <v>153</v>
      </c>
      <c r="J18" s="31">
        <v>1965</v>
      </c>
      <c r="K18" s="125"/>
      <c r="L18" s="35"/>
      <c r="M18" s="89"/>
      <c r="N18" s="28"/>
      <c r="O18" s="28"/>
      <c r="P18" s="61"/>
      <c r="Q18" s="171"/>
      <c r="R18" s="50"/>
    </row>
    <row r="19" spans="2:18" ht="18" x14ac:dyDescent="0.25">
      <c r="B19" s="8"/>
      <c r="C19" s="20">
        <v>5.6</v>
      </c>
      <c r="D19" s="15" t="s">
        <v>189</v>
      </c>
      <c r="E19" s="5">
        <f>1396-241</f>
        <v>1155</v>
      </c>
      <c r="F19" s="5">
        <v>8</v>
      </c>
      <c r="G19" s="5" t="str">
        <f t="shared" si="4"/>
        <v>VCP</v>
      </c>
      <c r="H19" s="6">
        <v>4</v>
      </c>
      <c r="I19" s="31" t="s">
        <v>153</v>
      </c>
      <c r="J19" s="31">
        <v>1955</v>
      </c>
      <c r="K19" s="125"/>
      <c r="L19" s="35"/>
      <c r="M19" s="89"/>
      <c r="N19" s="28"/>
      <c r="O19" s="28"/>
      <c r="P19" s="61"/>
      <c r="Q19" s="171"/>
      <c r="R19" s="50"/>
    </row>
    <row r="20" spans="2:18" s="48" customFormat="1" ht="18" x14ac:dyDescent="0.25">
      <c r="B20" s="8"/>
      <c r="C20" s="20">
        <v>5.6</v>
      </c>
      <c r="D20" s="15" t="s">
        <v>189</v>
      </c>
      <c r="E20" s="5">
        <v>241</v>
      </c>
      <c r="F20" s="5">
        <v>8</v>
      </c>
      <c r="G20" s="5" t="str">
        <f t="shared" si="4"/>
        <v>VCP</v>
      </c>
      <c r="H20" s="6">
        <v>2</v>
      </c>
      <c r="I20" s="31" t="s">
        <v>155</v>
      </c>
      <c r="J20" s="31">
        <v>1955</v>
      </c>
      <c r="K20" s="125"/>
      <c r="L20" s="35"/>
      <c r="M20" s="89"/>
      <c r="N20" s="28"/>
      <c r="O20" s="28"/>
      <c r="P20" s="61"/>
      <c r="Q20" s="171"/>
      <c r="R20" s="50"/>
    </row>
    <row r="21" spans="2:18" ht="18" x14ac:dyDescent="0.25">
      <c r="B21" s="8"/>
      <c r="C21" s="20">
        <v>5.7</v>
      </c>
      <c r="D21" s="15" t="s">
        <v>190</v>
      </c>
      <c r="E21" s="5">
        <f>6813-1648</f>
        <v>5165</v>
      </c>
      <c r="F21" s="5">
        <v>8</v>
      </c>
      <c r="G21" s="5" t="str">
        <f t="shared" si="4"/>
        <v>VCP</v>
      </c>
      <c r="H21" s="6">
        <v>26</v>
      </c>
      <c r="I21" s="31" t="s">
        <v>153</v>
      </c>
      <c r="J21" s="31">
        <v>1965</v>
      </c>
      <c r="K21" s="125"/>
      <c r="L21" s="35"/>
      <c r="M21" s="89"/>
      <c r="N21" s="28"/>
      <c r="O21" s="28"/>
      <c r="P21" s="61"/>
      <c r="Q21" s="171"/>
      <c r="R21" s="26"/>
    </row>
    <row r="22" spans="2:18" s="48" customFormat="1" ht="18" x14ac:dyDescent="0.25">
      <c r="B22" s="8"/>
      <c r="C22" s="20">
        <v>5.7</v>
      </c>
      <c r="D22" s="15" t="s">
        <v>190</v>
      </c>
      <c r="E22" s="5">
        <v>1648</v>
      </c>
      <c r="F22" s="5">
        <v>8</v>
      </c>
      <c r="G22" s="5" t="str">
        <f t="shared" si="4"/>
        <v>VCP</v>
      </c>
      <c r="H22" s="6">
        <v>7</v>
      </c>
      <c r="I22" s="31" t="s">
        <v>155</v>
      </c>
      <c r="J22" s="31">
        <v>1965</v>
      </c>
      <c r="K22" s="125"/>
      <c r="L22" s="35"/>
      <c r="M22" s="89"/>
      <c r="N22" s="28"/>
      <c r="O22" s="28"/>
      <c r="P22" s="61"/>
      <c r="Q22" s="171"/>
      <c r="R22" s="26"/>
    </row>
    <row r="23" spans="2:18" s="48" customFormat="1" ht="18" x14ac:dyDescent="0.25">
      <c r="B23" s="8"/>
      <c r="C23" s="20">
        <v>5.8</v>
      </c>
      <c r="D23" s="15" t="s">
        <v>191</v>
      </c>
      <c r="E23" s="5">
        <v>2683</v>
      </c>
      <c r="F23" s="5">
        <v>8</v>
      </c>
      <c r="G23" s="5" t="str">
        <f t="shared" si="4"/>
        <v>VCP</v>
      </c>
      <c r="H23" s="6">
        <v>15</v>
      </c>
      <c r="I23" s="31" t="s">
        <v>153</v>
      </c>
      <c r="J23" s="31">
        <v>1955</v>
      </c>
      <c r="K23" s="125"/>
      <c r="L23" s="35"/>
      <c r="M23" s="89"/>
      <c r="N23" s="28"/>
      <c r="O23" s="28"/>
      <c r="P23" s="61"/>
      <c r="Q23" s="171"/>
      <c r="R23" s="171"/>
    </row>
    <row r="24" spans="2:18" ht="18" x14ac:dyDescent="0.25">
      <c r="B24" s="8"/>
      <c r="C24" s="20">
        <v>5.8</v>
      </c>
      <c r="D24" s="15" t="s">
        <v>191</v>
      </c>
      <c r="E24" s="5">
        <v>5324</v>
      </c>
      <c r="F24" s="5">
        <v>8</v>
      </c>
      <c r="G24" s="5" t="str">
        <f t="shared" si="4"/>
        <v>VCP</v>
      </c>
      <c r="H24" s="6">
        <v>18</v>
      </c>
      <c r="I24" s="31" t="s">
        <v>155</v>
      </c>
      <c r="J24" s="31">
        <v>1955</v>
      </c>
      <c r="K24" s="125"/>
      <c r="L24" s="35"/>
      <c r="M24" s="89"/>
      <c r="N24" s="28"/>
      <c r="O24" s="28"/>
      <c r="P24" s="61"/>
      <c r="Q24" s="171"/>
      <c r="R24" s="171"/>
    </row>
    <row r="25" spans="2:18" s="48" customFormat="1" ht="18" x14ac:dyDescent="0.25">
      <c r="B25" s="8"/>
      <c r="C25" s="20">
        <v>5.9</v>
      </c>
      <c r="D25" s="15" t="s">
        <v>192</v>
      </c>
      <c r="E25" s="5">
        <v>3063</v>
      </c>
      <c r="F25" s="5">
        <v>8</v>
      </c>
      <c r="G25" s="5" t="str">
        <f t="shared" si="4"/>
        <v>SDR-35</v>
      </c>
      <c r="H25" s="6">
        <v>18</v>
      </c>
      <c r="I25" s="31" t="s">
        <v>153</v>
      </c>
      <c r="J25" s="31">
        <v>1995</v>
      </c>
      <c r="K25" s="125" t="str">
        <f t="shared" si="1"/>
        <v>$            47.00</v>
      </c>
      <c r="L25" s="35">
        <v>4500</v>
      </c>
      <c r="M25" s="89">
        <f t="shared" ref="M25" si="11">(E25*K25+H25*L25)</f>
        <v>224961</v>
      </c>
      <c r="N25" s="28">
        <v>11392</v>
      </c>
      <c r="O25" s="28">
        <v>5471</v>
      </c>
      <c r="P25" s="61">
        <f t="shared" ref="P25" si="12">M25*(O25/N25)</f>
        <v>108037.36227176967</v>
      </c>
      <c r="Q25" s="171"/>
      <c r="R25" s="171"/>
    </row>
    <row r="26" spans="2:18" ht="18" x14ac:dyDescent="0.25">
      <c r="B26" s="8"/>
      <c r="C26" s="20">
        <v>5.9</v>
      </c>
      <c r="D26" s="15" t="s">
        <v>192</v>
      </c>
      <c r="E26" s="5">
        <v>86</v>
      </c>
      <c r="F26" s="5">
        <v>8</v>
      </c>
      <c r="G26" s="5" t="str">
        <f t="shared" si="4"/>
        <v>SDR-35</v>
      </c>
      <c r="H26" s="6">
        <v>2</v>
      </c>
      <c r="I26" s="31" t="s">
        <v>155</v>
      </c>
      <c r="J26" s="31">
        <v>1995</v>
      </c>
      <c r="K26" s="125" t="str">
        <f t="shared" si="1"/>
        <v>$          130.00</v>
      </c>
      <c r="L26" s="35">
        <v>4500</v>
      </c>
      <c r="M26" s="89">
        <f t="shared" si="2"/>
        <v>20180</v>
      </c>
      <c r="N26" s="28">
        <v>11392</v>
      </c>
      <c r="O26" s="28">
        <v>5471</v>
      </c>
      <c r="P26" s="61">
        <f t="shared" si="3"/>
        <v>9691.4308286516862</v>
      </c>
      <c r="Q26" s="171"/>
      <c r="R26" s="171"/>
    </row>
    <row r="27" spans="2:18" ht="18" x14ac:dyDescent="0.25">
      <c r="B27" s="8"/>
      <c r="C27" s="12">
        <v>5.0999999999999996</v>
      </c>
      <c r="D27" s="15" t="s">
        <v>193</v>
      </c>
      <c r="E27" s="5">
        <v>2941</v>
      </c>
      <c r="F27" s="5">
        <v>8</v>
      </c>
      <c r="G27" s="5" t="str">
        <f t="shared" si="4"/>
        <v>SDR-35</v>
      </c>
      <c r="H27" s="6">
        <v>11</v>
      </c>
      <c r="I27" s="31" t="s">
        <v>153</v>
      </c>
      <c r="J27" s="31">
        <v>2003</v>
      </c>
      <c r="K27" s="125" t="str">
        <f t="shared" si="1"/>
        <v>$            47.00</v>
      </c>
      <c r="L27" s="35">
        <v>4500</v>
      </c>
      <c r="M27" s="89">
        <f t="shared" si="2"/>
        <v>187727</v>
      </c>
      <c r="N27" s="28">
        <v>11392</v>
      </c>
      <c r="O27" s="28">
        <v>6695</v>
      </c>
      <c r="P27" s="61">
        <f t="shared" si="3"/>
        <v>110325.86595856742</v>
      </c>
      <c r="Q27" s="171"/>
      <c r="R27" s="171"/>
    </row>
    <row r="28" spans="2:18" s="48" customFormat="1" ht="18" x14ac:dyDescent="0.25">
      <c r="B28" s="8"/>
      <c r="C28" s="12">
        <v>5.0999999999999996</v>
      </c>
      <c r="D28" s="15" t="s">
        <v>193</v>
      </c>
      <c r="E28" s="5">
        <v>876</v>
      </c>
      <c r="F28" s="5">
        <v>8</v>
      </c>
      <c r="G28" s="5" t="str">
        <f t="shared" si="4"/>
        <v>SDR-35</v>
      </c>
      <c r="H28" s="6">
        <v>4</v>
      </c>
      <c r="I28" s="31" t="s">
        <v>155</v>
      </c>
      <c r="J28" s="31">
        <v>2003</v>
      </c>
      <c r="K28" s="125" t="str">
        <f t="shared" si="1"/>
        <v>$          130.00</v>
      </c>
      <c r="L28" s="35">
        <v>4500</v>
      </c>
      <c r="M28" s="89">
        <f t="shared" ref="M28" si="13">(E28*K28+H28*L28)</f>
        <v>131880</v>
      </c>
      <c r="N28" s="28">
        <v>11392</v>
      </c>
      <c r="O28" s="28">
        <v>6695</v>
      </c>
      <c r="P28" s="61">
        <f t="shared" ref="P28" si="14">M28*(O28/N28)</f>
        <v>77504.968398876401</v>
      </c>
      <c r="Q28" s="171"/>
      <c r="R28" s="171"/>
    </row>
    <row r="29" spans="2:18" ht="18" x14ac:dyDescent="0.25">
      <c r="B29" s="8"/>
      <c r="C29" s="12">
        <v>5.1100000000000003</v>
      </c>
      <c r="D29" s="15" t="s">
        <v>194</v>
      </c>
      <c r="E29" s="5">
        <f>5017-665</f>
        <v>4352</v>
      </c>
      <c r="F29" s="5">
        <v>8</v>
      </c>
      <c r="G29" s="5" t="str">
        <f t="shared" si="4"/>
        <v>VCP</v>
      </c>
      <c r="H29" s="6">
        <v>19</v>
      </c>
      <c r="I29" s="31" t="s">
        <v>153</v>
      </c>
      <c r="J29" s="31">
        <v>1975</v>
      </c>
      <c r="K29" s="125" t="str">
        <f t="shared" si="1"/>
        <v>$            57.00</v>
      </c>
      <c r="L29" s="35">
        <v>4500</v>
      </c>
      <c r="M29" s="89">
        <f t="shared" si="2"/>
        <v>333564</v>
      </c>
      <c r="N29" s="28">
        <v>11392</v>
      </c>
      <c r="O29" s="28">
        <v>2212</v>
      </c>
      <c r="P29" s="61">
        <f t="shared" si="3"/>
        <v>64768.571629213489</v>
      </c>
      <c r="Q29" s="171"/>
      <c r="R29" s="171"/>
    </row>
    <row r="30" spans="2:18" s="48" customFormat="1" ht="18" x14ac:dyDescent="0.25">
      <c r="B30" s="8"/>
      <c r="C30" s="12">
        <v>5.1100000000000003</v>
      </c>
      <c r="D30" s="15" t="s">
        <v>194</v>
      </c>
      <c r="E30" s="5">
        <v>665</v>
      </c>
      <c r="F30" s="5">
        <v>8</v>
      </c>
      <c r="G30" s="5" t="str">
        <f t="shared" si="4"/>
        <v>VCP</v>
      </c>
      <c r="H30" s="6">
        <v>3</v>
      </c>
      <c r="I30" s="31" t="s">
        <v>155</v>
      </c>
      <c r="J30" s="31">
        <v>1975</v>
      </c>
      <c r="K30" s="125" t="str">
        <f t="shared" si="1"/>
        <v>$          140.00</v>
      </c>
      <c r="L30" s="35">
        <v>4500</v>
      </c>
      <c r="M30" s="89">
        <f t="shared" ref="M30:M31" si="15">(E30*K30+H30*L30)</f>
        <v>106600</v>
      </c>
      <c r="N30" s="28">
        <v>11392</v>
      </c>
      <c r="O30" s="28">
        <v>2212</v>
      </c>
      <c r="P30" s="61">
        <f t="shared" ref="P30:P31" si="16">M30*(O30/N30)</f>
        <v>20698.665730337081</v>
      </c>
      <c r="Q30" s="171"/>
      <c r="R30" s="171"/>
    </row>
    <row r="31" spans="2:18" s="48" customFormat="1" ht="18" x14ac:dyDescent="0.25">
      <c r="B31" s="8"/>
      <c r="C31" s="12">
        <v>5.12</v>
      </c>
      <c r="D31" s="15" t="s">
        <v>195</v>
      </c>
      <c r="E31" s="5">
        <v>2641</v>
      </c>
      <c r="F31" s="5">
        <v>8</v>
      </c>
      <c r="G31" s="5" t="str">
        <f t="shared" si="4"/>
        <v>SDR-35</v>
      </c>
      <c r="H31" s="6">
        <v>14</v>
      </c>
      <c r="I31" s="31" t="s">
        <v>153</v>
      </c>
      <c r="J31" s="31">
        <v>2006</v>
      </c>
      <c r="K31" s="125" t="str">
        <f t="shared" si="1"/>
        <v>$            47.00</v>
      </c>
      <c r="L31" s="35">
        <v>4500</v>
      </c>
      <c r="M31" s="89">
        <f t="shared" si="15"/>
        <v>187127</v>
      </c>
      <c r="N31" s="28">
        <v>11392</v>
      </c>
      <c r="O31" s="28">
        <v>7751</v>
      </c>
      <c r="P31" s="61">
        <f t="shared" si="16"/>
        <v>127319.29222261235</v>
      </c>
      <c r="Q31" s="171"/>
      <c r="R31" s="171"/>
    </row>
    <row r="32" spans="2:18" ht="18" x14ac:dyDescent="0.25">
      <c r="B32" s="8"/>
      <c r="C32" s="12">
        <v>5.12</v>
      </c>
      <c r="D32" s="15" t="s">
        <v>195</v>
      </c>
      <c r="E32" s="5">
        <v>100</v>
      </c>
      <c r="F32" s="5">
        <v>8</v>
      </c>
      <c r="G32" s="5" t="str">
        <f t="shared" si="4"/>
        <v>SDR-35</v>
      </c>
      <c r="H32" s="6">
        <v>0</v>
      </c>
      <c r="I32" s="31" t="s">
        <v>155</v>
      </c>
      <c r="J32" s="31">
        <v>2006</v>
      </c>
      <c r="K32" s="125" t="str">
        <f t="shared" si="1"/>
        <v>$          130.00</v>
      </c>
      <c r="L32" s="35">
        <v>4500</v>
      </c>
      <c r="M32" s="89">
        <f t="shared" si="2"/>
        <v>13000</v>
      </c>
      <c r="N32" s="28">
        <v>11392</v>
      </c>
      <c r="O32" s="28">
        <v>7751</v>
      </c>
      <c r="P32" s="61">
        <f t="shared" si="3"/>
        <v>8845.0667134831456</v>
      </c>
      <c r="Q32" s="171"/>
      <c r="R32" s="171"/>
    </row>
    <row r="33" spans="2:17" ht="18" x14ac:dyDescent="0.25">
      <c r="B33" s="8"/>
      <c r="C33" s="12">
        <v>5.13</v>
      </c>
      <c r="D33" s="15" t="s">
        <v>196</v>
      </c>
      <c r="E33" s="5">
        <v>10871</v>
      </c>
      <c r="F33" s="5">
        <v>8</v>
      </c>
      <c r="G33" s="5" t="str">
        <f t="shared" si="4"/>
        <v>SDR-35</v>
      </c>
      <c r="H33" s="6">
        <v>71</v>
      </c>
      <c r="I33" s="31" t="s">
        <v>153</v>
      </c>
      <c r="J33" s="31">
        <v>2014</v>
      </c>
      <c r="K33" s="125" t="str">
        <f t="shared" si="1"/>
        <v>$            47.00</v>
      </c>
      <c r="L33" s="35">
        <v>4500</v>
      </c>
      <c r="M33" s="89">
        <f t="shared" si="2"/>
        <v>830437</v>
      </c>
      <c r="N33" s="28">
        <v>11392</v>
      </c>
      <c r="O33" s="28">
        <v>9806</v>
      </c>
      <c r="P33" s="61">
        <f t="shared" si="3"/>
        <v>714823.14097612363</v>
      </c>
      <c r="Q33" s="29"/>
    </row>
    <row r="34" spans="2:17" s="48" customFormat="1" ht="18" x14ac:dyDescent="0.25">
      <c r="B34" s="8"/>
      <c r="C34" s="12">
        <v>5.13</v>
      </c>
      <c r="D34" s="15" t="s">
        <v>196</v>
      </c>
      <c r="E34" s="5">
        <v>1958</v>
      </c>
      <c r="F34" s="5">
        <v>8</v>
      </c>
      <c r="G34" s="5" t="str">
        <f t="shared" si="4"/>
        <v>SDR-35</v>
      </c>
      <c r="H34" s="6">
        <v>11</v>
      </c>
      <c r="I34" s="31" t="s">
        <v>155</v>
      </c>
      <c r="J34" s="31">
        <v>2014</v>
      </c>
      <c r="K34" s="125" t="str">
        <f t="shared" si="1"/>
        <v>$          130.00</v>
      </c>
      <c r="L34" s="35">
        <v>4500</v>
      </c>
      <c r="M34" s="89">
        <f t="shared" ref="M34:M35" si="17">(E34*K34+H34*L34)</f>
        <v>304040</v>
      </c>
      <c r="N34" s="28">
        <v>11392</v>
      </c>
      <c r="O34" s="28">
        <v>9806</v>
      </c>
      <c r="P34" s="61">
        <f t="shared" ref="P34:P35" si="18">M34*(O34/N34)</f>
        <v>261711.39747191011</v>
      </c>
      <c r="Q34" s="29"/>
    </row>
    <row r="35" spans="2:17" s="48" customFormat="1" ht="18" x14ac:dyDescent="0.25">
      <c r="B35" s="8"/>
      <c r="C35" s="12">
        <v>5.14</v>
      </c>
      <c r="D35" s="15" t="s">
        <v>197</v>
      </c>
      <c r="E35" s="5">
        <f>3466-50</f>
        <v>3416</v>
      </c>
      <c r="F35" s="5">
        <v>8</v>
      </c>
      <c r="G35" s="5" t="str">
        <f t="shared" si="4"/>
        <v>SDR-35</v>
      </c>
      <c r="H35" s="6">
        <v>17</v>
      </c>
      <c r="I35" s="31" t="s">
        <v>153</v>
      </c>
      <c r="J35" s="31">
        <v>1996</v>
      </c>
      <c r="K35" s="125" t="str">
        <f t="shared" si="1"/>
        <v>$            47.00</v>
      </c>
      <c r="L35" s="35">
        <v>4500</v>
      </c>
      <c r="M35" s="89">
        <f t="shared" si="17"/>
        <v>237052</v>
      </c>
      <c r="N35" s="28">
        <v>11392</v>
      </c>
      <c r="O35" s="28">
        <v>5620</v>
      </c>
      <c r="P35" s="61">
        <f t="shared" si="18"/>
        <v>116944.54353932584</v>
      </c>
      <c r="Q35" s="171"/>
    </row>
    <row r="36" spans="2:17" ht="18" x14ac:dyDescent="0.25">
      <c r="B36" s="8"/>
      <c r="C36" s="12">
        <v>5.14</v>
      </c>
      <c r="D36" s="15" t="s">
        <v>197</v>
      </c>
      <c r="E36" s="5">
        <v>50</v>
      </c>
      <c r="F36" s="5">
        <v>8</v>
      </c>
      <c r="G36" s="5" t="str">
        <f t="shared" si="4"/>
        <v>SDR-35</v>
      </c>
      <c r="H36" s="6">
        <v>1</v>
      </c>
      <c r="I36" s="31" t="s">
        <v>155</v>
      </c>
      <c r="J36" s="31">
        <v>1996</v>
      </c>
      <c r="K36" s="125" t="str">
        <f t="shared" si="1"/>
        <v>$          130.00</v>
      </c>
      <c r="L36" s="35">
        <v>4500</v>
      </c>
      <c r="M36" s="89">
        <f t="shared" si="2"/>
        <v>11000</v>
      </c>
      <c r="N36" s="28">
        <v>11392</v>
      </c>
      <c r="O36" s="28">
        <v>5620</v>
      </c>
      <c r="P36" s="61">
        <f t="shared" si="3"/>
        <v>5426.6151685393261</v>
      </c>
      <c r="Q36" s="171"/>
    </row>
    <row r="37" spans="2:17" s="48" customFormat="1" ht="18" x14ac:dyDescent="0.25">
      <c r="B37" s="8"/>
      <c r="C37" s="12">
        <v>5.15</v>
      </c>
      <c r="D37" s="15" t="s">
        <v>198</v>
      </c>
      <c r="E37" s="5">
        <f>7319-50</f>
        <v>7269</v>
      </c>
      <c r="F37" s="5">
        <v>8</v>
      </c>
      <c r="G37" s="5" t="str">
        <f t="shared" si="4"/>
        <v>SDR-35</v>
      </c>
      <c r="H37" s="6">
        <v>36</v>
      </c>
      <c r="I37" s="31" t="s">
        <v>153</v>
      </c>
      <c r="J37" s="31">
        <v>1995</v>
      </c>
      <c r="K37" s="125" t="str">
        <f t="shared" si="1"/>
        <v>$            47.00</v>
      </c>
      <c r="L37" s="35">
        <v>4500</v>
      </c>
      <c r="M37" s="89">
        <f t="shared" ref="M37" si="19">(E37*K37+H37*L37)</f>
        <v>503643</v>
      </c>
      <c r="N37" s="28">
        <v>11392</v>
      </c>
      <c r="O37" s="28">
        <v>5471</v>
      </c>
      <c r="P37" s="61">
        <f t="shared" ref="P37" si="20">M37*(O37/N37)</f>
        <v>241874.197068118</v>
      </c>
      <c r="Q37" s="171"/>
    </row>
    <row r="38" spans="2:17" s="17" customFormat="1" ht="18" x14ac:dyDescent="0.25">
      <c r="B38" s="8"/>
      <c r="C38" s="12">
        <v>5.15</v>
      </c>
      <c r="D38" s="15" t="s">
        <v>198</v>
      </c>
      <c r="E38" s="5">
        <v>50</v>
      </c>
      <c r="F38" s="5">
        <v>8</v>
      </c>
      <c r="G38" s="5" t="str">
        <f t="shared" si="4"/>
        <v>SDR-35</v>
      </c>
      <c r="H38" s="6">
        <v>1</v>
      </c>
      <c r="I38" s="31" t="s">
        <v>155</v>
      </c>
      <c r="J38" s="31">
        <v>1995</v>
      </c>
      <c r="K38" s="125" t="str">
        <f t="shared" si="1"/>
        <v>$          130.00</v>
      </c>
      <c r="L38" s="35">
        <v>4500</v>
      </c>
      <c r="M38" s="89">
        <f t="shared" si="2"/>
        <v>11000</v>
      </c>
      <c r="N38" s="28">
        <v>11392</v>
      </c>
      <c r="O38" s="28">
        <v>5471</v>
      </c>
      <c r="P38" s="61">
        <f t="shared" si="3"/>
        <v>5282.7422752808989</v>
      </c>
      <c r="Q38" s="171"/>
    </row>
    <row r="39" spans="2:17" s="48" customFormat="1" ht="18" x14ac:dyDescent="0.25">
      <c r="B39" s="8"/>
      <c r="C39" s="12">
        <v>5.16</v>
      </c>
      <c r="D39" s="15" t="s">
        <v>199</v>
      </c>
      <c r="E39" s="5">
        <f>7368-50</f>
        <v>7318</v>
      </c>
      <c r="F39" s="5">
        <v>8</v>
      </c>
      <c r="G39" s="5" t="str">
        <f t="shared" si="4"/>
        <v>SDR-35</v>
      </c>
      <c r="H39" s="6">
        <v>45</v>
      </c>
      <c r="I39" s="31" t="s">
        <v>153</v>
      </c>
      <c r="J39" s="31">
        <v>1996</v>
      </c>
      <c r="K39" s="125" t="str">
        <f t="shared" si="1"/>
        <v>$            47.00</v>
      </c>
      <c r="L39" s="35">
        <v>4500</v>
      </c>
      <c r="M39" s="89">
        <f t="shared" ref="M39" si="21">(E39*K39+H39*L39)</f>
        <v>546446</v>
      </c>
      <c r="N39" s="28">
        <v>11392</v>
      </c>
      <c r="O39" s="28">
        <v>5620</v>
      </c>
      <c r="P39" s="61">
        <f t="shared" ref="P39" si="22">M39*(O39/N39)</f>
        <v>269577.46839887637</v>
      </c>
      <c r="Q39" s="171"/>
    </row>
    <row r="40" spans="2:17" s="17" customFormat="1" ht="18" x14ac:dyDescent="0.25">
      <c r="B40" s="8"/>
      <c r="C40" s="12">
        <v>5.16</v>
      </c>
      <c r="D40" s="15" t="s">
        <v>199</v>
      </c>
      <c r="E40" s="5">
        <v>50</v>
      </c>
      <c r="F40" s="5">
        <v>8</v>
      </c>
      <c r="G40" s="5" t="str">
        <f t="shared" si="4"/>
        <v>SDR-35</v>
      </c>
      <c r="H40" s="6">
        <v>1</v>
      </c>
      <c r="I40" s="31" t="s">
        <v>155</v>
      </c>
      <c r="J40" s="31">
        <v>1996</v>
      </c>
      <c r="K40" s="125" t="str">
        <f t="shared" si="1"/>
        <v>$          130.00</v>
      </c>
      <c r="L40" s="35">
        <v>4500</v>
      </c>
      <c r="M40" s="89">
        <f t="shared" si="2"/>
        <v>11000</v>
      </c>
      <c r="N40" s="28">
        <v>11392</v>
      </c>
      <c r="O40" s="28">
        <v>5620</v>
      </c>
      <c r="P40" s="61">
        <f t="shared" si="3"/>
        <v>5426.6151685393261</v>
      </c>
      <c r="Q40" s="171"/>
    </row>
    <row r="41" spans="2:17" s="17" customFormat="1" ht="18" x14ac:dyDescent="0.25">
      <c r="B41" s="8"/>
      <c r="C41" s="12">
        <v>5.17</v>
      </c>
      <c r="D41" s="15" t="s">
        <v>200</v>
      </c>
      <c r="E41" s="5">
        <v>5316</v>
      </c>
      <c r="F41" s="5">
        <v>8</v>
      </c>
      <c r="G41" s="5" t="str">
        <f t="shared" si="4"/>
        <v>VCP</v>
      </c>
      <c r="H41" s="6">
        <v>28</v>
      </c>
      <c r="I41" s="31" t="s">
        <v>153</v>
      </c>
      <c r="J41" s="31">
        <v>1950</v>
      </c>
      <c r="K41" s="125" t="str">
        <f t="shared" si="1"/>
        <v>$            57.00</v>
      </c>
      <c r="L41" s="35">
        <v>4500</v>
      </c>
      <c r="M41" s="89">
        <f t="shared" si="2"/>
        <v>429012</v>
      </c>
      <c r="N41" s="28">
        <v>11392</v>
      </c>
      <c r="O41" s="28">
        <v>510</v>
      </c>
      <c r="P41" s="61">
        <f t="shared" si="3"/>
        <v>19206.120084269663</v>
      </c>
      <c r="Q41" s="171"/>
    </row>
    <row r="42" spans="2:17" s="48" customFormat="1" ht="18" x14ac:dyDescent="0.25">
      <c r="B42" s="8"/>
      <c r="C42" s="12">
        <v>5.17</v>
      </c>
      <c r="D42" s="15" t="s">
        <v>200</v>
      </c>
      <c r="E42" s="5">
        <v>861</v>
      </c>
      <c r="F42" s="5">
        <v>8</v>
      </c>
      <c r="G42" s="5" t="str">
        <f t="shared" si="4"/>
        <v>VCP</v>
      </c>
      <c r="H42" s="6">
        <v>3</v>
      </c>
      <c r="I42" s="31" t="s">
        <v>155</v>
      </c>
      <c r="J42" s="31">
        <v>1950</v>
      </c>
      <c r="K42" s="125" t="str">
        <f t="shared" si="1"/>
        <v>$          140.00</v>
      </c>
      <c r="L42" s="35">
        <v>4500</v>
      </c>
      <c r="M42" s="89">
        <f t="shared" ref="M42:M43" si="23">(E42*K42+H42*L42)</f>
        <v>134040</v>
      </c>
      <c r="N42" s="28">
        <v>11392</v>
      </c>
      <c r="O42" s="28">
        <v>510</v>
      </c>
      <c r="P42" s="61">
        <f t="shared" ref="P42:P43" si="24">M42*(O42/N42)</f>
        <v>6000.7373595505624</v>
      </c>
      <c r="Q42" s="171"/>
    </row>
    <row r="43" spans="2:17" s="48" customFormat="1" ht="18" x14ac:dyDescent="0.25">
      <c r="B43" s="8"/>
      <c r="C43" s="12">
        <v>5.1800000000000104</v>
      </c>
      <c r="D43" s="15" t="s">
        <v>201</v>
      </c>
      <c r="E43" s="5">
        <f>9228-2156</f>
        <v>7072</v>
      </c>
      <c r="F43" s="5">
        <v>8</v>
      </c>
      <c r="G43" s="5" t="str">
        <f t="shared" si="4"/>
        <v>VCP</v>
      </c>
      <c r="H43" s="6">
        <v>36</v>
      </c>
      <c r="I43" s="31" t="s">
        <v>153</v>
      </c>
      <c r="J43" s="31">
        <v>1945</v>
      </c>
      <c r="K43" s="125" t="str">
        <f t="shared" si="1"/>
        <v>$            57.00</v>
      </c>
      <c r="L43" s="35">
        <v>4500</v>
      </c>
      <c r="M43" s="89">
        <f t="shared" si="23"/>
        <v>565104</v>
      </c>
      <c r="N43" s="28">
        <v>11392</v>
      </c>
      <c r="O43" s="28">
        <v>308</v>
      </c>
      <c r="P43" s="61">
        <f t="shared" si="24"/>
        <v>15278.443820224718</v>
      </c>
      <c r="Q43" s="171"/>
    </row>
    <row r="44" spans="2:17" s="17" customFormat="1" ht="18" x14ac:dyDescent="0.25">
      <c r="B44" s="8"/>
      <c r="C44" s="12">
        <v>5.1800000000000104</v>
      </c>
      <c r="D44" s="15" t="s">
        <v>201</v>
      </c>
      <c r="E44" s="5">
        <v>2156</v>
      </c>
      <c r="F44" s="5">
        <v>8</v>
      </c>
      <c r="G44" s="5" t="str">
        <f t="shared" si="4"/>
        <v>VCP</v>
      </c>
      <c r="H44" s="6">
        <v>7</v>
      </c>
      <c r="I44" s="31" t="s">
        <v>155</v>
      </c>
      <c r="J44" s="31">
        <v>1945</v>
      </c>
      <c r="K44" s="125" t="str">
        <f t="shared" si="1"/>
        <v>$          140.00</v>
      </c>
      <c r="L44" s="35">
        <v>4500</v>
      </c>
      <c r="M44" s="89">
        <f t="shared" si="2"/>
        <v>333340</v>
      </c>
      <c r="N44" s="28">
        <v>11392</v>
      </c>
      <c r="O44" s="28">
        <v>308</v>
      </c>
      <c r="P44" s="61">
        <f t="shared" si="3"/>
        <v>9012.3525280898884</v>
      </c>
      <c r="Q44" s="171"/>
    </row>
    <row r="45" spans="2:17" s="48" customFormat="1" ht="18" x14ac:dyDescent="0.25">
      <c r="B45" s="8"/>
      <c r="C45" s="12">
        <v>5.1900000000000102</v>
      </c>
      <c r="D45" s="15" t="s">
        <v>202</v>
      </c>
      <c r="E45" s="5">
        <f>9018-1765</f>
        <v>7253</v>
      </c>
      <c r="F45" s="5">
        <v>8</v>
      </c>
      <c r="G45" s="5" t="str">
        <f t="shared" si="4"/>
        <v>VCP</v>
      </c>
      <c r="H45" s="6">
        <v>35</v>
      </c>
      <c r="I45" s="31" t="s">
        <v>153</v>
      </c>
      <c r="J45" s="31">
        <v>1970</v>
      </c>
      <c r="K45" s="125" t="str">
        <f t="shared" si="1"/>
        <v>$            57.00</v>
      </c>
      <c r="L45" s="35">
        <v>4500</v>
      </c>
      <c r="M45" s="89">
        <f t="shared" ref="M45" si="25">(E45*K45+H45*L45)</f>
        <v>570921</v>
      </c>
      <c r="N45" s="28">
        <v>11392</v>
      </c>
      <c r="O45" s="28">
        <v>1381</v>
      </c>
      <c r="P45" s="61">
        <f t="shared" ref="P45" si="26">M45*(O45/N45)</f>
        <v>69210.138781601127</v>
      </c>
      <c r="Q45" s="171"/>
    </row>
    <row r="46" spans="2:17" s="17" customFormat="1" ht="18" x14ac:dyDescent="0.25">
      <c r="B46" s="8"/>
      <c r="C46" s="12">
        <v>5.1900000000000102</v>
      </c>
      <c r="D46" s="15" t="s">
        <v>202</v>
      </c>
      <c r="E46" s="5">
        <v>1765</v>
      </c>
      <c r="F46" s="5">
        <v>8</v>
      </c>
      <c r="G46" s="5" t="str">
        <f t="shared" si="4"/>
        <v>VCP</v>
      </c>
      <c r="H46" s="6">
        <v>9</v>
      </c>
      <c r="I46" s="31" t="s">
        <v>155</v>
      </c>
      <c r="J46" s="31">
        <v>1970</v>
      </c>
      <c r="K46" s="125" t="str">
        <f t="shared" si="1"/>
        <v>$          140.00</v>
      </c>
      <c r="L46" s="35">
        <v>4500</v>
      </c>
      <c r="M46" s="89">
        <f t="shared" si="2"/>
        <v>287600</v>
      </c>
      <c r="N46" s="28">
        <v>11392</v>
      </c>
      <c r="O46" s="28">
        <v>1381</v>
      </c>
      <c r="P46" s="61">
        <f t="shared" si="3"/>
        <v>34864.431179775282</v>
      </c>
      <c r="Q46" s="171"/>
    </row>
    <row r="47" spans="2:17" s="48" customFormat="1" ht="18" x14ac:dyDescent="0.25">
      <c r="B47" s="8"/>
      <c r="C47" s="12">
        <v>5.2000000000000099</v>
      </c>
      <c r="D47" s="15" t="s">
        <v>203</v>
      </c>
      <c r="E47" s="5">
        <v>5531</v>
      </c>
      <c r="F47" s="5">
        <v>8</v>
      </c>
      <c r="G47" s="5" t="str">
        <f t="shared" si="4"/>
        <v>VCP</v>
      </c>
      <c r="H47" s="6">
        <v>18</v>
      </c>
      <c r="I47" s="31" t="s">
        <v>153</v>
      </c>
      <c r="J47" s="31">
        <v>1955</v>
      </c>
      <c r="K47" s="125" t="str">
        <f t="shared" si="1"/>
        <v>$            57.00</v>
      </c>
      <c r="L47" s="35">
        <v>4500</v>
      </c>
      <c r="M47" s="89">
        <f t="shared" ref="M47" si="27">(E47*K47+H47*L47)</f>
        <v>396267</v>
      </c>
      <c r="N47" s="28">
        <v>11392</v>
      </c>
      <c r="O47" s="28">
        <v>660</v>
      </c>
      <c r="P47" s="61">
        <f t="shared" ref="P47" si="28">M47*(O47/N47)</f>
        <v>22957.884480337081</v>
      </c>
      <c r="Q47" s="171"/>
    </row>
    <row r="48" spans="2:17" s="17" customFormat="1" ht="18" x14ac:dyDescent="0.25">
      <c r="B48" s="8"/>
      <c r="C48" s="12">
        <v>5.2000000000000099</v>
      </c>
      <c r="D48" s="15" t="s">
        <v>203</v>
      </c>
      <c r="E48" s="5">
        <v>4493</v>
      </c>
      <c r="F48" s="5">
        <v>8</v>
      </c>
      <c r="G48" s="5" t="str">
        <f t="shared" si="4"/>
        <v>VCP</v>
      </c>
      <c r="H48" s="6">
        <v>18</v>
      </c>
      <c r="I48" s="31" t="s">
        <v>155</v>
      </c>
      <c r="J48" s="31">
        <v>1955</v>
      </c>
      <c r="K48" s="125" t="str">
        <f t="shared" si="1"/>
        <v>$          140.00</v>
      </c>
      <c r="L48" s="35">
        <v>4500</v>
      </c>
      <c r="M48" s="89">
        <f t="shared" si="2"/>
        <v>710020</v>
      </c>
      <c r="N48" s="28">
        <v>11392</v>
      </c>
      <c r="O48" s="28">
        <v>660</v>
      </c>
      <c r="P48" s="61">
        <f t="shared" si="3"/>
        <v>41135.287921348317</v>
      </c>
      <c r="Q48" s="171"/>
    </row>
    <row r="49" spans="2:16" s="17" customFormat="1" ht="18" x14ac:dyDescent="0.25">
      <c r="B49" s="8"/>
      <c r="C49" s="12">
        <v>5.2100000000000097</v>
      </c>
      <c r="D49" s="15" t="s">
        <v>204</v>
      </c>
      <c r="E49" s="5">
        <v>460</v>
      </c>
      <c r="F49" s="5">
        <v>8</v>
      </c>
      <c r="G49" s="5" t="str">
        <f t="shared" si="4"/>
        <v>VCP</v>
      </c>
      <c r="H49" s="6">
        <v>4</v>
      </c>
      <c r="I49" s="31" t="s">
        <v>153</v>
      </c>
      <c r="J49" s="31">
        <v>1955</v>
      </c>
      <c r="K49" s="125" t="str">
        <f t="shared" si="1"/>
        <v>$            57.00</v>
      </c>
      <c r="L49" s="35">
        <v>4500</v>
      </c>
      <c r="M49" s="89">
        <f t="shared" si="2"/>
        <v>44220</v>
      </c>
      <c r="N49" s="28">
        <v>11392</v>
      </c>
      <c r="O49" s="28">
        <v>660</v>
      </c>
      <c r="P49" s="61">
        <f t="shared" si="3"/>
        <v>2561.9030898876404</v>
      </c>
    </row>
    <row r="50" spans="2:16" s="17" customFormat="1" ht="18" x14ac:dyDescent="0.25">
      <c r="B50" s="8"/>
      <c r="C50" s="12">
        <v>5.2200000000000104</v>
      </c>
      <c r="D50" s="15" t="s">
        <v>205</v>
      </c>
      <c r="E50" s="5">
        <v>3172</v>
      </c>
      <c r="F50" s="5">
        <v>8</v>
      </c>
      <c r="G50" s="5" t="str">
        <f t="shared" si="4"/>
        <v>VCP</v>
      </c>
      <c r="H50" s="6">
        <v>14</v>
      </c>
      <c r="I50" s="31" t="s">
        <v>153</v>
      </c>
      <c r="J50" s="31">
        <v>1955</v>
      </c>
      <c r="K50" s="125" t="str">
        <f t="shared" si="1"/>
        <v>$            57.00</v>
      </c>
      <c r="L50" s="35">
        <v>4500</v>
      </c>
      <c r="M50" s="89">
        <f t="shared" si="2"/>
        <v>243804</v>
      </c>
      <c r="N50" s="28">
        <v>11392</v>
      </c>
      <c r="O50" s="28">
        <v>660</v>
      </c>
      <c r="P50" s="61">
        <f t="shared" si="3"/>
        <v>14124.880617977529</v>
      </c>
    </row>
    <row r="51" spans="2:16" s="48" customFormat="1" ht="18" x14ac:dyDescent="0.25">
      <c r="B51" s="8"/>
      <c r="C51" s="12">
        <v>5.2300000000000102</v>
      </c>
      <c r="D51" s="15" t="s">
        <v>206</v>
      </c>
      <c r="E51" s="5">
        <f>8952-190</f>
        <v>8762</v>
      </c>
      <c r="F51" s="5">
        <v>8</v>
      </c>
      <c r="G51" s="5" t="str">
        <f t="shared" si="4"/>
        <v>VCP</v>
      </c>
      <c r="H51" s="6">
        <v>37</v>
      </c>
      <c r="I51" s="31" t="s">
        <v>153</v>
      </c>
      <c r="J51" s="31">
        <v>1955</v>
      </c>
      <c r="K51" s="125" t="str">
        <f t="shared" si="1"/>
        <v>$            57.00</v>
      </c>
      <c r="L51" s="35">
        <v>4500</v>
      </c>
      <c r="M51" s="89">
        <f t="shared" ref="M51" si="29">(E51*K51+H51*L51)</f>
        <v>665934</v>
      </c>
      <c r="N51" s="28">
        <v>11392</v>
      </c>
      <c r="O51" s="28">
        <v>660</v>
      </c>
      <c r="P51" s="61">
        <f t="shared" ref="P51" si="30">M51*(O51/N51)</f>
        <v>38581.148174157308</v>
      </c>
    </row>
    <row r="52" spans="2:16" s="17" customFormat="1" ht="18" x14ac:dyDescent="0.25">
      <c r="B52" s="8"/>
      <c r="C52" s="12">
        <v>5.2300000000000102</v>
      </c>
      <c r="D52" s="15" t="s">
        <v>206</v>
      </c>
      <c r="E52" s="5">
        <v>190</v>
      </c>
      <c r="F52" s="5">
        <v>8</v>
      </c>
      <c r="G52" s="5" t="str">
        <f t="shared" si="4"/>
        <v>VCP</v>
      </c>
      <c r="H52" s="6">
        <v>2</v>
      </c>
      <c r="I52" s="31" t="s">
        <v>155</v>
      </c>
      <c r="J52" s="31">
        <v>1955</v>
      </c>
      <c r="K52" s="125" t="str">
        <f t="shared" si="1"/>
        <v>$          140.00</v>
      </c>
      <c r="L52" s="35">
        <v>4500</v>
      </c>
      <c r="M52" s="89">
        <f t="shared" si="2"/>
        <v>35600</v>
      </c>
      <c r="N52" s="28">
        <v>11392</v>
      </c>
      <c r="O52" s="28">
        <v>660</v>
      </c>
      <c r="P52" s="61">
        <f t="shared" si="3"/>
        <v>2062.5</v>
      </c>
    </row>
    <row r="53" spans="2:16" s="17" customFormat="1" ht="18" x14ac:dyDescent="0.25">
      <c r="B53" s="8"/>
      <c r="C53" s="12">
        <v>5.24000000000001</v>
      </c>
      <c r="D53" s="15" t="s">
        <v>207</v>
      </c>
      <c r="E53" s="5">
        <f>3146</f>
        <v>3146</v>
      </c>
      <c r="F53" s="5">
        <v>8</v>
      </c>
      <c r="G53" s="5" t="str">
        <f t="shared" si="4"/>
        <v>SDR-35</v>
      </c>
      <c r="H53" s="6">
        <v>14</v>
      </c>
      <c r="I53" s="31" t="s">
        <v>153</v>
      </c>
      <c r="J53" s="31">
        <v>1995</v>
      </c>
      <c r="K53" s="125" t="str">
        <f t="shared" si="1"/>
        <v>$            47.00</v>
      </c>
      <c r="L53" s="35">
        <v>4500</v>
      </c>
      <c r="M53" s="89">
        <f t="shared" si="2"/>
        <v>210862</v>
      </c>
      <c r="N53" s="28">
        <v>11392</v>
      </c>
      <c r="O53" s="28">
        <v>5471</v>
      </c>
      <c r="P53" s="61">
        <f t="shared" si="3"/>
        <v>101266.32742275282</v>
      </c>
    </row>
    <row r="54" spans="2:16" s="17" customFormat="1" ht="18" x14ac:dyDescent="0.25">
      <c r="B54" s="8"/>
      <c r="C54" s="12">
        <v>5.2500000000000098</v>
      </c>
      <c r="D54" s="15" t="s">
        <v>208</v>
      </c>
      <c r="E54" s="5">
        <v>2996</v>
      </c>
      <c r="F54" s="5">
        <v>8</v>
      </c>
      <c r="G54" s="5" t="str">
        <f t="shared" si="4"/>
        <v>VCP</v>
      </c>
      <c r="H54" s="6">
        <v>20</v>
      </c>
      <c r="I54" s="31" t="s">
        <v>153</v>
      </c>
      <c r="J54" s="31">
        <v>1966</v>
      </c>
      <c r="K54" s="125" t="str">
        <f t="shared" si="1"/>
        <v>$            57.00</v>
      </c>
      <c r="L54" s="35">
        <v>4500</v>
      </c>
      <c r="M54" s="89">
        <f t="shared" si="2"/>
        <v>260772</v>
      </c>
      <c r="N54" s="28">
        <v>11392</v>
      </c>
      <c r="O54" s="28">
        <v>1019</v>
      </c>
      <c r="P54" s="61">
        <f t="shared" si="3"/>
        <v>23325.725772471909</v>
      </c>
    </row>
    <row r="55" spans="2:16" s="48" customFormat="1" ht="18" x14ac:dyDescent="0.25">
      <c r="B55" s="8"/>
      <c r="C55" s="12">
        <v>5.2600000000000096</v>
      </c>
      <c r="D55" s="15" t="s">
        <v>209</v>
      </c>
      <c r="E55" s="5">
        <f>6224-863</f>
        <v>5361</v>
      </c>
      <c r="F55" s="5">
        <v>8</v>
      </c>
      <c r="G55" s="5" t="str">
        <f t="shared" si="4"/>
        <v>VCP</v>
      </c>
      <c r="H55" s="6">
        <v>25</v>
      </c>
      <c r="I55" s="31" t="s">
        <v>153</v>
      </c>
      <c r="J55" s="31">
        <v>1978</v>
      </c>
      <c r="K55" s="125" t="str">
        <f t="shared" si="1"/>
        <v>$            57.00</v>
      </c>
      <c r="L55" s="35">
        <v>4500</v>
      </c>
      <c r="M55" s="89">
        <f t="shared" ref="M55" si="31">(E55*K55+H55*L55)</f>
        <v>418077</v>
      </c>
      <c r="N55" s="28">
        <v>11392</v>
      </c>
      <c r="O55" s="28">
        <v>2776</v>
      </c>
      <c r="P55" s="61">
        <f t="shared" ref="P55" si="32">M55*(O55/N55)</f>
        <v>101876.90941011236</v>
      </c>
    </row>
    <row r="56" spans="2:16" s="17" customFormat="1" ht="18" x14ac:dyDescent="0.25">
      <c r="B56" s="8"/>
      <c r="C56" s="12">
        <v>5.2600000000000096</v>
      </c>
      <c r="D56" s="15" t="s">
        <v>209</v>
      </c>
      <c r="E56" s="5">
        <v>863</v>
      </c>
      <c r="F56" s="5">
        <v>8</v>
      </c>
      <c r="G56" s="5" t="str">
        <f t="shared" si="4"/>
        <v>VCP</v>
      </c>
      <c r="H56" s="6">
        <v>4</v>
      </c>
      <c r="I56" s="31" t="s">
        <v>155</v>
      </c>
      <c r="J56" s="31">
        <v>1978</v>
      </c>
      <c r="K56" s="125" t="str">
        <f t="shared" si="1"/>
        <v>$          140.00</v>
      </c>
      <c r="L56" s="35">
        <v>4500</v>
      </c>
      <c r="M56" s="89">
        <f t="shared" si="2"/>
        <v>138820</v>
      </c>
      <c r="N56" s="28">
        <v>11392</v>
      </c>
      <c r="O56" s="28">
        <v>2776</v>
      </c>
      <c r="P56" s="61">
        <f t="shared" si="3"/>
        <v>33827.626404494382</v>
      </c>
    </row>
    <row r="57" spans="2:16" s="17" customFormat="1" ht="18" x14ac:dyDescent="0.25">
      <c r="B57" s="8"/>
      <c r="C57" s="12">
        <v>5.2700000000000102</v>
      </c>
      <c r="D57" s="15" t="s">
        <v>210</v>
      </c>
      <c r="E57" s="5">
        <f>5273</f>
        <v>5273</v>
      </c>
      <c r="F57" s="5">
        <v>8</v>
      </c>
      <c r="G57" s="5" t="str">
        <f t="shared" si="4"/>
        <v>SDR-35</v>
      </c>
      <c r="H57" s="6">
        <v>30</v>
      </c>
      <c r="I57" s="31" t="s">
        <v>153</v>
      </c>
      <c r="J57" s="31">
        <v>2002</v>
      </c>
      <c r="K57" s="125" t="str">
        <f t="shared" si="1"/>
        <v>$            47.00</v>
      </c>
      <c r="L57" s="35">
        <v>4500</v>
      </c>
      <c r="M57" s="89">
        <f t="shared" si="2"/>
        <v>382831</v>
      </c>
      <c r="N57" s="28">
        <v>11392</v>
      </c>
      <c r="O57" s="28">
        <v>6538</v>
      </c>
      <c r="P57" s="61">
        <f t="shared" si="3"/>
        <v>219711.11990870789</v>
      </c>
    </row>
    <row r="58" spans="2:16" s="48" customFormat="1" ht="18" x14ac:dyDescent="0.25">
      <c r="B58" s="8"/>
      <c r="C58" s="12">
        <v>5.28000000000001</v>
      </c>
      <c r="D58" s="15" t="s">
        <v>211</v>
      </c>
      <c r="E58" s="5">
        <f>5124-150</f>
        <v>4974</v>
      </c>
      <c r="F58" s="5">
        <v>8</v>
      </c>
      <c r="G58" s="5" t="str">
        <f t="shared" si="4"/>
        <v>SDR-35</v>
      </c>
      <c r="H58" s="6">
        <v>26</v>
      </c>
      <c r="I58" s="31" t="s">
        <v>153</v>
      </c>
      <c r="J58" s="31">
        <v>1998</v>
      </c>
      <c r="K58" s="125" t="str">
        <f t="shared" si="1"/>
        <v>$            47.00</v>
      </c>
      <c r="L58" s="35">
        <v>4500</v>
      </c>
      <c r="M58" s="89">
        <f t="shared" ref="M58" si="33">(E58*K58+H58*L58)</f>
        <v>350778</v>
      </c>
      <c r="N58" s="28">
        <v>11392</v>
      </c>
      <c r="O58" s="28">
        <v>5920</v>
      </c>
      <c r="P58" s="61">
        <f t="shared" ref="P58" si="34">M58*(O58/N58)</f>
        <v>182286.32022471909</v>
      </c>
    </row>
    <row r="59" spans="2:16" s="17" customFormat="1" ht="18" x14ac:dyDescent="0.25">
      <c r="B59" s="8"/>
      <c r="C59" s="12">
        <v>5.28000000000001</v>
      </c>
      <c r="D59" s="15" t="s">
        <v>211</v>
      </c>
      <c r="E59" s="5">
        <v>150</v>
      </c>
      <c r="F59" s="5">
        <v>8</v>
      </c>
      <c r="G59" s="5" t="str">
        <f t="shared" si="4"/>
        <v>SDR-35</v>
      </c>
      <c r="H59" s="6">
        <v>4</v>
      </c>
      <c r="I59" s="31" t="s">
        <v>155</v>
      </c>
      <c r="J59" s="31">
        <v>1998</v>
      </c>
      <c r="K59" s="125" t="str">
        <f t="shared" si="1"/>
        <v>$          130.00</v>
      </c>
      <c r="L59" s="35">
        <v>4500</v>
      </c>
      <c r="M59" s="89">
        <f t="shared" si="2"/>
        <v>37500</v>
      </c>
      <c r="N59" s="28">
        <v>11392</v>
      </c>
      <c r="O59" s="28">
        <v>5920</v>
      </c>
      <c r="P59" s="61">
        <f t="shared" si="3"/>
        <v>19487.359550561796</v>
      </c>
    </row>
    <row r="60" spans="2:16" s="17" customFormat="1" ht="18" x14ac:dyDescent="0.25">
      <c r="B60" s="8"/>
      <c r="C60" s="12">
        <v>5.2900000000000098</v>
      </c>
      <c r="D60" s="15" t="s">
        <v>212</v>
      </c>
      <c r="E60" s="5">
        <v>1780</v>
      </c>
      <c r="F60" s="5">
        <v>8</v>
      </c>
      <c r="G60" s="5" t="str">
        <f t="shared" si="4"/>
        <v>SDR-35</v>
      </c>
      <c r="H60" s="6">
        <v>8</v>
      </c>
      <c r="I60" s="31" t="s">
        <v>153</v>
      </c>
      <c r="J60" s="31">
        <v>1998</v>
      </c>
      <c r="K60" s="125" t="str">
        <f t="shared" si="1"/>
        <v>$            47.00</v>
      </c>
      <c r="L60" s="35">
        <v>4500</v>
      </c>
      <c r="M60" s="89">
        <f t="shared" si="2"/>
        <v>119660</v>
      </c>
      <c r="N60" s="28">
        <v>11392</v>
      </c>
      <c r="O60" s="28">
        <v>5920</v>
      </c>
      <c r="P60" s="61">
        <f t="shared" si="3"/>
        <v>62182.865168539327</v>
      </c>
    </row>
    <row r="61" spans="2:16" s="48" customFormat="1" ht="18" x14ac:dyDescent="0.25">
      <c r="B61" s="8"/>
      <c r="C61" s="12">
        <v>5.3000000000000096</v>
      </c>
      <c r="D61" s="15" t="s">
        <v>213</v>
      </c>
      <c r="E61" s="5">
        <f>3187</f>
        <v>3187</v>
      </c>
      <c r="F61" s="5">
        <v>8</v>
      </c>
      <c r="G61" s="5" t="str">
        <f t="shared" si="4"/>
        <v>SDR-35</v>
      </c>
      <c r="H61" s="6">
        <v>17</v>
      </c>
      <c r="I61" s="31" t="s">
        <v>153</v>
      </c>
      <c r="J61" s="31">
        <v>2000</v>
      </c>
      <c r="K61" s="125" t="str">
        <f t="shared" si="1"/>
        <v>$            47.00</v>
      </c>
      <c r="L61" s="35">
        <v>4500</v>
      </c>
      <c r="M61" s="89">
        <f t="shared" ref="M61" si="35">(E61*K61+H61*L61)</f>
        <v>226289</v>
      </c>
      <c r="N61" s="28">
        <v>11392</v>
      </c>
      <c r="O61" s="28">
        <v>6221</v>
      </c>
      <c r="P61" s="61">
        <f t="shared" ref="P61" si="36">M61*(O61/N61)</f>
        <v>123573.02220856743</v>
      </c>
    </row>
    <row r="62" spans="2:16" s="48" customFormat="1" ht="18" x14ac:dyDescent="0.25">
      <c r="B62" s="8"/>
      <c r="C62" s="12">
        <v>5.3100000000000103</v>
      </c>
      <c r="D62" s="15" t="s">
        <v>214</v>
      </c>
      <c r="E62" s="5">
        <f>4616</f>
        <v>4616</v>
      </c>
      <c r="F62" s="5">
        <v>8</v>
      </c>
      <c r="G62" s="5" t="str">
        <f t="shared" si="4"/>
        <v>SDR-35</v>
      </c>
      <c r="H62" s="6">
        <v>21</v>
      </c>
      <c r="I62" s="31" t="s">
        <v>153</v>
      </c>
      <c r="J62" s="31">
        <v>2000</v>
      </c>
      <c r="K62" s="125" t="str">
        <f t="shared" si="1"/>
        <v>$            47.00</v>
      </c>
      <c r="L62" s="35">
        <v>4500</v>
      </c>
      <c r="M62" s="89">
        <f t="shared" ref="M62" si="37">(E62*K62+H62*L62)</f>
        <v>311452</v>
      </c>
      <c r="N62" s="28">
        <v>11392</v>
      </c>
      <c r="O62" s="28">
        <v>6221</v>
      </c>
      <c r="P62" s="61">
        <f t="shared" ref="P62" si="38">M62*(O62/N62)</f>
        <v>170079.25667134832</v>
      </c>
    </row>
    <row r="63" spans="2:16" s="48" customFormat="1" ht="18" x14ac:dyDescent="0.25">
      <c r="B63" s="8"/>
      <c r="C63" s="12">
        <v>5.3200000000000101</v>
      </c>
      <c r="D63" s="15" t="s">
        <v>215</v>
      </c>
      <c r="E63" s="5">
        <f>5436</f>
        <v>5436</v>
      </c>
      <c r="F63" s="5">
        <v>8</v>
      </c>
      <c r="G63" s="5" t="str">
        <f t="shared" si="4"/>
        <v>SDR-35</v>
      </c>
      <c r="H63" s="6">
        <v>25</v>
      </c>
      <c r="I63" s="31" t="s">
        <v>153</v>
      </c>
      <c r="J63" s="31">
        <v>1988</v>
      </c>
      <c r="K63" s="125" t="str">
        <f t="shared" si="1"/>
        <v>$            47.00</v>
      </c>
      <c r="L63" s="35">
        <v>4500</v>
      </c>
      <c r="M63" s="89">
        <f t="shared" ref="M63" si="39">(E63*K63+H63*L63)</f>
        <v>367992</v>
      </c>
      <c r="N63" s="28">
        <v>11392</v>
      </c>
      <c r="O63" s="28">
        <v>4519</v>
      </c>
      <c r="P63" s="61">
        <f t="shared" ref="P63" si="40">M63*(O63/N63)</f>
        <v>145975.75912921349</v>
      </c>
    </row>
    <row r="64" spans="2:16" s="48" customFormat="1" ht="18" x14ac:dyDescent="0.25">
      <c r="B64" s="8"/>
      <c r="C64" s="12">
        <v>5.3300000000000196</v>
      </c>
      <c r="D64" s="15" t="s">
        <v>216</v>
      </c>
      <c r="E64" s="5">
        <f>12590</f>
        <v>12590</v>
      </c>
      <c r="F64" s="5">
        <v>8</v>
      </c>
      <c r="G64" s="5" t="str">
        <f t="shared" si="4"/>
        <v>SDR-35</v>
      </c>
      <c r="H64" s="6">
        <v>60</v>
      </c>
      <c r="I64" s="31" t="s">
        <v>153</v>
      </c>
      <c r="J64" s="31">
        <v>2002</v>
      </c>
      <c r="K64" s="125" t="str">
        <f t="shared" si="1"/>
        <v>$            47.00</v>
      </c>
      <c r="L64" s="35">
        <v>4500</v>
      </c>
      <c r="M64" s="89">
        <f t="shared" ref="M64" si="41">(E64*K64+H64*L64)</f>
        <v>861730</v>
      </c>
      <c r="N64" s="28">
        <v>11392</v>
      </c>
      <c r="O64" s="28">
        <v>6538</v>
      </c>
      <c r="P64" s="61">
        <f t="shared" ref="P64" si="42">M64*(O64/N64)</f>
        <v>494556.77141853934</v>
      </c>
    </row>
    <row r="65" spans="2:16" s="48" customFormat="1" ht="18" x14ac:dyDescent="0.25">
      <c r="B65" s="8"/>
      <c r="C65" s="12">
        <v>5.3400000000000203</v>
      </c>
      <c r="D65" s="15" t="s">
        <v>217</v>
      </c>
      <c r="E65" s="5">
        <f>5213-2029</f>
        <v>3184</v>
      </c>
      <c r="F65" s="5">
        <v>8</v>
      </c>
      <c r="G65" s="5" t="str">
        <f t="shared" si="4"/>
        <v>SDR-35</v>
      </c>
      <c r="H65" s="6">
        <v>24</v>
      </c>
      <c r="I65" s="31" t="s">
        <v>153</v>
      </c>
      <c r="J65" s="31">
        <v>2002</v>
      </c>
      <c r="K65" s="125" t="str">
        <f t="shared" si="1"/>
        <v>$            47.00</v>
      </c>
      <c r="L65" s="35">
        <v>4500</v>
      </c>
      <c r="M65" s="89">
        <f t="shared" ref="M65" si="43">(E65*K65+H65*L65)</f>
        <v>257648</v>
      </c>
      <c r="N65" s="28">
        <v>11392</v>
      </c>
      <c r="O65" s="28">
        <v>6538</v>
      </c>
      <c r="P65" s="61">
        <f t="shared" ref="P65" si="44">M65*(O65/N65)</f>
        <v>147867.15449438203</v>
      </c>
    </row>
    <row r="66" spans="2:16" s="17" customFormat="1" ht="18" x14ac:dyDescent="0.25">
      <c r="B66" s="8"/>
      <c r="C66" s="12">
        <v>5.3400000000000203</v>
      </c>
      <c r="D66" s="15" t="s">
        <v>217</v>
      </c>
      <c r="E66" s="5">
        <v>2029</v>
      </c>
      <c r="F66" s="5">
        <v>8</v>
      </c>
      <c r="G66" s="5" t="str">
        <f t="shared" si="4"/>
        <v>SDR-35</v>
      </c>
      <c r="H66" s="6">
        <v>10</v>
      </c>
      <c r="I66" s="31" t="s">
        <v>155</v>
      </c>
      <c r="J66" s="31">
        <v>2002</v>
      </c>
      <c r="K66" s="125" t="str">
        <f t="shared" si="1"/>
        <v>$          130.00</v>
      </c>
      <c r="L66" s="35">
        <v>4500</v>
      </c>
      <c r="M66" s="89">
        <f t="shared" si="2"/>
        <v>308770</v>
      </c>
      <c r="N66" s="28">
        <v>11392</v>
      </c>
      <c r="O66" s="28">
        <v>6538</v>
      </c>
      <c r="P66" s="61">
        <f t="shared" si="3"/>
        <v>177206.65905898876</v>
      </c>
    </row>
    <row r="67" spans="2:16" s="48" customFormat="1" ht="18" x14ac:dyDescent="0.25">
      <c r="B67" s="8"/>
      <c r="C67" s="12">
        <v>5.3500000000000201</v>
      </c>
      <c r="D67" s="15" t="s">
        <v>218</v>
      </c>
      <c r="E67" s="5">
        <f>3352-196</f>
        <v>3156</v>
      </c>
      <c r="F67" s="5">
        <v>8</v>
      </c>
      <c r="G67" s="5" t="str">
        <f t="shared" si="4"/>
        <v>SDR-35</v>
      </c>
      <c r="H67" s="6">
        <v>19</v>
      </c>
      <c r="I67" s="31" t="s">
        <v>153</v>
      </c>
      <c r="J67" s="31">
        <v>1998</v>
      </c>
      <c r="K67" s="125" t="str">
        <f t="shared" si="1"/>
        <v>$            47.00</v>
      </c>
      <c r="L67" s="35">
        <v>4500</v>
      </c>
      <c r="M67" s="89">
        <f t="shared" ref="M67" si="45">(E67*K67+H67*L67)</f>
        <v>233832</v>
      </c>
      <c r="N67" s="28">
        <v>11392</v>
      </c>
      <c r="O67" s="28">
        <v>5920</v>
      </c>
      <c r="P67" s="61">
        <f t="shared" ref="P67" si="46">M67*(O67/N67)</f>
        <v>121513.82022471909</v>
      </c>
    </row>
    <row r="68" spans="2:16" s="17" customFormat="1" ht="18" x14ac:dyDescent="0.25">
      <c r="B68" s="8"/>
      <c r="C68" s="12">
        <v>5.3500000000000201</v>
      </c>
      <c r="D68" s="15" t="s">
        <v>218</v>
      </c>
      <c r="E68" s="5">
        <v>196</v>
      </c>
      <c r="F68" s="5">
        <v>8</v>
      </c>
      <c r="G68" s="5" t="str">
        <f t="shared" si="4"/>
        <v>SDR-35</v>
      </c>
      <c r="H68" s="6">
        <v>2</v>
      </c>
      <c r="I68" s="31" t="s">
        <v>155</v>
      </c>
      <c r="J68" s="31">
        <v>1998</v>
      </c>
      <c r="K68" s="125" t="str">
        <f t="shared" si="1"/>
        <v>$          130.00</v>
      </c>
      <c r="L68" s="35">
        <v>4500</v>
      </c>
      <c r="M68" s="89">
        <f t="shared" si="2"/>
        <v>34480</v>
      </c>
      <c r="N68" s="28">
        <v>11392</v>
      </c>
      <c r="O68" s="28">
        <v>5920</v>
      </c>
      <c r="P68" s="61">
        <f t="shared" si="3"/>
        <v>17917.977528089887</v>
      </c>
    </row>
    <row r="69" spans="2:16" s="48" customFormat="1" ht="18.75" thickBot="1" x14ac:dyDescent="0.3">
      <c r="B69" s="121"/>
      <c r="C69" s="62">
        <v>5.3600000000000199</v>
      </c>
      <c r="D69" s="16" t="s">
        <v>219</v>
      </c>
      <c r="E69" s="11">
        <f>6567-50</f>
        <v>6517</v>
      </c>
      <c r="F69" s="11">
        <v>8</v>
      </c>
      <c r="G69" s="5" t="str">
        <f t="shared" si="4"/>
        <v>SDR-35</v>
      </c>
      <c r="H69" s="37">
        <v>33</v>
      </c>
      <c r="I69" s="65" t="s">
        <v>153</v>
      </c>
      <c r="J69" s="65">
        <v>1995</v>
      </c>
      <c r="K69" s="147" t="str">
        <f t="shared" si="1"/>
        <v>$            47.00</v>
      </c>
      <c r="L69" s="87">
        <v>4500</v>
      </c>
      <c r="M69" s="91">
        <f t="shared" ref="M69" si="47">(E69*K69+H69*L69)</f>
        <v>454799</v>
      </c>
      <c r="N69" s="38">
        <v>11392</v>
      </c>
      <c r="O69" s="38">
        <v>5471</v>
      </c>
      <c r="P69" s="64">
        <f t="shared" ref="P69" si="48">M69*(O69/N69)</f>
        <v>218416.90036867978</v>
      </c>
    </row>
    <row r="70" spans="2:16" s="17" customFormat="1" ht="18" x14ac:dyDescent="0.25">
      <c r="B70" s="122"/>
      <c r="C70" s="100">
        <v>5.3600000000000199</v>
      </c>
      <c r="D70" s="101" t="s">
        <v>219</v>
      </c>
      <c r="E70" s="102">
        <v>50</v>
      </c>
      <c r="F70" s="102">
        <v>8</v>
      </c>
      <c r="G70" s="5" t="str">
        <f t="shared" si="4"/>
        <v>SDR-35</v>
      </c>
      <c r="H70" s="103">
        <v>1</v>
      </c>
      <c r="I70" s="104" t="s">
        <v>155</v>
      </c>
      <c r="J70" s="104">
        <v>1995</v>
      </c>
      <c r="K70" s="150" t="str">
        <f t="shared" si="1"/>
        <v>$          130.00</v>
      </c>
      <c r="L70" s="105">
        <v>4500</v>
      </c>
      <c r="M70" s="106">
        <f t="shared" si="2"/>
        <v>11000</v>
      </c>
      <c r="N70" s="107">
        <v>11392</v>
      </c>
      <c r="O70" s="107">
        <v>5471</v>
      </c>
      <c r="P70" s="108">
        <f t="shared" si="3"/>
        <v>5282.7422752808989</v>
      </c>
    </row>
    <row r="71" spans="2:16" s="17" customFormat="1" ht="18" x14ac:dyDescent="0.25">
      <c r="B71" s="8"/>
      <c r="C71" s="12">
        <v>5.3700000000000196</v>
      </c>
      <c r="D71" s="15" t="s">
        <v>220</v>
      </c>
      <c r="E71" s="5">
        <v>8499</v>
      </c>
      <c r="F71" s="148">
        <v>8</v>
      </c>
      <c r="G71" s="5" t="str">
        <f t="shared" si="4"/>
        <v>SDR-35</v>
      </c>
      <c r="H71" s="149">
        <v>36</v>
      </c>
      <c r="I71" s="31" t="s">
        <v>153</v>
      </c>
      <c r="J71" s="31">
        <v>1995</v>
      </c>
      <c r="K71" s="125" t="str">
        <f t="shared" si="1"/>
        <v>$            47.00</v>
      </c>
      <c r="L71" s="35">
        <v>4500</v>
      </c>
      <c r="M71" s="89">
        <f t="shared" si="2"/>
        <v>561453</v>
      </c>
      <c r="N71" s="28">
        <v>11392</v>
      </c>
      <c r="O71" s="28">
        <v>5471</v>
      </c>
      <c r="P71" s="61">
        <f t="shared" si="3"/>
        <v>269637.40897120786</v>
      </c>
    </row>
    <row r="72" spans="2:16" s="48" customFormat="1" ht="18" x14ac:dyDescent="0.25">
      <c r="B72" s="8"/>
      <c r="C72" s="12">
        <v>5.3800000000000203</v>
      </c>
      <c r="D72" s="15" t="s">
        <v>221</v>
      </c>
      <c r="E72" s="5">
        <f>5062</f>
        <v>5062</v>
      </c>
      <c r="F72" s="5">
        <v>8</v>
      </c>
      <c r="G72" s="5" t="str">
        <f t="shared" si="4"/>
        <v>SDR-35</v>
      </c>
      <c r="H72" s="6">
        <v>31</v>
      </c>
      <c r="I72" s="31" t="s">
        <v>153</v>
      </c>
      <c r="J72" s="31">
        <v>2003</v>
      </c>
      <c r="K72" s="125" t="str">
        <f t="shared" si="1"/>
        <v>$            47.00</v>
      </c>
      <c r="L72" s="35">
        <v>4500</v>
      </c>
      <c r="M72" s="89">
        <f t="shared" ref="M72" si="49">(E72*K72+H72*L72)</f>
        <v>377414</v>
      </c>
      <c r="N72" s="28">
        <v>11392</v>
      </c>
      <c r="O72" s="28">
        <v>6695</v>
      </c>
      <c r="P72" s="61">
        <f t="shared" ref="P72" si="50">M72*(O72/N72)</f>
        <v>221803.6104283708</v>
      </c>
    </row>
    <row r="73" spans="2:16" s="17" customFormat="1" ht="18" x14ac:dyDescent="0.25">
      <c r="B73" s="8"/>
      <c r="C73" s="12">
        <v>5.3800000000000203</v>
      </c>
      <c r="D73" s="15" t="s">
        <v>221</v>
      </c>
      <c r="E73" s="5">
        <v>2346</v>
      </c>
      <c r="F73" s="5">
        <v>8</v>
      </c>
      <c r="G73" s="5" t="str">
        <f t="shared" si="4"/>
        <v>SDR-35</v>
      </c>
      <c r="H73" s="6">
        <v>13</v>
      </c>
      <c r="I73" s="31" t="s">
        <v>155</v>
      </c>
      <c r="J73" s="31">
        <v>2003</v>
      </c>
      <c r="K73" s="125" t="str">
        <f t="shared" si="1"/>
        <v>$          130.00</v>
      </c>
      <c r="L73" s="35">
        <v>4500</v>
      </c>
      <c r="M73" s="89">
        <f t="shared" si="2"/>
        <v>363480</v>
      </c>
      <c r="N73" s="28">
        <v>11392</v>
      </c>
      <c r="O73" s="28">
        <v>6695</v>
      </c>
      <c r="P73" s="61">
        <f t="shared" si="3"/>
        <v>213614.69452247192</v>
      </c>
    </row>
    <row r="74" spans="2:16" s="17" customFormat="1" ht="18" x14ac:dyDescent="0.25">
      <c r="B74" s="8"/>
      <c r="C74" s="12">
        <v>5.3900000000000201</v>
      </c>
      <c r="D74" s="15" t="s">
        <v>222</v>
      </c>
      <c r="E74" s="5">
        <v>5561</v>
      </c>
      <c r="F74" s="5">
        <v>8</v>
      </c>
      <c r="G74" s="5" t="str">
        <f t="shared" si="4"/>
        <v>SDR-35</v>
      </c>
      <c r="H74" s="6">
        <v>32</v>
      </c>
      <c r="I74" s="31" t="s">
        <v>153</v>
      </c>
      <c r="J74" s="31">
        <v>2003</v>
      </c>
      <c r="K74" s="125" t="str">
        <f t="shared" si="1"/>
        <v>$            47.00</v>
      </c>
      <c r="L74" s="35">
        <v>4500</v>
      </c>
      <c r="M74" s="89">
        <f t="shared" si="2"/>
        <v>405367</v>
      </c>
      <c r="N74" s="28">
        <v>11392</v>
      </c>
      <c r="O74" s="28">
        <v>6695</v>
      </c>
      <c r="P74" s="61">
        <f t="shared" si="3"/>
        <v>238231.39615519662</v>
      </c>
    </row>
    <row r="75" spans="2:16" s="48" customFormat="1" ht="18" x14ac:dyDescent="0.25">
      <c r="B75" s="8"/>
      <c r="C75" s="12">
        <v>5.4000000000000199</v>
      </c>
      <c r="D75" s="15" t="s">
        <v>223</v>
      </c>
      <c r="E75" s="5">
        <f>4969-311</f>
        <v>4658</v>
      </c>
      <c r="F75" s="5">
        <v>8</v>
      </c>
      <c r="G75" s="5" t="str">
        <f t="shared" si="4"/>
        <v>SDR-35</v>
      </c>
      <c r="H75" s="6">
        <v>24</v>
      </c>
      <c r="I75" s="31" t="s">
        <v>153</v>
      </c>
      <c r="J75" s="31">
        <v>1990</v>
      </c>
      <c r="K75" s="125" t="str">
        <f t="shared" ref="K75:K138" si="51">IF(I75="In Road",(IF(J75&lt;1980,"$          140.00","$          130.00")),(IF(J75&lt;1980,"$            57.00","$            47.00")))</f>
        <v>$            47.00</v>
      </c>
      <c r="L75" s="35">
        <v>4500</v>
      </c>
      <c r="M75" s="89">
        <f t="shared" ref="M75" si="52">(E75*K75+H75*L75)</f>
        <v>326926</v>
      </c>
      <c r="N75" s="28">
        <v>11392</v>
      </c>
      <c r="O75" s="28">
        <v>4732</v>
      </c>
      <c r="P75" s="61">
        <f t="shared" ref="P75" si="53">M75*(O75/N75)</f>
        <v>135798.26474719102</v>
      </c>
    </row>
    <row r="76" spans="2:16" s="17" customFormat="1" ht="18" x14ac:dyDescent="0.25">
      <c r="B76" s="8"/>
      <c r="C76" s="12">
        <v>5.4000000000000199</v>
      </c>
      <c r="D76" s="15" t="s">
        <v>223</v>
      </c>
      <c r="E76" s="5">
        <v>311</v>
      </c>
      <c r="F76" s="5">
        <v>8</v>
      </c>
      <c r="G76" s="5" t="str">
        <f t="shared" si="4"/>
        <v>SDR-35</v>
      </c>
      <c r="H76" s="6">
        <v>2</v>
      </c>
      <c r="I76" s="31" t="s">
        <v>155</v>
      </c>
      <c r="J76" s="31">
        <v>1990</v>
      </c>
      <c r="K76" s="125" t="str">
        <f t="shared" si="51"/>
        <v>$          130.00</v>
      </c>
      <c r="L76" s="35">
        <v>4500</v>
      </c>
      <c r="M76" s="89">
        <f t="shared" si="2"/>
        <v>49430</v>
      </c>
      <c r="N76" s="28">
        <v>11392</v>
      </c>
      <c r="O76" s="28">
        <v>4732</v>
      </c>
      <c r="P76" s="61">
        <f t="shared" si="3"/>
        <v>20532.194522471909</v>
      </c>
    </row>
    <row r="77" spans="2:16" s="48" customFormat="1" ht="18" x14ac:dyDescent="0.25">
      <c r="B77" s="8"/>
      <c r="C77" s="12">
        <v>5.4100000000000197</v>
      </c>
      <c r="D77" s="15" t="s">
        <v>224</v>
      </c>
      <c r="E77" s="5">
        <f>4396-418</f>
        <v>3978</v>
      </c>
      <c r="F77" s="5">
        <v>8</v>
      </c>
      <c r="G77" s="5" t="str">
        <f t="shared" ref="G77:G140" si="54">IF(J77&lt;1980, "VCP","SDR-35")</f>
        <v>SDR-35</v>
      </c>
      <c r="H77" s="6">
        <v>17</v>
      </c>
      <c r="I77" s="31" t="s">
        <v>153</v>
      </c>
      <c r="J77" s="31">
        <v>2003</v>
      </c>
      <c r="K77" s="125" t="str">
        <f t="shared" si="51"/>
        <v>$            47.00</v>
      </c>
      <c r="L77" s="35">
        <v>4500</v>
      </c>
      <c r="M77" s="89">
        <f t="shared" ref="M77" si="55">(E77*K77+H77*L77)</f>
        <v>263466</v>
      </c>
      <c r="N77" s="28">
        <v>11392</v>
      </c>
      <c r="O77" s="28">
        <v>6695</v>
      </c>
      <c r="P77" s="61">
        <f t="shared" ref="P77" si="56">M77*(O77/N77)</f>
        <v>154837.15502106742</v>
      </c>
    </row>
    <row r="78" spans="2:16" s="17" customFormat="1" ht="18" x14ac:dyDescent="0.25">
      <c r="B78" s="8"/>
      <c r="C78" s="12">
        <v>5.4100000000000197</v>
      </c>
      <c r="D78" s="15" t="s">
        <v>224</v>
      </c>
      <c r="E78" s="5">
        <v>418</v>
      </c>
      <c r="F78" s="5">
        <v>8</v>
      </c>
      <c r="G78" s="5" t="str">
        <f t="shared" si="54"/>
        <v>SDR-35</v>
      </c>
      <c r="H78" s="6">
        <v>2</v>
      </c>
      <c r="I78" s="31" t="s">
        <v>155</v>
      </c>
      <c r="J78" s="31">
        <v>2003</v>
      </c>
      <c r="K78" s="125" t="str">
        <f t="shared" si="51"/>
        <v>$          130.00</v>
      </c>
      <c r="L78" s="35">
        <v>4500</v>
      </c>
      <c r="M78" s="89">
        <f t="shared" si="2"/>
        <v>63340</v>
      </c>
      <c r="N78" s="28">
        <v>11392</v>
      </c>
      <c r="O78" s="28">
        <v>6695</v>
      </c>
      <c r="P78" s="61">
        <f t="shared" si="3"/>
        <v>37224.482092696628</v>
      </c>
    </row>
    <row r="79" spans="2:16" s="48" customFormat="1" ht="18" x14ac:dyDescent="0.25">
      <c r="B79" s="8"/>
      <c r="C79" s="12">
        <v>5.4200000000000204</v>
      </c>
      <c r="D79" s="15" t="s">
        <v>225</v>
      </c>
      <c r="E79" s="5">
        <f>4139-394</f>
        <v>3745</v>
      </c>
      <c r="F79" s="5">
        <v>8</v>
      </c>
      <c r="G79" s="5" t="str">
        <f t="shared" si="54"/>
        <v>SDR-35</v>
      </c>
      <c r="H79" s="6">
        <v>21</v>
      </c>
      <c r="I79" s="31" t="s">
        <v>153</v>
      </c>
      <c r="J79" s="31">
        <v>1999</v>
      </c>
      <c r="K79" s="125" t="str">
        <f t="shared" si="51"/>
        <v>$            47.00</v>
      </c>
      <c r="L79" s="35">
        <v>4500</v>
      </c>
      <c r="M79" s="89">
        <f t="shared" ref="M79" si="57">(E79*K79+H79*L79)</f>
        <v>270515</v>
      </c>
      <c r="N79" s="28">
        <v>11392</v>
      </c>
      <c r="O79" s="28">
        <v>6059</v>
      </c>
      <c r="P79" s="61">
        <f t="shared" ref="P79" si="58">M79*(O79/N79)</f>
        <v>143877.31609901684</v>
      </c>
    </row>
    <row r="80" spans="2:16" s="17" customFormat="1" ht="18" x14ac:dyDescent="0.25">
      <c r="B80" s="8"/>
      <c r="C80" s="12">
        <v>5.4200000000000204</v>
      </c>
      <c r="D80" s="15" t="s">
        <v>225</v>
      </c>
      <c r="E80" s="5">
        <v>394</v>
      </c>
      <c r="F80" s="5">
        <v>8</v>
      </c>
      <c r="G80" s="5" t="str">
        <f t="shared" si="54"/>
        <v>SDR-35</v>
      </c>
      <c r="H80" s="6">
        <v>3</v>
      </c>
      <c r="I80" s="31" t="s">
        <v>155</v>
      </c>
      <c r="J80" s="31">
        <v>1999</v>
      </c>
      <c r="K80" s="125" t="str">
        <f t="shared" si="51"/>
        <v>$          130.00</v>
      </c>
      <c r="L80" s="35">
        <v>4500</v>
      </c>
      <c r="M80" s="89">
        <f t="shared" si="2"/>
        <v>64720</v>
      </c>
      <c r="N80" s="28">
        <v>11392</v>
      </c>
      <c r="O80" s="28">
        <v>6059</v>
      </c>
      <c r="P80" s="61">
        <f t="shared" si="3"/>
        <v>34422.268258426964</v>
      </c>
    </row>
    <row r="81" spans="2:16" s="48" customFormat="1" ht="18" x14ac:dyDescent="0.25">
      <c r="B81" s="8"/>
      <c r="C81" s="12">
        <v>5.4300000000000201</v>
      </c>
      <c r="D81" s="15" t="s">
        <v>226</v>
      </c>
      <c r="E81" s="5">
        <v>1414</v>
      </c>
      <c r="F81" s="5">
        <v>8</v>
      </c>
      <c r="G81" s="5" t="str">
        <f t="shared" si="54"/>
        <v>SDR-35</v>
      </c>
      <c r="H81" s="6">
        <v>6</v>
      </c>
      <c r="I81" s="31" t="s">
        <v>153</v>
      </c>
      <c r="J81" s="31">
        <v>1998</v>
      </c>
      <c r="K81" s="125" t="str">
        <f t="shared" si="51"/>
        <v>$            47.00</v>
      </c>
      <c r="L81" s="35">
        <v>4500</v>
      </c>
      <c r="M81" s="89">
        <f t="shared" ref="M81" si="59">(E81*K81+H81*L81)</f>
        <v>93458</v>
      </c>
      <c r="N81" s="28">
        <v>11392</v>
      </c>
      <c r="O81" s="28">
        <v>5920</v>
      </c>
      <c r="P81" s="61">
        <f t="shared" ref="P81" si="60">M81*(O81/N81)</f>
        <v>48566.657303370783</v>
      </c>
    </row>
    <row r="82" spans="2:16" s="17" customFormat="1" ht="18" x14ac:dyDescent="0.25">
      <c r="B82" s="8"/>
      <c r="C82" s="12">
        <v>5.4300000000000201</v>
      </c>
      <c r="D82" s="15" t="s">
        <v>226</v>
      </c>
      <c r="E82" s="5">
        <v>778</v>
      </c>
      <c r="F82" s="5">
        <v>8</v>
      </c>
      <c r="G82" s="5" t="str">
        <f t="shared" si="54"/>
        <v>SDR-35</v>
      </c>
      <c r="H82" s="6">
        <v>4</v>
      </c>
      <c r="I82" s="31" t="s">
        <v>155</v>
      </c>
      <c r="J82" s="31">
        <v>1998</v>
      </c>
      <c r="K82" s="125" t="str">
        <f t="shared" si="51"/>
        <v>$          130.00</v>
      </c>
      <c r="L82" s="35">
        <v>4500</v>
      </c>
      <c r="M82" s="89">
        <f t="shared" si="2"/>
        <v>119140</v>
      </c>
      <c r="N82" s="28">
        <v>11392</v>
      </c>
      <c r="O82" s="28">
        <v>5920</v>
      </c>
      <c r="P82" s="61">
        <f t="shared" si="3"/>
        <v>61912.6404494382</v>
      </c>
    </row>
    <row r="83" spans="2:16" s="48" customFormat="1" ht="18" x14ac:dyDescent="0.25">
      <c r="B83" s="8"/>
      <c r="C83" s="12">
        <v>5.4400000000000199</v>
      </c>
      <c r="D83" s="15" t="s">
        <v>227</v>
      </c>
      <c r="E83" s="5">
        <f>2884</f>
        <v>2884</v>
      </c>
      <c r="F83" s="5">
        <v>8</v>
      </c>
      <c r="G83" s="5" t="str">
        <f t="shared" si="54"/>
        <v>SDR-35</v>
      </c>
      <c r="H83" s="6">
        <v>17</v>
      </c>
      <c r="I83" s="31" t="s">
        <v>153</v>
      </c>
      <c r="J83" s="31">
        <v>1990</v>
      </c>
      <c r="K83" s="125" t="str">
        <f t="shared" si="51"/>
        <v>$            47.00</v>
      </c>
      <c r="L83" s="35">
        <v>4500</v>
      </c>
      <c r="M83" s="89">
        <f t="shared" ref="M83" si="61">(E83*K83+H83*L83)</f>
        <v>212048</v>
      </c>
      <c r="N83" s="28">
        <v>11392</v>
      </c>
      <c r="O83" s="28">
        <v>4732</v>
      </c>
      <c r="P83" s="61">
        <f t="shared" ref="P83" si="62">M83*(O83/N83)</f>
        <v>88080.331460674148</v>
      </c>
    </row>
    <row r="84" spans="2:16" s="17" customFormat="1" ht="18" x14ac:dyDescent="0.25">
      <c r="B84" s="8"/>
      <c r="C84" s="12">
        <v>5.4400000000000199</v>
      </c>
      <c r="D84" s="15" t="s">
        <v>227</v>
      </c>
      <c r="E84" s="5">
        <v>1097</v>
      </c>
      <c r="F84" s="5">
        <v>8</v>
      </c>
      <c r="G84" s="5" t="str">
        <f t="shared" si="54"/>
        <v>SDR-35</v>
      </c>
      <c r="H84" s="6">
        <v>4</v>
      </c>
      <c r="I84" s="31" t="s">
        <v>155</v>
      </c>
      <c r="J84" s="31">
        <v>1990</v>
      </c>
      <c r="K84" s="125" t="str">
        <f t="shared" si="51"/>
        <v>$          130.00</v>
      </c>
      <c r="L84" s="35">
        <v>4500</v>
      </c>
      <c r="M84" s="89">
        <f t="shared" si="2"/>
        <v>160610</v>
      </c>
      <c r="N84" s="28">
        <v>11392</v>
      </c>
      <c r="O84" s="28">
        <v>4732</v>
      </c>
      <c r="P84" s="61">
        <f t="shared" si="3"/>
        <v>66714.055477528091</v>
      </c>
    </row>
    <row r="85" spans="2:16" s="17" customFormat="1" ht="18" x14ac:dyDescent="0.25">
      <c r="B85" s="8"/>
      <c r="C85" s="12">
        <v>5.4500000000000197</v>
      </c>
      <c r="D85" s="15" t="s">
        <v>228</v>
      </c>
      <c r="E85" s="5">
        <v>2068</v>
      </c>
      <c r="F85" s="5">
        <v>8</v>
      </c>
      <c r="G85" s="5" t="str">
        <f t="shared" si="54"/>
        <v>SDR-35</v>
      </c>
      <c r="H85" s="6">
        <v>9</v>
      </c>
      <c r="I85" s="31" t="s">
        <v>153</v>
      </c>
      <c r="J85" s="31">
        <v>1997</v>
      </c>
      <c r="K85" s="125" t="str">
        <f t="shared" si="51"/>
        <v>$            47.00</v>
      </c>
      <c r="L85" s="35">
        <v>4500</v>
      </c>
      <c r="M85" s="89">
        <f t="shared" si="2"/>
        <v>137696</v>
      </c>
      <c r="N85" s="28">
        <v>11392</v>
      </c>
      <c r="O85" s="28">
        <v>5826</v>
      </c>
      <c r="P85" s="61">
        <f t="shared" si="3"/>
        <v>70419.320224719108</v>
      </c>
    </row>
    <row r="86" spans="2:16" s="48" customFormat="1" ht="18" x14ac:dyDescent="0.25">
      <c r="B86" s="8"/>
      <c r="C86" s="12">
        <v>5.4600000000000204</v>
      </c>
      <c r="D86" s="15" t="s">
        <v>229</v>
      </c>
      <c r="E86" s="5">
        <f>2041-15</f>
        <v>2026</v>
      </c>
      <c r="F86" s="5">
        <v>8</v>
      </c>
      <c r="G86" s="5" t="str">
        <f t="shared" si="54"/>
        <v>SDR-35</v>
      </c>
      <c r="H86" s="6">
        <v>12</v>
      </c>
      <c r="I86" s="31" t="s">
        <v>153</v>
      </c>
      <c r="J86" s="31">
        <v>1984</v>
      </c>
      <c r="K86" s="125" t="str">
        <f t="shared" si="51"/>
        <v>$            47.00</v>
      </c>
      <c r="L86" s="35">
        <v>4500</v>
      </c>
      <c r="M86" s="89">
        <f t="shared" ref="M86" si="63">(E86*K86+H86*L86)</f>
        <v>149222</v>
      </c>
      <c r="N86" s="28">
        <v>11392</v>
      </c>
      <c r="O86" s="28">
        <v>4148</v>
      </c>
      <c r="P86" s="61">
        <f t="shared" ref="P86" si="64">M86*(O86/N86)</f>
        <v>54333.993679775282</v>
      </c>
    </row>
    <row r="87" spans="2:16" s="17" customFormat="1" ht="18" x14ac:dyDescent="0.25">
      <c r="B87" s="8"/>
      <c r="C87" s="12">
        <v>5.4600000000000204</v>
      </c>
      <c r="D87" s="15" t="s">
        <v>229</v>
      </c>
      <c r="E87" s="5">
        <v>15</v>
      </c>
      <c r="F87" s="5">
        <v>8</v>
      </c>
      <c r="G87" s="5" t="str">
        <f t="shared" si="54"/>
        <v>SDR-35</v>
      </c>
      <c r="H87" s="6">
        <v>1</v>
      </c>
      <c r="I87" s="31" t="s">
        <v>155</v>
      </c>
      <c r="J87" s="31">
        <v>1984</v>
      </c>
      <c r="K87" s="125" t="str">
        <f t="shared" si="51"/>
        <v>$          130.00</v>
      </c>
      <c r="L87" s="35">
        <v>4500</v>
      </c>
      <c r="M87" s="89">
        <f t="shared" si="2"/>
        <v>6450</v>
      </c>
      <c r="N87" s="28">
        <v>11392</v>
      </c>
      <c r="O87" s="28">
        <v>4148</v>
      </c>
      <c r="P87" s="61">
        <f t="shared" si="3"/>
        <v>2348.5428370786517</v>
      </c>
    </row>
    <row r="88" spans="2:16" s="48" customFormat="1" ht="18" x14ac:dyDescent="0.25">
      <c r="B88" s="8"/>
      <c r="C88" s="12">
        <v>5.4700000000000202</v>
      </c>
      <c r="D88" s="15" t="s">
        <v>230</v>
      </c>
      <c r="E88" s="5">
        <f>1995-310</f>
        <v>1685</v>
      </c>
      <c r="F88" s="5">
        <v>8</v>
      </c>
      <c r="G88" s="5" t="str">
        <f t="shared" si="54"/>
        <v>SDR-35</v>
      </c>
      <c r="H88" s="6">
        <v>9</v>
      </c>
      <c r="I88" s="31" t="s">
        <v>153</v>
      </c>
      <c r="J88" s="31">
        <v>2018</v>
      </c>
      <c r="K88" s="125" t="str">
        <f t="shared" si="51"/>
        <v>$            47.00</v>
      </c>
      <c r="L88" s="35">
        <v>4500</v>
      </c>
      <c r="M88" s="89">
        <f t="shared" ref="M88" si="65">(E88*K88+H88*L88)</f>
        <v>119695</v>
      </c>
      <c r="N88" s="28">
        <v>11392</v>
      </c>
      <c r="O88" s="28">
        <v>11062</v>
      </c>
      <c r="P88" s="61">
        <f t="shared" ref="P88" si="66">M88*(O88/N88)</f>
        <v>116227.71155196629</v>
      </c>
    </row>
    <row r="89" spans="2:16" s="17" customFormat="1" ht="18" x14ac:dyDescent="0.25">
      <c r="B89" s="8"/>
      <c r="C89" s="12">
        <v>5.4700000000000202</v>
      </c>
      <c r="D89" s="15" t="s">
        <v>230</v>
      </c>
      <c r="E89" s="5">
        <v>310</v>
      </c>
      <c r="F89" s="5">
        <v>8</v>
      </c>
      <c r="G89" s="5" t="str">
        <f t="shared" si="54"/>
        <v>SDR-35</v>
      </c>
      <c r="H89" s="6">
        <v>2</v>
      </c>
      <c r="I89" s="31" t="s">
        <v>155</v>
      </c>
      <c r="J89" s="31">
        <v>2018</v>
      </c>
      <c r="K89" s="125" t="str">
        <f t="shared" si="51"/>
        <v>$          130.00</v>
      </c>
      <c r="L89" s="35">
        <v>4500</v>
      </c>
      <c r="M89" s="89">
        <f t="shared" si="2"/>
        <v>49300</v>
      </c>
      <c r="N89" s="28">
        <v>11392</v>
      </c>
      <c r="O89" s="28">
        <v>11062</v>
      </c>
      <c r="P89" s="61">
        <f t="shared" si="3"/>
        <v>47871.892556179773</v>
      </c>
    </row>
    <row r="90" spans="2:16" s="17" customFormat="1" ht="18" x14ac:dyDescent="0.25">
      <c r="B90" s="8"/>
      <c r="C90" s="12">
        <v>5.4800000000000297</v>
      </c>
      <c r="D90" s="15" t="s">
        <v>231</v>
      </c>
      <c r="E90" s="5">
        <v>6505</v>
      </c>
      <c r="F90" s="5">
        <v>8</v>
      </c>
      <c r="G90" s="5" t="str">
        <f t="shared" si="54"/>
        <v>SDR-35</v>
      </c>
      <c r="H90" s="6">
        <v>28</v>
      </c>
      <c r="I90" s="31" t="s">
        <v>153</v>
      </c>
      <c r="J90" s="31">
        <v>1999</v>
      </c>
      <c r="K90" s="125" t="str">
        <f t="shared" si="51"/>
        <v>$            47.00</v>
      </c>
      <c r="L90" s="35">
        <v>4500</v>
      </c>
      <c r="M90" s="89">
        <f t="shared" si="2"/>
        <v>431735</v>
      </c>
      <c r="N90" s="28">
        <v>11392</v>
      </c>
      <c r="O90" s="28">
        <v>6059</v>
      </c>
      <c r="P90" s="61">
        <f t="shared" si="3"/>
        <v>229624.50535463481</v>
      </c>
    </row>
    <row r="91" spans="2:16" s="48" customFormat="1" ht="18" x14ac:dyDescent="0.25">
      <c r="B91" s="8"/>
      <c r="C91" s="12">
        <v>5.4900000000000304</v>
      </c>
      <c r="D91" s="15" t="s">
        <v>232</v>
      </c>
      <c r="E91" s="5">
        <v>3450</v>
      </c>
      <c r="F91" s="5">
        <v>8</v>
      </c>
      <c r="G91" s="5" t="str">
        <f t="shared" si="54"/>
        <v>SDR-35</v>
      </c>
      <c r="H91" s="6">
        <v>19</v>
      </c>
      <c r="I91" s="31" t="s">
        <v>153</v>
      </c>
      <c r="J91" s="31">
        <v>1995</v>
      </c>
      <c r="K91" s="125" t="str">
        <f t="shared" si="51"/>
        <v>$            47.00</v>
      </c>
      <c r="L91" s="35">
        <v>4500</v>
      </c>
      <c r="M91" s="89">
        <f t="shared" ref="M91" si="67">(E91*K91+H91*L91)</f>
        <v>247650</v>
      </c>
      <c r="N91" s="28">
        <v>11392</v>
      </c>
      <c r="O91" s="28">
        <v>5471</v>
      </c>
      <c r="P91" s="61">
        <f t="shared" ref="P91" si="68">M91*(O91/N91)</f>
        <v>118933.73858848315</v>
      </c>
    </row>
    <row r="92" spans="2:16" s="17" customFormat="1" ht="18" x14ac:dyDescent="0.25">
      <c r="B92" s="8"/>
      <c r="C92" s="12">
        <v>5.5000000000000302</v>
      </c>
      <c r="D92" s="15" t="s">
        <v>233</v>
      </c>
      <c r="E92" s="5">
        <v>3036</v>
      </c>
      <c r="F92" s="5">
        <v>8</v>
      </c>
      <c r="G92" s="5" t="str">
        <f t="shared" si="54"/>
        <v>SDR-35</v>
      </c>
      <c r="H92" s="6">
        <v>15</v>
      </c>
      <c r="I92" s="31" t="s">
        <v>153</v>
      </c>
      <c r="J92" s="31">
        <v>1980</v>
      </c>
      <c r="K92" s="125" t="str">
        <f t="shared" si="51"/>
        <v>$            47.00</v>
      </c>
      <c r="L92" s="35">
        <v>4500</v>
      </c>
      <c r="M92" s="89">
        <f t="shared" si="2"/>
        <v>210192</v>
      </c>
      <c r="N92" s="28">
        <v>11392</v>
      </c>
      <c r="O92" s="28">
        <v>3237</v>
      </c>
      <c r="P92" s="61">
        <f t="shared" si="3"/>
        <v>59725.377808988764</v>
      </c>
    </row>
    <row r="93" spans="2:16" s="48" customFormat="1" ht="18" x14ac:dyDescent="0.25">
      <c r="B93" s="8"/>
      <c r="C93" s="12">
        <v>5.51000000000003</v>
      </c>
      <c r="D93" s="15" t="s">
        <v>234</v>
      </c>
      <c r="E93" s="5">
        <f>9116-386</f>
        <v>8730</v>
      </c>
      <c r="F93" s="5">
        <v>8</v>
      </c>
      <c r="G93" s="5" t="str">
        <f t="shared" si="54"/>
        <v>SDR-35</v>
      </c>
      <c r="H93" s="6">
        <v>45</v>
      </c>
      <c r="I93" s="31" t="s">
        <v>153</v>
      </c>
      <c r="J93" s="31">
        <v>1985</v>
      </c>
      <c r="K93" s="125" t="str">
        <f t="shared" si="51"/>
        <v>$            47.00</v>
      </c>
      <c r="L93" s="35">
        <v>4500</v>
      </c>
      <c r="M93" s="89">
        <f t="shared" ref="M93" si="69">(E93*K93+H93*L93)</f>
        <v>612810</v>
      </c>
      <c r="N93" s="28">
        <v>11392</v>
      </c>
      <c r="O93" s="28">
        <v>4182</v>
      </c>
      <c r="P93" s="61">
        <f t="shared" ref="P93" si="70">M93*(O93/N93)</f>
        <v>224962.37886235956</v>
      </c>
    </row>
    <row r="94" spans="2:16" s="17" customFormat="1" ht="18" x14ac:dyDescent="0.25">
      <c r="B94" s="8"/>
      <c r="C94" s="12">
        <v>5.51000000000003</v>
      </c>
      <c r="D94" s="15" t="s">
        <v>234</v>
      </c>
      <c r="E94" s="5">
        <v>386</v>
      </c>
      <c r="F94" s="5">
        <v>8</v>
      </c>
      <c r="G94" s="5" t="str">
        <f t="shared" si="54"/>
        <v>SDR-35</v>
      </c>
      <c r="H94" s="6">
        <v>3</v>
      </c>
      <c r="I94" s="31" t="s">
        <v>155</v>
      </c>
      <c r="J94" s="31">
        <v>1985</v>
      </c>
      <c r="K94" s="125" t="str">
        <f t="shared" si="51"/>
        <v>$          130.00</v>
      </c>
      <c r="L94" s="35">
        <v>4500</v>
      </c>
      <c r="M94" s="89">
        <f t="shared" si="2"/>
        <v>63680</v>
      </c>
      <c r="N94" s="28">
        <v>11392</v>
      </c>
      <c r="O94" s="28">
        <v>4182</v>
      </c>
      <c r="P94" s="61">
        <f t="shared" si="3"/>
        <v>23376.91011235955</v>
      </c>
    </row>
    <row r="95" spans="2:16" s="48" customFormat="1" ht="18" x14ac:dyDescent="0.25">
      <c r="B95" s="8"/>
      <c r="C95" s="12">
        <v>5.5200000000000298</v>
      </c>
      <c r="D95" s="15" t="s">
        <v>235</v>
      </c>
      <c r="E95" s="5">
        <f>13877-1155</f>
        <v>12722</v>
      </c>
      <c r="F95" s="5">
        <v>8</v>
      </c>
      <c r="G95" s="5" t="str">
        <f t="shared" si="54"/>
        <v>VCP</v>
      </c>
      <c r="H95" s="6">
        <v>58</v>
      </c>
      <c r="I95" s="31" t="s">
        <v>153</v>
      </c>
      <c r="J95" s="31">
        <v>1955</v>
      </c>
      <c r="K95" s="125" t="str">
        <f t="shared" si="51"/>
        <v>$            57.00</v>
      </c>
      <c r="L95" s="35">
        <v>4500</v>
      </c>
      <c r="M95" s="89">
        <f t="shared" ref="M95" si="71">(E95*K95+H95*L95)</f>
        <v>986154</v>
      </c>
      <c r="N95" s="28">
        <v>11392</v>
      </c>
      <c r="O95" s="28">
        <v>660</v>
      </c>
      <c r="P95" s="61">
        <f t="shared" ref="P95" si="72">M95*(O95/N95)</f>
        <v>57133.21980337079</v>
      </c>
    </row>
    <row r="96" spans="2:16" s="17" customFormat="1" ht="18" x14ac:dyDescent="0.25">
      <c r="B96" s="8"/>
      <c r="C96" s="12">
        <v>5.5200000000000298</v>
      </c>
      <c r="D96" s="15" t="s">
        <v>235</v>
      </c>
      <c r="E96" s="5">
        <v>1155</v>
      </c>
      <c r="F96" s="5">
        <v>8</v>
      </c>
      <c r="G96" s="5" t="str">
        <f t="shared" si="54"/>
        <v>VCP</v>
      </c>
      <c r="H96" s="6">
        <v>5</v>
      </c>
      <c r="I96" s="31" t="s">
        <v>155</v>
      </c>
      <c r="J96" s="31">
        <v>1955</v>
      </c>
      <c r="K96" s="125" t="str">
        <f t="shared" si="51"/>
        <v>$          140.00</v>
      </c>
      <c r="L96" s="35">
        <v>4500</v>
      </c>
      <c r="M96" s="89">
        <f t="shared" si="2"/>
        <v>184200</v>
      </c>
      <c r="N96" s="28">
        <v>11392</v>
      </c>
      <c r="O96" s="28">
        <v>660</v>
      </c>
      <c r="P96" s="61">
        <f t="shared" si="3"/>
        <v>10671.699438202248</v>
      </c>
    </row>
    <row r="97" spans="2:17" s="17" customFormat="1" ht="18" x14ac:dyDescent="0.25">
      <c r="B97" s="8"/>
      <c r="C97" s="12">
        <v>5.5300000000000296</v>
      </c>
      <c r="D97" s="15" t="s">
        <v>236</v>
      </c>
      <c r="E97" s="5">
        <v>6902</v>
      </c>
      <c r="F97" s="5">
        <v>8</v>
      </c>
      <c r="G97" s="5" t="str">
        <f t="shared" si="54"/>
        <v>VCP</v>
      </c>
      <c r="H97" s="6">
        <v>35</v>
      </c>
      <c r="I97" s="31" t="s">
        <v>153</v>
      </c>
      <c r="J97" s="31">
        <v>1965</v>
      </c>
      <c r="K97" s="125" t="str">
        <f t="shared" si="51"/>
        <v>$            57.00</v>
      </c>
      <c r="L97" s="35">
        <v>4500</v>
      </c>
      <c r="M97" s="89">
        <f t="shared" si="2"/>
        <v>550914</v>
      </c>
      <c r="N97" s="28">
        <v>11392</v>
      </c>
      <c r="O97" s="28">
        <v>971</v>
      </c>
      <c r="P97" s="61">
        <f t="shared" si="3"/>
        <v>46957.294066011236</v>
      </c>
      <c r="Q97" s="171"/>
    </row>
    <row r="98" spans="2:17" s="48" customFormat="1" ht="18" x14ac:dyDescent="0.25">
      <c r="B98" s="8"/>
      <c r="C98" s="12">
        <v>5.5400000000000302</v>
      </c>
      <c r="D98" s="15" t="s">
        <v>237</v>
      </c>
      <c r="E98" s="5">
        <f>2536</f>
        <v>2536</v>
      </c>
      <c r="F98" s="5">
        <v>8</v>
      </c>
      <c r="G98" s="5" t="str">
        <f t="shared" si="54"/>
        <v>VCP</v>
      </c>
      <c r="H98" s="6">
        <v>9</v>
      </c>
      <c r="I98" s="31" t="s">
        <v>153</v>
      </c>
      <c r="J98" s="31">
        <v>1955</v>
      </c>
      <c r="K98" s="125" t="str">
        <f t="shared" si="51"/>
        <v>$            57.00</v>
      </c>
      <c r="L98" s="35">
        <v>4500</v>
      </c>
      <c r="M98" s="89">
        <f t="shared" ref="M98" si="73">(E98*K98+H98*L98)</f>
        <v>185052</v>
      </c>
      <c r="N98" s="28">
        <v>11392</v>
      </c>
      <c r="O98" s="28">
        <v>660</v>
      </c>
      <c r="P98" s="61">
        <f t="shared" ref="P98" si="74">M98*(O98/N98)</f>
        <v>10721.060393258427</v>
      </c>
      <c r="Q98" s="171"/>
    </row>
    <row r="99" spans="2:17" s="17" customFormat="1" ht="18" x14ac:dyDescent="0.25">
      <c r="B99" s="8"/>
      <c r="C99" s="12">
        <v>5.5400000000000302</v>
      </c>
      <c r="D99" s="15" t="s">
        <v>237</v>
      </c>
      <c r="E99" s="5">
        <v>908</v>
      </c>
      <c r="F99" s="5">
        <v>8</v>
      </c>
      <c r="G99" s="5" t="str">
        <f t="shared" si="54"/>
        <v>VCP</v>
      </c>
      <c r="H99" s="6">
        <v>4</v>
      </c>
      <c r="I99" s="31" t="s">
        <v>155</v>
      </c>
      <c r="J99" s="31">
        <v>1955</v>
      </c>
      <c r="K99" s="125" t="str">
        <f t="shared" si="51"/>
        <v>$          140.00</v>
      </c>
      <c r="L99" s="35">
        <v>4500</v>
      </c>
      <c r="M99" s="89">
        <f t="shared" si="2"/>
        <v>145120</v>
      </c>
      <c r="N99" s="28">
        <v>11392</v>
      </c>
      <c r="O99" s="28">
        <v>660</v>
      </c>
      <c r="P99" s="61">
        <f t="shared" si="3"/>
        <v>8407.5842696629225</v>
      </c>
      <c r="Q99" s="171"/>
    </row>
    <row r="100" spans="2:17" s="48" customFormat="1" ht="18" x14ac:dyDescent="0.25">
      <c r="B100" s="8"/>
      <c r="C100" s="12">
        <v>5.55000000000003</v>
      </c>
      <c r="D100" s="15" t="s">
        <v>238</v>
      </c>
      <c r="E100" s="5">
        <f>1806</f>
        <v>1806</v>
      </c>
      <c r="F100" s="5">
        <v>8</v>
      </c>
      <c r="G100" s="5" t="str">
        <f t="shared" si="54"/>
        <v>SDR-35</v>
      </c>
      <c r="H100" s="6">
        <v>13</v>
      </c>
      <c r="I100" s="31" t="s">
        <v>153</v>
      </c>
      <c r="J100" s="31">
        <v>2005</v>
      </c>
      <c r="K100" s="125" t="str">
        <f t="shared" si="51"/>
        <v>$            47.00</v>
      </c>
      <c r="L100" s="35">
        <v>4500</v>
      </c>
      <c r="M100" s="89">
        <f t="shared" ref="M100" si="75">(E100*K100+H100*L100)</f>
        <v>143382</v>
      </c>
      <c r="N100" s="28">
        <v>11392</v>
      </c>
      <c r="O100" s="28">
        <v>7446</v>
      </c>
      <c r="P100" s="61">
        <f t="shared" ref="P100" si="76">M100*(O100/N100)</f>
        <v>93716.851474719108</v>
      </c>
      <c r="Q100" s="171"/>
    </row>
    <row r="101" spans="2:17" s="17" customFormat="1" ht="18" x14ac:dyDescent="0.25">
      <c r="B101" s="8"/>
      <c r="C101" s="12">
        <v>5.55000000000003</v>
      </c>
      <c r="D101" s="15" t="s">
        <v>238</v>
      </c>
      <c r="E101" s="5">
        <v>2677</v>
      </c>
      <c r="F101" s="5">
        <v>8</v>
      </c>
      <c r="G101" s="5" t="str">
        <f t="shared" si="54"/>
        <v>SDR-35</v>
      </c>
      <c r="H101" s="6">
        <v>10</v>
      </c>
      <c r="I101" s="31" t="s">
        <v>155</v>
      </c>
      <c r="J101" s="31">
        <v>2005</v>
      </c>
      <c r="K101" s="125" t="str">
        <f t="shared" si="51"/>
        <v>$          130.00</v>
      </c>
      <c r="L101" s="35">
        <v>4500</v>
      </c>
      <c r="M101" s="89">
        <f t="shared" si="2"/>
        <v>393010</v>
      </c>
      <c r="N101" s="28">
        <v>11392</v>
      </c>
      <c r="O101" s="28">
        <v>7446</v>
      </c>
      <c r="P101" s="61">
        <f t="shared" si="3"/>
        <v>256877.84936797756</v>
      </c>
      <c r="Q101" s="171"/>
    </row>
    <row r="102" spans="2:17" s="48" customFormat="1" ht="18" x14ac:dyDescent="0.25">
      <c r="B102" s="8"/>
      <c r="C102" s="12">
        <v>5.5600000000000298</v>
      </c>
      <c r="D102" s="15" t="s">
        <v>239</v>
      </c>
      <c r="E102" s="5">
        <f>2582</f>
        <v>2582</v>
      </c>
      <c r="F102" s="5">
        <v>8</v>
      </c>
      <c r="G102" s="5" t="str">
        <f t="shared" si="54"/>
        <v>SDR-35</v>
      </c>
      <c r="H102" s="6">
        <v>16</v>
      </c>
      <c r="I102" s="31" t="s">
        <v>153</v>
      </c>
      <c r="J102" s="31">
        <v>2004</v>
      </c>
      <c r="K102" s="125" t="str">
        <f t="shared" si="51"/>
        <v>$            47.00</v>
      </c>
      <c r="L102" s="35">
        <v>4500</v>
      </c>
      <c r="M102" s="89">
        <f t="shared" ref="M102" si="77">(E102*K102+H102*L102)</f>
        <v>193354</v>
      </c>
      <c r="N102" s="28">
        <v>11392</v>
      </c>
      <c r="O102" s="28">
        <v>7115</v>
      </c>
      <c r="P102" s="61">
        <f t="shared" ref="P102" si="78">M102*(O102/N102)</f>
        <v>120761.38606039327</v>
      </c>
      <c r="Q102" s="171"/>
    </row>
    <row r="103" spans="2:17" s="17" customFormat="1" ht="18" x14ac:dyDescent="0.25">
      <c r="B103" s="8"/>
      <c r="C103" s="12">
        <v>5.5600000000000298</v>
      </c>
      <c r="D103" s="15" t="s">
        <v>239</v>
      </c>
      <c r="E103" s="5">
        <v>901</v>
      </c>
      <c r="F103" s="5">
        <v>8</v>
      </c>
      <c r="G103" s="5" t="str">
        <f t="shared" si="54"/>
        <v>SDR-35</v>
      </c>
      <c r="H103" s="6">
        <v>5</v>
      </c>
      <c r="I103" s="31" t="s">
        <v>155</v>
      </c>
      <c r="J103" s="31">
        <v>2004</v>
      </c>
      <c r="K103" s="125" t="str">
        <f t="shared" si="51"/>
        <v>$          130.00</v>
      </c>
      <c r="L103" s="35">
        <v>4500</v>
      </c>
      <c r="M103" s="89">
        <f t="shared" si="2"/>
        <v>139630</v>
      </c>
      <c r="N103" s="28">
        <v>11392</v>
      </c>
      <c r="O103" s="28">
        <v>7115</v>
      </c>
      <c r="P103" s="61">
        <f t="shared" si="3"/>
        <v>87207.465765449437</v>
      </c>
      <c r="Q103" s="171"/>
    </row>
    <row r="104" spans="2:17" s="48" customFormat="1" ht="18" x14ac:dyDescent="0.25">
      <c r="B104" s="8"/>
      <c r="C104" s="12">
        <v>5.5700000000000296</v>
      </c>
      <c r="D104" s="15" t="s">
        <v>240</v>
      </c>
      <c r="E104" s="5">
        <f>3033</f>
        <v>3033</v>
      </c>
      <c r="F104" s="5">
        <v>8</v>
      </c>
      <c r="G104" s="5" t="str">
        <f t="shared" si="54"/>
        <v>VCP</v>
      </c>
      <c r="H104" s="6">
        <v>13</v>
      </c>
      <c r="I104" s="31" t="s">
        <v>153</v>
      </c>
      <c r="J104" s="31">
        <v>1960</v>
      </c>
      <c r="K104" s="125" t="str">
        <f t="shared" si="51"/>
        <v>$            57.00</v>
      </c>
      <c r="L104" s="35">
        <v>4500</v>
      </c>
      <c r="M104" s="89">
        <f t="shared" ref="M104" si="79">(E104*K104+H104*L104)</f>
        <v>231381</v>
      </c>
      <c r="N104" s="28">
        <v>11392</v>
      </c>
      <c r="O104" s="28">
        <v>824</v>
      </c>
      <c r="P104" s="61">
        <f t="shared" ref="P104" si="80">M104*(O104/N104)</f>
        <v>16736.125702247191</v>
      </c>
      <c r="Q104" s="171"/>
    </row>
    <row r="105" spans="2:17" s="48" customFormat="1" ht="18" x14ac:dyDescent="0.25">
      <c r="B105" s="8"/>
      <c r="C105" s="12">
        <v>5.5800000000000303</v>
      </c>
      <c r="D105" s="15" t="s">
        <v>241</v>
      </c>
      <c r="E105" s="5">
        <f>3511</f>
        <v>3511</v>
      </c>
      <c r="F105" s="5">
        <v>8</v>
      </c>
      <c r="G105" s="5" t="str">
        <f t="shared" si="54"/>
        <v>SDR-35</v>
      </c>
      <c r="H105" s="6">
        <v>19</v>
      </c>
      <c r="I105" s="31" t="s">
        <v>153</v>
      </c>
      <c r="J105" s="31">
        <v>1980</v>
      </c>
      <c r="K105" s="125" t="str">
        <f t="shared" si="51"/>
        <v>$            47.00</v>
      </c>
      <c r="L105" s="35">
        <v>4500</v>
      </c>
      <c r="M105" s="89">
        <f t="shared" ref="M105" si="81">(E105*K105+H105*L105)</f>
        <v>250517</v>
      </c>
      <c r="N105" s="28">
        <v>11392</v>
      </c>
      <c r="O105" s="28">
        <v>3237</v>
      </c>
      <c r="P105" s="61">
        <f t="shared" ref="P105" si="82">M105*(O105/N105)</f>
        <v>71183.596295646072</v>
      </c>
      <c r="Q105" s="171"/>
    </row>
    <row r="106" spans="2:17" s="48" customFormat="1" ht="18" x14ac:dyDescent="0.25">
      <c r="B106" s="8"/>
      <c r="C106" s="12">
        <v>5.5900000000000301</v>
      </c>
      <c r="D106" s="15" t="s">
        <v>242</v>
      </c>
      <c r="E106" s="5">
        <f>8352</f>
        <v>8352</v>
      </c>
      <c r="F106" s="5">
        <v>8</v>
      </c>
      <c r="G106" s="5" t="str">
        <f t="shared" si="54"/>
        <v>VCP</v>
      </c>
      <c r="H106" s="6">
        <v>34</v>
      </c>
      <c r="I106" s="31" t="s">
        <v>153</v>
      </c>
      <c r="J106" s="31">
        <v>1970</v>
      </c>
      <c r="K106" s="125" t="str">
        <f t="shared" si="51"/>
        <v>$            57.00</v>
      </c>
      <c r="L106" s="35">
        <v>4500</v>
      </c>
      <c r="M106" s="89">
        <f t="shared" ref="M106" si="83">(E106*K106+H106*L106)</f>
        <v>629064</v>
      </c>
      <c r="N106" s="28">
        <v>11392</v>
      </c>
      <c r="O106" s="28">
        <v>1381</v>
      </c>
      <c r="P106" s="61">
        <f t="shared" ref="P106" si="84">M106*(O106/N106)</f>
        <v>76258.548455056181</v>
      </c>
      <c r="Q106" s="171"/>
    </row>
    <row r="107" spans="2:17" s="17" customFormat="1" ht="18" x14ac:dyDescent="0.25">
      <c r="B107" s="8"/>
      <c r="C107" s="12">
        <v>5.6000000000000298</v>
      </c>
      <c r="D107" s="15" t="s">
        <v>243</v>
      </c>
      <c r="E107" s="5">
        <v>4496</v>
      </c>
      <c r="F107" s="5">
        <v>8</v>
      </c>
      <c r="G107" s="5" t="str">
        <f t="shared" si="54"/>
        <v>VCP</v>
      </c>
      <c r="H107" s="6">
        <v>18</v>
      </c>
      <c r="I107" s="31" t="s">
        <v>153</v>
      </c>
      <c r="J107" s="31">
        <v>1970</v>
      </c>
      <c r="K107" s="125" t="str">
        <f t="shared" si="51"/>
        <v>$            57.00</v>
      </c>
      <c r="L107" s="35">
        <v>4500</v>
      </c>
      <c r="M107" s="89">
        <f t="shared" si="2"/>
        <v>337272</v>
      </c>
      <c r="N107" s="28">
        <v>11392</v>
      </c>
      <c r="O107" s="28">
        <v>1381</v>
      </c>
      <c r="P107" s="61">
        <f t="shared" si="3"/>
        <v>40885.940308988764</v>
      </c>
      <c r="Q107" s="171"/>
    </row>
    <row r="108" spans="2:17" s="48" customFormat="1" ht="18" x14ac:dyDescent="0.25">
      <c r="B108" s="8"/>
      <c r="C108" s="12">
        <v>5.6100000000000296</v>
      </c>
      <c r="D108" s="15" t="s">
        <v>244</v>
      </c>
      <c r="E108" s="5">
        <f>3757-1785</f>
        <v>1972</v>
      </c>
      <c r="F108" s="5">
        <v>8</v>
      </c>
      <c r="G108" s="5" t="str">
        <f t="shared" si="54"/>
        <v>SDR-35</v>
      </c>
      <c r="H108" s="6">
        <v>18</v>
      </c>
      <c r="I108" s="31" t="s">
        <v>153</v>
      </c>
      <c r="J108" s="31">
        <v>1991</v>
      </c>
      <c r="K108" s="125" t="str">
        <f t="shared" si="51"/>
        <v>$            47.00</v>
      </c>
      <c r="L108" s="35">
        <v>4500</v>
      </c>
      <c r="M108" s="89">
        <f t="shared" ref="M108" si="85">(E108*K108+H108*L108)</f>
        <v>173684</v>
      </c>
      <c r="N108" s="28">
        <v>11392</v>
      </c>
      <c r="O108" s="28">
        <v>4835</v>
      </c>
      <c r="P108" s="61">
        <f t="shared" ref="P108" si="86">M108*(O108/N108)</f>
        <v>73715.075491573036</v>
      </c>
      <c r="Q108" s="171"/>
    </row>
    <row r="109" spans="2:17" s="17" customFormat="1" ht="18" x14ac:dyDescent="0.25">
      <c r="B109" s="8"/>
      <c r="C109" s="12">
        <v>5.6100000000000296</v>
      </c>
      <c r="D109" s="15" t="s">
        <v>244</v>
      </c>
      <c r="E109" s="5">
        <v>1785</v>
      </c>
      <c r="F109" s="5">
        <v>8</v>
      </c>
      <c r="G109" s="5" t="str">
        <f t="shared" si="54"/>
        <v>SDR-35</v>
      </c>
      <c r="H109" s="6">
        <v>10</v>
      </c>
      <c r="I109" s="31" t="s">
        <v>155</v>
      </c>
      <c r="J109" s="31">
        <v>1991</v>
      </c>
      <c r="K109" s="125" t="str">
        <f t="shared" si="51"/>
        <v>$          130.00</v>
      </c>
      <c r="L109" s="35">
        <v>4500</v>
      </c>
      <c r="M109" s="89">
        <f t="shared" si="2"/>
        <v>277050</v>
      </c>
      <c r="N109" s="28">
        <v>11392</v>
      </c>
      <c r="O109" s="28">
        <v>4835</v>
      </c>
      <c r="P109" s="61">
        <f t="shared" si="3"/>
        <v>117585.73999297753</v>
      </c>
      <c r="Q109" s="171"/>
    </row>
    <row r="110" spans="2:17" s="48" customFormat="1" ht="18" x14ac:dyDescent="0.25">
      <c r="B110" s="8"/>
      <c r="C110" s="12">
        <v>5.6200000000000303</v>
      </c>
      <c r="D110" s="15" t="s">
        <v>245</v>
      </c>
      <c r="E110" s="5">
        <f>5633</f>
        <v>5633</v>
      </c>
      <c r="F110" s="5">
        <v>8</v>
      </c>
      <c r="G110" s="5" t="str">
        <f t="shared" si="54"/>
        <v>SDR-35</v>
      </c>
      <c r="H110" s="6">
        <v>24</v>
      </c>
      <c r="I110" s="31" t="s">
        <v>153</v>
      </c>
      <c r="J110" s="31">
        <v>1985</v>
      </c>
      <c r="K110" s="125" t="str">
        <f t="shared" si="51"/>
        <v>$            47.00</v>
      </c>
      <c r="L110" s="35">
        <v>4500</v>
      </c>
      <c r="M110" s="89">
        <f t="shared" ref="M110" si="87">(E110*K110+H110*L110)</f>
        <v>372751</v>
      </c>
      <c r="N110" s="28">
        <v>11392</v>
      </c>
      <c r="O110" s="28">
        <v>4182</v>
      </c>
      <c r="P110" s="61">
        <f t="shared" ref="P110" si="88">M110*(O110/N110)</f>
        <v>136836.78739466291</v>
      </c>
      <c r="Q110" s="171"/>
    </row>
    <row r="111" spans="2:17" s="17" customFormat="1" ht="18" x14ac:dyDescent="0.25">
      <c r="B111" s="8"/>
      <c r="C111" s="12">
        <v>5.6300000000000399</v>
      </c>
      <c r="D111" s="15" t="s">
        <v>246</v>
      </c>
      <c r="E111" s="5">
        <v>1015</v>
      </c>
      <c r="F111" s="5">
        <v>8</v>
      </c>
      <c r="G111" s="5" t="str">
        <f t="shared" si="54"/>
        <v>SDR-35</v>
      </c>
      <c r="H111" s="6">
        <v>6</v>
      </c>
      <c r="I111" s="31" t="s">
        <v>153</v>
      </c>
      <c r="J111" s="31">
        <v>2015</v>
      </c>
      <c r="K111" s="125" t="s">
        <v>78</v>
      </c>
      <c r="L111" s="35" t="s">
        <v>78</v>
      </c>
      <c r="M111" s="89" t="s">
        <v>78</v>
      </c>
      <c r="N111" s="28" t="s">
        <v>78</v>
      </c>
      <c r="O111" s="28" t="s">
        <v>78</v>
      </c>
      <c r="P111" s="61">
        <v>54078</v>
      </c>
      <c r="Q111" s="171"/>
    </row>
    <row r="112" spans="2:17" s="17" customFormat="1" ht="18" x14ac:dyDescent="0.25">
      <c r="B112" s="8"/>
      <c r="C112" s="12">
        <v>5.6400000000000396</v>
      </c>
      <c r="D112" s="15" t="s">
        <v>247</v>
      </c>
      <c r="E112" s="5">
        <v>6212</v>
      </c>
      <c r="F112" s="5">
        <v>8</v>
      </c>
      <c r="G112" s="5" t="str">
        <f t="shared" si="54"/>
        <v>VCP</v>
      </c>
      <c r="H112" s="6">
        <v>32</v>
      </c>
      <c r="I112" s="31" t="s">
        <v>153</v>
      </c>
      <c r="J112" s="31">
        <v>1970</v>
      </c>
      <c r="K112" s="125" t="str">
        <f t="shared" si="51"/>
        <v>$            57.00</v>
      </c>
      <c r="L112" s="35">
        <v>4500</v>
      </c>
      <c r="M112" s="89">
        <f t="shared" si="2"/>
        <v>498084</v>
      </c>
      <c r="N112" s="28">
        <v>11392</v>
      </c>
      <c r="O112" s="28">
        <v>1381</v>
      </c>
      <c r="P112" s="61">
        <f t="shared" si="3"/>
        <v>60380.442766853936</v>
      </c>
      <c r="Q112" s="171"/>
    </row>
    <row r="113" spans="2:17" s="48" customFormat="1" ht="18" x14ac:dyDescent="0.25">
      <c r="B113" s="8"/>
      <c r="C113" s="12">
        <v>5.6400000000000396</v>
      </c>
      <c r="D113" s="15" t="s">
        <v>247</v>
      </c>
      <c r="E113" s="5">
        <v>50</v>
      </c>
      <c r="F113" s="5">
        <v>8</v>
      </c>
      <c r="G113" s="5" t="str">
        <f t="shared" si="54"/>
        <v>VCP</v>
      </c>
      <c r="H113" s="6">
        <v>1</v>
      </c>
      <c r="I113" s="31" t="s">
        <v>155</v>
      </c>
      <c r="J113" s="31">
        <v>1970</v>
      </c>
      <c r="K113" s="125" t="str">
        <f t="shared" si="51"/>
        <v>$          140.00</v>
      </c>
      <c r="L113" s="35">
        <v>4500</v>
      </c>
      <c r="M113" s="89">
        <f t="shared" ref="M113" si="89">(E113*K113+H113*L113)</f>
        <v>11500</v>
      </c>
      <c r="N113" s="28">
        <v>11392</v>
      </c>
      <c r="O113" s="28">
        <v>1381</v>
      </c>
      <c r="P113" s="61">
        <f t="shared" ref="P113" si="90">M113*(O113/N113)</f>
        <v>1394.0923455056181</v>
      </c>
      <c r="Q113" s="171"/>
    </row>
    <row r="114" spans="2:17" s="48" customFormat="1" ht="18" x14ac:dyDescent="0.25">
      <c r="B114" s="8"/>
      <c r="C114" s="12">
        <v>5.6500000000000403</v>
      </c>
      <c r="D114" s="15" t="s">
        <v>248</v>
      </c>
      <c r="E114" s="5">
        <f>30236-50</f>
        <v>30186</v>
      </c>
      <c r="F114" s="5">
        <v>8</v>
      </c>
      <c r="G114" s="5" t="str">
        <f t="shared" si="54"/>
        <v>SDR-35</v>
      </c>
      <c r="H114" s="6">
        <v>115</v>
      </c>
      <c r="I114" s="31" t="s">
        <v>153</v>
      </c>
      <c r="J114" s="31">
        <v>1980</v>
      </c>
      <c r="K114" s="125" t="str">
        <f t="shared" si="51"/>
        <v>$            47.00</v>
      </c>
      <c r="L114" s="35">
        <v>4500</v>
      </c>
      <c r="M114" s="89">
        <f t="shared" ref="M114" si="91">(E114*K114+H114*L114)</f>
        <v>1936242</v>
      </c>
      <c r="N114" s="28">
        <v>11392</v>
      </c>
      <c r="O114" s="28">
        <v>3237</v>
      </c>
      <c r="P114" s="61">
        <f t="shared" ref="P114" si="92">M114*(O114/N114)</f>
        <v>550176.90958567418</v>
      </c>
      <c r="Q114" s="171"/>
    </row>
    <row r="115" spans="2:17" s="17" customFormat="1" ht="18" x14ac:dyDescent="0.25">
      <c r="B115" s="8"/>
      <c r="C115" s="12">
        <v>5.6500000000000403</v>
      </c>
      <c r="D115" s="15" t="s">
        <v>248</v>
      </c>
      <c r="E115" s="5">
        <v>50</v>
      </c>
      <c r="F115" s="5">
        <v>8</v>
      </c>
      <c r="G115" s="5" t="str">
        <f t="shared" si="54"/>
        <v>SDR-35</v>
      </c>
      <c r="H115" s="6">
        <v>1</v>
      </c>
      <c r="I115" s="31" t="s">
        <v>155</v>
      </c>
      <c r="J115" s="31">
        <v>1980</v>
      </c>
      <c r="K115" s="125" t="str">
        <f t="shared" si="51"/>
        <v>$          130.00</v>
      </c>
      <c r="L115" s="35">
        <v>4500</v>
      </c>
      <c r="M115" s="89">
        <f t="shared" si="2"/>
        <v>11000</v>
      </c>
      <c r="N115" s="28">
        <v>11392</v>
      </c>
      <c r="O115" s="28">
        <v>3237</v>
      </c>
      <c r="P115" s="61">
        <f t="shared" si="3"/>
        <v>3125.6144662921347</v>
      </c>
      <c r="Q115" s="171"/>
    </row>
    <row r="116" spans="2:17" s="48" customFormat="1" ht="18" x14ac:dyDescent="0.25">
      <c r="B116" s="8"/>
      <c r="C116" s="12">
        <v>5.6600000000000401</v>
      </c>
      <c r="D116" s="15" t="s">
        <v>249</v>
      </c>
      <c r="E116" s="5">
        <v>5308</v>
      </c>
      <c r="F116" s="5">
        <v>8</v>
      </c>
      <c r="G116" s="5" t="str">
        <f t="shared" si="54"/>
        <v>SDR-35</v>
      </c>
      <c r="H116" s="6">
        <v>18</v>
      </c>
      <c r="I116" s="31" t="s">
        <v>153</v>
      </c>
      <c r="J116" s="31">
        <v>1985</v>
      </c>
      <c r="K116" s="125" t="str">
        <f t="shared" si="51"/>
        <v>$            47.00</v>
      </c>
      <c r="L116" s="35">
        <v>4500</v>
      </c>
      <c r="M116" s="89">
        <f t="shared" ref="M116:M117" si="93">(E116*K116+H116*L116)</f>
        <v>330476</v>
      </c>
      <c r="N116" s="28">
        <v>11392</v>
      </c>
      <c r="O116" s="28">
        <v>4182</v>
      </c>
      <c r="P116" s="61">
        <f t="shared" ref="P116:P117" si="94">M116*(O116/N116)</f>
        <v>121317.64676966293</v>
      </c>
      <c r="Q116" s="171"/>
    </row>
    <row r="117" spans="2:17" s="48" customFormat="1" ht="18" x14ac:dyDescent="0.25">
      <c r="B117" s="8"/>
      <c r="C117" s="12">
        <v>5.6700000000000399</v>
      </c>
      <c r="D117" s="15" t="s">
        <v>250</v>
      </c>
      <c r="E117" s="5">
        <v>1366</v>
      </c>
      <c r="F117" s="5">
        <v>8</v>
      </c>
      <c r="G117" s="5" t="str">
        <f t="shared" si="54"/>
        <v>SDR-35</v>
      </c>
      <c r="H117" s="6">
        <v>11</v>
      </c>
      <c r="I117" s="31" t="s">
        <v>153</v>
      </c>
      <c r="J117" s="31">
        <v>2016</v>
      </c>
      <c r="K117" s="125" t="str">
        <f t="shared" si="51"/>
        <v>$            47.00</v>
      </c>
      <c r="L117" s="35">
        <v>4500</v>
      </c>
      <c r="M117" s="89">
        <f t="shared" si="93"/>
        <v>113702</v>
      </c>
      <c r="N117" s="28">
        <v>11392</v>
      </c>
      <c r="O117" s="28">
        <v>10339</v>
      </c>
      <c r="P117" s="61">
        <f t="shared" si="94"/>
        <v>103192.15045646067</v>
      </c>
      <c r="Q117" s="47"/>
    </row>
    <row r="118" spans="2:17" s="17" customFormat="1" ht="18" x14ac:dyDescent="0.25">
      <c r="B118" s="8"/>
      <c r="C118" s="12">
        <v>5.6700000000000399</v>
      </c>
      <c r="D118" s="15" t="s">
        <v>250</v>
      </c>
      <c r="E118" s="5">
        <v>3207</v>
      </c>
      <c r="F118" s="5">
        <v>8</v>
      </c>
      <c r="G118" s="5" t="str">
        <f t="shared" si="54"/>
        <v>SDR-35</v>
      </c>
      <c r="H118" s="6">
        <v>10</v>
      </c>
      <c r="I118" s="31" t="s">
        <v>155</v>
      </c>
      <c r="J118" s="31">
        <v>2016</v>
      </c>
      <c r="K118" s="125" t="str">
        <f t="shared" si="51"/>
        <v>$          130.00</v>
      </c>
      <c r="L118" s="35">
        <v>4500</v>
      </c>
      <c r="M118" s="89">
        <f t="shared" ref="M118:M205" si="95">(E118*K118+H118*L118)</f>
        <v>461910</v>
      </c>
      <c r="N118" s="28">
        <v>11392</v>
      </c>
      <c r="O118" s="28">
        <v>10339</v>
      </c>
      <c r="P118" s="61">
        <f t="shared" ref="P118:P205" si="96">M118*(O118/N118)</f>
        <v>419214.140625</v>
      </c>
      <c r="Q118" s="47"/>
    </row>
    <row r="119" spans="2:17" s="48" customFormat="1" ht="18" x14ac:dyDescent="0.25">
      <c r="B119" s="8"/>
      <c r="C119" s="12">
        <v>5.6800000000000397</v>
      </c>
      <c r="D119" s="15" t="s">
        <v>251</v>
      </c>
      <c r="E119" s="5">
        <v>6903</v>
      </c>
      <c r="F119" s="5">
        <v>8</v>
      </c>
      <c r="G119" s="5" t="str">
        <f t="shared" si="54"/>
        <v>SDR-35</v>
      </c>
      <c r="H119" s="6">
        <v>46</v>
      </c>
      <c r="I119" s="31" t="s">
        <v>153</v>
      </c>
      <c r="J119" s="31">
        <v>1980</v>
      </c>
      <c r="K119" s="125" t="str">
        <f t="shared" si="51"/>
        <v>$            47.00</v>
      </c>
      <c r="L119" s="35">
        <v>4500</v>
      </c>
      <c r="M119" s="89">
        <f t="shared" ref="M119" si="97">(E119*K119+H119*L119)</f>
        <v>531441</v>
      </c>
      <c r="N119" s="28">
        <v>11392</v>
      </c>
      <c r="O119" s="28">
        <v>3237</v>
      </c>
      <c r="P119" s="61">
        <f t="shared" ref="P119" si="98">M119*(O119/N119)</f>
        <v>151007.24341643258</v>
      </c>
      <c r="Q119" s="171"/>
    </row>
    <row r="120" spans="2:17" s="17" customFormat="1" ht="18" x14ac:dyDescent="0.25">
      <c r="B120" s="8"/>
      <c r="C120" s="12">
        <v>5.6800000000000397</v>
      </c>
      <c r="D120" s="15" t="s">
        <v>251</v>
      </c>
      <c r="E120" s="5">
        <v>50</v>
      </c>
      <c r="F120" s="5">
        <v>8</v>
      </c>
      <c r="G120" s="5" t="str">
        <f t="shared" si="54"/>
        <v>SDR-35</v>
      </c>
      <c r="H120" s="6">
        <v>1</v>
      </c>
      <c r="I120" s="31" t="s">
        <v>155</v>
      </c>
      <c r="J120" s="31">
        <v>1980</v>
      </c>
      <c r="K120" s="125" t="str">
        <f t="shared" si="51"/>
        <v>$          130.00</v>
      </c>
      <c r="L120" s="35">
        <v>4500</v>
      </c>
      <c r="M120" s="89">
        <f t="shared" si="95"/>
        <v>11000</v>
      </c>
      <c r="N120" s="28">
        <v>11392</v>
      </c>
      <c r="O120" s="28">
        <v>3237</v>
      </c>
      <c r="P120" s="61">
        <f t="shared" si="96"/>
        <v>3125.6144662921347</v>
      </c>
      <c r="Q120" s="171"/>
    </row>
    <row r="121" spans="2:17" s="48" customFormat="1" ht="18" x14ac:dyDescent="0.25">
      <c r="B121" s="8"/>
      <c r="C121" s="12">
        <v>5.6900000000000404</v>
      </c>
      <c r="D121" s="15" t="s">
        <v>252</v>
      </c>
      <c r="E121" s="5">
        <f>3975</f>
        <v>3975</v>
      </c>
      <c r="F121" s="5">
        <v>8</v>
      </c>
      <c r="G121" s="5" t="str">
        <f t="shared" si="54"/>
        <v>SDR-35</v>
      </c>
      <c r="H121" s="6">
        <v>25</v>
      </c>
      <c r="I121" s="31" t="s">
        <v>153</v>
      </c>
      <c r="J121" s="31">
        <v>1985</v>
      </c>
      <c r="K121" s="125" t="str">
        <f t="shared" si="51"/>
        <v>$            47.00</v>
      </c>
      <c r="L121" s="35">
        <v>4500</v>
      </c>
      <c r="M121" s="89">
        <f t="shared" ref="M121" si="99">(E121*K121+H121*L121)</f>
        <v>299325</v>
      </c>
      <c r="N121" s="28">
        <v>11392</v>
      </c>
      <c r="O121" s="28">
        <v>4182</v>
      </c>
      <c r="P121" s="61">
        <f t="shared" ref="P121" si="100">M121*(O121/N121)</f>
        <v>109882.12341994382</v>
      </c>
      <c r="Q121" s="171"/>
    </row>
    <row r="122" spans="2:17" s="17" customFormat="1" ht="18" x14ac:dyDescent="0.25">
      <c r="B122" s="8"/>
      <c r="C122" s="12">
        <v>5.6900000000000404</v>
      </c>
      <c r="D122" s="15" t="s">
        <v>252</v>
      </c>
      <c r="E122" s="5">
        <v>50</v>
      </c>
      <c r="F122" s="5">
        <v>8</v>
      </c>
      <c r="G122" s="5" t="str">
        <f t="shared" si="54"/>
        <v>SDR-35</v>
      </c>
      <c r="H122" s="6">
        <v>1</v>
      </c>
      <c r="I122" s="31" t="s">
        <v>155</v>
      </c>
      <c r="J122" s="31">
        <v>1985</v>
      </c>
      <c r="K122" s="125" t="str">
        <f t="shared" si="51"/>
        <v>$          130.00</v>
      </c>
      <c r="L122" s="35">
        <v>4500</v>
      </c>
      <c r="M122" s="89">
        <f t="shared" si="95"/>
        <v>11000</v>
      </c>
      <c r="N122" s="28">
        <v>11392</v>
      </c>
      <c r="O122" s="28">
        <v>4182</v>
      </c>
      <c r="P122" s="61">
        <f t="shared" si="96"/>
        <v>4038.0969101123596</v>
      </c>
      <c r="Q122" s="171"/>
    </row>
    <row r="123" spans="2:17" s="48" customFormat="1" ht="18" x14ac:dyDescent="0.25">
      <c r="B123" s="8"/>
      <c r="C123" s="12">
        <v>5.7000000000000401</v>
      </c>
      <c r="D123" s="15" t="s">
        <v>253</v>
      </c>
      <c r="E123" s="5">
        <f>7707</f>
        <v>7707</v>
      </c>
      <c r="F123" s="5">
        <v>8</v>
      </c>
      <c r="G123" s="5" t="str">
        <f t="shared" si="54"/>
        <v>SDR-35</v>
      </c>
      <c r="H123" s="6">
        <v>51</v>
      </c>
      <c r="I123" s="31" t="s">
        <v>153</v>
      </c>
      <c r="J123" s="31">
        <v>1985</v>
      </c>
      <c r="K123" s="125" t="str">
        <f t="shared" si="51"/>
        <v>$            47.00</v>
      </c>
      <c r="L123" s="35">
        <v>4500</v>
      </c>
      <c r="M123" s="89">
        <f t="shared" ref="M123" si="101">(E123*K123+H123*L123)</f>
        <v>591729</v>
      </c>
      <c r="N123" s="28">
        <v>11392</v>
      </c>
      <c r="O123" s="28">
        <v>4182</v>
      </c>
      <c r="P123" s="61">
        <f t="shared" ref="P123" si="102">M123*(O123/N123)</f>
        <v>217223.54968398876</v>
      </c>
      <c r="Q123" s="171"/>
    </row>
    <row r="124" spans="2:17" s="48" customFormat="1" ht="18" x14ac:dyDescent="0.25">
      <c r="B124" s="8"/>
      <c r="C124" s="12">
        <v>5.7100000000000399</v>
      </c>
      <c r="D124" s="15" t="s">
        <v>254</v>
      </c>
      <c r="E124" s="5">
        <f>3553-100</f>
        <v>3453</v>
      </c>
      <c r="F124" s="5">
        <v>8</v>
      </c>
      <c r="G124" s="5" t="str">
        <f t="shared" si="54"/>
        <v>SDR-35</v>
      </c>
      <c r="H124" s="6">
        <v>17</v>
      </c>
      <c r="I124" s="31" t="s">
        <v>153</v>
      </c>
      <c r="J124" s="31">
        <v>1985</v>
      </c>
      <c r="K124" s="125" t="str">
        <f t="shared" si="51"/>
        <v>$            47.00</v>
      </c>
      <c r="L124" s="35">
        <v>4500</v>
      </c>
      <c r="M124" s="89">
        <f t="shared" ref="M124" si="103">(E124*K124+H124*L124)</f>
        <v>238791</v>
      </c>
      <c r="N124" s="28">
        <v>11392</v>
      </c>
      <c r="O124" s="28">
        <v>4182</v>
      </c>
      <c r="P124" s="61">
        <f t="shared" ref="P124" si="104">M124*(O124/N124)</f>
        <v>87660.109023876401</v>
      </c>
      <c r="Q124" s="171"/>
    </row>
    <row r="125" spans="2:17" s="17" customFormat="1" ht="18" x14ac:dyDescent="0.25">
      <c r="B125" s="8"/>
      <c r="C125" s="12">
        <v>5.7100000000000399</v>
      </c>
      <c r="D125" s="15" t="s">
        <v>254</v>
      </c>
      <c r="E125" s="5">
        <v>100</v>
      </c>
      <c r="F125" s="5">
        <v>8</v>
      </c>
      <c r="G125" s="5" t="str">
        <f t="shared" si="54"/>
        <v>SDR-35</v>
      </c>
      <c r="H125" s="6">
        <v>1</v>
      </c>
      <c r="I125" s="31" t="s">
        <v>155</v>
      </c>
      <c r="J125" s="31">
        <v>1985</v>
      </c>
      <c r="K125" s="125" t="str">
        <f t="shared" si="51"/>
        <v>$          130.00</v>
      </c>
      <c r="L125" s="35">
        <v>4500</v>
      </c>
      <c r="M125" s="89">
        <f t="shared" si="95"/>
        <v>17500</v>
      </c>
      <c r="N125" s="28">
        <v>11392</v>
      </c>
      <c r="O125" s="28">
        <v>4182</v>
      </c>
      <c r="P125" s="61">
        <f t="shared" si="96"/>
        <v>6424.2450842696626</v>
      </c>
      <c r="Q125" s="171"/>
    </row>
    <row r="126" spans="2:17" s="48" customFormat="1" ht="18" x14ac:dyDescent="0.25">
      <c r="B126" s="8"/>
      <c r="C126" s="12">
        <v>5.7200000000000397</v>
      </c>
      <c r="D126" s="15" t="s">
        <v>255</v>
      </c>
      <c r="E126" s="5">
        <f>2523</f>
        <v>2523</v>
      </c>
      <c r="F126" s="5">
        <v>8</v>
      </c>
      <c r="G126" s="5" t="str">
        <f t="shared" si="54"/>
        <v>SDR-35</v>
      </c>
      <c r="H126" s="6">
        <v>11</v>
      </c>
      <c r="I126" s="31" t="s">
        <v>153</v>
      </c>
      <c r="J126" s="31">
        <v>1985</v>
      </c>
      <c r="K126" s="125" t="str">
        <f t="shared" si="51"/>
        <v>$            47.00</v>
      </c>
      <c r="L126" s="35">
        <v>4500</v>
      </c>
      <c r="M126" s="89">
        <f t="shared" ref="M126" si="105">(E126*K126+H126*L126)</f>
        <v>168081</v>
      </c>
      <c r="N126" s="28">
        <v>11392</v>
      </c>
      <c r="O126" s="28">
        <v>4182</v>
      </c>
      <c r="P126" s="61">
        <f t="shared" ref="P126" si="106">M126*(O126/N126)</f>
        <v>61702.487886235955</v>
      </c>
      <c r="Q126" s="171"/>
    </row>
    <row r="127" spans="2:17" s="48" customFormat="1" ht="18" x14ac:dyDescent="0.25">
      <c r="B127" s="8"/>
      <c r="C127" s="12">
        <v>5.7300000000000404</v>
      </c>
      <c r="D127" s="15" t="s">
        <v>256</v>
      </c>
      <c r="E127" s="5">
        <f>4031-356</f>
        <v>3675</v>
      </c>
      <c r="F127" s="5">
        <v>8</v>
      </c>
      <c r="G127" s="5" t="str">
        <f t="shared" si="54"/>
        <v>SDR-35</v>
      </c>
      <c r="H127" s="6">
        <v>23</v>
      </c>
      <c r="I127" s="31" t="s">
        <v>153</v>
      </c>
      <c r="J127" s="31">
        <v>2003</v>
      </c>
      <c r="K127" s="125" t="str">
        <f t="shared" si="51"/>
        <v>$            47.00</v>
      </c>
      <c r="L127" s="35">
        <v>4500</v>
      </c>
      <c r="M127" s="89">
        <f t="shared" ref="M127" si="107">(E127*K127+H127*L127)</f>
        <v>276225</v>
      </c>
      <c r="N127" s="28">
        <v>11392</v>
      </c>
      <c r="O127" s="28">
        <v>6695</v>
      </c>
      <c r="P127" s="61">
        <f t="shared" ref="P127" si="108">M127*(O127/N127)</f>
        <v>162335.53151334269</v>
      </c>
      <c r="Q127" s="171"/>
    </row>
    <row r="128" spans="2:17" s="17" customFormat="1" ht="18" x14ac:dyDescent="0.25">
      <c r="B128" s="8"/>
      <c r="C128" s="12">
        <v>5.7300000000000404</v>
      </c>
      <c r="D128" s="15" t="s">
        <v>256</v>
      </c>
      <c r="E128" s="5">
        <v>356</v>
      </c>
      <c r="F128" s="5">
        <v>8</v>
      </c>
      <c r="G128" s="5" t="str">
        <f t="shared" si="54"/>
        <v>SDR-35</v>
      </c>
      <c r="H128" s="6">
        <v>2</v>
      </c>
      <c r="I128" s="31" t="s">
        <v>155</v>
      </c>
      <c r="J128" s="31">
        <v>2003</v>
      </c>
      <c r="K128" s="125" t="str">
        <f t="shared" si="51"/>
        <v>$          130.00</v>
      </c>
      <c r="L128" s="35">
        <v>4500</v>
      </c>
      <c r="M128" s="89">
        <f t="shared" si="95"/>
        <v>55280</v>
      </c>
      <c r="N128" s="28">
        <v>11392</v>
      </c>
      <c r="O128" s="28">
        <v>6695</v>
      </c>
      <c r="P128" s="61">
        <f t="shared" si="96"/>
        <v>32487.675561797754</v>
      </c>
      <c r="Q128" s="171"/>
    </row>
    <row r="129" spans="2:17" s="17" customFormat="1" ht="18" x14ac:dyDescent="0.25">
      <c r="B129" s="8"/>
      <c r="C129" s="12">
        <v>5.7400000000000402</v>
      </c>
      <c r="D129" s="15" t="s">
        <v>257</v>
      </c>
      <c r="E129" s="5">
        <f>18747</f>
        <v>18747</v>
      </c>
      <c r="F129" s="5">
        <v>8</v>
      </c>
      <c r="G129" s="5" t="str">
        <f t="shared" si="54"/>
        <v>SDR-35</v>
      </c>
      <c r="H129" s="6">
        <v>92</v>
      </c>
      <c r="I129" s="31" t="s">
        <v>153</v>
      </c>
      <c r="J129" s="31">
        <v>1996</v>
      </c>
      <c r="K129" s="125" t="str">
        <f t="shared" si="51"/>
        <v>$            47.00</v>
      </c>
      <c r="L129" s="35">
        <v>4500</v>
      </c>
      <c r="M129" s="89">
        <f t="shared" si="95"/>
        <v>1295109</v>
      </c>
      <c r="N129" s="28">
        <v>11392</v>
      </c>
      <c r="O129" s="28">
        <v>5620</v>
      </c>
      <c r="P129" s="61">
        <f t="shared" si="96"/>
        <v>638914.37675561791</v>
      </c>
      <c r="Q129" s="171"/>
    </row>
    <row r="130" spans="2:17" s="17" customFormat="1" ht="18" x14ac:dyDescent="0.25">
      <c r="B130" s="8"/>
      <c r="C130" s="12">
        <v>5.75000000000004</v>
      </c>
      <c r="D130" s="15" t="s">
        <v>258</v>
      </c>
      <c r="E130" s="5">
        <f>3182</f>
        <v>3182</v>
      </c>
      <c r="F130" s="5">
        <v>8</v>
      </c>
      <c r="G130" s="5" t="str">
        <f t="shared" si="54"/>
        <v>SDR-35</v>
      </c>
      <c r="H130" s="6">
        <v>14</v>
      </c>
      <c r="I130" s="31" t="s">
        <v>153</v>
      </c>
      <c r="J130" s="31">
        <v>1990</v>
      </c>
      <c r="K130" s="125" t="str">
        <f t="shared" si="51"/>
        <v>$            47.00</v>
      </c>
      <c r="L130" s="35">
        <v>4500</v>
      </c>
      <c r="M130" s="89">
        <f t="shared" si="95"/>
        <v>212554</v>
      </c>
      <c r="N130" s="28">
        <v>11392</v>
      </c>
      <c r="O130" s="28">
        <v>4732</v>
      </c>
      <c r="P130" s="61">
        <f t="shared" si="96"/>
        <v>88290.51334269662</v>
      </c>
      <c r="Q130" s="171"/>
    </row>
    <row r="131" spans="2:17" s="17" customFormat="1" ht="18" x14ac:dyDescent="0.25">
      <c r="B131" s="8"/>
      <c r="C131" s="12">
        <v>5.7600000000000398</v>
      </c>
      <c r="D131" s="15" t="s">
        <v>259</v>
      </c>
      <c r="E131" s="5">
        <v>3240</v>
      </c>
      <c r="F131" s="5">
        <v>8</v>
      </c>
      <c r="G131" s="5" t="str">
        <f t="shared" si="54"/>
        <v>SDR-35</v>
      </c>
      <c r="H131" s="6">
        <v>17</v>
      </c>
      <c r="I131" s="31" t="s">
        <v>153</v>
      </c>
      <c r="J131" s="31">
        <v>1997</v>
      </c>
      <c r="K131" s="125" t="str">
        <f t="shared" si="51"/>
        <v>$            47.00</v>
      </c>
      <c r="L131" s="35">
        <v>4500</v>
      </c>
      <c r="M131" s="89">
        <f t="shared" si="95"/>
        <v>228780</v>
      </c>
      <c r="N131" s="28">
        <v>11392</v>
      </c>
      <c r="O131" s="28">
        <v>5826</v>
      </c>
      <c r="P131" s="61">
        <f t="shared" si="96"/>
        <v>117000.72682584271</v>
      </c>
      <c r="Q131" s="171"/>
    </row>
    <row r="132" spans="2:17" s="48" customFormat="1" ht="18" x14ac:dyDescent="0.25">
      <c r="B132" s="8"/>
      <c r="C132" s="12">
        <v>5.7700000000000404</v>
      </c>
      <c r="D132" s="15" t="s">
        <v>260</v>
      </c>
      <c r="E132" s="5">
        <f>2174-204</f>
        <v>1970</v>
      </c>
      <c r="F132" s="5">
        <v>8</v>
      </c>
      <c r="G132" s="5" t="str">
        <f t="shared" si="54"/>
        <v>SDR-35</v>
      </c>
      <c r="H132" s="6">
        <v>12</v>
      </c>
      <c r="I132" s="31" t="s">
        <v>153</v>
      </c>
      <c r="J132" s="31">
        <v>2003</v>
      </c>
      <c r="K132" s="125" t="str">
        <f t="shared" si="51"/>
        <v>$            47.00</v>
      </c>
      <c r="L132" s="35">
        <v>4500</v>
      </c>
      <c r="M132" s="89">
        <f t="shared" ref="M132" si="109">(E132*K132+H132*L132)</f>
        <v>146590</v>
      </c>
      <c r="N132" s="28">
        <v>11392</v>
      </c>
      <c r="O132" s="28">
        <v>6695</v>
      </c>
      <c r="P132" s="61">
        <f t="shared" ref="P132" si="110">M132*(O132/N132)</f>
        <v>86149.934164325838</v>
      </c>
      <c r="Q132" s="171"/>
    </row>
    <row r="133" spans="2:17" s="17" customFormat="1" ht="18" x14ac:dyDescent="0.25">
      <c r="B133" s="8"/>
      <c r="C133" s="12">
        <v>5.7700000000000404</v>
      </c>
      <c r="D133" s="15" t="s">
        <v>260</v>
      </c>
      <c r="E133" s="5">
        <v>204</v>
      </c>
      <c r="F133" s="5">
        <v>8</v>
      </c>
      <c r="G133" s="5" t="str">
        <f t="shared" si="54"/>
        <v>SDR-35</v>
      </c>
      <c r="H133" s="6">
        <v>3</v>
      </c>
      <c r="I133" s="31" t="s">
        <v>155</v>
      </c>
      <c r="J133" s="31">
        <v>2003</v>
      </c>
      <c r="K133" s="125" t="str">
        <f t="shared" si="51"/>
        <v>$          130.00</v>
      </c>
      <c r="L133" s="35">
        <v>4500</v>
      </c>
      <c r="M133" s="89">
        <f t="shared" si="95"/>
        <v>40020</v>
      </c>
      <c r="N133" s="28">
        <v>11392</v>
      </c>
      <c r="O133" s="28">
        <v>6695</v>
      </c>
      <c r="P133" s="61">
        <f t="shared" si="96"/>
        <v>23519.478581460673</v>
      </c>
      <c r="Q133" s="171"/>
    </row>
    <row r="134" spans="2:17" s="48" customFormat="1" ht="18" x14ac:dyDescent="0.25">
      <c r="B134" s="8"/>
      <c r="C134" s="12">
        <v>5.78000000000005</v>
      </c>
      <c r="D134" s="15" t="s">
        <v>261</v>
      </c>
      <c r="E134" s="5">
        <f>2173</f>
        <v>2173</v>
      </c>
      <c r="F134" s="5">
        <v>8</v>
      </c>
      <c r="G134" s="5" t="str">
        <f t="shared" si="54"/>
        <v>SDR-35</v>
      </c>
      <c r="H134" s="6">
        <v>14</v>
      </c>
      <c r="I134" s="31" t="s">
        <v>153</v>
      </c>
      <c r="J134" s="31">
        <v>2002</v>
      </c>
      <c r="K134" s="125" t="str">
        <f t="shared" si="51"/>
        <v>$            47.00</v>
      </c>
      <c r="L134" s="35">
        <v>4500</v>
      </c>
      <c r="M134" s="89">
        <f t="shared" ref="M134" si="111">(E134*K134+H134*L134)</f>
        <v>165131</v>
      </c>
      <c r="N134" s="28">
        <v>11392</v>
      </c>
      <c r="O134" s="28">
        <v>6538</v>
      </c>
      <c r="P134" s="61">
        <f t="shared" ref="P134" si="112">M134*(O134/N134)</f>
        <v>94770.582689606745</v>
      </c>
      <c r="Q134" s="171"/>
    </row>
    <row r="135" spans="2:17" s="17" customFormat="1" ht="18" x14ac:dyDescent="0.25">
      <c r="B135" s="8"/>
      <c r="C135" s="12">
        <v>5.78000000000005</v>
      </c>
      <c r="D135" s="15" t="s">
        <v>261</v>
      </c>
      <c r="E135" s="5">
        <v>332</v>
      </c>
      <c r="F135" s="5">
        <v>8</v>
      </c>
      <c r="G135" s="5" t="str">
        <f t="shared" si="54"/>
        <v>SDR-35</v>
      </c>
      <c r="H135" s="6">
        <v>2</v>
      </c>
      <c r="I135" s="31" t="s">
        <v>155</v>
      </c>
      <c r="J135" s="31">
        <v>2002</v>
      </c>
      <c r="K135" s="125" t="str">
        <f t="shared" si="51"/>
        <v>$          130.00</v>
      </c>
      <c r="L135" s="35">
        <v>4500</v>
      </c>
      <c r="M135" s="89">
        <f t="shared" si="95"/>
        <v>52160</v>
      </c>
      <c r="N135" s="28">
        <v>11392</v>
      </c>
      <c r="O135" s="28">
        <v>6538</v>
      </c>
      <c r="P135" s="61">
        <f t="shared" si="96"/>
        <v>29935.224719101123</v>
      </c>
      <c r="Q135" s="171"/>
    </row>
    <row r="136" spans="2:17" s="17" customFormat="1" ht="18.75" thickBot="1" x14ac:dyDescent="0.3">
      <c r="B136" s="121"/>
      <c r="C136" s="62">
        <v>5.7900000000000498</v>
      </c>
      <c r="D136" s="16" t="s">
        <v>262</v>
      </c>
      <c r="E136" s="11">
        <f>12974</f>
        <v>12974</v>
      </c>
      <c r="F136" s="11">
        <v>8</v>
      </c>
      <c r="G136" s="5" t="str">
        <f t="shared" si="54"/>
        <v>SDR-35</v>
      </c>
      <c r="H136" s="37">
        <v>63</v>
      </c>
      <c r="I136" s="65" t="s">
        <v>153</v>
      </c>
      <c r="J136" s="65">
        <v>1999</v>
      </c>
      <c r="K136" s="147" t="str">
        <f t="shared" si="51"/>
        <v>$            47.00</v>
      </c>
      <c r="L136" s="87">
        <v>4500</v>
      </c>
      <c r="M136" s="91">
        <f t="shared" si="95"/>
        <v>893278</v>
      </c>
      <c r="N136" s="38">
        <v>11392</v>
      </c>
      <c r="O136" s="38">
        <v>6059</v>
      </c>
      <c r="P136" s="64">
        <f t="shared" si="96"/>
        <v>475102.8267205056</v>
      </c>
      <c r="Q136" s="171"/>
    </row>
    <row r="137" spans="2:17" s="17" customFormat="1" ht="18" x14ac:dyDescent="0.25">
      <c r="B137" s="122"/>
      <c r="C137" s="100">
        <v>5.8000000000000496</v>
      </c>
      <c r="D137" s="101" t="s">
        <v>263</v>
      </c>
      <c r="E137" s="102">
        <v>1141</v>
      </c>
      <c r="F137" s="102">
        <v>8</v>
      </c>
      <c r="G137" s="5" t="str">
        <f t="shared" si="54"/>
        <v>SDR-35</v>
      </c>
      <c r="H137" s="103">
        <v>9</v>
      </c>
      <c r="I137" s="104" t="s">
        <v>153</v>
      </c>
      <c r="J137" s="104">
        <v>2003</v>
      </c>
      <c r="K137" s="150" t="str">
        <f t="shared" si="51"/>
        <v>$            47.00</v>
      </c>
      <c r="L137" s="105">
        <v>4500</v>
      </c>
      <c r="M137" s="106">
        <f t="shared" si="95"/>
        <v>94127</v>
      </c>
      <c r="N137" s="107">
        <v>11392</v>
      </c>
      <c r="O137" s="107">
        <v>6695</v>
      </c>
      <c r="P137" s="108">
        <f t="shared" si="96"/>
        <v>55317.79011587079</v>
      </c>
      <c r="Q137" s="171"/>
    </row>
    <row r="138" spans="2:17" s="48" customFormat="1" ht="18" x14ac:dyDescent="0.25">
      <c r="B138" s="8"/>
      <c r="C138" s="12">
        <v>5.8100000000000502</v>
      </c>
      <c r="D138" s="15" t="s">
        <v>264</v>
      </c>
      <c r="E138" s="5">
        <v>16651</v>
      </c>
      <c r="F138" s="5">
        <v>8</v>
      </c>
      <c r="G138" s="5" t="str">
        <f t="shared" si="54"/>
        <v>SDR-35</v>
      </c>
      <c r="H138" s="6">
        <v>97</v>
      </c>
      <c r="I138" s="31" t="s">
        <v>153</v>
      </c>
      <c r="J138" s="31">
        <v>2014</v>
      </c>
      <c r="K138" s="125" t="str">
        <f t="shared" si="51"/>
        <v>$            47.00</v>
      </c>
      <c r="L138" s="35">
        <v>4500</v>
      </c>
      <c r="M138" s="89">
        <f t="shared" ref="M138" si="113">(E138*K138+H138*L138)</f>
        <v>1219097</v>
      </c>
      <c r="N138" s="28">
        <v>11392</v>
      </c>
      <c r="O138" s="28">
        <v>9806</v>
      </c>
      <c r="P138" s="61">
        <f t="shared" ref="P138" si="114">M138*(O138/N138)</f>
        <v>1049373.6992626404</v>
      </c>
      <c r="Q138" s="29"/>
    </row>
    <row r="139" spans="2:17" s="48" customFormat="1" ht="18" x14ac:dyDescent="0.25">
      <c r="B139" s="8"/>
      <c r="C139" s="12">
        <v>5.82000000000005</v>
      </c>
      <c r="D139" s="15" t="s">
        <v>265</v>
      </c>
      <c r="E139" s="5">
        <f>4570</f>
        <v>4570</v>
      </c>
      <c r="F139" s="5">
        <v>8</v>
      </c>
      <c r="G139" s="5" t="str">
        <f t="shared" si="54"/>
        <v>SDR-35</v>
      </c>
      <c r="H139" s="6">
        <v>31</v>
      </c>
      <c r="I139" s="31" t="s">
        <v>153</v>
      </c>
      <c r="J139" s="31">
        <v>1985</v>
      </c>
      <c r="K139" s="125" t="str">
        <f t="shared" ref="K139:K202" si="115">IF(I139="In Road",(IF(J139&lt;1980,"$          140.00","$          130.00")),(IF(J139&lt;1980,"$            57.00","$            47.00")))</f>
        <v>$            47.00</v>
      </c>
      <c r="L139" s="35">
        <v>4500</v>
      </c>
      <c r="M139" s="89">
        <f t="shared" ref="M139" si="116">(E139*K139+H139*L139)</f>
        <v>354290</v>
      </c>
      <c r="N139" s="28">
        <v>11392</v>
      </c>
      <c r="O139" s="28">
        <v>4182</v>
      </c>
      <c r="P139" s="61">
        <f t="shared" ref="P139" si="117">M139*(O139/N139)</f>
        <v>130059.75948033707</v>
      </c>
      <c r="Q139" s="171"/>
    </row>
    <row r="140" spans="2:17" s="17" customFormat="1" ht="18" x14ac:dyDescent="0.25">
      <c r="B140" s="8"/>
      <c r="C140" s="12">
        <v>5.82000000000005</v>
      </c>
      <c r="D140" s="15" t="s">
        <v>265</v>
      </c>
      <c r="E140" s="5">
        <v>758</v>
      </c>
      <c r="F140" s="5">
        <v>5</v>
      </c>
      <c r="G140" s="5" t="str">
        <f t="shared" si="54"/>
        <v>SDR-35</v>
      </c>
      <c r="H140" s="6">
        <v>31</v>
      </c>
      <c r="I140" s="31" t="s">
        <v>155</v>
      </c>
      <c r="J140" s="31">
        <v>1985</v>
      </c>
      <c r="K140" s="125" t="str">
        <f t="shared" si="115"/>
        <v>$          130.00</v>
      </c>
      <c r="L140" s="35">
        <v>4500</v>
      </c>
      <c r="M140" s="89">
        <f t="shared" si="95"/>
        <v>238040</v>
      </c>
      <c r="N140" s="28">
        <v>11392</v>
      </c>
      <c r="O140" s="28">
        <v>4182</v>
      </c>
      <c r="P140" s="61">
        <f t="shared" si="96"/>
        <v>87384.417134831456</v>
      </c>
      <c r="Q140" s="171"/>
    </row>
    <row r="141" spans="2:17" s="17" customFormat="1" ht="18" x14ac:dyDescent="0.25">
      <c r="B141" s="8"/>
      <c r="C141" s="12">
        <v>5.8300000000000498</v>
      </c>
      <c r="D141" s="15" t="s">
        <v>266</v>
      </c>
      <c r="E141" s="5">
        <v>8599</v>
      </c>
      <c r="F141" s="5">
        <v>8</v>
      </c>
      <c r="G141" s="5" t="str">
        <f t="shared" ref="G141:G204" si="118">IF(J141&lt;1980, "VCP","SDR-35")</f>
        <v>SDR-35</v>
      </c>
      <c r="H141" s="6">
        <v>42</v>
      </c>
      <c r="I141" s="31" t="s">
        <v>153</v>
      </c>
      <c r="J141" s="31">
        <v>1985</v>
      </c>
      <c r="K141" s="125" t="str">
        <f t="shared" si="115"/>
        <v>$            47.00</v>
      </c>
      <c r="L141" s="35">
        <v>4500</v>
      </c>
      <c r="M141" s="89">
        <f t="shared" si="95"/>
        <v>593153</v>
      </c>
      <c r="N141" s="28">
        <v>11392</v>
      </c>
      <c r="O141" s="28">
        <v>4182</v>
      </c>
      <c r="P141" s="61">
        <f t="shared" si="96"/>
        <v>217746.29968398876</v>
      </c>
      <c r="Q141" s="171"/>
    </row>
    <row r="142" spans="2:17" s="17" customFormat="1" ht="18" x14ac:dyDescent="0.25">
      <c r="B142" s="8"/>
      <c r="C142" s="12">
        <v>5.8400000000000496</v>
      </c>
      <c r="D142" s="15" t="s">
        <v>267</v>
      </c>
      <c r="E142" s="5">
        <f>3010-1335</f>
        <v>1675</v>
      </c>
      <c r="F142" s="5">
        <v>8</v>
      </c>
      <c r="G142" s="5" t="str">
        <f t="shared" si="118"/>
        <v>SDR-35</v>
      </c>
      <c r="H142" s="6">
        <v>14</v>
      </c>
      <c r="I142" s="31" t="s">
        <v>153</v>
      </c>
      <c r="J142" s="31">
        <v>1985</v>
      </c>
      <c r="K142" s="125" t="str">
        <f t="shared" si="115"/>
        <v>$            47.00</v>
      </c>
      <c r="L142" s="35">
        <v>4500</v>
      </c>
      <c r="M142" s="89">
        <f t="shared" si="95"/>
        <v>141725</v>
      </c>
      <c r="N142" s="28">
        <v>11392</v>
      </c>
      <c r="O142" s="28">
        <v>4182</v>
      </c>
      <c r="P142" s="61">
        <f t="shared" si="96"/>
        <v>52027.207689606745</v>
      </c>
      <c r="Q142" s="171"/>
    </row>
    <row r="143" spans="2:17" s="48" customFormat="1" ht="18" x14ac:dyDescent="0.25">
      <c r="B143" s="8"/>
      <c r="C143" s="12">
        <v>5.8400000000000496</v>
      </c>
      <c r="D143" s="15" t="s">
        <v>267</v>
      </c>
      <c r="E143" s="5">
        <v>1335</v>
      </c>
      <c r="F143" s="5">
        <v>8</v>
      </c>
      <c r="G143" s="5" t="str">
        <f t="shared" si="118"/>
        <v>SDR-35</v>
      </c>
      <c r="H143" s="6">
        <v>7</v>
      </c>
      <c r="I143" s="31" t="s">
        <v>153</v>
      </c>
      <c r="J143" s="31">
        <v>1985</v>
      </c>
      <c r="K143" s="125" t="str">
        <f t="shared" si="115"/>
        <v>$            47.00</v>
      </c>
      <c r="L143" s="35">
        <v>4500</v>
      </c>
      <c r="M143" s="89">
        <f t="shared" ref="M143" si="119">(E143*K143+H143*L143)</f>
        <v>94245</v>
      </c>
      <c r="N143" s="28">
        <v>11392</v>
      </c>
      <c r="O143" s="28">
        <v>4182</v>
      </c>
      <c r="P143" s="61">
        <f t="shared" ref="P143" si="120">M143*(O143/N143)</f>
        <v>34597.313026685391</v>
      </c>
      <c r="Q143" s="171"/>
    </row>
    <row r="144" spans="2:17" s="17" customFormat="1" ht="18" x14ac:dyDescent="0.25">
      <c r="B144" s="8"/>
      <c r="C144" s="12">
        <v>5.8500000000000503</v>
      </c>
      <c r="D144" s="15" t="s">
        <v>268</v>
      </c>
      <c r="E144" s="5">
        <f>3605-294</f>
        <v>3311</v>
      </c>
      <c r="F144" s="5">
        <v>8</v>
      </c>
      <c r="G144" s="5" t="str">
        <f t="shared" si="118"/>
        <v>SDR-35</v>
      </c>
      <c r="H144" s="6">
        <v>21</v>
      </c>
      <c r="I144" s="31" t="s">
        <v>153</v>
      </c>
      <c r="J144" s="31">
        <v>2004</v>
      </c>
      <c r="K144" s="125" t="str">
        <f t="shared" si="115"/>
        <v>$            47.00</v>
      </c>
      <c r="L144" s="35">
        <v>4500</v>
      </c>
      <c r="M144" s="89">
        <f t="shared" si="95"/>
        <v>250117</v>
      </c>
      <c r="N144" s="28">
        <v>11392</v>
      </c>
      <c r="O144" s="28">
        <v>7115</v>
      </c>
      <c r="P144" s="61">
        <f t="shared" si="96"/>
        <v>156213.34752457865</v>
      </c>
      <c r="Q144" s="171"/>
    </row>
    <row r="145" spans="2:16" s="48" customFormat="1" ht="18" x14ac:dyDescent="0.25">
      <c r="B145" s="8"/>
      <c r="C145" s="12">
        <v>5.8500000000000503</v>
      </c>
      <c r="D145" s="15" t="s">
        <v>268</v>
      </c>
      <c r="E145" s="5">
        <v>294</v>
      </c>
      <c r="F145" s="5">
        <v>8</v>
      </c>
      <c r="G145" s="5" t="str">
        <f t="shared" si="118"/>
        <v>SDR-35</v>
      </c>
      <c r="H145" s="6">
        <v>2</v>
      </c>
      <c r="I145" s="31" t="s">
        <v>155</v>
      </c>
      <c r="J145" s="31">
        <v>2004</v>
      </c>
      <c r="K145" s="125" t="str">
        <f t="shared" si="115"/>
        <v>$          130.00</v>
      </c>
      <c r="L145" s="35">
        <v>4500</v>
      </c>
      <c r="M145" s="89">
        <f t="shared" ref="M145:M146" si="121">(E145*K145+H145*L145)</f>
        <v>47220</v>
      </c>
      <c r="N145" s="28">
        <v>11392</v>
      </c>
      <c r="O145" s="28">
        <v>7115</v>
      </c>
      <c r="P145" s="61">
        <f t="shared" ref="P145:P146" si="122">M145*(O145/N145)</f>
        <v>29491.774929775282</v>
      </c>
    </row>
    <row r="146" spans="2:16" s="48" customFormat="1" ht="18" x14ac:dyDescent="0.25">
      <c r="B146" s="8"/>
      <c r="C146" s="12">
        <v>5.8600000000000501</v>
      </c>
      <c r="D146" s="15" t="s">
        <v>269</v>
      </c>
      <c r="E146" s="5">
        <v>13456</v>
      </c>
      <c r="F146" s="5">
        <v>8</v>
      </c>
      <c r="G146" s="5" t="str">
        <f t="shared" si="118"/>
        <v>SDR-35</v>
      </c>
      <c r="H146" s="6">
        <v>48</v>
      </c>
      <c r="I146" s="31" t="s">
        <v>153</v>
      </c>
      <c r="J146" s="31">
        <v>1982</v>
      </c>
      <c r="K146" s="125" t="str">
        <f t="shared" si="115"/>
        <v>$            47.00</v>
      </c>
      <c r="L146" s="35">
        <v>4500</v>
      </c>
      <c r="M146" s="89">
        <f t="shared" si="121"/>
        <v>848432</v>
      </c>
      <c r="N146" s="28">
        <v>11392</v>
      </c>
      <c r="O146" s="28">
        <v>3825</v>
      </c>
      <c r="P146" s="61">
        <f t="shared" si="122"/>
        <v>284871.17275280901</v>
      </c>
    </row>
    <row r="147" spans="2:16" s="17" customFormat="1" ht="18" x14ac:dyDescent="0.25">
      <c r="B147" s="8"/>
      <c r="C147" s="12">
        <v>5.8700000000000498</v>
      </c>
      <c r="D147" s="15" t="s">
        <v>270</v>
      </c>
      <c r="E147" s="5">
        <f>4409</f>
        <v>4409</v>
      </c>
      <c r="F147" s="5">
        <v>8</v>
      </c>
      <c r="G147" s="5" t="str">
        <f t="shared" si="118"/>
        <v>SDR-35</v>
      </c>
      <c r="H147" s="6">
        <v>29</v>
      </c>
      <c r="I147" s="31" t="s">
        <v>153</v>
      </c>
      <c r="J147" s="31">
        <v>1985</v>
      </c>
      <c r="K147" s="125" t="str">
        <f t="shared" si="115"/>
        <v>$            47.00</v>
      </c>
      <c r="L147" s="35">
        <v>4500</v>
      </c>
      <c r="M147" s="89">
        <f t="shared" si="95"/>
        <v>337723</v>
      </c>
      <c r="N147" s="28">
        <v>11392</v>
      </c>
      <c r="O147" s="28">
        <v>4182</v>
      </c>
      <c r="P147" s="61">
        <f t="shared" si="96"/>
        <v>123978.01843398876</v>
      </c>
    </row>
    <row r="148" spans="2:16" s="17" customFormat="1" ht="18" x14ac:dyDescent="0.25">
      <c r="B148" s="8"/>
      <c r="C148" s="12">
        <v>5.8800000000000496</v>
      </c>
      <c r="D148" s="15" t="s">
        <v>271</v>
      </c>
      <c r="E148" s="5">
        <f>5427</f>
        <v>5427</v>
      </c>
      <c r="F148" s="5">
        <v>8</v>
      </c>
      <c r="G148" s="5" t="str">
        <f t="shared" si="118"/>
        <v>VCP</v>
      </c>
      <c r="H148" s="6">
        <v>26</v>
      </c>
      <c r="I148" s="31" t="s">
        <v>153</v>
      </c>
      <c r="J148" s="31">
        <v>1970</v>
      </c>
      <c r="K148" s="125" t="str">
        <f t="shared" si="115"/>
        <v>$            57.00</v>
      </c>
      <c r="L148" s="35">
        <v>4500</v>
      </c>
      <c r="M148" s="89">
        <f t="shared" si="95"/>
        <v>426339</v>
      </c>
      <c r="N148" s="28">
        <v>11392</v>
      </c>
      <c r="O148" s="28">
        <v>1381</v>
      </c>
      <c r="P148" s="61">
        <f t="shared" si="96"/>
        <v>51683.1249122191</v>
      </c>
    </row>
    <row r="149" spans="2:16" s="17" customFormat="1" ht="18" x14ac:dyDescent="0.25">
      <c r="B149" s="8"/>
      <c r="C149" s="12">
        <v>5.8900000000000503</v>
      </c>
      <c r="D149" s="15" t="s">
        <v>272</v>
      </c>
      <c r="E149" s="5">
        <v>2883</v>
      </c>
      <c r="F149" s="5">
        <v>8</v>
      </c>
      <c r="G149" s="5" t="str">
        <f t="shared" si="118"/>
        <v>SDR-35</v>
      </c>
      <c r="H149" s="6">
        <v>13</v>
      </c>
      <c r="I149" s="31" t="s">
        <v>153</v>
      </c>
      <c r="J149" s="31">
        <v>1994</v>
      </c>
      <c r="K149" s="125" t="str">
        <f t="shared" si="115"/>
        <v>$            47.00</v>
      </c>
      <c r="L149" s="35">
        <v>4500</v>
      </c>
      <c r="M149" s="89">
        <f t="shared" si="95"/>
        <v>194001</v>
      </c>
      <c r="N149" s="28">
        <v>11392</v>
      </c>
      <c r="O149" s="28">
        <v>5408</v>
      </c>
      <c r="P149" s="61">
        <f t="shared" si="96"/>
        <v>92095.980337078654</v>
      </c>
    </row>
    <row r="150" spans="2:16" s="17" customFormat="1" ht="18" x14ac:dyDescent="0.25">
      <c r="B150" s="8"/>
      <c r="C150" s="12">
        <v>5.9000000000000501</v>
      </c>
      <c r="D150" s="15" t="s">
        <v>273</v>
      </c>
      <c r="E150" s="5">
        <v>1284</v>
      </c>
      <c r="F150" s="5">
        <v>8</v>
      </c>
      <c r="G150" s="5" t="str">
        <f t="shared" si="118"/>
        <v>SDR-35</v>
      </c>
      <c r="H150" s="6">
        <v>7</v>
      </c>
      <c r="I150" s="31" t="s">
        <v>153</v>
      </c>
      <c r="J150" s="31">
        <v>1994</v>
      </c>
      <c r="K150" s="125" t="str">
        <f t="shared" si="115"/>
        <v>$            47.00</v>
      </c>
      <c r="L150" s="35">
        <v>4500</v>
      </c>
      <c r="M150" s="89">
        <f t="shared" si="95"/>
        <v>91848</v>
      </c>
      <c r="N150" s="28">
        <v>11392</v>
      </c>
      <c r="O150" s="28">
        <v>5408</v>
      </c>
      <c r="P150" s="61">
        <f t="shared" si="96"/>
        <v>43602</v>
      </c>
    </row>
    <row r="151" spans="2:16" s="17" customFormat="1" ht="18" x14ac:dyDescent="0.25">
      <c r="B151" s="8"/>
      <c r="C151" s="12">
        <v>5.9100000000000499</v>
      </c>
      <c r="D151" s="15" t="s">
        <v>274</v>
      </c>
      <c r="E151" s="5">
        <v>2904</v>
      </c>
      <c r="F151" s="5">
        <v>8</v>
      </c>
      <c r="G151" s="5" t="str">
        <f t="shared" si="118"/>
        <v>SDR-35</v>
      </c>
      <c r="H151" s="6">
        <v>19</v>
      </c>
      <c r="I151" s="31" t="s">
        <v>153</v>
      </c>
      <c r="J151" s="31">
        <v>2005</v>
      </c>
      <c r="K151" s="125" t="str">
        <f t="shared" si="115"/>
        <v>$            47.00</v>
      </c>
      <c r="L151" s="35">
        <v>4500</v>
      </c>
      <c r="M151" s="89">
        <f t="shared" si="95"/>
        <v>221988</v>
      </c>
      <c r="N151" s="28">
        <v>11392</v>
      </c>
      <c r="O151" s="28">
        <v>7446</v>
      </c>
      <c r="P151" s="61">
        <f t="shared" si="96"/>
        <v>145095.03581460676</v>
      </c>
    </row>
    <row r="152" spans="2:16" s="48" customFormat="1" ht="18" x14ac:dyDescent="0.25">
      <c r="B152" s="8"/>
      <c r="C152" s="12">
        <v>5.9100000000000499</v>
      </c>
      <c r="D152" s="15" t="s">
        <v>274</v>
      </c>
      <c r="E152" s="5">
        <v>50</v>
      </c>
      <c r="F152" s="5">
        <v>8</v>
      </c>
      <c r="G152" s="5" t="str">
        <f t="shared" si="118"/>
        <v>SDR-35</v>
      </c>
      <c r="H152" s="6">
        <v>0</v>
      </c>
      <c r="I152" s="31" t="s">
        <v>155</v>
      </c>
      <c r="J152" s="31">
        <v>2005</v>
      </c>
      <c r="K152" s="125" t="str">
        <f t="shared" si="115"/>
        <v>$          130.00</v>
      </c>
      <c r="L152" s="35">
        <v>4500</v>
      </c>
      <c r="M152" s="89">
        <f t="shared" ref="M152" si="123">(E152*K152+H152*L152)</f>
        <v>6500</v>
      </c>
      <c r="N152" s="28">
        <v>11392</v>
      </c>
      <c r="O152" s="28">
        <v>7446</v>
      </c>
      <c r="P152" s="61">
        <f t="shared" ref="P152" si="124">M152*(O152/N152)</f>
        <v>4248.5077247191011</v>
      </c>
    </row>
    <row r="153" spans="2:16" s="17" customFormat="1" ht="18" x14ac:dyDescent="0.25">
      <c r="B153" s="8"/>
      <c r="C153" s="12">
        <v>5.9200000000000497</v>
      </c>
      <c r="D153" s="15" t="s">
        <v>275</v>
      </c>
      <c r="E153" s="5">
        <v>4231</v>
      </c>
      <c r="F153" s="5">
        <v>8</v>
      </c>
      <c r="G153" s="5" t="str">
        <f t="shared" si="118"/>
        <v>SDR-35</v>
      </c>
      <c r="H153" s="6">
        <v>21</v>
      </c>
      <c r="I153" s="31" t="s">
        <v>153</v>
      </c>
      <c r="J153" s="31">
        <v>2003</v>
      </c>
      <c r="K153" s="125" t="str">
        <f t="shared" si="115"/>
        <v>$            47.00</v>
      </c>
      <c r="L153" s="35">
        <v>4500</v>
      </c>
      <c r="M153" s="89">
        <f t="shared" si="95"/>
        <v>293357</v>
      </c>
      <c r="N153" s="28">
        <v>11392</v>
      </c>
      <c r="O153" s="28">
        <v>6695</v>
      </c>
      <c r="P153" s="61">
        <f t="shared" si="96"/>
        <v>172403.89001053371</v>
      </c>
    </row>
    <row r="154" spans="2:16" s="48" customFormat="1" ht="18" x14ac:dyDescent="0.25">
      <c r="B154" s="8"/>
      <c r="C154" s="12">
        <v>5.9300000000000601</v>
      </c>
      <c r="D154" s="15" t="s">
        <v>276</v>
      </c>
      <c r="E154" s="5">
        <f>5206-674</f>
        <v>4532</v>
      </c>
      <c r="F154" s="5">
        <v>8</v>
      </c>
      <c r="G154" s="5" t="str">
        <f t="shared" si="118"/>
        <v>SDR-35</v>
      </c>
      <c r="H154" s="6">
        <v>18</v>
      </c>
      <c r="I154" s="31" t="s">
        <v>153</v>
      </c>
      <c r="J154" s="31">
        <v>1995</v>
      </c>
      <c r="K154" s="125" t="str">
        <f t="shared" si="115"/>
        <v>$            47.00</v>
      </c>
      <c r="L154" s="35">
        <v>4500</v>
      </c>
      <c r="M154" s="89">
        <f t="shared" ref="M154" si="125">(E154*K154+H154*L154)</f>
        <v>294004</v>
      </c>
      <c r="N154" s="28">
        <v>11392</v>
      </c>
      <c r="O154" s="28">
        <v>5471</v>
      </c>
      <c r="P154" s="61">
        <f t="shared" ref="P154" si="126">M154*(O154/N154)</f>
        <v>141195.21453651687</v>
      </c>
    </row>
    <row r="155" spans="2:16" s="17" customFormat="1" ht="18" x14ac:dyDescent="0.25">
      <c r="B155" s="8"/>
      <c r="C155" s="12">
        <v>5.9300000000000601</v>
      </c>
      <c r="D155" s="15" t="s">
        <v>276</v>
      </c>
      <c r="E155" s="5">
        <v>674</v>
      </c>
      <c r="F155" s="5">
        <v>8</v>
      </c>
      <c r="G155" s="5" t="str">
        <f t="shared" si="118"/>
        <v>SDR-35</v>
      </c>
      <c r="H155" s="6">
        <v>5</v>
      </c>
      <c r="I155" s="31" t="s">
        <v>155</v>
      </c>
      <c r="J155" s="31">
        <v>1995</v>
      </c>
      <c r="K155" s="125" t="str">
        <f t="shared" si="115"/>
        <v>$          130.00</v>
      </c>
      <c r="L155" s="35">
        <v>4500</v>
      </c>
      <c r="M155" s="89">
        <f t="shared" si="95"/>
        <v>110120</v>
      </c>
      <c r="N155" s="28">
        <v>11392</v>
      </c>
      <c r="O155" s="28">
        <v>5471</v>
      </c>
      <c r="P155" s="61">
        <f t="shared" si="96"/>
        <v>52885.052668539327</v>
      </c>
    </row>
    <row r="156" spans="2:16" s="17" customFormat="1" ht="18" x14ac:dyDescent="0.25">
      <c r="B156" s="8"/>
      <c r="C156" s="12">
        <v>5.9400000000000599</v>
      </c>
      <c r="D156" s="15" t="s">
        <v>277</v>
      </c>
      <c r="E156" s="5">
        <v>12273</v>
      </c>
      <c r="F156" s="5">
        <v>8</v>
      </c>
      <c r="G156" s="5" t="str">
        <f t="shared" si="118"/>
        <v>SDR-35</v>
      </c>
      <c r="H156" s="6">
        <v>66</v>
      </c>
      <c r="I156" s="31" t="s">
        <v>153</v>
      </c>
      <c r="J156" s="31">
        <v>1995</v>
      </c>
      <c r="K156" s="125" t="str">
        <f t="shared" si="115"/>
        <v>$            47.00</v>
      </c>
      <c r="L156" s="35">
        <v>4500</v>
      </c>
      <c r="M156" s="89">
        <f t="shared" si="95"/>
        <v>873831</v>
      </c>
      <c r="N156" s="28">
        <v>11392</v>
      </c>
      <c r="O156" s="28">
        <v>5471</v>
      </c>
      <c r="P156" s="61">
        <f t="shared" si="96"/>
        <v>419656.72410463484</v>
      </c>
    </row>
    <row r="157" spans="2:16" s="17" customFormat="1" ht="18" x14ac:dyDescent="0.25">
      <c r="B157" s="8"/>
      <c r="C157" s="12">
        <v>5.9500000000000597</v>
      </c>
      <c r="D157" s="15" t="s">
        <v>278</v>
      </c>
      <c r="E157" s="5">
        <f>3145-50</f>
        <v>3095</v>
      </c>
      <c r="F157" s="5">
        <v>8</v>
      </c>
      <c r="G157" s="5" t="str">
        <f t="shared" si="118"/>
        <v>SDR-35</v>
      </c>
      <c r="H157" s="6">
        <v>15</v>
      </c>
      <c r="I157" s="31" t="s">
        <v>153</v>
      </c>
      <c r="J157" s="31">
        <v>1995</v>
      </c>
      <c r="K157" s="125" t="str">
        <f t="shared" si="115"/>
        <v>$            47.00</v>
      </c>
      <c r="L157" s="35">
        <v>4500</v>
      </c>
      <c r="M157" s="89">
        <f t="shared" si="95"/>
        <v>212965</v>
      </c>
      <c r="N157" s="28">
        <v>11392</v>
      </c>
      <c r="O157" s="28">
        <v>5471</v>
      </c>
      <c r="P157" s="61">
        <f t="shared" si="96"/>
        <v>102276.29169592696</v>
      </c>
    </row>
    <row r="158" spans="2:16" s="48" customFormat="1" ht="18" x14ac:dyDescent="0.25">
      <c r="B158" s="8"/>
      <c r="C158" s="12">
        <v>5.9500000000000597</v>
      </c>
      <c r="D158" s="15" t="s">
        <v>278</v>
      </c>
      <c r="E158" s="5">
        <v>50</v>
      </c>
      <c r="F158" s="5">
        <v>8</v>
      </c>
      <c r="G158" s="5" t="str">
        <f t="shared" si="118"/>
        <v>SDR-35</v>
      </c>
      <c r="H158" s="6">
        <v>1</v>
      </c>
      <c r="I158" s="31" t="s">
        <v>155</v>
      </c>
      <c r="J158" s="31">
        <v>1995</v>
      </c>
      <c r="K158" s="125" t="str">
        <f t="shared" si="115"/>
        <v>$          130.00</v>
      </c>
      <c r="L158" s="35">
        <v>4500</v>
      </c>
      <c r="M158" s="89">
        <f t="shared" ref="M158" si="127">(E158*K158+H158*L158)</f>
        <v>11000</v>
      </c>
      <c r="N158" s="28">
        <v>11392</v>
      </c>
      <c r="O158" s="28">
        <v>5471</v>
      </c>
      <c r="P158" s="61">
        <f t="shared" ref="P158" si="128">M158*(O158/N158)</f>
        <v>5282.7422752808989</v>
      </c>
    </row>
    <row r="159" spans="2:16" s="17" customFormat="1" ht="18" x14ac:dyDescent="0.25">
      <c r="B159" s="8"/>
      <c r="C159" s="12">
        <v>5.9600000000000604</v>
      </c>
      <c r="D159" s="15" t="s">
        <v>279</v>
      </c>
      <c r="E159" s="5">
        <f>1671-50</f>
        <v>1621</v>
      </c>
      <c r="F159" s="5">
        <v>8</v>
      </c>
      <c r="G159" s="5" t="str">
        <f t="shared" si="118"/>
        <v>SDR-35</v>
      </c>
      <c r="H159" s="6">
        <v>10</v>
      </c>
      <c r="I159" s="31" t="s">
        <v>153</v>
      </c>
      <c r="J159" s="31">
        <v>1995</v>
      </c>
      <c r="K159" s="125" t="str">
        <f t="shared" si="115"/>
        <v>$            47.00</v>
      </c>
      <c r="L159" s="35">
        <v>4500</v>
      </c>
      <c r="M159" s="89">
        <f t="shared" si="95"/>
        <v>121187</v>
      </c>
      <c r="N159" s="28">
        <v>11392</v>
      </c>
      <c r="O159" s="28">
        <v>5471</v>
      </c>
      <c r="P159" s="61">
        <f t="shared" si="96"/>
        <v>58199.971646769663</v>
      </c>
    </row>
    <row r="160" spans="2:16" s="48" customFormat="1" ht="18" x14ac:dyDescent="0.25">
      <c r="B160" s="8"/>
      <c r="C160" s="12">
        <v>5.9600000000000604</v>
      </c>
      <c r="D160" s="15" t="s">
        <v>279</v>
      </c>
      <c r="E160" s="5">
        <v>50</v>
      </c>
      <c r="F160" s="5">
        <v>8</v>
      </c>
      <c r="G160" s="5" t="str">
        <f t="shared" si="118"/>
        <v>SDR-35</v>
      </c>
      <c r="H160" s="6">
        <v>0</v>
      </c>
      <c r="I160" s="31" t="s">
        <v>155</v>
      </c>
      <c r="J160" s="31">
        <v>1995</v>
      </c>
      <c r="K160" s="125" t="str">
        <f t="shared" si="115"/>
        <v>$          130.00</v>
      </c>
      <c r="L160" s="35">
        <v>4500</v>
      </c>
      <c r="M160" s="89">
        <f t="shared" ref="M160" si="129">(E160*K160+H160*L160)</f>
        <v>6500</v>
      </c>
      <c r="N160" s="28">
        <v>11392</v>
      </c>
      <c r="O160" s="28">
        <v>5471</v>
      </c>
      <c r="P160" s="61">
        <f t="shared" ref="P160" si="130">M160*(O160/N160)</f>
        <v>3121.6204353932585</v>
      </c>
    </row>
    <row r="161" spans="2:16" s="17" customFormat="1" ht="18" x14ac:dyDescent="0.25">
      <c r="B161" s="8"/>
      <c r="C161" s="12">
        <v>5.9700000000000601</v>
      </c>
      <c r="D161" s="15" t="s">
        <v>280</v>
      </c>
      <c r="E161" s="5">
        <v>2771</v>
      </c>
      <c r="F161" s="5">
        <v>8</v>
      </c>
      <c r="G161" s="5" t="str">
        <f t="shared" si="118"/>
        <v>SDR-35</v>
      </c>
      <c r="H161" s="6">
        <v>13</v>
      </c>
      <c r="I161" s="31" t="s">
        <v>153</v>
      </c>
      <c r="J161" s="31">
        <v>1995</v>
      </c>
      <c r="K161" s="125" t="str">
        <f t="shared" si="115"/>
        <v>$            47.00</v>
      </c>
      <c r="L161" s="35">
        <v>4500</v>
      </c>
      <c r="M161" s="89">
        <f t="shared" si="95"/>
        <v>188737</v>
      </c>
      <c r="N161" s="28">
        <v>11392</v>
      </c>
      <c r="O161" s="28">
        <v>5471</v>
      </c>
      <c r="P161" s="61">
        <f t="shared" si="96"/>
        <v>90640.811709971909</v>
      </c>
    </row>
    <row r="162" spans="2:16" s="17" customFormat="1" ht="18" x14ac:dyDescent="0.25">
      <c r="B162" s="8"/>
      <c r="C162" s="12">
        <v>5.9800000000000599</v>
      </c>
      <c r="D162" s="15" t="s">
        <v>281</v>
      </c>
      <c r="E162" s="5">
        <v>6288</v>
      </c>
      <c r="F162" s="5">
        <v>8</v>
      </c>
      <c r="G162" s="5" t="str">
        <f t="shared" si="118"/>
        <v>SDR-35</v>
      </c>
      <c r="H162" s="6">
        <v>31</v>
      </c>
      <c r="I162" s="31" t="s">
        <v>153</v>
      </c>
      <c r="J162" s="31">
        <v>2011</v>
      </c>
      <c r="K162" s="125" t="str">
        <f t="shared" si="115"/>
        <v>$            47.00</v>
      </c>
      <c r="L162" s="35">
        <v>4500</v>
      </c>
      <c r="M162" s="89">
        <f t="shared" si="95"/>
        <v>435036</v>
      </c>
      <c r="N162" s="28">
        <v>11392</v>
      </c>
      <c r="O162" s="28">
        <v>9070</v>
      </c>
      <c r="P162" s="61">
        <f t="shared" si="96"/>
        <v>346363.80969101127</v>
      </c>
    </row>
    <row r="163" spans="2:16" s="48" customFormat="1" ht="18" x14ac:dyDescent="0.25">
      <c r="B163" s="8"/>
      <c r="C163" s="12">
        <v>5.9900000000000597</v>
      </c>
      <c r="D163" s="15" t="s">
        <v>282</v>
      </c>
      <c r="E163" s="5">
        <f>1281-50</f>
        <v>1231</v>
      </c>
      <c r="F163" s="5">
        <v>8</v>
      </c>
      <c r="G163" s="5" t="str">
        <f t="shared" si="118"/>
        <v>SDR-35</v>
      </c>
      <c r="H163" s="6">
        <v>9</v>
      </c>
      <c r="I163" s="31" t="s">
        <v>153</v>
      </c>
      <c r="J163" s="31">
        <v>2000</v>
      </c>
      <c r="K163" s="125" t="str">
        <f t="shared" si="115"/>
        <v>$            47.00</v>
      </c>
      <c r="L163" s="35">
        <v>4500</v>
      </c>
      <c r="M163" s="89">
        <f t="shared" ref="M163" si="131">(E163*K163+H163*L163)</f>
        <v>98357</v>
      </c>
      <c r="N163" s="28">
        <v>11392</v>
      </c>
      <c r="O163" s="28">
        <v>6221</v>
      </c>
      <c r="P163" s="61">
        <f t="shared" ref="P163" si="132">M163*(O163/N163)</f>
        <v>53711.279582162926</v>
      </c>
    </row>
    <row r="164" spans="2:16" s="17" customFormat="1" ht="18" x14ac:dyDescent="0.25">
      <c r="B164" s="8"/>
      <c r="C164" s="12">
        <v>5.9900000000000597</v>
      </c>
      <c r="D164" s="15" t="s">
        <v>282</v>
      </c>
      <c r="E164" s="5">
        <v>50</v>
      </c>
      <c r="F164" s="5">
        <v>8</v>
      </c>
      <c r="G164" s="5" t="str">
        <f t="shared" si="118"/>
        <v>SDR-35</v>
      </c>
      <c r="H164" s="6">
        <v>0</v>
      </c>
      <c r="I164" s="31" t="s">
        <v>155</v>
      </c>
      <c r="J164" s="31">
        <v>2000</v>
      </c>
      <c r="K164" s="125" t="str">
        <f t="shared" si="115"/>
        <v>$          130.00</v>
      </c>
      <c r="L164" s="35">
        <v>4500</v>
      </c>
      <c r="M164" s="89">
        <f t="shared" si="95"/>
        <v>6500</v>
      </c>
      <c r="N164" s="28">
        <v>11392</v>
      </c>
      <c r="O164" s="28">
        <v>6221</v>
      </c>
      <c r="P164" s="61">
        <f t="shared" si="96"/>
        <v>3549.5523174157306</v>
      </c>
    </row>
    <row r="165" spans="2:16" s="48" customFormat="1" ht="18" x14ac:dyDescent="0.25">
      <c r="B165" s="8"/>
      <c r="C165" s="21">
        <v>5.0999999999999996</v>
      </c>
      <c r="D165" s="15" t="s">
        <v>283</v>
      </c>
      <c r="E165" s="5">
        <f>3841-197</f>
        <v>3644</v>
      </c>
      <c r="F165" s="5">
        <v>8</v>
      </c>
      <c r="G165" s="5" t="str">
        <f t="shared" si="118"/>
        <v>VCP</v>
      </c>
      <c r="H165" s="6">
        <v>16</v>
      </c>
      <c r="I165" s="31" t="s">
        <v>153</v>
      </c>
      <c r="J165" s="31">
        <v>1960</v>
      </c>
      <c r="K165" s="125" t="str">
        <f t="shared" si="115"/>
        <v>$            57.00</v>
      </c>
      <c r="L165" s="35">
        <v>4500</v>
      </c>
      <c r="M165" s="89">
        <f t="shared" ref="M165" si="133">(E165*K165+H165*L165)</f>
        <v>279708</v>
      </c>
      <c r="N165" s="28">
        <v>11392</v>
      </c>
      <c r="O165" s="28">
        <v>824</v>
      </c>
      <c r="P165" s="61">
        <f t="shared" ref="P165" si="134">M165*(O165/N165)</f>
        <v>20231.688202247191</v>
      </c>
    </row>
    <row r="166" spans="2:16" s="17" customFormat="1" ht="18" x14ac:dyDescent="0.25">
      <c r="B166" s="8"/>
      <c r="C166" s="21">
        <v>5.0999999999999996</v>
      </c>
      <c r="D166" s="15" t="s">
        <v>283</v>
      </c>
      <c r="E166" s="5">
        <v>197</v>
      </c>
      <c r="F166" s="5">
        <v>8</v>
      </c>
      <c r="G166" s="5" t="str">
        <f t="shared" si="118"/>
        <v>VCP</v>
      </c>
      <c r="H166" s="6">
        <v>2</v>
      </c>
      <c r="I166" s="31" t="s">
        <v>155</v>
      </c>
      <c r="J166" s="31">
        <v>1960</v>
      </c>
      <c r="K166" s="125" t="str">
        <f t="shared" si="115"/>
        <v>$          140.00</v>
      </c>
      <c r="L166" s="35">
        <v>4500</v>
      </c>
      <c r="M166" s="89">
        <f t="shared" si="95"/>
        <v>36580</v>
      </c>
      <c r="N166" s="28">
        <v>11392</v>
      </c>
      <c r="O166" s="28">
        <v>824</v>
      </c>
      <c r="P166" s="61">
        <f t="shared" si="96"/>
        <v>2645.8848314606739</v>
      </c>
    </row>
    <row r="167" spans="2:16" s="48" customFormat="1" ht="18" x14ac:dyDescent="0.25">
      <c r="B167" s="8"/>
      <c r="C167" s="21">
        <v>5.101</v>
      </c>
      <c r="D167" s="15" t="s">
        <v>284</v>
      </c>
      <c r="E167" s="5">
        <f>7384</f>
        <v>7384</v>
      </c>
      <c r="F167" s="5">
        <v>8</v>
      </c>
      <c r="G167" s="5" t="str">
        <f t="shared" si="118"/>
        <v>VCP</v>
      </c>
      <c r="H167" s="6">
        <v>37</v>
      </c>
      <c r="I167" s="31" t="s">
        <v>153</v>
      </c>
      <c r="J167" s="31">
        <v>1968</v>
      </c>
      <c r="K167" s="125" t="str">
        <f t="shared" si="115"/>
        <v>$            57.00</v>
      </c>
      <c r="L167" s="35">
        <v>4500</v>
      </c>
      <c r="M167" s="89">
        <f t="shared" ref="M167" si="135">(E167*K167+H167*L167)</f>
        <v>587388</v>
      </c>
      <c r="N167" s="28">
        <v>11392</v>
      </c>
      <c r="O167" s="28">
        <v>1155</v>
      </c>
      <c r="P167" s="61">
        <f t="shared" ref="P167" si="136">M167*(O167/N167)</f>
        <v>59553.470856741573</v>
      </c>
    </row>
    <row r="168" spans="2:16" s="17" customFormat="1" ht="18" x14ac:dyDescent="0.25">
      <c r="B168" s="8"/>
      <c r="C168" s="21">
        <v>5.101</v>
      </c>
      <c r="D168" s="15" t="s">
        <v>284</v>
      </c>
      <c r="E168" s="5">
        <v>2702</v>
      </c>
      <c r="F168" s="5">
        <v>8</v>
      </c>
      <c r="G168" s="5" t="str">
        <f t="shared" si="118"/>
        <v>VCP</v>
      </c>
      <c r="H168" s="6">
        <v>10</v>
      </c>
      <c r="I168" s="31" t="s">
        <v>155</v>
      </c>
      <c r="J168" s="31">
        <v>1968</v>
      </c>
      <c r="K168" s="125" t="str">
        <f t="shared" si="115"/>
        <v>$          140.00</v>
      </c>
      <c r="L168" s="35">
        <v>4500</v>
      </c>
      <c r="M168" s="89">
        <f t="shared" si="95"/>
        <v>423280</v>
      </c>
      <c r="N168" s="28">
        <v>11392</v>
      </c>
      <c r="O168" s="28">
        <v>1155</v>
      </c>
      <c r="P168" s="61">
        <f t="shared" si="96"/>
        <v>42915.063202247191</v>
      </c>
    </row>
    <row r="169" spans="2:16" s="17" customFormat="1" ht="18" x14ac:dyDescent="0.25">
      <c r="B169" s="8"/>
      <c r="C169" s="21">
        <v>5.1020000000000003</v>
      </c>
      <c r="D169" s="15" t="s">
        <v>285</v>
      </c>
      <c r="E169" s="5">
        <v>3606</v>
      </c>
      <c r="F169" s="5">
        <v>8</v>
      </c>
      <c r="G169" s="5" t="str">
        <f t="shared" si="118"/>
        <v>VCP</v>
      </c>
      <c r="H169" s="6">
        <v>15</v>
      </c>
      <c r="I169" s="31" t="s">
        <v>153</v>
      </c>
      <c r="J169" s="31">
        <v>1968</v>
      </c>
      <c r="K169" s="125" t="str">
        <f t="shared" si="115"/>
        <v>$            57.00</v>
      </c>
      <c r="L169" s="35">
        <v>4500</v>
      </c>
      <c r="M169" s="89">
        <f t="shared" si="95"/>
        <v>273042</v>
      </c>
      <c r="N169" s="28">
        <v>11392</v>
      </c>
      <c r="O169" s="28">
        <v>1155</v>
      </c>
      <c r="P169" s="61">
        <f t="shared" si="96"/>
        <v>27682.892380617977</v>
      </c>
    </row>
    <row r="170" spans="2:16" s="48" customFormat="1" ht="18" x14ac:dyDescent="0.25">
      <c r="B170" s="8"/>
      <c r="C170" s="21">
        <v>5.1020000000000003</v>
      </c>
      <c r="D170" s="15" t="s">
        <v>285</v>
      </c>
      <c r="E170" s="5">
        <v>1786</v>
      </c>
      <c r="F170" s="5">
        <v>8</v>
      </c>
      <c r="G170" s="5" t="str">
        <f t="shared" si="118"/>
        <v>VCP</v>
      </c>
      <c r="H170" s="6">
        <v>7</v>
      </c>
      <c r="I170" s="31" t="s">
        <v>155</v>
      </c>
      <c r="J170" s="31">
        <v>1968</v>
      </c>
      <c r="K170" s="125" t="str">
        <f t="shared" si="115"/>
        <v>$          140.00</v>
      </c>
      <c r="L170" s="35">
        <v>4500</v>
      </c>
      <c r="M170" s="89">
        <f t="shared" ref="M170" si="137">(E170*K170+H170*L170)</f>
        <v>281540</v>
      </c>
      <c r="N170" s="28">
        <v>11392</v>
      </c>
      <c r="O170" s="28">
        <v>1155</v>
      </c>
      <c r="P170" s="61">
        <f t="shared" ref="P170" si="138">M170*(O170/N170)</f>
        <v>28544.478581460673</v>
      </c>
    </row>
    <row r="171" spans="2:16" s="17" customFormat="1" ht="18" x14ac:dyDescent="0.25">
      <c r="B171" s="8"/>
      <c r="C171" s="21">
        <v>5.1029999999999998</v>
      </c>
      <c r="D171" s="15" t="s">
        <v>286</v>
      </c>
      <c r="E171" s="5">
        <v>1154</v>
      </c>
      <c r="F171" s="5">
        <v>8</v>
      </c>
      <c r="G171" s="5" t="str">
        <f t="shared" si="118"/>
        <v>VCP</v>
      </c>
      <c r="H171" s="6">
        <v>7</v>
      </c>
      <c r="I171" s="31" t="s">
        <v>153</v>
      </c>
      <c r="J171" s="31">
        <v>1968</v>
      </c>
      <c r="K171" s="125" t="str">
        <f t="shared" si="115"/>
        <v>$            57.00</v>
      </c>
      <c r="L171" s="35">
        <v>4500</v>
      </c>
      <c r="M171" s="89">
        <f t="shared" si="95"/>
        <v>97278</v>
      </c>
      <c r="N171" s="28">
        <v>11392</v>
      </c>
      <c r="O171" s="28">
        <v>1155</v>
      </c>
      <c r="P171" s="61">
        <f t="shared" si="96"/>
        <v>9862.7185744382023</v>
      </c>
    </row>
    <row r="172" spans="2:16" s="17" customFormat="1" ht="18" x14ac:dyDescent="0.25">
      <c r="B172" s="8"/>
      <c r="C172" s="21">
        <v>5.1040000000000001</v>
      </c>
      <c r="D172" s="15" t="s">
        <v>287</v>
      </c>
      <c r="E172" s="5">
        <v>11461</v>
      </c>
      <c r="F172" s="5">
        <v>8</v>
      </c>
      <c r="G172" s="5" t="str">
        <f t="shared" si="118"/>
        <v>VCP</v>
      </c>
      <c r="H172" s="6">
        <v>47</v>
      </c>
      <c r="I172" s="31" t="s">
        <v>153</v>
      </c>
      <c r="J172" s="31">
        <v>1970</v>
      </c>
      <c r="K172" s="125" t="str">
        <f t="shared" si="115"/>
        <v>$            57.00</v>
      </c>
      <c r="L172" s="35">
        <v>4500</v>
      </c>
      <c r="M172" s="89">
        <f t="shared" si="95"/>
        <v>864777</v>
      </c>
      <c r="N172" s="28">
        <v>11392</v>
      </c>
      <c r="O172" s="28">
        <v>1381</v>
      </c>
      <c r="P172" s="61">
        <f t="shared" si="96"/>
        <v>104832.95619733147</v>
      </c>
    </row>
    <row r="173" spans="2:16" s="48" customFormat="1" ht="18" x14ac:dyDescent="0.25">
      <c r="B173" s="8"/>
      <c r="C173" s="21">
        <v>5.1050000000000004</v>
      </c>
      <c r="D173" s="15" t="s">
        <v>288</v>
      </c>
      <c r="E173" s="5">
        <f>17951-1558</f>
        <v>16393</v>
      </c>
      <c r="F173" s="5">
        <v>8</v>
      </c>
      <c r="G173" s="5" t="str">
        <f t="shared" si="118"/>
        <v>VCP</v>
      </c>
      <c r="H173" s="6">
        <v>68</v>
      </c>
      <c r="I173" s="31" t="s">
        <v>153</v>
      </c>
      <c r="J173" s="31">
        <v>1975</v>
      </c>
      <c r="K173" s="125" t="str">
        <f t="shared" si="115"/>
        <v>$            57.00</v>
      </c>
      <c r="L173" s="35">
        <v>4500</v>
      </c>
      <c r="M173" s="89">
        <f t="shared" ref="M173" si="139">(E173*K173+H173*L173)</f>
        <v>1240401</v>
      </c>
      <c r="N173" s="28">
        <v>11392</v>
      </c>
      <c r="O173" s="28">
        <v>2212</v>
      </c>
      <c r="P173" s="61">
        <f t="shared" ref="P173" si="140">M173*(O173/N173)</f>
        <v>240850.33462078654</v>
      </c>
    </row>
    <row r="174" spans="2:16" s="17" customFormat="1" ht="18" x14ac:dyDescent="0.25">
      <c r="B174" s="8"/>
      <c r="C174" s="21">
        <v>5.1050000000000004</v>
      </c>
      <c r="D174" s="15" t="s">
        <v>288</v>
      </c>
      <c r="E174" s="5">
        <v>1558</v>
      </c>
      <c r="F174" s="5">
        <v>8</v>
      </c>
      <c r="G174" s="5" t="str">
        <f t="shared" si="118"/>
        <v>VCP</v>
      </c>
      <c r="H174" s="6">
        <v>5</v>
      </c>
      <c r="I174" s="31" t="s">
        <v>155</v>
      </c>
      <c r="J174" s="31">
        <v>1975</v>
      </c>
      <c r="K174" s="125" t="str">
        <f t="shared" si="115"/>
        <v>$          140.00</v>
      </c>
      <c r="L174" s="35">
        <v>4500</v>
      </c>
      <c r="M174" s="89">
        <f t="shared" si="95"/>
        <v>240620</v>
      </c>
      <c r="N174" s="28">
        <v>11392</v>
      </c>
      <c r="O174" s="28">
        <v>2212</v>
      </c>
      <c r="P174" s="61">
        <f t="shared" si="96"/>
        <v>46721.509831460673</v>
      </c>
    </row>
    <row r="175" spans="2:16" s="48" customFormat="1" ht="18" x14ac:dyDescent="0.25">
      <c r="B175" s="8"/>
      <c r="C175" s="21">
        <v>5.1059999999999999</v>
      </c>
      <c r="D175" s="15" t="s">
        <v>289</v>
      </c>
      <c r="E175" s="5">
        <v>2932</v>
      </c>
      <c r="F175" s="5">
        <v>8</v>
      </c>
      <c r="G175" s="5" t="str">
        <f t="shared" si="118"/>
        <v>SDR-35</v>
      </c>
      <c r="H175" s="6">
        <v>17</v>
      </c>
      <c r="I175" s="31" t="s">
        <v>153</v>
      </c>
      <c r="J175" s="31">
        <v>2000</v>
      </c>
      <c r="K175" s="125" t="str">
        <f t="shared" si="115"/>
        <v>$            47.00</v>
      </c>
      <c r="L175" s="35">
        <v>4500</v>
      </c>
      <c r="M175" s="89">
        <f t="shared" ref="M175" si="141">(E175*K175+H175*L175)</f>
        <v>214304</v>
      </c>
      <c r="N175" s="28">
        <v>11392</v>
      </c>
      <c r="O175" s="28">
        <v>6221</v>
      </c>
      <c r="P175" s="61">
        <f t="shared" ref="P175" si="142">M175*(O175/N175)</f>
        <v>117028.19382022473</v>
      </c>
    </row>
    <row r="176" spans="2:16" s="17" customFormat="1" ht="18" x14ac:dyDescent="0.25">
      <c r="B176" s="8"/>
      <c r="C176" s="21">
        <v>5.1059999999999999</v>
      </c>
      <c r="D176" s="15" t="s">
        <v>289</v>
      </c>
      <c r="E176" s="5">
        <v>1490</v>
      </c>
      <c r="F176" s="5">
        <v>8</v>
      </c>
      <c r="G176" s="5" t="str">
        <f t="shared" si="118"/>
        <v>SDR-35</v>
      </c>
      <c r="H176" s="6">
        <v>6</v>
      </c>
      <c r="I176" s="31" t="s">
        <v>155</v>
      </c>
      <c r="J176" s="31">
        <v>2000</v>
      </c>
      <c r="K176" s="125" t="str">
        <f t="shared" si="115"/>
        <v>$          130.00</v>
      </c>
      <c r="L176" s="35">
        <v>4500</v>
      </c>
      <c r="M176" s="89">
        <f t="shared" si="95"/>
        <v>220700</v>
      </c>
      <c r="N176" s="28">
        <v>11392</v>
      </c>
      <c r="O176" s="28">
        <v>6221</v>
      </c>
      <c r="P176" s="61">
        <f t="shared" si="96"/>
        <v>120520.95330056181</v>
      </c>
    </row>
    <row r="177" spans="2:16" s="17" customFormat="1" ht="18" x14ac:dyDescent="0.25">
      <c r="B177" s="8"/>
      <c r="C177" s="21">
        <v>5.1070000000000002</v>
      </c>
      <c r="D177" s="15" t="s">
        <v>290</v>
      </c>
      <c r="E177" s="5">
        <v>9877</v>
      </c>
      <c r="F177" s="5">
        <v>8</v>
      </c>
      <c r="G177" s="5" t="str">
        <f t="shared" si="118"/>
        <v>VCP</v>
      </c>
      <c r="H177" s="6">
        <v>40</v>
      </c>
      <c r="I177" s="31" t="s">
        <v>153</v>
      </c>
      <c r="J177" s="31">
        <v>1965</v>
      </c>
      <c r="K177" s="125" t="str">
        <f t="shared" si="115"/>
        <v>$            57.00</v>
      </c>
      <c r="L177" s="35">
        <v>4500</v>
      </c>
      <c r="M177" s="89">
        <f t="shared" si="95"/>
        <v>742989</v>
      </c>
      <c r="N177" s="28">
        <v>11392</v>
      </c>
      <c r="O177" s="28">
        <v>971</v>
      </c>
      <c r="P177" s="61">
        <f t="shared" si="96"/>
        <v>63328.855249297754</v>
      </c>
    </row>
    <row r="178" spans="2:16" s="17" customFormat="1" ht="18" x14ac:dyDescent="0.25">
      <c r="B178" s="8"/>
      <c r="C178" s="21">
        <v>5.1079999999999997</v>
      </c>
      <c r="D178" s="15" t="s">
        <v>291</v>
      </c>
      <c r="E178" s="5">
        <v>2086</v>
      </c>
      <c r="F178" s="5">
        <v>8</v>
      </c>
      <c r="G178" s="5" t="str">
        <f t="shared" si="118"/>
        <v>SDR-35</v>
      </c>
      <c r="H178" s="6">
        <v>12</v>
      </c>
      <c r="I178" s="31" t="s">
        <v>153</v>
      </c>
      <c r="J178" s="31">
        <v>2000</v>
      </c>
      <c r="K178" s="125" t="str">
        <f t="shared" si="115"/>
        <v>$            47.00</v>
      </c>
      <c r="L178" s="35">
        <v>4500</v>
      </c>
      <c r="M178" s="89">
        <f t="shared" si="95"/>
        <v>152042</v>
      </c>
      <c r="N178" s="28">
        <v>11392</v>
      </c>
      <c r="O178" s="28">
        <v>6221</v>
      </c>
      <c r="P178" s="61">
        <f t="shared" si="96"/>
        <v>83027.851299157308</v>
      </c>
    </row>
    <row r="179" spans="2:16" s="48" customFormat="1" ht="18" x14ac:dyDescent="0.25">
      <c r="B179" s="8"/>
      <c r="C179" s="21">
        <v>5.109</v>
      </c>
      <c r="D179" s="15" t="s">
        <v>292</v>
      </c>
      <c r="E179" s="5">
        <f>9264-558</f>
        <v>8706</v>
      </c>
      <c r="F179" s="5">
        <v>8</v>
      </c>
      <c r="G179" s="5" t="str">
        <f t="shared" si="118"/>
        <v>SDR-35</v>
      </c>
      <c r="H179" s="6">
        <v>44</v>
      </c>
      <c r="I179" s="31" t="s">
        <v>153</v>
      </c>
      <c r="J179" s="31">
        <v>1995</v>
      </c>
      <c r="K179" s="125" t="str">
        <f t="shared" si="115"/>
        <v>$            47.00</v>
      </c>
      <c r="L179" s="35">
        <v>4500</v>
      </c>
      <c r="M179" s="89">
        <f t="shared" ref="M179" si="143">(E179*K179+H179*L179)</f>
        <v>607182</v>
      </c>
      <c r="N179" s="28">
        <v>11392</v>
      </c>
      <c r="O179" s="28">
        <v>5471</v>
      </c>
      <c r="P179" s="61">
        <f t="shared" ref="P179" si="144">M179*(O179/N179)</f>
        <v>291598.7291081461</v>
      </c>
    </row>
    <row r="180" spans="2:16" s="17" customFormat="1" ht="18" x14ac:dyDescent="0.25">
      <c r="B180" s="8"/>
      <c r="C180" s="21">
        <v>5.109</v>
      </c>
      <c r="D180" s="15" t="s">
        <v>292</v>
      </c>
      <c r="E180" s="5">
        <v>558</v>
      </c>
      <c r="F180" s="5">
        <v>8</v>
      </c>
      <c r="G180" s="5" t="str">
        <f t="shared" si="118"/>
        <v>SDR-35</v>
      </c>
      <c r="H180" s="6">
        <v>3</v>
      </c>
      <c r="I180" s="31" t="s">
        <v>155</v>
      </c>
      <c r="J180" s="31">
        <v>1995</v>
      </c>
      <c r="K180" s="125" t="str">
        <f t="shared" si="115"/>
        <v>$          130.00</v>
      </c>
      <c r="L180" s="35">
        <v>4500</v>
      </c>
      <c r="M180" s="89">
        <f t="shared" si="95"/>
        <v>86040</v>
      </c>
      <c r="N180" s="28">
        <v>11392</v>
      </c>
      <c r="O180" s="28">
        <v>5471</v>
      </c>
      <c r="P180" s="61">
        <f t="shared" si="96"/>
        <v>41320.64957865169</v>
      </c>
    </row>
    <row r="181" spans="2:16" s="48" customFormat="1" ht="18" x14ac:dyDescent="0.25">
      <c r="B181" s="8"/>
      <c r="C181" s="21">
        <v>5.1100000000000003</v>
      </c>
      <c r="D181" s="15" t="s">
        <v>293</v>
      </c>
      <c r="E181" s="5">
        <v>481</v>
      </c>
      <c r="F181" s="5">
        <v>8</v>
      </c>
      <c r="G181" s="5" t="str">
        <f t="shared" si="118"/>
        <v>VCP</v>
      </c>
      <c r="H181" s="6">
        <v>3</v>
      </c>
      <c r="I181" s="31" t="s">
        <v>153</v>
      </c>
      <c r="J181" s="31">
        <v>1956</v>
      </c>
      <c r="K181" s="125"/>
      <c r="L181" s="35"/>
      <c r="M181" s="89"/>
      <c r="N181" s="28"/>
      <c r="O181" s="28"/>
      <c r="P181" s="61"/>
    </row>
    <row r="182" spans="2:16" s="17" customFormat="1" ht="18" x14ac:dyDescent="0.25">
      <c r="B182" s="8"/>
      <c r="C182" s="21">
        <v>5.1100000000000003</v>
      </c>
      <c r="D182" s="15" t="s">
        <v>293</v>
      </c>
      <c r="E182" s="5">
        <v>712</v>
      </c>
      <c r="F182" s="5">
        <v>8</v>
      </c>
      <c r="G182" s="5" t="str">
        <f t="shared" si="118"/>
        <v>VCP</v>
      </c>
      <c r="H182" s="6">
        <v>3</v>
      </c>
      <c r="I182" s="31" t="s">
        <v>155</v>
      </c>
      <c r="J182" s="31">
        <v>1956</v>
      </c>
      <c r="K182" s="125"/>
      <c r="L182" s="35"/>
      <c r="M182" s="89"/>
      <c r="N182" s="28"/>
      <c r="O182" s="28"/>
      <c r="P182" s="61"/>
    </row>
    <row r="183" spans="2:16" s="48" customFormat="1" ht="18" x14ac:dyDescent="0.25">
      <c r="B183" s="8"/>
      <c r="C183" s="21">
        <v>5.1109999999999998</v>
      </c>
      <c r="D183" s="15" t="s">
        <v>294</v>
      </c>
      <c r="E183" s="5">
        <v>1011</v>
      </c>
      <c r="F183" s="5">
        <v>8</v>
      </c>
      <c r="G183" s="5" t="str">
        <f t="shared" si="118"/>
        <v>VCP</v>
      </c>
      <c r="H183" s="6">
        <v>6</v>
      </c>
      <c r="I183" s="31" t="s">
        <v>153</v>
      </c>
      <c r="J183" s="31">
        <v>1968</v>
      </c>
      <c r="K183" s="125" t="str">
        <f t="shared" si="115"/>
        <v>$            57.00</v>
      </c>
      <c r="L183" s="35">
        <v>4500</v>
      </c>
      <c r="M183" s="89">
        <f t="shared" ref="M183" si="145">(E183*K183+H183*L183)</f>
        <v>84627</v>
      </c>
      <c r="N183" s="28">
        <v>11392</v>
      </c>
      <c r="O183" s="28">
        <v>1155</v>
      </c>
      <c r="P183" s="61">
        <f t="shared" ref="P183" si="146">M183*(O183/N183)</f>
        <v>8580.0724192415728</v>
      </c>
    </row>
    <row r="184" spans="2:16" s="18" customFormat="1" ht="18" x14ac:dyDescent="0.25">
      <c r="B184" s="8"/>
      <c r="C184" s="21">
        <v>5.1109999999999998</v>
      </c>
      <c r="D184" s="15" t="s">
        <v>294</v>
      </c>
      <c r="E184" s="5">
        <v>3123</v>
      </c>
      <c r="F184" s="5">
        <v>8</v>
      </c>
      <c r="G184" s="5" t="str">
        <f t="shared" si="118"/>
        <v>VCP</v>
      </c>
      <c r="H184" s="6">
        <v>11</v>
      </c>
      <c r="I184" s="31" t="s">
        <v>155</v>
      </c>
      <c r="J184" s="31">
        <v>1968</v>
      </c>
      <c r="K184" s="125" t="str">
        <f t="shared" si="115"/>
        <v>$          140.00</v>
      </c>
      <c r="L184" s="35">
        <v>4500</v>
      </c>
      <c r="M184" s="89">
        <f t="shared" si="95"/>
        <v>486720</v>
      </c>
      <c r="N184" s="28">
        <v>11392</v>
      </c>
      <c r="O184" s="28">
        <v>1155</v>
      </c>
      <c r="P184" s="61">
        <f t="shared" si="96"/>
        <v>49347.050561797754</v>
      </c>
    </row>
    <row r="185" spans="2:16" s="18" customFormat="1" ht="18" x14ac:dyDescent="0.25">
      <c r="B185" s="8"/>
      <c r="C185" s="21">
        <v>5.1120000000000001</v>
      </c>
      <c r="D185" s="15" t="s">
        <v>295</v>
      </c>
      <c r="E185" s="5">
        <v>1371</v>
      </c>
      <c r="F185" s="5">
        <v>8</v>
      </c>
      <c r="G185" s="5" t="str">
        <f t="shared" si="118"/>
        <v>VCP</v>
      </c>
      <c r="H185" s="6">
        <v>5</v>
      </c>
      <c r="I185" s="31" t="s">
        <v>155</v>
      </c>
      <c r="J185" s="31">
        <v>1968</v>
      </c>
      <c r="K185" s="125" t="str">
        <f t="shared" si="115"/>
        <v>$          140.00</v>
      </c>
      <c r="L185" s="35">
        <v>4500</v>
      </c>
      <c r="M185" s="89">
        <f t="shared" si="95"/>
        <v>214440</v>
      </c>
      <c r="N185" s="28">
        <v>11392</v>
      </c>
      <c r="O185" s="28">
        <v>1155</v>
      </c>
      <c r="P185" s="61">
        <f t="shared" si="96"/>
        <v>21741.415028089887</v>
      </c>
    </row>
    <row r="186" spans="2:16" s="17" customFormat="1" ht="18" x14ac:dyDescent="0.25">
      <c r="B186" s="8"/>
      <c r="C186" s="21">
        <v>5.1130000000000004</v>
      </c>
      <c r="D186" s="15" t="s">
        <v>296</v>
      </c>
      <c r="E186" s="5">
        <v>4846</v>
      </c>
      <c r="F186" s="5">
        <v>8</v>
      </c>
      <c r="G186" s="5" t="str">
        <f t="shared" si="118"/>
        <v>VCP</v>
      </c>
      <c r="H186" s="6">
        <v>24</v>
      </c>
      <c r="I186" s="31" t="s">
        <v>153</v>
      </c>
      <c r="J186" s="31">
        <v>1968</v>
      </c>
      <c r="K186" s="125" t="str">
        <f t="shared" si="115"/>
        <v>$            57.00</v>
      </c>
      <c r="L186" s="35">
        <v>4500</v>
      </c>
      <c r="M186" s="89">
        <f t="shared" si="95"/>
        <v>384222</v>
      </c>
      <c r="N186" s="28">
        <v>11392</v>
      </c>
      <c r="O186" s="28">
        <v>1155</v>
      </c>
      <c r="P186" s="61">
        <f t="shared" si="96"/>
        <v>38955.092169943819</v>
      </c>
    </row>
    <row r="187" spans="2:16" s="17" customFormat="1" ht="18" x14ac:dyDescent="0.25">
      <c r="B187" s="8"/>
      <c r="C187" s="21">
        <v>5.1139999999999999</v>
      </c>
      <c r="D187" s="15" t="s">
        <v>297</v>
      </c>
      <c r="E187" s="5">
        <v>6000</v>
      </c>
      <c r="F187" s="5">
        <v>8</v>
      </c>
      <c r="G187" s="5" t="str">
        <f t="shared" si="118"/>
        <v>VCP</v>
      </c>
      <c r="H187" s="6">
        <v>24</v>
      </c>
      <c r="I187" s="31" t="s">
        <v>153</v>
      </c>
      <c r="J187" s="31">
        <v>1975</v>
      </c>
      <c r="K187" s="125" t="str">
        <f t="shared" si="115"/>
        <v>$            57.00</v>
      </c>
      <c r="L187" s="35">
        <v>4500</v>
      </c>
      <c r="M187" s="89">
        <f t="shared" si="95"/>
        <v>450000</v>
      </c>
      <c r="N187" s="28">
        <v>11392</v>
      </c>
      <c r="O187" s="28">
        <v>2212</v>
      </c>
      <c r="P187" s="61">
        <f t="shared" si="96"/>
        <v>87377.106741573036</v>
      </c>
    </row>
    <row r="188" spans="2:16" s="17" customFormat="1" ht="18" x14ac:dyDescent="0.25">
      <c r="B188" s="8"/>
      <c r="C188" s="21">
        <v>5.1150000000000002</v>
      </c>
      <c r="D188" s="15" t="s">
        <v>298</v>
      </c>
      <c r="E188" s="5">
        <v>8566</v>
      </c>
      <c r="F188" s="5">
        <v>8</v>
      </c>
      <c r="G188" s="5" t="str">
        <f t="shared" si="118"/>
        <v>VCP</v>
      </c>
      <c r="H188" s="6">
        <v>35</v>
      </c>
      <c r="I188" s="31" t="s">
        <v>153</v>
      </c>
      <c r="J188" s="31">
        <v>1955</v>
      </c>
      <c r="K188" s="125" t="str">
        <f t="shared" si="115"/>
        <v>$            57.00</v>
      </c>
      <c r="L188" s="35">
        <v>4500</v>
      </c>
      <c r="M188" s="89">
        <f t="shared" si="95"/>
        <v>645762</v>
      </c>
      <c r="N188" s="28">
        <v>11392</v>
      </c>
      <c r="O188" s="28">
        <v>660</v>
      </c>
      <c r="P188" s="61">
        <f t="shared" si="96"/>
        <v>37412.475421348317</v>
      </c>
    </row>
    <row r="189" spans="2:16" s="17" customFormat="1" ht="18" x14ac:dyDescent="0.25">
      <c r="B189" s="8"/>
      <c r="C189" s="21">
        <v>5.1159999999999997</v>
      </c>
      <c r="D189" s="15" t="s">
        <v>299</v>
      </c>
      <c r="E189" s="5">
        <f>3423-1028</f>
        <v>2395</v>
      </c>
      <c r="F189" s="5">
        <v>8</v>
      </c>
      <c r="G189" s="5" t="str">
        <f t="shared" si="118"/>
        <v>SDR-35</v>
      </c>
      <c r="H189" s="6">
        <v>9</v>
      </c>
      <c r="I189" s="31" t="s">
        <v>153</v>
      </c>
      <c r="J189" s="31">
        <v>1980</v>
      </c>
      <c r="K189" s="125" t="str">
        <f t="shared" si="115"/>
        <v>$            47.00</v>
      </c>
      <c r="L189" s="35">
        <v>4500</v>
      </c>
      <c r="M189" s="89">
        <f t="shared" si="95"/>
        <v>153065</v>
      </c>
      <c r="N189" s="28">
        <v>11392</v>
      </c>
      <c r="O189" s="28">
        <v>3237</v>
      </c>
      <c r="P189" s="61">
        <f t="shared" si="96"/>
        <v>43492.925298455055</v>
      </c>
    </row>
    <row r="190" spans="2:16" s="48" customFormat="1" ht="18" x14ac:dyDescent="0.25">
      <c r="B190" s="8"/>
      <c r="C190" s="21">
        <v>5.1159999999999997</v>
      </c>
      <c r="D190" s="15" t="s">
        <v>299</v>
      </c>
      <c r="E190" s="5">
        <v>1028</v>
      </c>
      <c r="F190" s="5">
        <v>8</v>
      </c>
      <c r="G190" s="5" t="str">
        <f t="shared" si="118"/>
        <v>SDR-35</v>
      </c>
      <c r="H190" s="6">
        <v>4</v>
      </c>
      <c r="I190" s="31" t="s">
        <v>155</v>
      </c>
      <c r="J190" s="31">
        <v>1980</v>
      </c>
      <c r="K190" s="125" t="str">
        <f t="shared" si="115"/>
        <v>$          130.00</v>
      </c>
      <c r="L190" s="35">
        <v>4500</v>
      </c>
      <c r="M190" s="89">
        <f t="shared" ref="M190" si="147">(E190*K190+H190*L190)</f>
        <v>151640</v>
      </c>
      <c r="N190" s="28">
        <v>11392</v>
      </c>
      <c r="O190" s="28">
        <v>3237</v>
      </c>
      <c r="P190" s="61">
        <f t="shared" ref="P190" si="148">M190*(O190/N190)</f>
        <v>43088.016151685391</v>
      </c>
    </row>
    <row r="191" spans="2:16" s="17" customFormat="1" ht="18" x14ac:dyDescent="0.25">
      <c r="B191" s="8"/>
      <c r="C191" s="21">
        <v>5.1170000000000098</v>
      </c>
      <c r="D191" s="15" t="s">
        <v>300</v>
      </c>
      <c r="E191" s="5">
        <v>5456</v>
      </c>
      <c r="F191" s="5">
        <v>8</v>
      </c>
      <c r="G191" s="5" t="str">
        <f t="shared" si="118"/>
        <v>SDR-35</v>
      </c>
      <c r="H191" s="6">
        <v>25</v>
      </c>
      <c r="I191" s="31" t="s">
        <v>153</v>
      </c>
      <c r="J191" s="31">
        <v>1980</v>
      </c>
      <c r="K191" s="125" t="str">
        <f t="shared" si="115"/>
        <v>$            47.00</v>
      </c>
      <c r="L191" s="35">
        <v>4500</v>
      </c>
      <c r="M191" s="89">
        <f t="shared" si="95"/>
        <v>368932</v>
      </c>
      <c r="N191" s="28">
        <v>11392</v>
      </c>
      <c r="O191" s="28">
        <v>3237</v>
      </c>
      <c r="P191" s="61">
        <f t="shared" si="96"/>
        <v>104830.83602528089</v>
      </c>
    </row>
    <row r="192" spans="2:16" s="48" customFormat="1" ht="18" x14ac:dyDescent="0.25">
      <c r="B192" s="8"/>
      <c r="C192" s="21">
        <v>5.1180000000000101</v>
      </c>
      <c r="D192" s="15" t="s">
        <v>301</v>
      </c>
      <c r="E192" s="5">
        <v>10346</v>
      </c>
      <c r="F192" s="5">
        <v>8</v>
      </c>
      <c r="G192" s="5" t="str">
        <f t="shared" si="118"/>
        <v>SDR-35</v>
      </c>
      <c r="H192" s="6">
        <v>48</v>
      </c>
      <c r="I192" s="31" t="s">
        <v>153</v>
      </c>
      <c r="J192" s="31">
        <v>1980</v>
      </c>
      <c r="K192" s="125" t="str">
        <f t="shared" si="115"/>
        <v>$            47.00</v>
      </c>
      <c r="L192" s="35">
        <v>4500</v>
      </c>
      <c r="M192" s="89">
        <f t="shared" ref="M192" si="149">(E192*K192+H192*L192)</f>
        <v>702262</v>
      </c>
      <c r="N192" s="28">
        <v>11392</v>
      </c>
      <c r="O192" s="28">
        <v>3237</v>
      </c>
      <c r="P192" s="61">
        <f t="shared" ref="P192" si="150">M192*(O192/N192)</f>
        <v>199545.47875702247</v>
      </c>
    </row>
    <row r="193" spans="2:20" s="17" customFormat="1" ht="18" x14ac:dyDescent="0.25">
      <c r="B193" s="8"/>
      <c r="C193" s="21">
        <v>5.1180000000000101</v>
      </c>
      <c r="D193" s="15" t="s">
        <v>301</v>
      </c>
      <c r="E193" s="5">
        <v>7575</v>
      </c>
      <c r="F193" s="5">
        <v>8</v>
      </c>
      <c r="G193" s="5" t="str">
        <f t="shared" si="118"/>
        <v>SDR-35</v>
      </c>
      <c r="H193" s="6">
        <v>35</v>
      </c>
      <c r="I193" s="31" t="s">
        <v>155</v>
      </c>
      <c r="J193" s="31">
        <v>1980</v>
      </c>
      <c r="K193" s="125" t="str">
        <f t="shared" si="115"/>
        <v>$          130.00</v>
      </c>
      <c r="L193" s="35">
        <v>4500</v>
      </c>
      <c r="M193" s="89">
        <f t="shared" si="95"/>
        <v>1142250</v>
      </c>
      <c r="N193" s="28">
        <v>11392</v>
      </c>
      <c r="O193" s="28">
        <v>3237</v>
      </c>
      <c r="P193" s="61">
        <f t="shared" si="96"/>
        <v>324566.64764747192</v>
      </c>
      <c r="Q193" s="171"/>
      <c r="R193" s="171"/>
      <c r="S193" s="171"/>
      <c r="T193" s="171"/>
    </row>
    <row r="194" spans="2:20" s="17" customFormat="1" ht="18" x14ac:dyDescent="0.25">
      <c r="B194" s="8"/>
      <c r="C194" s="21">
        <v>5.1190000000000104</v>
      </c>
      <c r="D194" s="15" t="s">
        <v>302</v>
      </c>
      <c r="E194" s="5">
        <v>12217</v>
      </c>
      <c r="F194" s="5">
        <v>8</v>
      </c>
      <c r="G194" s="5" t="str">
        <f t="shared" si="118"/>
        <v>SDR-35</v>
      </c>
      <c r="H194" s="6">
        <v>60</v>
      </c>
      <c r="I194" s="31" t="s">
        <v>153</v>
      </c>
      <c r="J194" s="31">
        <v>1980</v>
      </c>
      <c r="K194" s="125" t="str">
        <f t="shared" si="115"/>
        <v>$            47.00</v>
      </c>
      <c r="L194" s="35">
        <v>4500</v>
      </c>
      <c r="M194" s="89">
        <f t="shared" si="95"/>
        <v>844199</v>
      </c>
      <c r="N194" s="28">
        <v>11392</v>
      </c>
      <c r="O194" s="28">
        <v>3237</v>
      </c>
      <c r="P194" s="61">
        <f t="shared" si="96"/>
        <v>239876.41880266854</v>
      </c>
      <c r="Q194" s="171"/>
      <c r="R194" s="171"/>
      <c r="S194" s="171"/>
      <c r="T194" s="171"/>
    </row>
    <row r="195" spans="2:20" s="17" customFormat="1" ht="18" x14ac:dyDescent="0.25">
      <c r="B195" s="8"/>
      <c r="C195" s="21">
        <v>5.1200000000000099</v>
      </c>
      <c r="D195" s="15" t="s">
        <v>303</v>
      </c>
      <c r="E195" s="5">
        <v>18669</v>
      </c>
      <c r="F195" s="5">
        <v>8</v>
      </c>
      <c r="G195" s="5" t="str">
        <f t="shared" si="118"/>
        <v>VCP</v>
      </c>
      <c r="H195" s="6">
        <v>76</v>
      </c>
      <c r="I195" s="31" t="s">
        <v>153</v>
      </c>
      <c r="J195" s="31">
        <v>1970</v>
      </c>
      <c r="K195" s="125"/>
      <c r="L195" s="35"/>
      <c r="M195" s="89"/>
      <c r="N195" s="28"/>
      <c r="O195" s="28"/>
      <c r="P195" s="61"/>
      <c r="Q195" s="171"/>
      <c r="R195" s="171"/>
      <c r="S195" s="171"/>
      <c r="T195" s="171"/>
    </row>
    <row r="196" spans="2:20" s="48" customFormat="1" ht="18" x14ac:dyDescent="0.25">
      <c r="B196" s="8"/>
      <c r="C196" s="21">
        <v>5.1210000000000102</v>
      </c>
      <c r="D196" s="15" t="s">
        <v>304</v>
      </c>
      <c r="E196" s="5">
        <v>3327</v>
      </c>
      <c r="F196" s="5">
        <v>8</v>
      </c>
      <c r="G196" s="5" t="str">
        <f t="shared" si="118"/>
        <v>VCP</v>
      </c>
      <c r="H196" s="6">
        <v>28</v>
      </c>
      <c r="I196" s="31" t="s">
        <v>153</v>
      </c>
      <c r="J196" s="31">
        <v>1968</v>
      </c>
      <c r="K196" s="125" t="str">
        <f t="shared" si="115"/>
        <v>$            57.00</v>
      </c>
      <c r="L196" s="35">
        <v>4500</v>
      </c>
      <c r="M196" s="89">
        <f t="shared" ref="M196" si="151">(E196*K196+H196*L196)</f>
        <v>315639</v>
      </c>
      <c r="N196" s="28">
        <v>11392</v>
      </c>
      <c r="O196" s="28">
        <v>1155</v>
      </c>
      <c r="P196" s="61">
        <f t="shared" ref="P196" si="152">M196*(O196/N196)</f>
        <v>32001.6717872191</v>
      </c>
      <c r="Q196" s="171"/>
      <c r="R196" s="171"/>
      <c r="S196" s="171"/>
      <c r="T196" s="171"/>
    </row>
    <row r="197" spans="2:20" s="17" customFormat="1" ht="18" x14ac:dyDescent="0.25">
      <c r="B197" s="8"/>
      <c r="C197" s="21">
        <v>5.1210000000000102</v>
      </c>
      <c r="D197" s="15" t="s">
        <v>304</v>
      </c>
      <c r="E197" s="5">
        <v>1979</v>
      </c>
      <c r="F197" s="5">
        <v>8</v>
      </c>
      <c r="G197" s="5" t="str">
        <f t="shared" si="118"/>
        <v>VCP</v>
      </c>
      <c r="H197" s="6">
        <v>9</v>
      </c>
      <c r="I197" s="31" t="s">
        <v>155</v>
      </c>
      <c r="J197" s="31">
        <v>1968</v>
      </c>
      <c r="K197" s="125" t="str">
        <f t="shared" si="115"/>
        <v>$          140.00</v>
      </c>
      <c r="L197" s="35">
        <v>4500</v>
      </c>
      <c r="M197" s="89">
        <f t="shared" si="95"/>
        <v>317560</v>
      </c>
      <c r="N197" s="28">
        <v>11392</v>
      </c>
      <c r="O197" s="28">
        <v>1155</v>
      </c>
      <c r="P197" s="61">
        <f t="shared" si="96"/>
        <v>32196.436095505618</v>
      </c>
      <c r="Q197" s="171"/>
      <c r="R197" s="171"/>
      <c r="S197" s="171"/>
      <c r="T197" s="171"/>
    </row>
    <row r="198" spans="2:20" s="48" customFormat="1" ht="18" x14ac:dyDescent="0.25">
      <c r="B198" s="8"/>
      <c r="C198" s="21">
        <v>5.1220000000000097</v>
      </c>
      <c r="D198" s="15" t="s">
        <v>305</v>
      </c>
      <c r="E198" s="5">
        <v>517</v>
      </c>
      <c r="F198" s="5">
        <v>8</v>
      </c>
      <c r="G198" s="5" t="str">
        <f t="shared" si="118"/>
        <v>SDR-35</v>
      </c>
      <c r="H198" s="6">
        <v>3</v>
      </c>
      <c r="I198" s="31" t="s">
        <v>153</v>
      </c>
      <c r="J198" s="31">
        <v>1999</v>
      </c>
      <c r="K198" s="125" t="str">
        <f t="shared" si="115"/>
        <v>$            47.00</v>
      </c>
      <c r="L198" s="35">
        <v>4500</v>
      </c>
      <c r="M198" s="89">
        <f t="shared" ref="M198" si="153">(E198*K198+H198*L198)</f>
        <v>37799</v>
      </c>
      <c r="N198" s="28">
        <v>11392</v>
      </c>
      <c r="O198" s="28">
        <v>6059</v>
      </c>
      <c r="P198" s="61">
        <f t="shared" ref="P198" si="154">M198*(O198/N198)</f>
        <v>20103.944961376405</v>
      </c>
      <c r="Q198" s="171"/>
      <c r="R198" s="171"/>
      <c r="S198" s="171"/>
      <c r="T198" s="171"/>
    </row>
    <row r="199" spans="2:20" s="17" customFormat="1" ht="18" x14ac:dyDescent="0.25">
      <c r="B199" s="8"/>
      <c r="C199" s="21">
        <v>5.1220000000000097</v>
      </c>
      <c r="D199" s="15" t="s">
        <v>305</v>
      </c>
      <c r="E199" s="5">
        <v>693</v>
      </c>
      <c r="F199" s="5">
        <v>8</v>
      </c>
      <c r="G199" s="5" t="str">
        <f t="shared" si="118"/>
        <v>SDR-35</v>
      </c>
      <c r="H199" s="6">
        <v>5</v>
      </c>
      <c r="I199" s="31" t="s">
        <v>155</v>
      </c>
      <c r="J199" s="31">
        <v>1999</v>
      </c>
      <c r="K199" s="125" t="str">
        <f t="shared" si="115"/>
        <v>$          130.00</v>
      </c>
      <c r="L199" s="35">
        <v>4500</v>
      </c>
      <c r="M199" s="89">
        <f t="shared" si="95"/>
        <v>112590</v>
      </c>
      <c r="N199" s="28">
        <v>11392</v>
      </c>
      <c r="O199" s="28">
        <v>6059</v>
      </c>
      <c r="P199" s="61">
        <f t="shared" si="96"/>
        <v>59882.620259831456</v>
      </c>
      <c r="Q199" s="171"/>
      <c r="R199" s="171"/>
      <c r="S199" s="171"/>
      <c r="T199" s="171"/>
    </row>
    <row r="200" spans="2:20" s="48" customFormat="1" ht="18" x14ac:dyDescent="0.25">
      <c r="B200" s="8"/>
      <c r="C200" s="21">
        <v>5.12300000000001</v>
      </c>
      <c r="D200" s="15" t="s">
        <v>306</v>
      </c>
      <c r="E200" s="5">
        <f>6843-1278</f>
        <v>5565</v>
      </c>
      <c r="F200" s="5">
        <v>8</v>
      </c>
      <c r="G200" s="5" t="str">
        <f t="shared" si="118"/>
        <v>SDR-35</v>
      </c>
      <c r="H200" s="6">
        <v>35</v>
      </c>
      <c r="I200" s="31" t="s">
        <v>153</v>
      </c>
      <c r="J200" s="31">
        <v>1980</v>
      </c>
      <c r="K200" s="125" t="str">
        <f t="shared" si="115"/>
        <v>$            47.00</v>
      </c>
      <c r="L200" s="35">
        <v>4500</v>
      </c>
      <c r="M200" s="89">
        <f t="shared" ref="M200" si="155">(E200*K200+H200*L200)</f>
        <v>419055</v>
      </c>
      <c r="N200" s="28">
        <v>11392</v>
      </c>
      <c r="O200" s="28">
        <v>3237</v>
      </c>
      <c r="P200" s="61">
        <f t="shared" ref="P200" si="156">M200*(O200/N200)</f>
        <v>119073.12456109551</v>
      </c>
      <c r="Q200" s="171"/>
      <c r="R200" s="171"/>
      <c r="S200" s="171"/>
      <c r="T200" s="171"/>
    </row>
    <row r="201" spans="2:20" s="17" customFormat="1" ht="18" x14ac:dyDescent="0.25">
      <c r="B201" s="8"/>
      <c r="C201" s="21">
        <v>5.12300000000001</v>
      </c>
      <c r="D201" s="15" t="s">
        <v>306</v>
      </c>
      <c r="E201" s="5">
        <v>1278</v>
      </c>
      <c r="F201" s="5">
        <v>8</v>
      </c>
      <c r="G201" s="5" t="str">
        <f t="shared" si="118"/>
        <v>SDR-35</v>
      </c>
      <c r="H201" s="6">
        <v>7</v>
      </c>
      <c r="I201" s="31" t="s">
        <v>155</v>
      </c>
      <c r="J201" s="31">
        <v>1980</v>
      </c>
      <c r="K201" s="125" t="str">
        <f t="shared" si="115"/>
        <v>$          130.00</v>
      </c>
      <c r="L201" s="35">
        <v>4500</v>
      </c>
      <c r="M201" s="89">
        <f t="shared" si="95"/>
        <v>197640</v>
      </c>
      <c r="N201" s="28">
        <v>11392</v>
      </c>
      <c r="O201" s="28">
        <v>3237</v>
      </c>
      <c r="P201" s="61">
        <f t="shared" si="96"/>
        <v>56158.767556179773</v>
      </c>
      <c r="Q201" s="171"/>
      <c r="R201" s="171"/>
      <c r="S201" s="171"/>
      <c r="T201" s="171"/>
    </row>
    <row r="202" spans="2:20" s="48" customFormat="1" ht="18" x14ac:dyDescent="0.25">
      <c r="B202" s="8"/>
      <c r="C202" s="21">
        <v>5.1240000000000103</v>
      </c>
      <c r="D202" s="15" t="s">
        <v>307</v>
      </c>
      <c r="E202" s="5">
        <f>4370+281</f>
        <v>4651</v>
      </c>
      <c r="F202" s="5">
        <v>8</v>
      </c>
      <c r="G202" s="5" t="str">
        <f t="shared" si="118"/>
        <v>SDR-35</v>
      </c>
      <c r="H202" s="6">
        <v>28</v>
      </c>
      <c r="I202" s="31" t="s">
        <v>153</v>
      </c>
      <c r="J202" s="31">
        <v>2020</v>
      </c>
      <c r="K202" s="125" t="str">
        <f t="shared" si="115"/>
        <v>$            47.00</v>
      </c>
      <c r="L202" s="35">
        <v>4500</v>
      </c>
      <c r="M202" s="89">
        <f t="shared" ref="M202" si="157">(E202*K202+H202*L202)</f>
        <v>344597</v>
      </c>
      <c r="N202" s="28">
        <v>11392</v>
      </c>
      <c r="O202" s="28">
        <v>11392</v>
      </c>
      <c r="P202" s="61">
        <f t="shared" ref="P202" si="158">M202*(O202/N202)</f>
        <v>344597</v>
      </c>
      <c r="Q202" s="171"/>
      <c r="R202" s="171"/>
      <c r="S202" s="171"/>
      <c r="T202" s="171"/>
    </row>
    <row r="203" spans="2:20" s="17" customFormat="1" ht="18.75" thickBot="1" x14ac:dyDescent="0.3">
      <c r="B203" s="121"/>
      <c r="C203" s="36">
        <v>5.1240000000000103</v>
      </c>
      <c r="D203" s="16" t="s">
        <v>307</v>
      </c>
      <c r="E203" s="11">
        <f>50+42</f>
        <v>92</v>
      </c>
      <c r="F203" s="11">
        <v>8</v>
      </c>
      <c r="G203" s="5" t="str">
        <f t="shared" si="118"/>
        <v>SDR-35</v>
      </c>
      <c r="H203" s="37">
        <v>0</v>
      </c>
      <c r="I203" s="65" t="s">
        <v>155</v>
      </c>
      <c r="J203" s="65">
        <v>2020</v>
      </c>
      <c r="K203" s="147" t="str">
        <f t="shared" ref="K203:K207" si="159">IF(I203="In Road",(IF(J203&lt;1980,"$          140.00","$          130.00")),(IF(J203&lt;1980,"$            57.00","$            47.00")))</f>
        <v>$          130.00</v>
      </c>
      <c r="L203" s="87">
        <v>4500</v>
      </c>
      <c r="M203" s="91">
        <f t="shared" si="95"/>
        <v>11960</v>
      </c>
      <c r="N203" s="38">
        <v>11392</v>
      </c>
      <c r="O203" s="38">
        <v>11392</v>
      </c>
      <c r="P203" s="64">
        <f t="shared" si="96"/>
        <v>11960</v>
      </c>
      <c r="Q203" s="171"/>
      <c r="R203" s="171"/>
      <c r="S203" s="171"/>
      <c r="T203" s="171"/>
    </row>
    <row r="204" spans="2:20" s="48" customFormat="1" ht="18" x14ac:dyDescent="0.25">
      <c r="B204" s="122"/>
      <c r="C204" s="151">
        <v>5.125</v>
      </c>
      <c r="D204" s="101" t="s">
        <v>308</v>
      </c>
      <c r="E204" s="102">
        <v>2020</v>
      </c>
      <c r="F204" s="102">
        <v>8</v>
      </c>
      <c r="G204" s="5" t="str">
        <f t="shared" si="118"/>
        <v>SDR-35</v>
      </c>
      <c r="H204" s="103">
        <v>11</v>
      </c>
      <c r="I204" s="104" t="s">
        <v>153</v>
      </c>
      <c r="J204" s="104">
        <v>2003</v>
      </c>
      <c r="K204" s="150" t="str">
        <f t="shared" si="159"/>
        <v>$            47.00</v>
      </c>
      <c r="L204" s="105">
        <v>4500</v>
      </c>
      <c r="M204" s="106">
        <f t="shared" ref="M204" si="160">(E204*K204+H204*L204)</f>
        <v>144440</v>
      </c>
      <c r="N204" s="107">
        <v>11392</v>
      </c>
      <c r="O204" s="107">
        <v>6695</v>
      </c>
      <c r="P204" s="108">
        <f t="shared" ref="P204" si="161">M204*(O204/N204)</f>
        <v>84886.393960674162</v>
      </c>
      <c r="Q204" s="171"/>
      <c r="R204" s="171"/>
      <c r="S204" s="171"/>
      <c r="T204" s="171"/>
    </row>
    <row r="205" spans="2:20" s="25" customFormat="1" ht="18" x14ac:dyDescent="0.25">
      <c r="B205" s="8"/>
      <c r="C205" s="21">
        <v>5.125</v>
      </c>
      <c r="D205" s="15" t="s">
        <v>308</v>
      </c>
      <c r="E205" s="5">
        <v>50</v>
      </c>
      <c r="F205" s="5">
        <v>8</v>
      </c>
      <c r="G205" s="5" t="str">
        <f t="shared" ref="G205:G207" si="162">IF(J205&lt;1980, "VCP","SDR-35")</f>
        <v>SDR-35</v>
      </c>
      <c r="H205" s="6">
        <v>1</v>
      </c>
      <c r="I205" s="31" t="s">
        <v>155</v>
      </c>
      <c r="J205" s="31">
        <v>2003</v>
      </c>
      <c r="K205" s="125" t="str">
        <f t="shared" si="159"/>
        <v>$          130.00</v>
      </c>
      <c r="L205" s="35">
        <v>4500</v>
      </c>
      <c r="M205" s="89">
        <f t="shared" si="95"/>
        <v>11000</v>
      </c>
      <c r="N205" s="28">
        <v>11392</v>
      </c>
      <c r="O205" s="28">
        <v>6695</v>
      </c>
      <c r="P205" s="61">
        <f t="shared" si="96"/>
        <v>6464.6242977528091</v>
      </c>
      <c r="Q205" s="171"/>
      <c r="R205" s="171"/>
      <c r="S205" s="171"/>
      <c r="T205" s="171"/>
    </row>
    <row r="206" spans="2:20" s="25" customFormat="1" ht="18" x14ac:dyDescent="0.25">
      <c r="B206" s="8"/>
      <c r="C206" s="21">
        <v>5.1260000000000003</v>
      </c>
      <c r="D206" s="15" t="s">
        <v>309</v>
      </c>
      <c r="E206" s="5">
        <v>710</v>
      </c>
      <c r="F206" s="5">
        <v>8</v>
      </c>
      <c r="G206" s="5" t="str">
        <f t="shared" si="162"/>
        <v>SDR-35</v>
      </c>
      <c r="H206" s="6">
        <v>4</v>
      </c>
      <c r="I206" s="31" t="s">
        <v>153</v>
      </c>
      <c r="J206" s="31">
        <v>2011</v>
      </c>
      <c r="K206" s="125" t="str">
        <f t="shared" si="159"/>
        <v>$            47.00</v>
      </c>
      <c r="L206" s="35">
        <v>4500</v>
      </c>
      <c r="M206" s="89">
        <f t="shared" ref="M206:M207" si="163">(E206*K206+H206*L206)</f>
        <v>51370</v>
      </c>
      <c r="N206" s="28">
        <v>11392</v>
      </c>
      <c r="O206" s="28">
        <v>9070</v>
      </c>
      <c r="P206" s="61">
        <f t="shared" ref="P206:P207" si="164">M206*(O206/N206)</f>
        <v>40899.394311797754</v>
      </c>
      <c r="Q206" s="171"/>
      <c r="R206" s="171"/>
      <c r="S206" s="171"/>
      <c r="T206" s="171"/>
    </row>
    <row r="207" spans="2:20" s="25" customFormat="1" ht="18" x14ac:dyDescent="0.25">
      <c r="B207" s="8"/>
      <c r="C207" s="21">
        <v>5.1269999999999998</v>
      </c>
      <c r="D207" s="15" t="s">
        <v>310</v>
      </c>
      <c r="E207" s="5">
        <v>600</v>
      </c>
      <c r="F207" s="5">
        <v>8</v>
      </c>
      <c r="G207" s="5" t="str">
        <f t="shared" si="162"/>
        <v>SDR-35</v>
      </c>
      <c r="H207" s="6">
        <v>11</v>
      </c>
      <c r="I207" s="31" t="s">
        <v>153</v>
      </c>
      <c r="J207" s="31">
        <v>2011</v>
      </c>
      <c r="K207" s="125" t="str">
        <f t="shared" si="159"/>
        <v>$            47.00</v>
      </c>
      <c r="L207" s="35">
        <v>4500</v>
      </c>
      <c r="M207" s="89">
        <f t="shared" si="163"/>
        <v>77700</v>
      </c>
      <c r="N207" s="28">
        <v>11392</v>
      </c>
      <c r="O207" s="28">
        <v>9070</v>
      </c>
      <c r="P207" s="61">
        <f t="shared" si="164"/>
        <v>61862.622893258427</v>
      </c>
      <c r="Q207" s="171"/>
      <c r="R207" s="171"/>
      <c r="S207" s="171"/>
      <c r="T207" s="171"/>
    </row>
    <row r="208" spans="2:20" s="167" customFormat="1" ht="18" x14ac:dyDescent="0.25">
      <c r="B208" s="8"/>
      <c r="C208" s="21">
        <v>5.1280000000000001</v>
      </c>
      <c r="D208" s="15" t="s">
        <v>80</v>
      </c>
      <c r="E208" s="5">
        <v>433</v>
      </c>
      <c r="F208" s="5">
        <v>8</v>
      </c>
      <c r="G208" s="5" t="s">
        <v>311</v>
      </c>
      <c r="H208" s="6">
        <v>2</v>
      </c>
      <c r="I208" s="31" t="s">
        <v>78</v>
      </c>
      <c r="J208" s="31">
        <v>2021</v>
      </c>
      <c r="K208" s="125" t="s">
        <v>78</v>
      </c>
      <c r="L208" s="35" t="s">
        <v>78</v>
      </c>
      <c r="M208" s="89">
        <v>81280</v>
      </c>
      <c r="N208" s="28" t="s">
        <v>78</v>
      </c>
      <c r="O208" s="28" t="s">
        <v>78</v>
      </c>
      <c r="P208" s="61">
        <f>M208</f>
        <v>81280</v>
      </c>
      <c r="Q208" s="171"/>
      <c r="R208" s="171"/>
      <c r="S208" s="171"/>
      <c r="T208" s="171"/>
    </row>
    <row r="209" spans="2:20" s="18" customFormat="1" ht="18" x14ac:dyDescent="0.25">
      <c r="B209" s="8"/>
      <c r="C209" s="20"/>
      <c r="D209" s="15"/>
      <c r="E209" s="5"/>
      <c r="F209" s="5"/>
      <c r="G209" s="5"/>
      <c r="H209" s="6"/>
      <c r="I209" s="31"/>
      <c r="J209" s="31"/>
      <c r="K209" s="35"/>
      <c r="L209" s="35"/>
      <c r="M209" s="89"/>
      <c r="N209" s="28"/>
      <c r="O209" s="28"/>
      <c r="P209" s="61"/>
      <c r="Q209" s="171"/>
      <c r="R209" s="171"/>
      <c r="S209" s="171"/>
      <c r="T209" s="171"/>
    </row>
    <row r="210" spans="2:20" s="18" customFormat="1" ht="18" x14ac:dyDescent="0.25">
      <c r="B210" s="9">
        <v>361.2</v>
      </c>
      <c r="C210" s="20"/>
      <c r="D210" s="15" t="s">
        <v>312</v>
      </c>
      <c r="E210" s="5"/>
      <c r="F210" s="5"/>
      <c r="G210" s="5"/>
      <c r="H210" s="6"/>
      <c r="I210" s="31"/>
      <c r="J210" s="31"/>
      <c r="K210" s="35"/>
      <c r="L210" s="35"/>
      <c r="M210" s="89"/>
      <c r="N210" s="28"/>
      <c r="O210" s="28"/>
      <c r="P210" s="61"/>
      <c r="Q210" s="171"/>
      <c r="R210" s="171"/>
      <c r="S210" s="51"/>
      <c r="T210" s="171"/>
    </row>
    <row r="211" spans="2:20" s="18" customFormat="1" ht="18" x14ac:dyDescent="0.25">
      <c r="B211" s="8"/>
      <c r="C211" s="21">
        <v>5.1289999999999996</v>
      </c>
      <c r="D211" s="15" t="s">
        <v>313</v>
      </c>
      <c r="E211" s="5">
        <v>2383</v>
      </c>
      <c r="F211" s="5">
        <v>10</v>
      </c>
      <c r="G211" s="5" t="s">
        <v>314</v>
      </c>
      <c r="H211" s="6">
        <v>8</v>
      </c>
      <c r="I211" s="31" t="s">
        <v>153</v>
      </c>
      <c r="J211" s="31">
        <v>1966</v>
      </c>
      <c r="K211" s="35">
        <v>197</v>
      </c>
      <c r="L211" s="35">
        <v>4500</v>
      </c>
      <c r="M211" s="89">
        <f>(E211*K211+H211*L211)</f>
        <v>505451</v>
      </c>
      <c r="N211" s="28">
        <v>11392</v>
      </c>
      <c r="O211" s="28">
        <v>1019</v>
      </c>
      <c r="P211" s="61">
        <f>M211*(O211/N211)</f>
        <v>45211.9530372191</v>
      </c>
      <c r="Q211" s="171"/>
      <c r="R211" s="171"/>
      <c r="S211" s="171"/>
      <c r="T211" s="171"/>
    </row>
    <row r="212" spans="2:20" s="48" customFormat="1" ht="18" x14ac:dyDescent="0.25">
      <c r="B212" s="8"/>
      <c r="C212" s="21">
        <v>5.1289999999999996</v>
      </c>
      <c r="D212" s="15" t="s">
        <v>313</v>
      </c>
      <c r="E212" s="5">
        <v>974</v>
      </c>
      <c r="F212" s="5">
        <v>10</v>
      </c>
      <c r="G212" s="5" t="s">
        <v>315</v>
      </c>
      <c r="H212" s="6">
        <v>4</v>
      </c>
      <c r="I212" s="31" t="s">
        <v>153</v>
      </c>
      <c r="J212" s="31">
        <v>1966</v>
      </c>
      <c r="K212" s="35">
        <v>62</v>
      </c>
      <c r="L212" s="35">
        <v>4500</v>
      </c>
      <c r="M212" s="89">
        <f t="shared" ref="M212:M229" si="165">(E212*K212+H212*L212)</f>
        <v>78388</v>
      </c>
      <c r="N212" s="28">
        <v>11392</v>
      </c>
      <c r="O212" s="28">
        <v>1019</v>
      </c>
      <c r="P212" s="61">
        <f>M212*(O212/N212)</f>
        <v>7011.7075140449433</v>
      </c>
      <c r="Q212" s="171"/>
      <c r="R212" s="171"/>
      <c r="S212" s="171"/>
      <c r="T212" s="171"/>
    </row>
    <row r="213" spans="2:20" s="48" customFormat="1" ht="18" x14ac:dyDescent="0.25">
      <c r="B213" s="8"/>
      <c r="C213" s="21">
        <v>5.1289999999999996</v>
      </c>
      <c r="D213" s="15" t="s">
        <v>313</v>
      </c>
      <c r="E213" s="5">
        <v>164</v>
      </c>
      <c r="F213" s="5">
        <v>10</v>
      </c>
      <c r="G213" s="5" t="s">
        <v>315</v>
      </c>
      <c r="H213" s="6">
        <v>3</v>
      </c>
      <c r="I213" s="31" t="s">
        <v>155</v>
      </c>
      <c r="J213" s="31">
        <v>1966</v>
      </c>
      <c r="K213" s="35">
        <v>145</v>
      </c>
      <c r="L213" s="35">
        <v>4500</v>
      </c>
      <c r="M213" s="89">
        <f t="shared" si="165"/>
        <v>37280</v>
      </c>
      <c r="N213" s="28">
        <v>11392</v>
      </c>
      <c r="O213" s="28">
        <v>1019</v>
      </c>
      <c r="P213" s="61">
        <f>M213*(O213/N213)</f>
        <v>3334.6488764044943</v>
      </c>
      <c r="Q213" s="171"/>
      <c r="R213" s="171"/>
      <c r="S213" s="171"/>
      <c r="T213" s="171"/>
    </row>
    <row r="214" spans="2:20" s="18" customFormat="1" ht="18" x14ac:dyDescent="0.25">
      <c r="B214" s="8"/>
      <c r="C214" s="21">
        <v>5.1289999999999996</v>
      </c>
      <c r="D214" s="15" t="s">
        <v>313</v>
      </c>
      <c r="E214" s="5">
        <v>7918</v>
      </c>
      <c r="F214" s="5">
        <v>12</v>
      </c>
      <c r="G214" s="5" t="s">
        <v>315</v>
      </c>
      <c r="H214" s="6">
        <v>29</v>
      </c>
      <c r="I214" s="31" t="s">
        <v>153</v>
      </c>
      <c r="J214" s="31">
        <v>1966</v>
      </c>
      <c r="K214" s="35">
        <v>70</v>
      </c>
      <c r="L214" s="35">
        <v>4500</v>
      </c>
      <c r="M214" s="89">
        <f t="shared" si="165"/>
        <v>684760</v>
      </c>
      <c r="N214" s="28">
        <v>11392</v>
      </c>
      <c r="O214" s="28">
        <v>1019</v>
      </c>
      <c r="P214" s="61">
        <f t="shared" ref="P214" si="166">M214*(O214/N214)</f>
        <v>61250.916432584265</v>
      </c>
      <c r="Q214" s="171"/>
      <c r="R214" s="171"/>
      <c r="S214" s="171"/>
      <c r="T214" s="171"/>
    </row>
    <row r="215" spans="2:20" s="48" customFormat="1" ht="18" x14ac:dyDescent="0.25">
      <c r="B215" s="8"/>
      <c r="C215" s="21">
        <v>5.13</v>
      </c>
      <c r="D215" s="15" t="s">
        <v>316</v>
      </c>
      <c r="E215" s="5">
        <v>1120</v>
      </c>
      <c r="F215" s="5">
        <v>10</v>
      </c>
      <c r="G215" s="5" t="s">
        <v>315</v>
      </c>
      <c r="H215" s="6">
        <v>4</v>
      </c>
      <c r="I215" s="31" t="s">
        <v>153</v>
      </c>
      <c r="J215" s="31">
        <v>1966</v>
      </c>
      <c r="K215" s="35">
        <v>62</v>
      </c>
      <c r="L215" s="35">
        <v>4500</v>
      </c>
      <c r="M215" s="89">
        <f t="shared" si="165"/>
        <v>87440</v>
      </c>
      <c r="N215" s="28">
        <v>11392</v>
      </c>
      <c r="O215" s="28">
        <v>1019</v>
      </c>
      <c r="P215" s="61">
        <f t="shared" ref="P215" si="167">M215*(O215/N215)</f>
        <v>7821.3974719101116</v>
      </c>
      <c r="Q215" s="171"/>
      <c r="R215" s="171"/>
      <c r="S215" s="171"/>
      <c r="T215" s="171"/>
    </row>
    <row r="216" spans="2:20" s="18" customFormat="1" ht="18" x14ac:dyDescent="0.25">
      <c r="B216" s="8"/>
      <c r="C216" s="21">
        <v>5.13</v>
      </c>
      <c r="D216" s="15" t="s">
        <v>317</v>
      </c>
      <c r="E216" s="5">
        <v>2159</v>
      </c>
      <c r="F216" s="5">
        <v>10</v>
      </c>
      <c r="G216" s="5" t="s">
        <v>315</v>
      </c>
      <c r="H216" s="6">
        <v>8</v>
      </c>
      <c r="I216" s="31" t="s">
        <v>153</v>
      </c>
      <c r="J216" s="31">
        <v>1966</v>
      </c>
      <c r="K216" s="35"/>
      <c r="L216" s="35"/>
      <c r="M216" s="89"/>
      <c r="N216" s="28"/>
      <c r="O216" s="28"/>
      <c r="P216" s="61"/>
      <c r="Q216" s="171"/>
      <c r="R216" s="171"/>
      <c r="S216" s="171"/>
      <c r="T216" s="171"/>
    </row>
    <row r="217" spans="2:20" s="18" customFormat="1" ht="18" x14ac:dyDescent="0.25">
      <c r="B217" s="8"/>
      <c r="C217" s="21">
        <v>5.13</v>
      </c>
      <c r="D217" s="15" t="s">
        <v>318</v>
      </c>
      <c r="E217" s="5">
        <v>274</v>
      </c>
      <c r="F217" s="5">
        <v>12</v>
      </c>
      <c r="G217" s="5" t="s">
        <v>315</v>
      </c>
      <c r="H217" s="6">
        <v>2</v>
      </c>
      <c r="I217" s="31" t="s">
        <v>153</v>
      </c>
      <c r="J217" s="31">
        <v>1966</v>
      </c>
      <c r="K217" s="35"/>
      <c r="L217" s="35"/>
      <c r="M217" s="89"/>
      <c r="N217" s="28"/>
      <c r="O217" s="28"/>
      <c r="P217" s="61"/>
      <c r="Q217" s="171"/>
      <c r="R217" s="171"/>
      <c r="S217" s="171"/>
      <c r="T217" s="171"/>
    </row>
    <row r="218" spans="2:20" s="18" customFormat="1" ht="18" x14ac:dyDescent="0.25">
      <c r="B218" s="8"/>
      <c r="C218" s="21">
        <v>5.1310000000000002</v>
      </c>
      <c r="D218" s="15" t="s">
        <v>319</v>
      </c>
      <c r="E218" s="5">
        <v>4020</v>
      </c>
      <c r="F218" s="5">
        <v>27</v>
      </c>
      <c r="G218" s="5" t="s">
        <v>320</v>
      </c>
      <c r="H218" s="6">
        <v>21</v>
      </c>
      <c r="I218" s="31" t="s">
        <v>153</v>
      </c>
      <c r="J218" s="31">
        <v>1992</v>
      </c>
      <c r="K218" s="35">
        <v>110</v>
      </c>
      <c r="L218" s="35">
        <v>4500</v>
      </c>
      <c r="M218" s="89">
        <f t="shared" si="165"/>
        <v>536700</v>
      </c>
      <c r="N218" s="28">
        <v>11392</v>
      </c>
      <c r="O218" s="28">
        <v>4985</v>
      </c>
      <c r="P218" s="61">
        <f t="shared" ref="P218:P229" si="168">M218*(O218/N218)</f>
        <v>234853.36200842695</v>
      </c>
      <c r="Q218" s="171"/>
      <c r="R218" s="171"/>
      <c r="S218" s="171"/>
      <c r="T218" s="171"/>
    </row>
    <row r="219" spans="2:20" s="48" customFormat="1" ht="18" x14ac:dyDescent="0.25">
      <c r="B219" s="8"/>
      <c r="C219" s="21">
        <v>5.1310000000000002</v>
      </c>
      <c r="D219" s="15" t="s">
        <v>319</v>
      </c>
      <c r="E219" s="5">
        <v>11754</v>
      </c>
      <c r="F219" s="5">
        <v>30</v>
      </c>
      <c r="G219" s="5" t="s">
        <v>320</v>
      </c>
      <c r="H219" s="6">
        <v>33</v>
      </c>
      <c r="I219" s="31" t="s">
        <v>153</v>
      </c>
      <c r="J219" s="31">
        <v>1992</v>
      </c>
      <c r="K219" s="35">
        <v>122</v>
      </c>
      <c r="L219" s="35">
        <v>4500</v>
      </c>
      <c r="M219" s="89">
        <f t="shared" si="165"/>
        <v>1582488</v>
      </c>
      <c r="N219" s="28">
        <v>11392</v>
      </c>
      <c r="O219" s="28">
        <v>4985</v>
      </c>
      <c r="P219" s="61">
        <f t="shared" ref="P219:P220" si="169">M219*(O219/N219)</f>
        <v>692477.4122191011</v>
      </c>
      <c r="Q219" s="171"/>
      <c r="R219" s="171"/>
      <c r="S219" s="171"/>
      <c r="T219" s="171"/>
    </row>
    <row r="220" spans="2:20" s="48" customFormat="1" ht="18" x14ac:dyDescent="0.25">
      <c r="B220" s="8"/>
      <c r="C220" s="21">
        <v>5.1319999999999997</v>
      </c>
      <c r="D220" s="15" t="s">
        <v>321</v>
      </c>
      <c r="E220" s="5">
        <v>5440</v>
      </c>
      <c r="F220" s="5">
        <v>15</v>
      </c>
      <c r="G220" s="5" t="s">
        <v>322</v>
      </c>
      <c r="H220" s="6">
        <v>49</v>
      </c>
      <c r="I220" s="31" t="s">
        <v>153</v>
      </c>
      <c r="J220" s="31">
        <v>1992</v>
      </c>
      <c r="K220" s="35">
        <v>177</v>
      </c>
      <c r="L220" s="35">
        <v>4500</v>
      </c>
      <c r="M220" s="89">
        <f t="shared" si="165"/>
        <v>1183380</v>
      </c>
      <c r="N220" s="28">
        <v>11392</v>
      </c>
      <c r="O220" s="28">
        <v>4985</v>
      </c>
      <c r="P220" s="61">
        <f t="shared" si="169"/>
        <v>517832.62816011236</v>
      </c>
      <c r="Q220" s="171"/>
      <c r="R220" s="171"/>
      <c r="S220" s="171"/>
      <c r="T220" s="171"/>
    </row>
    <row r="221" spans="2:20" s="18" customFormat="1" ht="18" x14ac:dyDescent="0.25">
      <c r="B221" s="8"/>
      <c r="C221" s="21">
        <v>5.1319999999999997</v>
      </c>
      <c r="D221" s="15" t="s">
        <v>321</v>
      </c>
      <c r="E221" s="5">
        <v>875</v>
      </c>
      <c r="F221" s="5">
        <v>15</v>
      </c>
      <c r="G221" s="5" t="s">
        <v>322</v>
      </c>
      <c r="H221" s="6">
        <v>3</v>
      </c>
      <c r="I221" s="31" t="s">
        <v>155</v>
      </c>
      <c r="J221" s="31">
        <v>1992</v>
      </c>
      <c r="K221" s="35">
        <v>177</v>
      </c>
      <c r="L221" s="35">
        <v>4500</v>
      </c>
      <c r="M221" s="89">
        <f t="shared" si="165"/>
        <v>168375</v>
      </c>
      <c r="N221" s="28">
        <v>11392</v>
      </c>
      <c r="O221" s="28">
        <v>4985</v>
      </c>
      <c r="P221" s="61">
        <f t="shared" si="168"/>
        <v>73678.84260884831</v>
      </c>
      <c r="Q221" s="171"/>
      <c r="R221" s="171"/>
      <c r="S221" s="171"/>
      <c r="T221" s="171"/>
    </row>
    <row r="222" spans="2:20" s="48" customFormat="1" ht="18" x14ac:dyDescent="0.25">
      <c r="B222" s="8"/>
      <c r="C222" s="21">
        <v>5.133</v>
      </c>
      <c r="D222" s="15" t="s">
        <v>323</v>
      </c>
      <c r="E222" s="5">
        <f>2917-1550</f>
        <v>1367</v>
      </c>
      <c r="F222" s="5">
        <v>12</v>
      </c>
      <c r="G222" s="5" t="s">
        <v>315</v>
      </c>
      <c r="H222" s="6">
        <v>9</v>
      </c>
      <c r="I222" s="31" t="s">
        <v>153</v>
      </c>
      <c r="J222" s="31">
        <v>1966</v>
      </c>
      <c r="K222" s="35">
        <v>70</v>
      </c>
      <c r="L222" s="35">
        <v>4500</v>
      </c>
      <c r="M222" s="89">
        <f t="shared" si="165"/>
        <v>136190</v>
      </c>
      <c r="N222" s="28">
        <v>11392</v>
      </c>
      <c r="O222" s="28">
        <v>1019</v>
      </c>
      <c r="P222" s="61">
        <f t="shared" ref="P222" si="170">M222*(O222/N222)</f>
        <v>12182.0233497191</v>
      </c>
      <c r="Q222" s="171"/>
      <c r="R222" s="171"/>
      <c r="S222" s="171"/>
      <c r="T222" s="171"/>
    </row>
    <row r="223" spans="2:20" s="18" customFormat="1" ht="18" x14ac:dyDescent="0.25">
      <c r="B223" s="8"/>
      <c r="C223" s="21">
        <v>5.133</v>
      </c>
      <c r="D223" s="15" t="s">
        <v>323</v>
      </c>
      <c r="E223" s="5">
        <v>1550</v>
      </c>
      <c r="F223" s="5">
        <v>12</v>
      </c>
      <c r="G223" s="5" t="s">
        <v>315</v>
      </c>
      <c r="H223" s="6">
        <v>9</v>
      </c>
      <c r="I223" s="31" t="s">
        <v>153</v>
      </c>
      <c r="J223" s="31">
        <v>1966</v>
      </c>
      <c r="K223" s="35">
        <v>70</v>
      </c>
      <c r="L223" s="35">
        <v>4500</v>
      </c>
      <c r="M223" s="89">
        <f t="shared" si="165"/>
        <v>149000</v>
      </c>
      <c r="N223" s="28">
        <v>11392</v>
      </c>
      <c r="O223" s="28">
        <v>1019</v>
      </c>
      <c r="P223" s="61">
        <f t="shared" si="168"/>
        <v>13327.861657303371</v>
      </c>
      <c r="Q223" s="171"/>
      <c r="R223" s="171"/>
      <c r="S223" s="171"/>
      <c r="T223" s="171"/>
    </row>
    <row r="224" spans="2:20" s="48" customFormat="1" ht="18" x14ac:dyDescent="0.25">
      <c r="B224" s="8"/>
      <c r="C224" s="21">
        <v>5.1340000000000003</v>
      </c>
      <c r="D224" s="15" t="s">
        <v>324</v>
      </c>
      <c r="E224" s="5">
        <f>3217-1019</f>
        <v>2198</v>
      </c>
      <c r="F224" s="5">
        <v>10</v>
      </c>
      <c r="G224" s="5" t="s">
        <v>315</v>
      </c>
      <c r="H224" s="6">
        <v>9</v>
      </c>
      <c r="I224" s="31" t="s">
        <v>153</v>
      </c>
      <c r="J224" s="31">
        <v>1966</v>
      </c>
      <c r="K224" s="35">
        <v>62</v>
      </c>
      <c r="L224" s="35">
        <v>4500</v>
      </c>
      <c r="M224" s="89">
        <f t="shared" si="165"/>
        <v>176776</v>
      </c>
      <c r="N224" s="28">
        <v>11392</v>
      </c>
      <c r="O224" s="28">
        <v>1019</v>
      </c>
      <c r="P224" s="61">
        <f t="shared" ref="P224" si="171">M224*(O224/N224)</f>
        <v>15812.38974719101</v>
      </c>
      <c r="Q224" s="171"/>
      <c r="R224" s="171"/>
      <c r="S224" s="171"/>
      <c r="T224" s="171"/>
    </row>
    <row r="225" spans="2:20" s="18" customFormat="1" ht="18" x14ac:dyDescent="0.25">
      <c r="B225" s="8"/>
      <c r="C225" s="21">
        <v>5.1340000000000003</v>
      </c>
      <c r="D225" s="15" t="s">
        <v>324</v>
      </c>
      <c r="E225" s="5">
        <v>1019</v>
      </c>
      <c r="F225" s="5">
        <v>10</v>
      </c>
      <c r="G225" s="5" t="s">
        <v>315</v>
      </c>
      <c r="H225" s="6">
        <v>4</v>
      </c>
      <c r="I225" s="31" t="s">
        <v>155</v>
      </c>
      <c r="J225" s="31">
        <v>1966</v>
      </c>
      <c r="K225" s="35">
        <v>145</v>
      </c>
      <c r="L225" s="35">
        <v>4500</v>
      </c>
      <c r="M225" s="89">
        <f t="shared" si="165"/>
        <v>165755</v>
      </c>
      <c r="N225" s="28">
        <v>11392</v>
      </c>
      <c r="O225" s="28">
        <v>1019</v>
      </c>
      <c r="P225" s="61">
        <f t="shared" si="168"/>
        <v>14826.575228230337</v>
      </c>
      <c r="Q225" s="171"/>
      <c r="R225" s="171"/>
      <c r="S225" s="171"/>
      <c r="T225" s="171"/>
    </row>
    <row r="226" spans="2:20" s="48" customFormat="1" ht="18" x14ac:dyDescent="0.25">
      <c r="B226" s="8"/>
      <c r="C226" s="21">
        <v>5.1349999999999998</v>
      </c>
      <c r="D226" s="15" t="s">
        <v>325</v>
      </c>
      <c r="E226" s="5">
        <v>3541</v>
      </c>
      <c r="F226" s="5">
        <v>12</v>
      </c>
      <c r="G226" s="5" t="s">
        <v>315</v>
      </c>
      <c r="H226" s="6">
        <v>9</v>
      </c>
      <c r="I226" s="31" t="s">
        <v>153</v>
      </c>
      <c r="J226" s="31">
        <v>1966</v>
      </c>
      <c r="K226" s="35">
        <v>70</v>
      </c>
      <c r="L226" s="35">
        <v>4500</v>
      </c>
      <c r="M226" s="89">
        <f t="shared" si="165"/>
        <v>288370</v>
      </c>
      <c r="N226" s="28">
        <v>11392</v>
      </c>
      <c r="O226" s="28">
        <v>1019</v>
      </c>
      <c r="P226" s="61">
        <f t="shared" si="168"/>
        <v>25794.33198735955</v>
      </c>
      <c r="Q226" s="171"/>
      <c r="R226" s="171"/>
      <c r="S226" s="171"/>
      <c r="T226" s="171"/>
    </row>
    <row r="227" spans="2:20" s="48" customFormat="1" ht="18" x14ac:dyDescent="0.25">
      <c r="B227" s="8"/>
      <c r="C227" s="21">
        <v>5.1349999999999998</v>
      </c>
      <c r="D227" s="15" t="s">
        <v>325</v>
      </c>
      <c r="E227" s="5">
        <v>836</v>
      </c>
      <c r="F227" s="5">
        <v>12</v>
      </c>
      <c r="G227" s="5" t="s">
        <v>315</v>
      </c>
      <c r="H227" s="6">
        <v>4</v>
      </c>
      <c r="I227" s="31" t="s">
        <v>155</v>
      </c>
      <c r="J227" s="31">
        <v>1966</v>
      </c>
      <c r="K227" s="35">
        <v>151</v>
      </c>
      <c r="L227" s="35">
        <v>4500</v>
      </c>
      <c r="M227" s="89">
        <f t="shared" si="165"/>
        <v>144236</v>
      </c>
      <c r="N227" s="28">
        <v>11392</v>
      </c>
      <c r="O227" s="28">
        <v>1019</v>
      </c>
      <c r="P227" s="61">
        <f t="shared" ref="P227" si="172">M227*(O227/N227)</f>
        <v>12901.727879213482</v>
      </c>
      <c r="Q227" s="171"/>
      <c r="R227" s="171"/>
      <c r="S227" s="171"/>
      <c r="T227" s="171"/>
    </row>
    <row r="228" spans="2:20" s="48" customFormat="1" ht="18" x14ac:dyDescent="0.25">
      <c r="B228" s="8"/>
      <c r="C228" s="21">
        <v>5.1360000000000001</v>
      </c>
      <c r="D228" s="15" t="s">
        <v>326</v>
      </c>
      <c r="E228" s="5">
        <v>2061</v>
      </c>
      <c r="F228" s="5">
        <v>10</v>
      </c>
      <c r="G228" s="5" t="s">
        <v>315</v>
      </c>
      <c r="H228" s="6">
        <v>7</v>
      </c>
      <c r="I228" s="31" t="s">
        <v>327</v>
      </c>
      <c r="J228" s="31">
        <v>1966</v>
      </c>
      <c r="K228" s="35">
        <v>145</v>
      </c>
      <c r="L228" s="35">
        <v>4500</v>
      </c>
      <c r="M228" s="89">
        <f t="shared" si="165"/>
        <v>330345</v>
      </c>
      <c r="N228" s="28">
        <v>11392</v>
      </c>
      <c r="O228" s="28">
        <v>1019</v>
      </c>
      <c r="P228" s="61">
        <f t="shared" ref="P228" si="173">M228*(O228/N228)</f>
        <v>29548.942679073032</v>
      </c>
      <c r="Q228" s="171"/>
      <c r="R228" s="171"/>
      <c r="S228" s="171"/>
      <c r="T228" s="171"/>
    </row>
    <row r="229" spans="2:20" s="18" customFormat="1" ht="18.75" thickBot="1" x14ac:dyDescent="0.3">
      <c r="B229" s="8"/>
      <c r="C229" s="21">
        <v>5.1360000000000001</v>
      </c>
      <c r="D229" s="15" t="s">
        <v>326</v>
      </c>
      <c r="E229" s="5">
        <v>2479</v>
      </c>
      <c r="F229" s="5">
        <v>12</v>
      </c>
      <c r="G229" s="5" t="s">
        <v>315</v>
      </c>
      <c r="H229" s="6">
        <v>7</v>
      </c>
      <c r="I229" s="31" t="s">
        <v>155</v>
      </c>
      <c r="J229" s="31">
        <v>1966</v>
      </c>
      <c r="K229" s="35">
        <v>151</v>
      </c>
      <c r="L229" s="35">
        <v>4500</v>
      </c>
      <c r="M229" s="89">
        <f t="shared" si="165"/>
        <v>405829</v>
      </c>
      <c r="N229" s="28">
        <v>11392</v>
      </c>
      <c r="O229" s="28">
        <v>1019</v>
      </c>
      <c r="P229" s="61">
        <f t="shared" si="168"/>
        <v>36300.891063904492</v>
      </c>
      <c r="Q229" s="171"/>
      <c r="R229" s="171"/>
      <c r="S229" s="171"/>
      <c r="T229" s="171"/>
    </row>
    <row r="230" spans="2:20" s="25" customFormat="1" ht="18" x14ac:dyDescent="0.25">
      <c r="B230" s="67"/>
      <c r="C230" s="68"/>
      <c r="D230" s="69"/>
      <c r="E230" s="70"/>
      <c r="F230" s="71"/>
      <c r="G230" s="71"/>
      <c r="H230" s="73"/>
      <c r="I230" s="72"/>
      <c r="J230" s="72"/>
      <c r="K230" s="72"/>
      <c r="L230" s="72"/>
      <c r="M230" s="72"/>
      <c r="N230" s="73"/>
      <c r="O230" s="73"/>
      <c r="P230" s="81"/>
      <c r="Q230" s="171"/>
      <c r="R230" s="171"/>
      <c r="S230" s="171"/>
      <c r="T230" s="171"/>
    </row>
    <row r="231" spans="2:20" s="25" customFormat="1" ht="18.75" thickBot="1" x14ac:dyDescent="0.3">
      <c r="B231" s="214" t="s">
        <v>328</v>
      </c>
      <c r="C231" s="215"/>
      <c r="D231" s="215"/>
      <c r="E231" s="215"/>
      <c r="F231" s="215"/>
      <c r="G231" s="215"/>
      <c r="H231" s="215"/>
      <c r="I231" s="215"/>
      <c r="J231" s="215"/>
      <c r="K231" s="215"/>
      <c r="L231" s="215"/>
      <c r="M231" s="215"/>
      <c r="N231" s="215"/>
      <c r="O231" s="215"/>
      <c r="P231" s="115">
        <f>SUM(P10:P229)</f>
        <v>22142440.897032987</v>
      </c>
      <c r="Q231" s="171"/>
      <c r="R231" s="171"/>
      <c r="S231" s="171"/>
      <c r="T231" s="171"/>
    </row>
    <row r="232" spans="2:20" s="25" customFormat="1" x14ac:dyDescent="0.2">
      <c r="B232" s="206" t="s">
        <v>90</v>
      </c>
      <c r="C232" s="206"/>
      <c r="D232" s="206"/>
      <c r="E232" s="206"/>
      <c r="F232" s="206"/>
      <c r="G232" s="206"/>
      <c r="H232" s="206"/>
      <c r="I232" s="206"/>
      <c r="J232" s="206"/>
      <c r="K232" s="206"/>
      <c r="L232" s="206"/>
      <c r="M232" s="206"/>
      <c r="N232" s="206"/>
      <c r="O232" s="206"/>
      <c r="P232" s="206"/>
      <c r="Q232" s="171"/>
      <c r="R232" s="171"/>
      <c r="S232" s="171"/>
      <c r="T232" s="171"/>
    </row>
    <row r="233" spans="2:20" s="18" customFormat="1" x14ac:dyDescent="0.2">
      <c r="B233" s="171" t="s">
        <v>157</v>
      </c>
      <c r="C233" s="120"/>
      <c r="D233" s="171"/>
      <c r="E233" s="1"/>
      <c r="F233" s="1"/>
      <c r="G233" s="1"/>
      <c r="H233" s="1"/>
      <c r="I233" s="171"/>
      <c r="J233" s="171"/>
      <c r="K233" s="171"/>
      <c r="L233" s="171"/>
      <c r="M233" s="171"/>
      <c r="N233" s="171"/>
      <c r="O233" s="171"/>
      <c r="P233" s="171"/>
      <c r="Q233" s="171"/>
      <c r="R233" s="171"/>
      <c r="S233" s="171"/>
      <c r="T233" s="171"/>
    </row>
    <row r="234" spans="2:20" s="18" customFormat="1" x14ac:dyDescent="0.2">
      <c r="B234" s="171"/>
      <c r="C234" s="120"/>
      <c r="D234" s="171"/>
      <c r="E234" s="1"/>
      <c r="F234" s="1"/>
      <c r="G234" s="1"/>
      <c r="H234" s="1"/>
      <c r="I234" s="171"/>
      <c r="J234" s="171"/>
      <c r="K234" s="171"/>
      <c r="L234" s="171"/>
      <c r="M234" s="171"/>
      <c r="N234" s="171"/>
      <c r="O234" s="171"/>
      <c r="P234" s="171"/>
      <c r="Q234" s="171"/>
      <c r="R234" s="171"/>
      <c r="S234" s="171"/>
      <c r="T234" s="171"/>
    </row>
    <row r="235" spans="2:20" s="18" customFormat="1" x14ac:dyDescent="0.2">
      <c r="B235" s="171"/>
      <c r="C235" s="120"/>
      <c r="D235" s="171"/>
      <c r="E235" s="1"/>
      <c r="F235" s="1"/>
      <c r="G235" s="1"/>
      <c r="H235" s="1"/>
      <c r="I235" s="171"/>
      <c r="J235" s="171"/>
      <c r="K235" s="171"/>
      <c r="L235" s="171"/>
      <c r="M235" s="171"/>
      <c r="N235" s="171"/>
      <c r="O235" s="171"/>
      <c r="P235" s="171"/>
      <c r="Q235" s="171"/>
      <c r="R235" s="171"/>
      <c r="S235" s="171"/>
      <c r="T235" s="171"/>
    </row>
    <row r="236" spans="2:20" s="18" customFormat="1" x14ac:dyDescent="0.2">
      <c r="B236" s="171"/>
      <c r="C236" s="120"/>
      <c r="D236" s="171"/>
      <c r="E236" s="1"/>
      <c r="F236" s="1"/>
      <c r="G236" s="1"/>
      <c r="H236" s="1"/>
      <c r="I236" s="171"/>
      <c r="J236" s="171"/>
      <c r="K236" s="171"/>
      <c r="L236" s="171"/>
      <c r="M236" s="171"/>
      <c r="N236" s="171"/>
      <c r="O236" s="171"/>
      <c r="P236" s="171"/>
      <c r="Q236" s="171"/>
      <c r="R236" s="171"/>
      <c r="S236" s="171"/>
      <c r="T236" s="171"/>
    </row>
    <row r="237" spans="2:20" s="18" customFormat="1" x14ac:dyDescent="0.2">
      <c r="B237" s="171"/>
      <c r="C237" s="120"/>
      <c r="D237" s="171"/>
      <c r="E237" s="1"/>
      <c r="F237" s="1"/>
      <c r="G237" s="1"/>
      <c r="H237" s="1"/>
      <c r="I237" s="171"/>
      <c r="J237" s="171"/>
      <c r="K237" s="171"/>
      <c r="L237" s="171"/>
      <c r="M237" s="171"/>
      <c r="N237" s="171"/>
      <c r="O237" s="171"/>
      <c r="P237" s="171"/>
      <c r="Q237" s="171"/>
      <c r="R237" s="171"/>
      <c r="S237" s="171"/>
      <c r="T237" s="171"/>
    </row>
    <row r="238" spans="2:20" s="18" customFormat="1" x14ac:dyDescent="0.2">
      <c r="B238" s="171"/>
      <c r="C238" s="120"/>
      <c r="D238" s="171"/>
      <c r="E238" s="1"/>
      <c r="F238" s="1"/>
      <c r="G238" s="1"/>
      <c r="H238" s="1"/>
      <c r="I238" s="171"/>
      <c r="J238" s="171"/>
      <c r="K238" s="171"/>
      <c r="L238" s="171"/>
      <c r="M238" s="171"/>
      <c r="N238" s="171"/>
      <c r="O238" s="171"/>
      <c r="P238" s="171"/>
      <c r="Q238" s="171"/>
      <c r="R238" s="171"/>
      <c r="S238" s="171"/>
      <c r="T238" s="171"/>
    </row>
    <row r="239" spans="2:20" s="17" customFormat="1" x14ac:dyDescent="0.2">
      <c r="B239" s="171"/>
      <c r="C239" s="120"/>
      <c r="D239" s="171"/>
      <c r="E239" s="1"/>
      <c r="F239" s="1"/>
      <c r="G239" s="1"/>
      <c r="H239" s="1"/>
      <c r="I239" s="171"/>
      <c r="J239" s="171"/>
      <c r="K239" s="171"/>
      <c r="L239" s="171"/>
      <c r="M239" s="171"/>
      <c r="N239" s="171"/>
      <c r="O239" s="171"/>
      <c r="P239" s="171"/>
      <c r="Q239" s="171"/>
      <c r="R239" s="171"/>
      <c r="S239" s="171"/>
      <c r="T239" s="171"/>
    </row>
    <row r="240" spans="2:20" s="17" customFormat="1" x14ac:dyDescent="0.2">
      <c r="B240" s="171"/>
      <c r="C240" s="120"/>
      <c r="D240" s="171"/>
      <c r="E240" s="1"/>
      <c r="F240" s="1"/>
      <c r="G240" s="1"/>
      <c r="H240" s="1"/>
      <c r="I240" s="171"/>
      <c r="J240" s="171"/>
      <c r="K240" s="171"/>
      <c r="L240" s="171"/>
      <c r="M240" s="171"/>
      <c r="N240" s="171"/>
      <c r="O240" s="171"/>
      <c r="P240" s="171"/>
      <c r="Q240" s="171"/>
      <c r="R240" s="171"/>
      <c r="S240" s="171"/>
      <c r="T240" s="171"/>
    </row>
    <row r="241" spans="2:17" s="17" customFormat="1" x14ac:dyDescent="0.2">
      <c r="B241" s="171"/>
      <c r="C241" s="120"/>
      <c r="D241" s="171"/>
      <c r="E241" s="1"/>
      <c r="F241" s="1"/>
      <c r="G241" s="1"/>
      <c r="H241" s="1"/>
      <c r="I241" s="171"/>
      <c r="J241" s="171"/>
      <c r="K241" s="171"/>
      <c r="L241" s="171"/>
      <c r="M241" s="171"/>
      <c r="N241" s="171"/>
      <c r="O241" s="171"/>
      <c r="P241" s="171"/>
      <c r="Q241" s="171"/>
    </row>
    <row r="242" spans="2:17" s="18" customFormat="1" x14ac:dyDescent="0.2">
      <c r="B242" s="171"/>
      <c r="C242" s="120"/>
      <c r="D242" s="171"/>
      <c r="E242" s="1"/>
      <c r="F242" s="1"/>
      <c r="G242" s="1"/>
      <c r="H242" s="1"/>
      <c r="I242" s="171"/>
      <c r="J242" s="171"/>
      <c r="K242" s="171"/>
      <c r="L242" s="171"/>
      <c r="M242" s="171"/>
      <c r="N242" s="171"/>
      <c r="O242" s="171"/>
      <c r="P242" s="171"/>
      <c r="Q242" s="171"/>
    </row>
    <row r="243" spans="2:17" s="18" customFormat="1" x14ac:dyDescent="0.2">
      <c r="B243" s="171"/>
      <c r="C243" s="120"/>
      <c r="D243" s="171"/>
      <c r="E243" s="1"/>
      <c r="F243" s="1"/>
      <c r="G243" s="1"/>
      <c r="H243" s="1"/>
      <c r="I243" s="171"/>
      <c r="J243" s="171"/>
      <c r="K243" s="171"/>
      <c r="L243" s="171"/>
      <c r="M243" s="171"/>
      <c r="N243" s="171"/>
      <c r="O243" s="171"/>
      <c r="P243" s="171"/>
      <c r="Q243" s="171"/>
    </row>
    <row r="244" spans="2:17" s="18" customFormat="1" x14ac:dyDescent="0.2">
      <c r="B244" s="171"/>
      <c r="C244" s="120"/>
      <c r="D244" s="171"/>
      <c r="E244" s="1"/>
      <c r="F244" s="1"/>
      <c r="G244" s="1"/>
      <c r="H244" s="1"/>
      <c r="I244" s="171"/>
      <c r="J244" s="171"/>
      <c r="K244" s="171"/>
      <c r="L244" s="171"/>
      <c r="M244" s="171"/>
      <c r="N244" s="171"/>
      <c r="O244" s="171"/>
      <c r="P244" s="171"/>
      <c r="Q244" s="171"/>
    </row>
    <row r="245" spans="2:17" x14ac:dyDescent="0.2">
      <c r="B245" s="171"/>
      <c r="D245" s="171"/>
      <c r="I245" s="171"/>
      <c r="J245" s="171"/>
      <c r="K245" s="171"/>
      <c r="L245" s="171"/>
      <c r="M245" s="171"/>
      <c r="N245" s="171"/>
      <c r="O245" s="171"/>
      <c r="P245" s="171"/>
      <c r="Q245" s="171"/>
    </row>
    <row r="246" spans="2:17" x14ac:dyDescent="0.2">
      <c r="B246" s="171"/>
      <c r="D246" s="171"/>
      <c r="I246" s="171"/>
      <c r="J246" s="171"/>
      <c r="K246" s="171"/>
      <c r="L246" s="171"/>
      <c r="M246" s="171"/>
      <c r="N246" s="4"/>
      <c r="O246" s="4"/>
      <c r="P246" s="4"/>
      <c r="Q246" s="171"/>
    </row>
    <row r="247" spans="2:17" x14ac:dyDescent="0.2">
      <c r="B247" s="171"/>
      <c r="D247" s="171"/>
      <c r="I247" s="171"/>
      <c r="J247" s="171"/>
      <c r="K247" s="171"/>
      <c r="L247" s="171"/>
      <c r="M247" s="171"/>
      <c r="N247" s="171"/>
      <c r="O247" s="171"/>
      <c r="P247" s="171"/>
      <c r="Q247" s="171"/>
    </row>
  </sheetData>
  <mergeCells count="30">
    <mergeCell ref="N7:N8"/>
    <mergeCell ref="G7:G8"/>
    <mergeCell ref="I7:I8"/>
    <mergeCell ref="B2:P2"/>
    <mergeCell ref="B3:P3"/>
    <mergeCell ref="B4:P4"/>
    <mergeCell ref="B5:P5"/>
    <mergeCell ref="B6:P6"/>
    <mergeCell ref="C7:C8"/>
    <mergeCell ref="B7:B8"/>
    <mergeCell ref="L7:L8"/>
    <mergeCell ref="J7:J8"/>
    <mergeCell ref="K7:K8"/>
    <mergeCell ref="F7:F8"/>
    <mergeCell ref="B232:P232"/>
    <mergeCell ref="B231:O231"/>
    <mergeCell ref="T3:Y3"/>
    <mergeCell ref="T4:Y4"/>
    <mergeCell ref="T7:Y7"/>
    <mergeCell ref="T8:Y8"/>
    <mergeCell ref="U9:U10"/>
    <mergeCell ref="V9:V10"/>
    <mergeCell ref="W9:W10"/>
    <mergeCell ref="X9:X10"/>
    <mergeCell ref="D7:D8"/>
    <mergeCell ref="E7:E8"/>
    <mergeCell ref="H7:H8"/>
    <mergeCell ref="M7:M8"/>
    <mergeCell ref="O7:O8"/>
    <mergeCell ref="P7:P8"/>
  </mergeCells>
  <printOptions horizontalCentered="1"/>
  <pageMargins left="0.7" right="0.7" top="1.2" bottom="0.75" header="0.3" footer="0.3"/>
  <pageSetup scale="39" fitToHeight="0" orientation="landscape" r:id="rId1"/>
  <headerFooter>
    <oddFooter>Page &amp;P of &amp;N</oddFooter>
  </headerFooter>
  <rowBreaks count="3" manualBreakCount="3">
    <brk id="69" min="1" max="15" man="1"/>
    <brk id="136" min="1" max="15" man="1"/>
    <brk id="203" min="1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93E45E73C8184AB9B159E26BBF4366" ma:contentTypeVersion="9" ma:contentTypeDescription="Create a new document." ma:contentTypeScope="" ma:versionID="59c606702dd425c409ffee5e354cf09b">
  <xsd:schema xmlns:xsd="http://www.w3.org/2001/XMLSchema" xmlns:xs="http://www.w3.org/2001/XMLSchema" xmlns:p="http://schemas.microsoft.com/office/2006/metadata/properties" xmlns:ns2="7c11c9e6-3ed6-44a7-bb50-2b402fc6d82e" xmlns:ns3="823c690f-1428-4b7b-913c-f8e8cae1aa4a" targetNamespace="http://schemas.microsoft.com/office/2006/metadata/properties" ma:root="true" ma:fieldsID="6956a5ec680c3bbc22af566483c2c1e9" ns2:_="" ns3:_="">
    <xsd:import namespace="7c11c9e6-3ed6-44a7-bb50-2b402fc6d82e"/>
    <xsd:import namespace="823c690f-1428-4b7b-913c-f8e8cae1aa4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1c9e6-3ed6-44a7-bb50-2b402fc6d8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c690f-1428-4b7b-913c-f8e8cae1aa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EE26DC-3DE0-4D13-A814-CE871CDF4A5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CF3F42-17F5-4817-A4DA-D9726C994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11c9e6-3ed6-44a7-bb50-2b402fc6d82e"/>
    <ds:schemaRef ds:uri="823c690f-1428-4b7b-913c-f8e8cae1aa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69252C-B6F4-49A1-8F77-44DB1FB948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Overall</vt:lpstr>
      <vt:lpstr>Land and Right-of-Ways</vt:lpstr>
      <vt:lpstr>PS Structures and Improvements</vt:lpstr>
      <vt:lpstr>Treatment</vt:lpstr>
      <vt:lpstr>PS Power Generation Equipment</vt:lpstr>
      <vt:lpstr>PS Power Protection and Control</vt:lpstr>
      <vt:lpstr>Pressure</vt:lpstr>
      <vt:lpstr>Force Main</vt:lpstr>
      <vt:lpstr>Gravity </vt:lpstr>
      <vt:lpstr>Services Laterals</vt:lpstr>
      <vt:lpstr>Flow Meters</vt:lpstr>
      <vt:lpstr>PS Pumping Equipment</vt:lpstr>
      <vt:lpstr>'Flow Meters'!Print_Area</vt:lpstr>
      <vt:lpstr>'Force Main'!Print_Area</vt:lpstr>
      <vt:lpstr>'Gravity '!Print_Area</vt:lpstr>
      <vt:lpstr>'Land and Right-of-Ways'!Print_Area</vt:lpstr>
      <vt:lpstr>Overall!Print_Area</vt:lpstr>
      <vt:lpstr>Pressure!Print_Area</vt:lpstr>
      <vt:lpstr>'PS Power Generation Equipment'!Print_Area</vt:lpstr>
      <vt:lpstr>'PS Power Protection and Control'!Print_Area</vt:lpstr>
      <vt:lpstr>'PS Pumping Equipment'!Print_Area</vt:lpstr>
      <vt:lpstr>'PS Structures and Improvements'!Print_Area</vt:lpstr>
      <vt:lpstr>'Services Laterals'!Print_Area</vt:lpstr>
      <vt:lpstr>Treatment!Print_Area</vt:lpstr>
    </vt:vector>
  </TitlesOfParts>
  <Manager/>
  <Company>Your Company Name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 Freedman</dc:creator>
  <cp:keywords/>
  <dc:description/>
  <cp:lastModifiedBy>Leonard, Allyson</cp:lastModifiedBy>
  <cp:revision/>
  <dcterms:created xsi:type="dcterms:W3CDTF">2009-07-20T17:35:02Z</dcterms:created>
  <dcterms:modified xsi:type="dcterms:W3CDTF">2021-10-28T19:45:25Z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0x0101009893E45E73C8184AB9B159E26BBF4366</vt:lpwstr>
  </property>
</Properties>
</file>