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riumeconcom.sharepoint.com/sites/0580-NationalFuelRateCase/Shared Documents/General/Testimony and Exhibits/Standard Data Request_Atrium/"/>
    </mc:Choice>
  </mc:AlternateContent>
  <xr:revisionPtr revIDLastSave="1" documentId="8_{75931193-24D3-4837-9CD3-A7B84A090AA3}" xr6:coauthVersionLast="47" xr6:coauthVersionMax="47" xr10:uidLastSave="{6D3F52F9-0BFF-4F30-A479-7BFEEE4C0168}"/>
  <bookViews>
    <workbookView xWindow="-120" yWindow="-120" windowWidth="29040" windowHeight="15720" xr2:uid="{00000000-000D-0000-FFFF-FFFF00000000}"/>
  </bookViews>
  <sheets>
    <sheet name="Peak Day Summary" sheetId="13" r:id="rId1"/>
    <sheet name="Degree Day Report - EMM" sheetId="5" r:id="rId2"/>
    <sheet name="Retail Sales Base Case" sheetId="4" r:id="rId3"/>
    <sheet name="Res Trans Base Case" sheetId="6" r:id="rId4"/>
    <sheet name="Com Trans Base Case" sheetId="7" r:id="rId5"/>
    <sheet name="Ind Trans Base Case" sheetId="9" r:id="rId6"/>
    <sheet name="Pub Trans Base Case" sheetId="10" r:id="rId7"/>
    <sheet name="Summary" sheetId="11" r:id="rId8"/>
    <sheet name="roll up" sheetId="12" r:id="rId9"/>
  </sheets>
  <definedNames>
    <definedName name="_xlnm.Print_Area" localSheetId="4">'Com Trans Base Case'!$A$1:$H$44</definedName>
    <definedName name="_xlnm.Print_Area" localSheetId="5">'Ind Trans Base Case'!$A$1:$F$53</definedName>
    <definedName name="_xlnm.Print_Area" localSheetId="6">'Pub Trans Base Case'!$A$1:$G$41</definedName>
    <definedName name="_xlnm.Print_Area" localSheetId="3">'Res Trans Base Case'!$A$1:$G$40</definedName>
    <definedName name="_xlnm.Print_Area" localSheetId="2">'Retail Sales Base Case'!$A$1:$G$23</definedName>
    <definedName name="_xlnm.Print_Area" localSheetId="8">'roll up'!$A$1:$D$54</definedName>
    <definedName name="_xlnm.Print_Area" localSheetId="7">Summary!$A$1:$P$121</definedName>
    <definedName name="_xlnm.Print_Titles" localSheetId="7">Summary!$1:$10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13" l="1"/>
  <c r="G49" i="13"/>
  <c r="P54" i="13"/>
  <c r="P53" i="13"/>
  <c r="I54" i="13"/>
  <c r="I53" i="13"/>
  <c r="B55" i="9"/>
  <c r="P52" i="13"/>
  <c r="P51" i="13"/>
  <c r="I52" i="13"/>
  <c r="I51" i="13"/>
  <c r="O49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H49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N46" i="13"/>
  <c r="N45" i="13"/>
  <c r="N44" i="13"/>
  <c r="N43" i="13"/>
  <c r="P43" i="13" s="1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P27" i="13" s="1"/>
  <c r="N26" i="13"/>
  <c r="N25" i="13"/>
  <c r="N24" i="13"/>
  <c r="N23" i="13"/>
  <c r="N22" i="13"/>
  <c r="N21" i="13"/>
  <c r="N20" i="13"/>
  <c r="N19" i="13"/>
  <c r="P19" i="13" s="1"/>
  <c r="N18" i="13"/>
  <c r="N17" i="13"/>
  <c r="N16" i="13"/>
  <c r="N15" i="13"/>
  <c r="N14" i="13"/>
  <c r="N13" i="13"/>
  <c r="N12" i="13"/>
  <c r="N11" i="13"/>
  <c r="N10" i="13"/>
  <c r="N9" i="13"/>
  <c r="G46" i="13"/>
  <c r="G45" i="13"/>
  <c r="G44" i="13"/>
  <c r="G43" i="13"/>
  <c r="G42" i="13"/>
  <c r="I42" i="13" s="1"/>
  <c r="G41" i="13"/>
  <c r="G40" i="13"/>
  <c r="G39" i="13"/>
  <c r="G38" i="13"/>
  <c r="G37" i="13"/>
  <c r="G36" i="13"/>
  <c r="G35" i="13"/>
  <c r="G34" i="13"/>
  <c r="I34" i="13" s="1"/>
  <c r="G33" i="13"/>
  <c r="G32" i="13"/>
  <c r="G31" i="13"/>
  <c r="G30" i="13"/>
  <c r="G29" i="13"/>
  <c r="G28" i="13"/>
  <c r="G27" i="13"/>
  <c r="G26" i="13"/>
  <c r="I26" i="13" s="1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I10" i="13" s="1"/>
  <c r="G9" i="13"/>
  <c r="M49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P33" i="13" s="1"/>
  <c r="M32" i="13"/>
  <c r="M31" i="13"/>
  <c r="M30" i="13"/>
  <c r="M29" i="13"/>
  <c r="M28" i="13"/>
  <c r="M27" i="13"/>
  <c r="M26" i="13"/>
  <c r="M25" i="13"/>
  <c r="P25" i="13" s="1"/>
  <c r="M24" i="13"/>
  <c r="M23" i="13"/>
  <c r="M22" i="13"/>
  <c r="M21" i="13"/>
  <c r="M20" i="13"/>
  <c r="M19" i="13"/>
  <c r="M18" i="13"/>
  <c r="M17" i="13"/>
  <c r="P17" i="13" s="1"/>
  <c r="M16" i="13"/>
  <c r="M15" i="13"/>
  <c r="M14" i="13"/>
  <c r="M13" i="13"/>
  <c r="M12" i="13"/>
  <c r="M11" i="13"/>
  <c r="M10" i="13"/>
  <c r="M9" i="13"/>
  <c r="P9" i="13" s="1"/>
  <c r="F49" i="13"/>
  <c r="F46" i="13"/>
  <c r="F45" i="13"/>
  <c r="F44" i="13"/>
  <c r="F43" i="13"/>
  <c r="F42" i="13"/>
  <c r="F41" i="13"/>
  <c r="F40" i="13"/>
  <c r="I40" i="13" s="1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L49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E49" i="13"/>
  <c r="E46" i="13"/>
  <c r="E45" i="13"/>
  <c r="E44" i="13"/>
  <c r="E43" i="13"/>
  <c r="E42" i="13"/>
  <c r="E41" i="13"/>
  <c r="E40" i="13"/>
  <c r="E39" i="13"/>
  <c r="E38" i="13"/>
  <c r="I38" i="13" s="1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K49" i="13"/>
  <c r="K46" i="13"/>
  <c r="P46" i="13" s="1"/>
  <c r="K45" i="13"/>
  <c r="P45" i="13" s="1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D49" i="13"/>
  <c r="D46" i="13"/>
  <c r="D45" i="13"/>
  <c r="D44" i="13"/>
  <c r="D43" i="13"/>
  <c r="D42" i="13"/>
  <c r="D41" i="13"/>
  <c r="I41" i="13" s="1"/>
  <c r="D40" i="13"/>
  <c r="D39" i="13"/>
  <c r="D38" i="13"/>
  <c r="D37" i="13"/>
  <c r="D36" i="13"/>
  <c r="D35" i="13"/>
  <c r="D34" i="13"/>
  <c r="D33" i="13"/>
  <c r="D32" i="13"/>
  <c r="I32" i="13" s="1"/>
  <c r="D31" i="13"/>
  <c r="D30" i="13"/>
  <c r="D29" i="13"/>
  <c r="D28" i="13"/>
  <c r="D27" i="13"/>
  <c r="D26" i="13"/>
  <c r="D25" i="13"/>
  <c r="D24" i="13"/>
  <c r="I24" i="13" s="1"/>
  <c r="D23" i="13"/>
  <c r="D22" i="13"/>
  <c r="D21" i="13"/>
  <c r="D20" i="13"/>
  <c r="D19" i="13"/>
  <c r="D18" i="13"/>
  <c r="D17" i="13"/>
  <c r="I17" i="13" s="1"/>
  <c r="D16" i="13"/>
  <c r="D15" i="13"/>
  <c r="D14" i="13"/>
  <c r="D13" i="13"/>
  <c r="D12" i="13"/>
  <c r="D11" i="13"/>
  <c r="D10" i="13"/>
  <c r="D9" i="13"/>
  <c r="P41" i="13"/>
  <c r="I37" i="13"/>
  <c r="P35" i="13"/>
  <c r="I33" i="13"/>
  <c r="I25" i="13"/>
  <c r="I18" i="13"/>
  <c r="I9" i="13"/>
  <c r="P49" i="13" l="1"/>
  <c r="I15" i="13"/>
  <c r="I23" i="13"/>
  <c r="I31" i="13"/>
  <c r="I39" i="13"/>
  <c r="I49" i="13"/>
  <c r="P16" i="13"/>
  <c r="P24" i="13"/>
  <c r="P32" i="13"/>
  <c r="P40" i="13"/>
  <c r="M47" i="13"/>
  <c r="P18" i="13"/>
  <c r="P26" i="13"/>
  <c r="P34" i="13"/>
  <c r="P42" i="13"/>
  <c r="I12" i="13"/>
  <c r="I20" i="13"/>
  <c r="I28" i="13"/>
  <c r="I36" i="13"/>
  <c r="I44" i="13"/>
  <c r="P13" i="13"/>
  <c r="P21" i="13"/>
  <c r="P29" i="13"/>
  <c r="P37" i="13"/>
  <c r="I14" i="13"/>
  <c r="I22" i="13"/>
  <c r="I30" i="13"/>
  <c r="I46" i="13"/>
  <c r="P15" i="13"/>
  <c r="P23" i="13"/>
  <c r="P31" i="13"/>
  <c r="P39" i="13"/>
  <c r="P11" i="13"/>
  <c r="I11" i="13"/>
  <c r="I19" i="13"/>
  <c r="I27" i="13"/>
  <c r="I35" i="13"/>
  <c r="I43" i="13"/>
  <c r="P12" i="13"/>
  <c r="P20" i="13"/>
  <c r="P28" i="13"/>
  <c r="P36" i="13"/>
  <c r="P44" i="13"/>
  <c r="E47" i="13"/>
  <c r="I21" i="13"/>
  <c r="I29" i="13"/>
  <c r="I45" i="13"/>
  <c r="L47" i="13"/>
  <c r="F47" i="13"/>
  <c r="H47" i="13"/>
  <c r="O47" i="13"/>
  <c r="N47" i="13"/>
  <c r="G47" i="13"/>
  <c r="I13" i="13"/>
  <c r="P30" i="13"/>
  <c r="I16" i="13"/>
  <c r="I47" i="13" s="1"/>
  <c r="P14" i="13"/>
  <c r="P22" i="13"/>
  <c r="P38" i="13"/>
  <c r="P10" i="13"/>
  <c r="K47" i="13"/>
  <c r="D47" i="13"/>
  <c r="P47" i="13" l="1"/>
  <c r="M42" i="4" l="1"/>
  <c r="K42" i="4"/>
  <c r="G42" i="4"/>
  <c r="AE42" i="4"/>
  <c r="AC42" i="4"/>
  <c r="Y42" i="4"/>
  <c r="N42" i="4"/>
  <c r="H42" i="4"/>
  <c r="B42" i="4"/>
  <c r="B67" i="4" s="1"/>
  <c r="B39" i="4" l="1"/>
  <c r="E40" i="4"/>
  <c r="C39" i="4"/>
  <c r="D39" i="4"/>
  <c r="H39" i="4"/>
  <c r="I39" i="4"/>
  <c r="J39" i="4"/>
  <c r="N39" i="4"/>
  <c r="O39" i="4"/>
  <c r="P39" i="4"/>
  <c r="T39" i="4"/>
  <c r="U39" i="4"/>
  <c r="V39" i="4"/>
  <c r="Z39" i="4"/>
  <c r="AA39" i="4"/>
  <c r="AB39" i="4"/>
  <c r="B41" i="4" l="1"/>
  <c r="AB41" i="4"/>
  <c r="AA41" i="4"/>
  <c r="AE40" i="4"/>
  <c r="V41" i="4"/>
  <c r="U41" i="4"/>
  <c r="W40" i="4"/>
  <c r="P41" i="4"/>
  <c r="O41" i="4"/>
  <c r="J41" i="4"/>
  <c r="I41" i="4"/>
  <c r="M40" i="4"/>
  <c r="G40" i="4"/>
  <c r="D41" i="4"/>
  <c r="C41" i="4"/>
  <c r="Q40" i="4" l="1"/>
  <c r="S40" i="4"/>
  <c r="T41" i="4"/>
  <c r="H41" i="4"/>
  <c r="Z41" i="4"/>
  <c r="N41" i="4"/>
  <c r="E41" i="4"/>
  <c r="E42" i="4" s="1"/>
  <c r="G41" i="4"/>
  <c r="B43" i="4"/>
  <c r="B68" i="4" s="1"/>
  <c r="B69" i="4" s="1"/>
  <c r="AC40" i="4"/>
  <c r="Y40" i="4"/>
  <c r="K40" i="4"/>
  <c r="AE62" i="4"/>
  <c r="Z58" i="4"/>
  <c r="Z59" i="4" s="1"/>
  <c r="AE47" i="4"/>
  <c r="AE48" i="4"/>
  <c r="Y47" i="4"/>
  <c r="Y48" i="4"/>
  <c r="Y46" i="4"/>
  <c r="N63" i="4"/>
  <c r="N64" i="4" s="1"/>
  <c r="S47" i="4"/>
  <c r="Q48" i="4"/>
  <c r="S46" i="4"/>
  <c r="M62" i="4"/>
  <c r="K47" i="4"/>
  <c r="M48" i="4"/>
  <c r="K46" i="4"/>
  <c r="AE46" i="4"/>
  <c r="AC46" i="4"/>
  <c r="Q62" i="4"/>
  <c r="Q63" i="4" s="1"/>
  <c r="Q64" i="4" s="1"/>
  <c r="Z31" i="4" l="1"/>
  <c r="K48" i="4"/>
  <c r="H43" i="4"/>
  <c r="P58" i="4"/>
  <c r="S62" i="4"/>
  <c r="S63" i="4" s="1"/>
  <c r="S64" i="4" s="1"/>
  <c r="I31" i="4"/>
  <c r="U58" i="4"/>
  <c r="T58" i="4"/>
  <c r="Q46" i="4"/>
  <c r="N31" i="4"/>
  <c r="N32" i="4" s="1"/>
  <c r="P31" i="4"/>
  <c r="U31" i="4"/>
  <c r="O31" i="4"/>
  <c r="T31" i="4"/>
  <c r="V31" i="4"/>
  <c r="N58" i="4"/>
  <c r="N59" i="4" s="1"/>
  <c r="N60" i="4" s="1"/>
  <c r="Z42" i="4"/>
  <c r="S48" i="4"/>
  <c r="N43" i="4"/>
  <c r="O58" i="4"/>
  <c r="Z49" i="4"/>
  <c r="AC49" i="4" s="1"/>
  <c r="T32" i="4"/>
  <c r="T33" i="4" s="1"/>
  <c r="AE63" i="4"/>
  <c r="AE64" i="4" s="1"/>
  <c r="T59" i="4"/>
  <c r="T60" i="4" s="1"/>
  <c r="T42" i="4"/>
  <c r="T43" i="4" s="1"/>
  <c r="AA31" i="4"/>
  <c r="AA58" i="4"/>
  <c r="AB31" i="4"/>
  <c r="AB58" i="4"/>
  <c r="Z63" i="4"/>
  <c r="Z64" i="4" s="1"/>
  <c r="M46" i="4"/>
  <c r="J58" i="4"/>
  <c r="AC62" i="4"/>
  <c r="J31" i="4"/>
  <c r="N49" i="4"/>
  <c r="Q49" i="4" s="1"/>
  <c r="T49" i="4"/>
  <c r="T50" i="4" s="1"/>
  <c r="V58" i="4"/>
  <c r="T63" i="4"/>
  <c r="T64" i="4" s="1"/>
  <c r="Z60" i="4"/>
  <c r="Z32" i="4"/>
  <c r="AC47" i="4"/>
  <c r="AC48" i="4"/>
  <c r="Y62" i="4"/>
  <c r="W62" i="4"/>
  <c r="W63" i="4" s="1"/>
  <c r="W64" i="4" s="1"/>
  <c r="W47" i="4"/>
  <c r="W48" i="4"/>
  <c r="W46" i="4"/>
  <c r="Q47" i="4"/>
  <c r="I58" i="4"/>
  <c r="M63" i="4"/>
  <c r="M64" i="4" s="1"/>
  <c r="H63" i="4"/>
  <c r="H64" i="4" s="1"/>
  <c r="K62" i="4"/>
  <c r="H58" i="4"/>
  <c r="H59" i="4" s="1"/>
  <c r="H60" i="4" s="1"/>
  <c r="M47" i="4"/>
  <c r="H49" i="4"/>
  <c r="H50" i="4" s="1"/>
  <c r="H51" i="4" s="1"/>
  <c r="H31" i="4"/>
  <c r="T67" i="4" l="1"/>
  <c r="Z33" i="4"/>
  <c r="Z66" i="4"/>
  <c r="Y49" i="4"/>
  <c r="Y50" i="4" s="1"/>
  <c r="Y51" i="4" s="1"/>
  <c r="W49" i="4"/>
  <c r="W50" i="4" s="1"/>
  <c r="W51" i="4" s="1"/>
  <c r="Z43" i="4"/>
  <c r="Z50" i="4"/>
  <c r="Z51" i="4" s="1"/>
  <c r="T66" i="4"/>
  <c r="AE49" i="4"/>
  <c r="AE50" i="4" s="1"/>
  <c r="Y63" i="4"/>
  <c r="Y64" i="4" s="1"/>
  <c r="N50" i="4"/>
  <c r="N51" i="4" s="1"/>
  <c r="N66" i="4"/>
  <c r="S49" i="4"/>
  <c r="S50" i="4" s="1"/>
  <c r="S51" i="4" s="1"/>
  <c r="AC63" i="4"/>
  <c r="AC64" i="4" s="1"/>
  <c r="AC50" i="4"/>
  <c r="AC51" i="4" s="1"/>
  <c r="T51" i="4"/>
  <c r="T68" i="4" s="1"/>
  <c r="Q50" i="4"/>
  <c r="N33" i="4"/>
  <c r="K63" i="4"/>
  <c r="K64" i="4" s="1"/>
  <c r="M49" i="4"/>
  <c r="M50" i="4" s="1"/>
  <c r="M51" i="4" s="1"/>
  <c r="K49" i="4"/>
  <c r="K50" i="4" s="1"/>
  <c r="H66" i="4"/>
  <c r="H32" i="4"/>
  <c r="H67" i="4" s="1"/>
  <c r="Z68" i="4" l="1"/>
  <c r="Z67" i="4"/>
  <c r="N68" i="4"/>
  <c r="H33" i="4"/>
  <c r="H68" i="4" s="1"/>
  <c r="N67" i="4"/>
  <c r="AE51" i="4"/>
  <c r="Q51" i="4"/>
  <c r="K51" i="4"/>
  <c r="E62" i="4" l="1"/>
  <c r="E48" i="4"/>
  <c r="G46" i="4"/>
  <c r="G28" i="4"/>
  <c r="K28" i="4"/>
  <c r="L28" i="4"/>
  <c r="M28" i="4"/>
  <c r="Q28" i="4"/>
  <c r="R28" i="4"/>
  <c r="S28" i="4"/>
  <c r="W28" i="4"/>
  <c r="X28" i="4"/>
  <c r="Y28" i="4"/>
  <c r="AC28" i="4"/>
  <c r="AD28" i="4"/>
  <c r="AE28" i="4"/>
  <c r="C28" i="4"/>
  <c r="D28" i="4"/>
  <c r="E28" i="4"/>
  <c r="F28" i="4"/>
  <c r="B28" i="4"/>
  <c r="B63" i="4" l="1"/>
  <c r="B64" i="4" s="1"/>
  <c r="E63" i="4"/>
  <c r="E64" i="4" s="1"/>
  <c r="B49" i="4"/>
  <c r="E46" i="4"/>
  <c r="B31" i="4"/>
  <c r="G47" i="4"/>
  <c r="C58" i="4"/>
  <c r="D58" i="4"/>
  <c r="C31" i="4"/>
  <c r="G48" i="4"/>
  <c r="B58" i="4"/>
  <c r="B59" i="4" s="1"/>
  <c r="B60" i="4" s="1"/>
  <c r="D31" i="4"/>
  <c r="E47" i="4"/>
  <c r="G62" i="4"/>
  <c r="G63" i="4" s="1"/>
  <c r="G64" i="4" s="1"/>
  <c r="B32" i="4" l="1"/>
  <c r="B33" i="4" s="1"/>
  <c r="G49" i="4"/>
  <c r="G50" i="4" s="1"/>
  <c r="G51" i="4" s="1"/>
  <c r="B50" i="4"/>
  <c r="B51" i="4" s="1"/>
  <c r="E49" i="4"/>
  <c r="E50" i="4" s="1"/>
  <c r="E51" i="4" s="1"/>
  <c r="E14" i="10" l="1"/>
  <c r="B21" i="4" l="1"/>
  <c r="B22" i="4" s="1"/>
  <c r="E18" i="4"/>
  <c r="G18" i="4"/>
  <c r="G20" i="4"/>
  <c r="E20" i="4"/>
  <c r="D16" i="9"/>
  <c r="K18" i="4"/>
  <c r="Q20" i="4"/>
  <c r="W20" i="4"/>
  <c r="W18" i="4"/>
  <c r="B11" i="4"/>
  <c r="E36" i="4" l="1"/>
  <c r="E37" i="4"/>
  <c r="AE38" i="4"/>
  <c r="AC30" i="4"/>
  <c r="Y38" i="4"/>
  <c r="Q39" i="4"/>
  <c r="Q56" i="4"/>
  <c r="W54" i="4"/>
  <c r="Q36" i="4"/>
  <c r="Y31" i="4"/>
  <c r="AC29" i="4"/>
  <c r="S39" i="4"/>
  <c r="W30" i="4"/>
  <c r="AE37" i="4"/>
  <c r="S36" i="4"/>
  <c r="S37" i="4"/>
  <c r="AC37" i="4"/>
  <c r="Q54" i="4"/>
  <c r="W31" i="4"/>
  <c r="S56" i="4"/>
  <c r="Q31" i="4"/>
  <c r="W56" i="4"/>
  <c r="Q38" i="4"/>
  <c r="S55" i="4"/>
  <c r="Q57" i="4"/>
  <c r="AC55" i="4"/>
  <c r="S54" i="4"/>
  <c r="W29" i="4"/>
  <c r="W39" i="4"/>
  <c r="S38" i="4"/>
  <c r="AC41" i="4"/>
  <c r="AC43" i="4" s="1"/>
  <c r="S31" i="4"/>
  <c r="AE29" i="4"/>
  <c r="W38" i="4"/>
  <c r="Y36" i="4"/>
  <c r="S57" i="4"/>
  <c r="Y37" i="4"/>
  <c r="AE36" i="4"/>
  <c r="AC56" i="4"/>
  <c r="Q30" i="4"/>
  <c r="S29" i="4"/>
  <c r="AE41" i="4"/>
  <c r="AE43" i="4" s="1"/>
  <c r="AE39" i="4"/>
  <c r="AE30" i="4"/>
  <c r="Y54" i="4"/>
  <c r="Y55" i="4"/>
  <c r="AC36" i="4"/>
  <c r="W37" i="4"/>
  <c r="Q37" i="4"/>
  <c r="Y41" i="4"/>
  <c r="AC39" i="4"/>
  <c r="AE55" i="4"/>
  <c r="Q29" i="4"/>
  <c r="Y57" i="4"/>
  <c r="AC57" i="4"/>
  <c r="Q55" i="4"/>
  <c r="AC54" i="4"/>
  <c r="AE54" i="4"/>
  <c r="Y30" i="4"/>
  <c r="AC38" i="4"/>
  <c r="AE57" i="4"/>
  <c r="AE56" i="4"/>
  <c r="W36" i="4"/>
  <c r="S30" i="4"/>
  <c r="Y39" i="4"/>
  <c r="Y56" i="4"/>
  <c r="Y29" i="4"/>
  <c r="W55" i="4"/>
  <c r="W57" i="4"/>
  <c r="S41" i="4"/>
  <c r="S42" i="4" s="1"/>
  <c r="S43" i="4" s="1"/>
  <c r="AE31" i="4"/>
  <c r="Q41" i="4"/>
  <c r="W41" i="4"/>
  <c r="W42" i="4" s="1"/>
  <c r="W43" i="4" s="1"/>
  <c r="AC31" i="4"/>
  <c r="E29" i="4"/>
  <c r="G56" i="4"/>
  <c r="E56" i="4"/>
  <c r="E38" i="4"/>
  <c r="E30" i="4"/>
  <c r="G58" i="4"/>
  <c r="G59" i="4" s="1"/>
  <c r="G60" i="4" s="1"/>
  <c r="E57" i="4"/>
  <c r="G54" i="4"/>
  <c r="G31" i="4"/>
  <c r="E58" i="4"/>
  <c r="E59" i="4" s="1"/>
  <c r="E60" i="4" s="1"/>
  <c r="G29" i="4"/>
  <c r="E31" i="4"/>
  <c r="E55" i="4"/>
  <c r="G57" i="4"/>
  <c r="G38" i="4"/>
  <c r="E54" i="4"/>
  <c r="G36" i="4"/>
  <c r="G37" i="4"/>
  <c r="G55" i="4"/>
  <c r="G30" i="4"/>
  <c r="G16" i="4"/>
  <c r="G19" i="4"/>
  <c r="E16" i="4"/>
  <c r="E19" i="4"/>
  <c r="G17" i="4"/>
  <c r="E17" i="4"/>
  <c r="W19" i="4"/>
  <c r="W16" i="4"/>
  <c r="W17" i="4"/>
  <c r="Q17" i="4"/>
  <c r="S17" i="4"/>
  <c r="S16" i="4"/>
  <c r="Q16" i="4"/>
  <c r="S19" i="4"/>
  <c r="Q19" i="4"/>
  <c r="Q18" i="4"/>
  <c r="S18" i="4"/>
  <c r="K17" i="4"/>
  <c r="K19" i="4"/>
  <c r="M19" i="4"/>
  <c r="K16" i="4"/>
  <c r="K12" i="4"/>
  <c r="Y43" i="4" l="1"/>
  <c r="S32" i="4"/>
  <c r="Y32" i="4"/>
  <c r="Q32" i="4"/>
  <c r="Q33" i="4" s="1"/>
  <c r="AE32" i="4"/>
  <c r="AC32" i="4"/>
  <c r="AC33" i="4" s="1"/>
  <c r="Q42" i="4"/>
  <c r="Q43" i="4" s="1"/>
  <c r="W32" i="4"/>
  <c r="E32" i="4"/>
  <c r="G32" i="4"/>
  <c r="Q12" i="4"/>
  <c r="P43" i="9"/>
  <c r="K43" i="9"/>
  <c r="K38" i="9"/>
  <c r="Z38" i="9"/>
  <c r="U43" i="9"/>
  <c r="U38" i="9"/>
  <c r="W33" i="4" l="1"/>
  <c r="Y33" i="4"/>
  <c r="AE33" i="4"/>
  <c r="S33" i="4"/>
  <c r="G33" i="4"/>
  <c r="E33" i="4"/>
  <c r="W12" i="4"/>
  <c r="P38" i="9"/>
  <c r="Z43" i="9"/>
  <c r="V22" i="7"/>
  <c r="AC12" i="4" l="1"/>
  <c r="AB22" i="7"/>
  <c r="U22" i="7"/>
  <c r="T22" i="7"/>
  <c r="N22" i="7"/>
  <c r="Z22" i="7"/>
  <c r="I22" i="7"/>
  <c r="O22" i="7"/>
  <c r="AA22" i="7"/>
  <c r="P22" i="7"/>
  <c r="H22" i="7"/>
  <c r="J22" i="7"/>
  <c r="J27" i="6" l="1"/>
  <c r="I27" i="6"/>
  <c r="H27" i="6"/>
  <c r="P27" i="6"/>
  <c r="O27" i="6"/>
  <c r="N27" i="6"/>
  <c r="V27" i="6"/>
  <c r="U27" i="6"/>
  <c r="T27" i="6"/>
  <c r="AB27" i="6"/>
  <c r="AA27" i="6"/>
  <c r="Z27" i="6"/>
  <c r="H14" i="4" l="1"/>
  <c r="H28" i="4" s="1"/>
  <c r="J14" i="4" l="1"/>
  <c r="J28" i="4" s="1"/>
  <c r="I14" i="4"/>
  <c r="I28" i="4" s="1"/>
  <c r="E5" i="11" l="1"/>
  <c r="H5" i="11" s="1"/>
  <c r="K5" i="11" s="1"/>
  <c r="N5" i="11" s="1"/>
  <c r="V5" i="9"/>
  <c r="Z5" i="10"/>
  <c r="Q5" i="9"/>
  <c r="T5" i="10"/>
  <c r="L5" i="9"/>
  <c r="N5" i="10"/>
  <c r="G5" i="9"/>
  <c r="H5" i="10"/>
  <c r="B5" i="9"/>
  <c r="B5" i="10"/>
  <c r="Z5" i="7"/>
  <c r="T5" i="7"/>
  <c r="N5" i="7"/>
  <c r="H5" i="7"/>
  <c r="B5" i="7"/>
  <c r="N14" i="4" l="1"/>
  <c r="AD14" i="10"/>
  <c r="AD13" i="10"/>
  <c r="X14" i="10"/>
  <c r="X13" i="10"/>
  <c r="R14" i="10"/>
  <c r="R13" i="10"/>
  <c r="L14" i="10"/>
  <c r="L13" i="10"/>
  <c r="F14" i="10"/>
  <c r="F13" i="10"/>
  <c r="E13" i="10"/>
  <c r="E10" i="9"/>
  <c r="J10" i="9" s="1"/>
  <c r="O10" i="9" s="1"/>
  <c r="T10" i="9" s="1"/>
  <c r="Y10" i="9" s="1"/>
  <c r="AD15" i="7"/>
  <c r="AD14" i="7"/>
  <c r="X15" i="7"/>
  <c r="X14" i="7"/>
  <c r="R15" i="7"/>
  <c r="R14" i="7"/>
  <c r="L15" i="7"/>
  <c r="L14" i="7"/>
  <c r="F15" i="7"/>
  <c r="F14" i="7"/>
  <c r="E14" i="7"/>
  <c r="K12" i="6"/>
  <c r="K14" i="7" s="1"/>
  <c r="D1" i="12"/>
  <c r="O10" i="12"/>
  <c r="L10" i="12"/>
  <c r="I10" i="12"/>
  <c r="F10" i="12"/>
  <c r="C10" i="12"/>
  <c r="T14" i="4" l="1"/>
  <c r="N28" i="4"/>
  <c r="K13" i="10"/>
  <c r="Q12" i="6"/>
  <c r="P2" i="11"/>
  <c r="O10" i="11"/>
  <c r="L10" i="11"/>
  <c r="I10" i="11"/>
  <c r="F10" i="11"/>
  <c r="C10" i="11"/>
  <c r="Z14" i="4" l="1"/>
  <c r="Z28" i="4" s="1"/>
  <c r="T28" i="4"/>
  <c r="Q14" i="7"/>
  <c r="W12" i="6"/>
  <c r="Q13" i="10"/>
  <c r="D15" i="10"/>
  <c r="C15" i="10"/>
  <c r="B15" i="10"/>
  <c r="AC12" i="10"/>
  <c r="W12" i="10"/>
  <c r="Q12" i="10"/>
  <c r="K12" i="10"/>
  <c r="E12" i="10"/>
  <c r="G14" i="10"/>
  <c r="G1" i="10"/>
  <c r="P34" i="10"/>
  <c r="B34" i="10"/>
  <c r="AB34" i="10"/>
  <c r="O34" i="10"/>
  <c r="J34" i="10"/>
  <c r="I34" i="10"/>
  <c r="D34" i="10"/>
  <c r="B28" i="10"/>
  <c r="AB28" i="10"/>
  <c r="AA28" i="10"/>
  <c r="Z28" i="10"/>
  <c r="U28" i="10"/>
  <c r="T28" i="10"/>
  <c r="N28" i="10"/>
  <c r="J28" i="10"/>
  <c r="D28" i="10"/>
  <c r="C28" i="10"/>
  <c r="D20" i="10"/>
  <c r="AA20" i="10"/>
  <c r="Z20" i="10"/>
  <c r="V20" i="10"/>
  <c r="U20" i="10"/>
  <c r="P20" i="10"/>
  <c r="H20" i="10"/>
  <c r="C20" i="10"/>
  <c r="W13" i="10" l="1"/>
  <c r="W14" i="7"/>
  <c r="AC12" i="6"/>
  <c r="D39" i="10"/>
  <c r="B20" i="10"/>
  <c r="B39" i="10" s="1"/>
  <c r="N20" i="10"/>
  <c r="N34" i="10"/>
  <c r="I28" i="10"/>
  <c r="V28" i="10"/>
  <c r="I20" i="10"/>
  <c r="P28" i="10"/>
  <c r="AB20" i="10"/>
  <c r="AB39" i="10" s="1"/>
  <c r="Z34" i="10"/>
  <c r="Z39" i="10" s="1"/>
  <c r="J20" i="10"/>
  <c r="J39" i="10" s="1"/>
  <c r="O20" i="10"/>
  <c r="T20" i="10"/>
  <c r="H28" i="10"/>
  <c r="C34" i="10"/>
  <c r="C39" i="10" s="1"/>
  <c r="H34" i="10"/>
  <c r="V34" i="10"/>
  <c r="AA34" i="10"/>
  <c r="AA39" i="10" s="1"/>
  <c r="U34" i="10"/>
  <c r="U39" i="10" s="1"/>
  <c r="O28" i="10"/>
  <c r="T34" i="10"/>
  <c r="AC13" i="10" l="1"/>
  <c r="AC14" i="7"/>
  <c r="H39" i="10"/>
  <c r="O39" i="10"/>
  <c r="V39" i="10"/>
  <c r="T39" i="10"/>
  <c r="P39" i="10"/>
  <c r="I39" i="10"/>
  <c r="N39" i="10"/>
  <c r="D9" i="9"/>
  <c r="Z5" i="6"/>
  <c r="T5" i="6"/>
  <c r="N5" i="6"/>
  <c r="H5" i="6"/>
  <c r="B5" i="6"/>
  <c r="F1" i="9"/>
  <c r="G1" i="7"/>
  <c r="G1" i="6"/>
  <c r="X9" i="9"/>
  <c r="S9" i="9"/>
  <c r="N9" i="9"/>
  <c r="I9" i="9"/>
  <c r="G11" i="9"/>
  <c r="AC13" i="7"/>
  <c r="W13" i="7"/>
  <c r="Q13" i="7"/>
  <c r="K13" i="7"/>
  <c r="E13" i="7"/>
  <c r="AC11" i="6"/>
  <c r="W11" i="6"/>
  <c r="Q11" i="6"/>
  <c r="K11" i="6"/>
  <c r="E11" i="6"/>
  <c r="Z18" i="9"/>
  <c r="U18" i="9"/>
  <c r="P18" i="9"/>
  <c r="K18" i="9"/>
  <c r="F43" i="9"/>
  <c r="F38" i="9"/>
  <c r="F18" i="9"/>
  <c r="B11" i="9"/>
  <c r="H15" i="10"/>
  <c r="H14" i="6"/>
  <c r="D16" i="7"/>
  <c r="C16" i="7"/>
  <c r="B16" i="7"/>
  <c r="D14" i="6"/>
  <c r="C14" i="6"/>
  <c r="B14" i="6"/>
  <c r="F10" i="9"/>
  <c r="K10" i="9" s="1"/>
  <c r="P10" i="9" s="1"/>
  <c r="U10" i="9" s="1"/>
  <c r="Z10" i="9" s="1"/>
  <c r="D10" i="9"/>
  <c r="I10" i="9" s="1"/>
  <c r="N10" i="9" s="1"/>
  <c r="S10" i="9" s="1"/>
  <c r="X10" i="9" s="1"/>
  <c r="H16" i="7" l="1"/>
  <c r="G15" i="7"/>
  <c r="M15" i="7" s="1"/>
  <c r="S15" i="7" s="1"/>
  <c r="Y15" i="7" s="1"/>
  <c r="AE15" i="7" s="1"/>
  <c r="E15" i="7"/>
  <c r="K15" i="7" l="1"/>
  <c r="Q15" i="7" s="1"/>
  <c r="W15" i="7" s="1"/>
  <c r="AC15" i="7" s="1"/>
  <c r="V33" i="6"/>
  <c r="U33" i="6"/>
  <c r="O33" i="6"/>
  <c r="H33" i="6"/>
  <c r="G13" i="6"/>
  <c r="M13" i="6" s="1"/>
  <c r="S13" i="6" s="1"/>
  <c r="Y13" i="6" s="1"/>
  <c r="AE13" i="6" s="1"/>
  <c r="E13" i="6"/>
  <c r="K13" i="6" s="1"/>
  <c r="Q13" i="6" s="1"/>
  <c r="W13" i="6" s="1"/>
  <c r="AC13" i="6" s="1"/>
  <c r="P33" i="6" l="1"/>
  <c r="C33" i="6"/>
  <c r="J33" i="6"/>
  <c r="T33" i="6"/>
  <c r="AA33" i="6"/>
  <c r="B33" i="6"/>
  <c r="Z33" i="6"/>
  <c r="I33" i="6"/>
  <c r="D33" i="6"/>
  <c r="N33" i="6"/>
  <c r="AB33" i="6"/>
  <c r="B11" i="10" l="1"/>
  <c r="B11" i="7"/>
  <c r="B11" i="6"/>
  <c r="AE20" i="4"/>
  <c r="AC20" i="4"/>
  <c r="Y20" i="4"/>
  <c r="S20" i="4"/>
  <c r="K20" i="4"/>
  <c r="M13" i="4"/>
  <c r="K13" i="4"/>
  <c r="AE12" i="4"/>
  <c r="Y12" i="4"/>
  <c r="S12" i="4"/>
  <c r="M12" i="4"/>
  <c r="G12" i="4"/>
  <c r="H11" i="4"/>
  <c r="K39" i="4" s="1"/>
  <c r="G2" i="4"/>
  <c r="P3" i="11" s="1"/>
  <c r="X45" i="9"/>
  <c r="X42" i="9"/>
  <c r="X37" i="9"/>
  <c r="X20" i="9"/>
  <c r="X17" i="9"/>
  <c r="M57" i="4" l="1"/>
  <c r="M38" i="4"/>
  <c r="K57" i="4"/>
  <c r="M36" i="4"/>
  <c r="M37" i="4"/>
  <c r="K56" i="4"/>
  <c r="M56" i="4"/>
  <c r="K36" i="4"/>
  <c r="M30" i="4"/>
  <c r="W58" i="4"/>
  <c r="K38" i="4"/>
  <c r="M55" i="4"/>
  <c r="K30" i="4"/>
  <c r="Q58" i="4"/>
  <c r="M29" i="4"/>
  <c r="S58" i="4"/>
  <c r="K54" i="4"/>
  <c r="K37" i="4"/>
  <c r="K55" i="4"/>
  <c r="M54" i="4"/>
  <c r="M39" i="4"/>
  <c r="K29" i="4"/>
  <c r="K41" i="4"/>
  <c r="K43" i="4" s="1"/>
  <c r="M41" i="4"/>
  <c r="M43" i="4" s="1"/>
  <c r="AE58" i="4"/>
  <c r="Y58" i="4"/>
  <c r="K31" i="4"/>
  <c r="M31" i="4"/>
  <c r="K58" i="4"/>
  <c r="AC58" i="4"/>
  <c r="M58" i="4"/>
  <c r="M59" i="4" s="1"/>
  <c r="M60" i="4" s="1"/>
  <c r="N11" i="4"/>
  <c r="E17" i="6"/>
  <c r="E26" i="6"/>
  <c r="K26" i="6"/>
  <c r="K25" i="6"/>
  <c r="E25" i="6"/>
  <c r="E16" i="6"/>
  <c r="K16" i="6"/>
  <c r="K19" i="6"/>
  <c r="K17" i="6"/>
  <c r="E18" i="6"/>
  <c r="K18" i="6"/>
  <c r="E19" i="6"/>
  <c r="E18" i="7"/>
  <c r="G36" i="7"/>
  <c r="E36" i="7"/>
  <c r="E37" i="7" s="1"/>
  <c r="G20" i="7"/>
  <c r="E27" i="7"/>
  <c r="M29" i="7"/>
  <c r="M28" i="7"/>
  <c r="E28" i="7"/>
  <c r="G18" i="7"/>
  <c r="E19" i="7"/>
  <c r="G28" i="7"/>
  <c r="G19" i="7"/>
  <c r="E21" i="7"/>
  <c r="E20" i="7"/>
  <c r="M30" i="7"/>
  <c r="M19" i="7"/>
  <c r="M18" i="7"/>
  <c r="M21" i="7"/>
  <c r="M36" i="7"/>
  <c r="G30" i="7"/>
  <c r="E29" i="7"/>
  <c r="G21" i="7"/>
  <c r="M20" i="7"/>
  <c r="E30" i="7"/>
  <c r="G29" i="7"/>
  <c r="E33" i="10"/>
  <c r="E34" i="10" s="1"/>
  <c r="E27" i="10"/>
  <c r="M26" i="6"/>
  <c r="AC26" i="6"/>
  <c r="AE26" i="6"/>
  <c r="W26" i="6"/>
  <c r="Y26" i="6"/>
  <c r="Q26" i="6"/>
  <c r="S26" i="6"/>
  <c r="H11" i="7"/>
  <c r="N11" i="7" s="1"/>
  <c r="T11" i="7" s="1"/>
  <c r="Z11" i="7" s="1"/>
  <c r="Y20" i="7"/>
  <c r="S20" i="7"/>
  <c r="Y18" i="7"/>
  <c r="S27" i="7"/>
  <c r="Y27" i="7"/>
  <c r="AE18" i="7"/>
  <c r="S18" i="7"/>
  <c r="AE27" i="7"/>
  <c r="AE20" i="7"/>
  <c r="M27" i="7"/>
  <c r="Y19" i="7"/>
  <c r="Q20" i="7"/>
  <c r="AC19" i="7"/>
  <c r="W18" i="7"/>
  <c r="K20" i="7"/>
  <c r="W19" i="7"/>
  <c r="AC18" i="7"/>
  <c r="AC20" i="7"/>
  <c r="K18" i="7"/>
  <c r="W20" i="7"/>
  <c r="Q18" i="7"/>
  <c r="AC27" i="7"/>
  <c r="K27" i="7"/>
  <c r="W27" i="7"/>
  <c r="Q27" i="7"/>
  <c r="S13" i="4"/>
  <c r="M14" i="10"/>
  <c r="Q13" i="4"/>
  <c r="K14" i="10"/>
  <c r="AE12" i="10"/>
  <c r="Z9" i="9"/>
  <c r="AE11" i="6"/>
  <c r="AE13" i="7"/>
  <c r="Y12" i="10"/>
  <c r="U9" i="9"/>
  <c r="Y13" i="7"/>
  <c r="Y11" i="6"/>
  <c r="S12" i="10"/>
  <c r="P9" i="9"/>
  <c r="S13" i="7"/>
  <c r="S11" i="6"/>
  <c r="M12" i="10"/>
  <c r="K9" i="9"/>
  <c r="M11" i="6"/>
  <c r="M13" i="7"/>
  <c r="G12" i="10"/>
  <c r="F9" i="9"/>
  <c r="G13" i="7"/>
  <c r="G11" i="6"/>
  <c r="P14" i="4"/>
  <c r="J15" i="10"/>
  <c r="J14" i="6"/>
  <c r="J16" i="7"/>
  <c r="O14" i="4"/>
  <c r="I15" i="10"/>
  <c r="I14" i="6"/>
  <c r="I16" i="7"/>
  <c r="N15" i="10"/>
  <c r="L11" i="9"/>
  <c r="AC17" i="10"/>
  <c r="W17" i="10"/>
  <c r="K17" i="10"/>
  <c r="Q19" i="10"/>
  <c r="W19" i="10"/>
  <c r="Q18" i="10"/>
  <c r="K19" i="10"/>
  <c r="AC19" i="10"/>
  <c r="W18" i="10"/>
  <c r="AC18" i="10"/>
  <c r="Q17" i="10"/>
  <c r="E19" i="10"/>
  <c r="K18" i="10"/>
  <c r="E18" i="10"/>
  <c r="E17" i="10"/>
  <c r="D2" i="12"/>
  <c r="Q33" i="10"/>
  <c r="Q34" i="10" s="1"/>
  <c r="W33" i="10"/>
  <c r="W34" i="10" s="1"/>
  <c r="AC33" i="10"/>
  <c r="AC34" i="10" s="1"/>
  <c r="S19" i="10"/>
  <c r="M33" i="10"/>
  <c r="M34" i="10" s="1"/>
  <c r="K33" i="10"/>
  <c r="K34" i="10" s="1"/>
  <c r="Y19" i="10"/>
  <c r="G19" i="10"/>
  <c r="G25" i="10"/>
  <c r="K27" i="10"/>
  <c r="G17" i="10"/>
  <c r="AC26" i="10"/>
  <c r="S25" i="10"/>
  <c r="G27" i="10"/>
  <c r="AE17" i="10"/>
  <c r="G26" i="10"/>
  <c r="S33" i="10"/>
  <c r="S34" i="10" s="1"/>
  <c r="AE18" i="10"/>
  <c r="Q25" i="10"/>
  <c r="E26" i="10"/>
  <c r="Y27" i="10"/>
  <c r="Y18" i="10"/>
  <c r="AE33" i="10"/>
  <c r="AE34" i="10" s="1"/>
  <c r="S17" i="10"/>
  <c r="AC25" i="10"/>
  <c r="W26" i="10"/>
  <c r="M17" i="10"/>
  <c r="Y26" i="10"/>
  <c r="Q26" i="10"/>
  <c r="G18" i="10"/>
  <c r="AE19" i="10"/>
  <c r="K26" i="10"/>
  <c r="Y25" i="10"/>
  <c r="Y33" i="10"/>
  <c r="Y34" i="10" s="1"/>
  <c r="G33" i="10"/>
  <c r="G34" i="10" s="1"/>
  <c r="H11" i="10"/>
  <c r="N11" i="10" s="1"/>
  <c r="T11" i="10" s="1"/>
  <c r="Z11" i="10" s="1"/>
  <c r="S18" i="10"/>
  <c r="Q27" i="10"/>
  <c r="M25" i="10"/>
  <c r="M18" i="10"/>
  <c r="E25" i="10"/>
  <c r="M27" i="10"/>
  <c r="K25" i="10"/>
  <c r="S27" i="10"/>
  <c r="Y17" i="10"/>
  <c r="W25" i="10"/>
  <c r="AE27" i="10"/>
  <c r="S26" i="10"/>
  <c r="AE26" i="10"/>
  <c r="M19" i="10"/>
  <c r="AE25" i="10"/>
  <c r="AC27" i="10"/>
  <c r="W27" i="10"/>
  <c r="M26" i="10"/>
  <c r="S32" i="6"/>
  <c r="S33" i="6" s="1"/>
  <c r="I42" i="11" s="1"/>
  <c r="I95" i="11" s="1"/>
  <c r="AC32" i="6"/>
  <c r="AC33" i="6" s="1"/>
  <c r="N15" i="12" s="1"/>
  <c r="Q32" i="6"/>
  <c r="Q33" i="6" s="1"/>
  <c r="H42" i="11" s="1"/>
  <c r="H95" i="11" s="1"/>
  <c r="M32" i="6"/>
  <c r="M33" i="6" s="1"/>
  <c r="F15" i="12" s="1"/>
  <c r="K32" i="6"/>
  <c r="K33" i="6" s="1"/>
  <c r="E15" i="12" s="1"/>
  <c r="H11" i="6"/>
  <c r="N11" i="6" s="1"/>
  <c r="T11" i="6" s="1"/>
  <c r="Z11" i="6" s="1"/>
  <c r="W32" i="6"/>
  <c r="W33" i="6" s="1"/>
  <c r="K42" i="11" s="1"/>
  <c r="K95" i="11" s="1"/>
  <c r="G32" i="6"/>
  <c r="G33" i="6" s="1"/>
  <c r="C15" i="12" s="1"/>
  <c r="Y32" i="6"/>
  <c r="Y33" i="6" s="1"/>
  <c r="L15" i="12" s="1"/>
  <c r="E32" i="6"/>
  <c r="E33" i="6" s="1"/>
  <c r="B15" i="12" s="1"/>
  <c r="AE32" i="6"/>
  <c r="AE33" i="6" s="1"/>
  <c r="O15" i="12" s="1"/>
  <c r="N17" i="11"/>
  <c r="N67" i="11" s="1"/>
  <c r="N48" i="12"/>
  <c r="O17" i="11"/>
  <c r="O67" i="11" s="1"/>
  <c r="O48" i="12"/>
  <c r="L48" i="12"/>
  <c r="L17" i="11"/>
  <c r="L67" i="11" s="1"/>
  <c r="H48" i="12"/>
  <c r="H17" i="11"/>
  <c r="H67" i="11" s="1"/>
  <c r="I48" i="12"/>
  <c r="I17" i="11"/>
  <c r="I67" i="11" s="1"/>
  <c r="E48" i="12"/>
  <c r="E17" i="11"/>
  <c r="E67" i="11" s="1"/>
  <c r="C48" i="12"/>
  <c r="C17" i="11"/>
  <c r="C67" i="11" s="1"/>
  <c r="B4" i="11"/>
  <c r="B4" i="12"/>
  <c r="B6" i="10"/>
  <c r="B6" i="9"/>
  <c r="G6" i="9" s="1"/>
  <c r="L6" i="9" s="1"/>
  <c r="Q6" i="9" s="1"/>
  <c r="V6" i="9" s="1"/>
  <c r="B6" i="7"/>
  <c r="H6" i="7" s="1"/>
  <c r="N6" i="7" s="1"/>
  <c r="T6" i="7" s="1"/>
  <c r="Z6" i="7" s="1"/>
  <c r="B6" i="6"/>
  <c r="B48" i="12"/>
  <c r="B17" i="11"/>
  <c r="B67" i="11" s="1"/>
  <c r="H6" i="4"/>
  <c r="N6" i="4" s="1"/>
  <c r="T6" i="4" s="1"/>
  <c r="Z6" i="4" s="1"/>
  <c r="G2" i="10"/>
  <c r="F2" i="9"/>
  <c r="V18" i="9"/>
  <c r="X16" i="9"/>
  <c r="X18" i="9" s="1"/>
  <c r="V38" i="9"/>
  <c r="X36" i="9"/>
  <c r="X38" i="9" s="1"/>
  <c r="X41" i="9"/>
  <c r="X43" i="9" s="1"/>
  <c r="V43" i="9"/>
  <c r="G2" i="6"/>
  <c r="G2" i="7"/>
  <c r="N14" i="6"/>
  <c r="N16" i="7"/>
  <c r="M20" i="4"/>
  <c r="AC59" i="4" l="1"/>
  <c r="AC66" i="4"/>
  <c r="K59" i="4"/>
  <c r="K60" i="4" s="1"/>
  <c r="Q59" i="4"/>
  <c r="Q66" i="4"/>
  <c r="M32" i="4"/>
  <c r="M67" i="4" s="1"/>
  <c r="M66" i="4"/>
  <c r="K66" i="4"/>
  <c r="K32" i="4"/>
  <c r="K67" i="4" s="1"/>
  <c r="Y59" i="4"/>
  <c r="Y66" i="4"/>
  <c r="AE59" i="4"/>
  <c r="AE66" i="4"/>
  <c r="W59" i="4"/>
  <c r="W66" i="4"/>
  <c r="S59" i="4"/>
  <c r="S66" i="4"/>
  <c r="Q14" i="10"/>
  <c r="T11" i="4"/>
  <c r="W13" i="4"/>
  <c r="E27" i="6"/>
  <c r="E28" i="6" s="1"/>
  <c r="E29" i="6" s="1"/>
  <c r="E20" i="6"/>
  <c r="E21" i="6" s="1"/>
  <c r="E22" i="6" s="1"/>
  <c r="K20" i="6"/>
  <c r="K21" i="6" s="1"/>
  <c r="U14" i="4"/>
  <c r="O28" i="4"/>
  <c r="M22" i="7"/>
  <c r="V14" i="4"/>
  <c r="P28" i="4"/>
  <c r="O42" i="11"/>
  <c r="O95" i="11" s="1"/>
  <c r="W20" i="10"/>
  <c r="K27" i="11" s="1"/>
  <c r="K78" i="11" s="1"/>
  <c r="E28" i="10"/>
  <c r="B38" i="12" s="1"/>
  <c r="AC20" i="10"/>
  <c r="N27" i="11" s="1"/>
  <c r="N78" i="11" s="1"/>
  <c r="Y13" i="4"/>
  <c r="S14" i="10"/>
  <c r="P15" i="10"/>
  <c r="P16" i="7"/>
  <c r="P14" i="6"/>
  <c r="O15" i="10"/>
  <c r="O14" i="6"/>
  <c r="O16" i="7"/>
  <c r="T15" i="10"/>
  <c r="Q11" i="9"/>
  <c r="J48" i="12"/>
  <c r="I15" i="12"/>
  <c r="K28" i="10"/>
  <c r="E38" i="12" s="1"/>
  <c r="B42" i="11"/>
  <c r="B95" i="11" s="1"/>
  <c r="L42" i="11"/>
  <c r="L95" i="11" s="1"/>
  <c r="E42" i="11"/>
  <c r="E95" i="11" s="1"/>
  <c r="N42" i="11"/>
  <c r="P17" i="11"/>
  <c r="P67" i="11" s="1"/>
  <c r="J17" i="11"/>
  <c r="J67" i="11" s="1"/>
  <c r="C42" i="11"/>
  <c r="AC34" i="6"/>
  <c r="AC35" i="6" s="1"/>
  <c r="K15" i="12"/>
  <c r="M15" i="12" s="1"/>
  <c r="W34" i="6"/>
  <c r="W35" i="6" s="1"/>
  <c r="S28" i="10"/>
  <c r="I38" i="12" s="1"/>
  <c r="H15" i="12"/>
  <c r="K34" i="6"/>
  <c r="K35" i="6" s="1"/>
  <c r="AE34" i="6"/>
  <c r="AE35" i="6" s="1"/>
  <c r="Y34" i="6"/>
  <c r="Y35" i="6" s="1"/>
  <c r="S34" i="6"/>
  <c r="S35" i="6" s="1"/>
  <c r="Q34" i="6"/>
  <c r="Q35" i="6" s="1"/>
  <c r="G20" i="10"/>
  <c r="C37" i="12" s="1"/>
  <c r="G15" i="12"/>
  <c r="D15" i="12"/>
  <c r="P48" i="12"/>
  <c r="P15" i="12"/>
  <c r="F42" i="11"/>
  <c r="F95" i="11" s="1"/>
  <c r="C45" i="11"/>
  <c r="C98" i="11" s="1"/>
  <c r="C39" i="12"/>
  <c r="Y20" i="10"/>
  <c r="Y21" i="10" s="1"/>
  <c r="Q28" i="10"/>
  <c r="Q29" i="10" s="1"/>
  <c r="Q30" i="10" s="1"/>
  <c r="AE20" i="10"/>
  <c r="AE21" i="10" s="1"/>
  <c r="K39" i="12"/>
  <c r="K45" i="11"/>
  <c r="K98" i="11" s="1"/>
  <c r="F39" i="12"/>
  <c r="F45" i="11"/>
  <c r="F98" i="11" s="1"/>
  <c r="H45" i="11"/>
  <c r="H98" i="11" s="1"/>
  <c r="H39" i="12"/>
  <c r="S20" i="10"/>
  <c r="S21" i="10" s="1"/>
  <c r="M34" i="6"/>
  <c r="M35" i="6" s="1"/>
  <c r="G34" i="6"/>
  <c r="G35" i="6" s="1"/>
  <c r="W28" i="10"/>
  <c r="M28" i="10"/>
  <c r="M29" i="10" s="1"/>
  <c r="M30" i="10" s="1"/>
  <c r="Y28" i="10"/>
  <c r="Y29" i="10" s="1"/>
  <c r="Y30" i="10" s="1"/>
  <c r="M20" i="10"/>
  <c r="M21" i="10" s="1"/>
  <c r="E20" i="10"/>
  <c r="E21" i="10" s="1"/>
  <c r="K20" i="10"/>
  <c r="K21" i="10" s="1"/>
  <c r="B45" i="11"/>
  <c r="B98" i="11" s="1"/>
  <c r="B39" i="12"/>
  <c r="I39" i="12"/>
  <c r="I45" i="11"/>
  <c r="I98" i="11" s="1"/>
  <c r="E45" i="11"/>
  <c r="E98" i="11" s="1"/>
  <c r="E39" i="12"/>
  <c r="L45" i="11"/>
  <c r="L98" i="11" s="1"/>
  <c r="L39" i="12"/>
  <c r="O39" i="12"/>
  <c r="O45" i="11"/>
  <c r="O98" i="11" s="1"/>
  <c r="N39" i="12"/>
  <c r="N45" i="11"/>
  <c r="N98" i="11" s="1"/>
  <c r="AE28" i="10"/>
  <c r="AE29" i="10" s="1"/>
  <c r="AE30" i="10" s="1"/>
  <c r="AC28" i="10"/>
  <c r="AC29" i="10" s="1"/>
  <c r="AC30" i="10" s="1"/>
  <c r="Q20" i="10"/>
  <c r="Q21" i="10" s="1"/>
  <c r="G28" i="10"/>
  <c r="G29" i="10" s="1"/>
  <c r="G30" i="10" s="1"/>
  <c r="K48" i="12"/>
  <c r="M48" i="12" s="1"/>
  <c r="K17" i="11"/>
  <c r="J42" i="11"/>
  <c r="J95" i="11" s="1"/>
  <c r="F48" i="12"/>
  <c r="G48" i="12" s="1"/>
  <c r="F17" i="11"/>
  <c r="C49" i="12"/>
  <c r="C50" i="12" s="1"/>
  <c r="D48" i="12"/>
  <c r="D17" i="11"/>
  <c r="D67" i="11" s="1"/>
  <c r="B49" i="12"/>
  <c r="B50" i="12" s="1"/>
  <c r="H6" i="6"/>
  <c r="N6" i="6" s="1"/>
  <c r="T6" i="6" s="1"/>
  <c r="Z6" i="6" s="1"/>
  <c r="O34" i="6"/>
  <c r="O35" i="6" s="1"/>
  <c r="H34" i="6"/>
  <c r="H35" i="6" s="1"/>
  <c r="P34" i="6"/>
  <c r="P35" i="6" s="1"/>
  <c r="U34" i="6"/>
  <c r="U35" i="6" s="1"/>
  <c r="V34" i="6"/>
  <c r="V35" i="6" s="1"/>
  <c r="C34" i="6"/>
  <c r="C35" i="6" s="1"/>
  <c r="AB34" i="6"/>
  <c r="AB35" i="6" s="1"/>
  <c r="D34" i="6"/>
  <c r="D35" i="6" s="1"/>
  <c r="J34" i="6"/>
  <c r="J35" i="6" s="1"/>
  <c r="AA34" i="6"/>
  <c r="AA35" i="6" s="1"/>
  <c r="B34" i="6"/>
  <c r="B35" i="6" s="1"/>
  <c r="T34" i="6"/>
  <c r="T35" i="6" s="1"/>
  <c r="I34" i="6"/>
  <c r="I35" i="6" s="1"/>
  <c r="N34" i="6"/>
  <c r="N35" i="6" s="1"/>
  <c r="Z34" i="6"/>
  <c r="Z35" i="6" s="1"/>
  <c r="L49" i="12"/>
  <c r="H49" i="12"/>
  <c r="H50" i="12" s="1"/>
  <c r="F49" i="12"/>
  <c r="E49" i="12"/>
  <c r="E50" i="12" s="1"/>
  <c r="O49" i="12"/>
  <c r="I49" i="12"/>
  <c r="N49" i="12"/>
  <c r="N50" i="12" s="1"/>
  <c r="E34" i="6"/>
  <c r="E35" i="6" s="1"/>
  <c r="H6" i="10"/>
  <c r="N6" i="10" s="1"/>
  <c r="T6" i="10" s="1"/>
  <c r="Z6" i="10" s="1"/>
  <c r="N29" i="10"/>
  <c r="N30" i="10" s="1"/>
  <c r="P21" i="10"/>
  <c r="T29" i="10"/>
  <c r="T30" i="10" s="1"/>
  <c r="V21" i="10"/>
  <c r="O35" i="10"/>
  <c r="O36" i="10" s="1"/>
  <c r="D21" i="10"/>
  <c r="Z29" i="10"/>
  <c r="Z30" i="10" s="1"/>
  <c r="AA21" i="10"/>
  <c r="C21" i="10"/>
  <c r="J29" i="10"/>
  <c r="J30" i="10" s="1"/>
  <c r="P35" i="10"/>
  <c r="P36" i="10" s="1"/>
  <c r="B35" i="10"/>
  <c r="B36" i="10" s="1"/>
  <c r="U29" i="10"/>
  <c r="U30" i="10" s="1"/>
  <c r="AB21" i="10"/>
  <c r="U21" i="10"/>
  <c r="D35" i="10"/>
  <c r="D36" i="10" s="1"/>
  <c r="D29" i="10"/>
  <c r="D30" i="10" s="1"/>
  <c r="J35" i="10"/>
  <c r="J36" i="10" s="1"/>
  <c r="I35" i="10"/>
  <c r="I36" i="10" s="1"/>
  <c r="AB35" i="10"/>
  <c r="AB36" i="10" s="1"/>
  <c r="B29" i="10"/>
  <c r="B30" i="10" s="1"/>
  <c r="H21" i="10"/>
  <c r="AB29" i="10"/>
  <c r="AB30" i="10" s="1"/>
  <c r="Z21" i="10"/>
  <c r="AA29" i="10"/>
  <c r="AA30" i="10" s="1"/>
  <c r="C29" i="10"/>
  <c r="C30" i="10" s="1"/>
  <c r="I21" i="10"/>
  <c r="AC35" i="10"/>
  <c r="AC36" i="10" s="1"/>
  <c r="V29" i="10"/>
  <c r="V30" i="10" s="1"/>
  <c r="Q35" i="10"/>
  <c r="Q36" i="10" s="1"/>
  <c r="J21" i="10"/>
  <c r="O21" i="10"/>
  <c r="U35" i="10"/>
  <c r="U36" i="10" s="1"/>
  <c r="H35" i="10"/>
  <c r="H36" i="10" s="1"/>
  <c r="I29" i="10"/>
  <c r="I30" i="10" s="1"/>
  <c r="B21" i="10"/>
  <c r="G35" i="10"/>
  <c r="G36" i="10" s="1"/>
  <c r="V35" i="10"/>
  <c r="V36" i="10" s="1"/>
  <c r="H29" i="10"/>
  <c r="H30" i="10" s="1"/>
  <c r="T21" i="10"/>
  <c r="Z35" i="10"/>
  <c r="Z36" i="10" s="1"/>
  <c r="P29" i="10"/>
  <c r="P30" i="10" s="1"/>
  <c r="N21" i="10"/>
  <c r="E35" i="10"/>
  <c r="E36" i="10" s="1"/>
  <c r="AA35" i="10"/>
  <c r="AA36" i="10" s="1"/>
  <c r="S35" i="10"/>
  <c r="S36" i="10" s="1"/>
  <c r="T35" i="10"/>
  <c r="T36" i="10" s="1"/>
  <c r="N35" i="10"/>
  <c r="N36" i="10" s="1"/>
  <c r="O29" i="10"/>
  <c r="O30" i="10" s="1"/>
  <c r="C35" i="10"/>
  <c r="C36" i="10" s="1"/>
  <c r="K35" i="10"/>
  <c r="K36" i="10" s="1"/>
  <c r="W35" i="10"/>
  <c r="W36" i="10" s="1"/>
  <c r="AE35" i="10"/>
  <c r="AE36" i="10" s="1"/>
  <c r="M35" i="10"/>
  <c r="M36" i="10" s="1"/>
  <c r="Y35" i="10"/>
  <c r="Y36" i="10" s="1"/>
  <c r="T14" i="6"/>
  <c r="T16" i="7"/>
  <c r="AC13" i="4"/>
  <c r="K33" i="4" l="1"/>
  <c r="M33" i="4"/>
  <c r="M68" i="4" s="1"/>
  <c r="AE60" i="4"/>
  <c r="AE68" i="4" s="1"/>
  <c r="AE67" i="4"/>
  <c r="Y60" i="4"/>
  <c r="Y68" i="4" s="1"/>
  <c r="Y67" i="4"/>
  <c r="Q60" i="4"/>
  <c r="Q68" i="4" s="1"/>
  <c r="Q67" i="4"/>
  <c r="AC60" i="4"/>
  <c r="AC68" i="4" s="1"/>
  <c r="AC67" i="4"/>
  <c r="K68" i="4"/>
  <c r="W60" i="4"/>
  <c r="W68" i="4" s="1"/>
  <c r="W67" i="4"/>
  <c r="S60" i="4"/>
  <c r="S68" i="4" s="1"/>
  <c r="S67" i="4"/>
  <c r="W14" i="10"/>
  <c r="Z11" i="4"/>
  <c r="AC14" i="10"/>
  <c r="W21" i="10"/>
  <c r="W22" i="10" s="1"/>
  <c r="AB14" i="4"/>
  <c r="AB28" i="4" s="1"/>
  <c r="V28" i="4"/>
  <c r="K37" i="12"/>
  <c r="AA14" i="4"/>
  <c r="AA28" i="4" s="1"/>
  <c r="U28" i="4"/>
  <c r="W39" i="10"/>
  <c r="N37" i="12"/>
  <c r="J39" i="12"/>
  <c r="M39" i="12"/>
  <c r="E29" i="10"/>
  <c r="E30" i="10" s="1"/>
  <c r="B36" i="11"/>
  <c r="B88" i="11" s="1"/>
  <c r="AC21" i="10"/>
  <c r="AC22" i="10" s="1"/>
  <c r="C27" i="11"/>
  <c r="C78" i="11" s="1"/>
  <c r="AE13" i="4"/>
  <c r="Y14" i="10"/>
  <c r="V15" i="10"/>
  <c r="V16" i="7"/>
  <c r="V14" i="6"/>
  <c r="U15" i="10"/>
  <c r="U16" i="7"/>
  <c r="U14" i="6"/>
  <c r="Z15" i="10"/>
  <c r="V11" i="9"/>
  <c r="J15" i="12"/>
  <c r="M42" i="11"/>
  <c r="M95" i="11" s="1"/>
  <c r="K29" i="10"/>
  <c r="K30" i="10" s="1"/>
  <c r="W29" i="10"/>
  <c r="W30" i="10" s="1"/>
  <c r="E36" i="11"/>
  <c r="E88" i="11" s="1"/>
  <c r="D42" i="11"/>
  <c r="D95" i="11" s="1"/>
  <c r="C95" i="11"/>
  <c r="P42" i="11"/>
  <c r="P95" i="11" s="1"/>
  <c r="N95" i="11"/>
  <c r="M17" i="11"/>
  <c r="M67" i="11" s="1"/>
  <c r="K67" i="11"/>
  <c r="G17" i="11"/>
  <c r="G67" i="11" s="1"/>
  <c r="F67" i="11"/>
  <c r="G42" i="11"/>
  <c r="G95" i="11" s="1"/>
  <c r="S29" i="10"/>
  <c r="S30" i="10" s="1"/>
  <c r="G21" i="10"/>
  <c r="G40" i="10" s="1"/>
  <c r="I36" i="11"/>
  <c r="I88" i="11" s="1"/>
  <c r="G39" i="10"/>
  <c r="G39" i="12"/>
  <c r="M45" i="11"/>
  <c r="M98" i="11" s="1"/>
  <c r="O38" i="12"/>
  <c r="O36" i="11"/>
  <c r="O88" i="11" s="1"/>
  <c r="E27" i="11"/>
  <c r="E37" i="12"/>
  <c r="K39" i="10"/>
  <c r="F36" i="11"/>
  <c r="F38" i="12"/>
  <c r="G38" i="12" s="1"/>
  <c r="I27" i="11"/>
  <c r="I78" i="11" s="1"/>
  <c r="S39" i="10"/>
  <c r="I37" i="12"/>
  <c r="Y39" i="10"/>
  <c r="L27" i="11"/>
  <c r="L78" i="11" s="1"/>
  <c r="L37" i="12"/>
  <c r="P45" i="11"/>
  <c r="P98" i="11" s="1"/>
  <c r="J45" i="11"/>
  <c r="J98" i="11" s="1"/>
  <c r="L38" i="12"/>
  <c r="L36" i="11"/>
  <c r="L88" i="11" s="1"/>
  <c r="H38" i="12"/>
  <c r="J38" i="12" s="1"/>
  <c r="H36" i="11"/>
  <c r="H88" i="11" s="1"/>
  <c r="H27" i="11"/>
  <c r="H78" i="11" s="1"/>
  <c r="Q39" i="10"/>
  <c r="H37" i="12"/>
  <c r="F37" i="12"/>
  <c r="F27" i="11"/>
  <c r="F78" i="11" s="1"/>
  <c r="M39" i="10"/>
  <c r="O37" i="12"/>
  <c r="AE39" i="10"/>
  <c r="O27" i="11"/>
  <c r="O78" i="11" s="1"/>
  <c r="G45" i="11"/>
  <c r="G98" i="11" s="1"/>
  <c r="D45" i="11"/>
  <c r="D98" i="11" s="1"/>
  <c r="N38" i="12"/>
  <c r="N36" i="11"/>
  <c r="C38" i="12"/>
  <c r="D38" i="12" s="1"/>
  <c r="C36" i="11"/>
  <c r="B37" i="12"/>
  <c r="D37" i="12" s="1"/>
  <c r="E39" i="10"/>
  <c r="B27" i="11"/>
  <c r="K36" i="11"/>
  <c r="K38" i="12"/>
  <c r="AC39" i="10"/>
  <c r="K49" i="12"/>
  <c r="K50" i="12" s="1"/>
  <c r="P39" i="12"/>
  <c r="D39" i="12"/>
  <c r="Y40" i="10"/>
  <c r="Y22" i="10"/>
  <c r="Q40" i="10"/>
  <c r="Q22" i="10"/>
  <c r="H22" i="10"/>
  <c r="H40" i="10"/>
  <c r="H41" i="10" s="1"/>
  <c r="AB22" i="10"/>
  <c r="AB40" i="10"/>
  <c r="AB41" i="10" s="1"/>
  <c r="D22" i="10"/>
  <c r="D40" i="10"/>
  <c r="D41" i="10" s="1"/>
  <c r="M40" i="10"/>
  <c r="M22" i="10"/>
  <c r="AE40" i="10"/>
  <c r="AE22" i="10"/>
  <c r="N22" i="10"/>
  <c r="N40" i="10"/>
  <c r="N41" i="10" s="1"/>
  <c r="J40" i="10"/>
  <c r="J41" i="10" s="1"/>
  <c r="J22" i="10"/>
  <c r="I40" i="10"/>
  <c r="I41" i="10" s="1"/>
  <c r="I22" i="10"/>
  <c r="U22" i="10"/>
  <c r="U40" i="10"/>
  <c r="U41" i="10" s="1"/>
  <c r="G49" i="12"/>
  <c r="G50" i="12" s="1"/>
  <c r="F50" i="12"/>
  <c r="L50" i="12"/>
  <c r="B22" i="10"/>
  <c r="B40" i="10"/>
  <c r="B41" i="10" s="1"/>
  <c r="V22" i="10"/>
  <c r="V40" i="10"/>
  <c r="V41" i="10" s="1"/>
  <c r="E22" i="10"/>
  <c r="T40" i="10"/>
  <c r="T41" i="10" s="1"/>
  <c r="T22" i="10"/>
  <c r="O40" i="10"/>
  <c r="O41" i="10" s="1"/>
  <c r="O22" i="10"/>
  <c r="Z22" i="10"/>
  <c r="Z40" i="10"/>
  <c r="Z41" i="10" s="1"/>
  <c r="AA22" i="10"/>
  <c r="AA40" i="10"/>
  <c r="AA41" i="10" s="1"/>
  <c r="S22" i="10"/>
  <c r="K22" i="10"/>
  <c r="C22" i="10"/>
  <c r="C40" i="10"/>
  <c r="C41" i="10" s="1"/>
  <c r="O50" i="12"/>
  <c r="P49" i="12"/>
  <c r="P50" i="12" s="1"/>
  <c r="D49" i="12"/>
  <c r="D50" i="12" s="1"/>
  <c r="P22" i="10"/>
  <c r="P40" i="10"/>
  <c r="P41" i="10" s="1"/>
  <c r="I50" i="12"/>
  <c r="J49" i="12"/>
  <c r="J50" i="12" s="1"/>
  <c r="X13" i="9"/>
  <c r="V21" i="9"/>
  <c r="Z13" i="9"/>
  <c r="X26" i="9"/>
  <c r="Z26" i="9"/>
  <c r="V28" i="9"/>
  <c r="X33" i="9"/>
  <c r="X46" i="9" s="1"/>
  <c r="V46" i="9"/>
  <c r="V47" i="9" s="1"/>
  <c r="V48" i="9" s="1"/>
  <c r="Z33" i="9"/>
  <c r="Z46" i="9" s="1"/>
  <c r="O31" i="12" s="1"/>
  <c r="X14" i="9"/>
  <c r="Z14" i="9"/>
  <c r="X27" i="9"/>
  <c r="Z27" i="9"/>
  <c r="Z16" i="7"/>
  <c r="Z14" i="6"/>
  <c r="M37" i="12" l="1"/>
  <c r="AE14" i="10"/>
  <c r="P37" i="12"/>
  <c r="Z28" i="9"/>
  <c r="O30" i="12" s="1"/>
  <c r="E40" i="10"/>
  <c r="E41" i="10" s="1"/>
  <c r="AC40" i="10"/>
  <c r="AC41" i="10" s="1"/>
  <c r="W40" i="10"/>
  <c r="W41" i="10" s="1"/>
  <c r="Z21" i="9"/>
  <c r="O29" i="12" s="1"/>
  <c r="AB15" i="10"/>
  <c r="AB14" i="6"/>
  <c r="AB16" i="7"/>
  <c r="AA14" i="6"/>
  <c r="AA15" i="10"/>
  <c r="AA16" i="7"/>
  <c r="AE41" i="10"/>
  <c r="K40" i="10"/>
  <c r="K41" i="10" s="1"/>
  <c r="Y41" i="10"/>
  <c r="S40" i="10"/>
  <c r="S41" i="10" s="1"/>
  <c r="B55" i="11"/>
  <c r="B109" i="11" s="1"/>
  <c r="B78" i="11"/>
  <c r="K55" i="11"/>
  <c r="K109" i="11" s="1"/>
  <c r="K88" i="11"/>
  <c r="D36" i="11"/>
  <c r="D88" i="11" s="1"/>
  <c r="C88" i="11"/>
  <c r="G36" i="11"/>
  <c r="G88" i="11" s="1"/>
  <c r="F88" i="11"/>
  <c r="E55" i="11"/>
  <c r="E109" i="11" s="1"/>
  <c r="E78" i="11"/>
  <c r="N55" i="11"/>
  <c r="N109" i="11" s="1"/>
  <c r="N88" i="11"/>
  <c r="J36" i="11"/>
  <c r="J88" i="11" s="1"/>
  <c r="D27" i="11"/>
  <c r="G41" i="10"/>
  <c r="G22" i="10"/>
  <c r="C55" i="11"/>
  <c r="C109" i="11" s="1"/>
  <c r="H55" i="11"/>
  <c r="H109" i="11" s="1"/>
  <c r="M38" i="12"/>
  <c r="J37" i="12"/>
  <c r="M41" i="10"/>
  <c r="Q41" i="10"/>
  <c r="P36" i="11"/>
  <c r="P88" i="11" s="1"/>
  <c r="M49" i="12"/>
  <c r="M50" i="12" s="1"/>
  <c r="G37" i="12"/>
  <c r="P38" i="12"/>
  <c r="P27" i="11"/>
  <c r="P78" i="11" s="1"/>
  <c r="O55" i="11"/>
  <c r="O109" i="11" s="1"/>
  <c r="M36" i="11"/>
  <c r="M88" i="11" s="1"/>
  <c r="F55" i="11"/>
  <c r="F109" i="11" s="1"/>
  <c r="G27" i="11"/>
  <c r="M27" i="11"/>
  <c r="M78" i="11" s="1"/>
  <c r="L55" i="11"/>
  <c r="L109" i="11" s="1"/>
  <c r="I55" i="11"/>
  <c r="I109" i="11" s="1"/>
  <c r="J27" i="11"/>
  <c r="J78" i="11" s="1"/>
  <c r="N44" i="11"/>
  <c r="N97" i="11" s="1"/>
  <c r="N31" i="12"/>
  <c r="P31" i="12" s="1"/>
  <c r="Z29" i="9"/>
  <c r="Z30" i="9" s="1"/>
  <c r="O35" i="11"/>
  <c r="O87" i="11" s="1"/>
  <c r="Z47" i="9"/>
  <c r="Z48" i="9" s="1"/>
  <c r="O44" i="11"/>
  <c r="O97" i="11" s="1"/>
  <c r="X21" i="9"/>
  <c r="V29" i="9"/>
  <c r="V30" i="9" s="1"/>
  <c r="V22" i="9"/>
  <c r="V51" i="9"/>
  <c r="X47" i="9"/>
  <c r="X48" i="9" s="1"/>
  <c r="X28" i="9"/>
  <c r="N30" i="12" s="1"/>
  <c r="P30" i="12" s="1"/>
  <c r="AA37" i="7"/>
  <c r="AA38" i="7" s="1"/>
  <c r="AA39" i="7" s="1"/>
  <c r="AB37" i="7"/>
  <c r="Z22" i="9" l="1"/>
  <c r="Z52" i="9" s="1"/>
  <c r="Z51" i="9"/>
  <c r="O26" i="11"/>
  <c r="O77" i="11" s="1"/>
  <c r="G55" i="11"/>
  <c r="G109" i="11" s="1"/>
  <c r="G78" i="11"/>
  <c r="D55" i="11"/>
  <c r="D109" i="11" s="1"/>
  <c r="D78" i="11"/>
  <c r="J55" i="11"/>
  <c r="J109" i="11" s="1"/>
  <c r="AC21" i="7"/>
  <c r="AC22" i="7" s="1"/>
  <c r="P44" i="11"/>
  <c r="P97" i="11" s="1"/>
  <c r="M55" i="11"/>
  <c r="M109" i="11" s="1"/>
  <c r="P55" i="11"/>
  <c r="P109" i="11" s="1"/>
  <c r="N26" i="11"/>
  <c r="N29" i="12"/>
  <c r="P29" i="12" s="1"/>
  <c r="X29" i="9"/>
  <c r="X30" i="9" s="1"/>
  <c r="N35" i="11"/>
  <c r="AA31" i="7"/>
  <c r="AA32" i="7" s="1"/>
  <c r="AA33" i="7" s="1"/>
  <c r="V52" i="9"/>
  <c r="V53" i="9" s="1"/>
  <c r="AE21" i="7"/>
  <c r="AE36" i="7"/>
  <c r="AE37" i="7" s="1"/>
  <c r="O23" i="12" s="1"/>
  <c r="Z37" i="7"/>
  <c r="Z38" i="7" s="1"/>
  <c r="Z39" i="7" s="1"/>
  <c r="AC36" i="7"/>
  <c r="AC37" i="7" s="1"/>
  <c r="N23" i="12" s="1"/>
  <c r="V23" i="9"/>
  <c r="AE28" i="7"/>
  <c r="Z31" i="7"/>
  <c r="AC28" i="7"/>
  <c r="AE19" i="7"/>
  <c r="AC29" i="7"/>
  <c r="AE29" i="7"/>
  <c r="AB38" i="7"/>
  <c r="AB39" i="7" s="1"/>
  <c r="AE30" i="7"/>
  <c r="AC30" i="7"/>
  <c r="AB31" i="7"/>
  <c r="AB32" i="7" s="1"/>
  <c r="AB33" i="7" s="1"/>
  <c r="X22" i="9"/>
  <c r="X51" i="9"/>
  <c r="AA28" i="6"/>
  <c r="AA29" i="6" s="1"/>
  <c r="AB28" i="6"/>
  <c r="AB29" i="6" s="1"/>
  <c r="AE22" i="7" l="1"/>
  <c r="Z23" i="9"/>
  <c r="Z53" i="9"/>
  <c r="O54" i="11"/>
  <c r="O108" i="11" s="1"/>
  <c r="AC17" i="6"/>
  <c r="N54" i="11"/>
  <c r="N108" i="11" s="1"/>
  <c r="N87" i="11"/>
  <c r="P26" i="11"/>
  <c r="P77" i="11" s="1"/>
  <c r="N77" i="11"/>
  <c r="AC16" i="6"/>
  <c r="AC18" i="6"/>
  <c r="AC19" i="6"/>
  <c r="X52" i="9"/>
  <c r="X53" i="9" s="1"/>
  <c r="P23" i="12"/>
  <c r="P35" i="11"/>
  <c r="AC38" i="7"/>
  <c r="N43" i="11"/>
  <c r="AE38" i="7"/>
  <c r="O43" i="11"/>
  <c r="O96" i="11" s="1"/>
  <c r="AB20" i="6"/>
  <c r="AB21" i="6" s="1"/>
  <c r="AE18" i="6"/>
  <c r="Z42" i="7"/>
  <c r="Z32" i="7"/>
  <c r="Z33" i="7" s="1"/>
  <c r="AE19" i="6"/>
  <c r="AA42" i="7"/>
  <c r="AA23" i="7"/>
  <c r="AA43" i="7" s="1"/>
  <c r="AB42" i="7"/>
  <c r="AB23" i="7"/>
  <c r="AB43" i="7" s="1"/>
  <c r="AA20" i="6"/>
  <c r="X23" i="9"/>
  <c r="AC31" i="7"/>
  <c r="N22" i="12" s="1"/>
  <c r="Z20" i="6"/>
  <c r="AE16" i="6"/>
  <c r="Z28" i="6"/>
  <c r="Z29" i="6" s="1"/>
  <c r="AC25" i="6"/>
  <c r="AE25" i="6"/>
  <c r="Z23" i="7"/>
  <c r="AE17" i="6"/>
  <c r="AE31" i="7"/>
  <c r="O22" i="12" s="1"/>
  <c r="AC27" i="6" l="1"/>
  <c r="N14" i="12" s="1"/>
  <c r="AE27" i="6"/>
  <c r="O33" i="11" s="1"/>
  <c r="O85" i="11" s="1"/>
  <c r="AA44" i="7"/>
  <c r="N46" i="11"/>
  <c r="N96" i="11"/>
  <c r="P54" i="11"/>
  <c r="P108" i="11" s="1"/>
  <c r="P87" i="11"/>
  <c r="Z43" i="7"/>
  <c r="Z44" i="7" s="1"/>
  <c r="P22" i="12"/>
  <c r="N25" i="11"/>
  <c r="N76" i="11" s="1"/>
  <c r="N21" i="12"/>
  <c r="O25" i="11"/>
  <c r="O76" i="11" s="1"/>
  <c r="O21" i="12"/>
  <c r="AE32" i="7"/>
  <c r="AE33" i="7" s="1"/>
  <c r="O34" i="11"/>
  <c r="O86" i="11" s="1"/>
  <c r="AC39" i="7"/>
  <c r="AC32" i="7"/>
  <c r="AC33" i="7" s="1"/>
  <c r="N34" i="11"/>
  <c r="N86" i="11" s="1"/>
  <c r="AE39" i="7"/>
  <c r="AB44" i="7"/>
  <c r="AE23" i="7"/>
  <c r="AE24" i="7" s="1"/>
  <c r="AB38" i="6"/>
  <c r="P43" i="11"/>
  <c r="O46" i="11"/>
  <c r="Z24" i="7"/>
  <c r="AB24" i="7"/>
  <c r="Z21" i="6"/>
  <c r="Z38" i="6"/>
  <c r="AA21" i="6"/>
  <c r="AA38" i="6"/>
  <c r="AB22" i="6"/>
  <c r="AB39" i="6"/>
  <c r="AE20" i="6"/>
  <c r="AA24" i="7"/>
  <c r="AE42" i="7"/>
  <c r="AC42" i="7"/>
  <c r="AC23" i="7"/>
  <c r="AC20" i="6"/>
  <c r="N33" i="11" l="1"/>
  <c r="N85" i="11" s="1"/>
  <c r="AC28" i="6"/>
  <c r="AC29" i="6" s="1"/>
  <c r="AE28" i="6"/>
  <c r="AE29" i="6" s="1"/>
  <c r="AB40" i="6"/>
  <c r="O14" i="12"/>
  <c r="P14" i="12" s="1"/>
  <c r="N47" i="11"/>
  <c r="N100" i="11" s="1"/>
  <c r="N99" i="11"/>
  <c r="O47" i="11"/>
  <c r="O100" i="11" s="1"/>
  <c r="O99" i="11"/>
  <c r="P46" i="11"/>
  <c r="P99" i="11" s="1"/>
  <c r="P96" i="11"/>
  <c r="P25" i="11"/>
  <c r="P76" i="11" s="1"/>
  <c r="O53" i="11"/>
  <c r="O107" i="11" s="1"/>
  <c r="P21" i="12"/>
  <c r="AE43" i="7"/>
  <c r="AE44" i="7" s="1"/>
  <c r="AC43" i="7"/>
  <c r="AC44" i="7" s="1"/>
  <c r="N24" i="11"/>
  <c r="N13" i="12"/>
  <c r="N53" i="11"/>
  <c r="N107" i="11" s="1"/>
  <c r="O24" i="11"/>
  <c r="O13" i="12"/>
  <c r="O37" i="11"/>
  <c r="P34" i="11"/>
  <c r="P86" i="11" s="1"/>
  <c r="AE38" i="6"/>
  <c r="AE21" i="6"/>
  <c r="AA22" i="6"/>
  <c r="AA39" i="6"/>
  <c r="AA40" i="6" s="1"/>
  <c r="Z22" i="6"/>
  <c r="Z39" i="6"/>
  <c r="Z40" i="6" s="1"/>
  <c r="AC24" i="7"/>
  <c r="AC38" i="6"/>
  <c r="AC21" i="6"/>
  <c r="N37" i="11" l="1"/>
  <c r="N89" i="11" s="1"/>
  <c r="P33" i="11"/>
  <c r="P85" i="11" s="1"/>
  <c r="P47" i="11"/>
  <c r="P48" i="11" s="1"/>
  <c r="P49" i="11" s="1"/>
  <c r="N48" i="11"/>
  <c r="N49" i="11" s="1"/>
  <c r="O48" i="11"/>
  <c r="O49" i="11" s="1"/>
  <c r="O38" i="11"/>
  <c r="O90" i="11" s="1"/>
  <c r="O89" i="11"/>
  <c r="O52" i="11"/>
  <c r="O106" i="11" s="1"/>
  <c r="O75" i="11"/>
  <c r="N28" i="11"/>
  <c r="N79" i="11" s="1"/>
  <c r="N75" i="11"/>
  <c r="P53" i="11"/>
  <c r="P107" i="11" s="1"/>
  <c r="P24" i="11"/>
  <c r="P13" i="12"/>
  <c r="O28" i="11"/>
  <c r="O56" i="11" s="1"/>
  <c r="O110" i="11" s="1"/>
  <c r="N52" i="11"/>
  <c r="N106" i="11" s="1"/>
  <c r="N38" i="11"/>
  <c r="P37" i="11"/>
  <c r="P89" i="11" s="1"/>
  <c r="AC39" i="6"/>
  <c r="AC40" i="6" s="1"/>
  <c r="AE39" i="6"/>
  <c r="AE40" i="6" s="1"/>
  <c r="AC22" i="6"/>
  <c r="AE22" i="6"/>
  <c r="N101" i="11" l="1"/>
  <c r="N102" i="11"/>
  <c r="O101" i="11"/>
  <c r="O102" i="11"/>
  <c r="N56" i="11"/>
  <c r="N110" i="11" s="1"/>
  <c r="P100" i="11"/>
  <c r="O39" i="11"/>
  <c r="O91" i="11" s="1"/>
  <c r="O92" i="11" s="1"/>
  <c r="P102" i="11"/>
  <c r="P101" i="11"/>
  <c r="P28" i="11"/>
  <c r="P79" i="11" s="1"/>
  <c r="P75" i="11"/>
  <c r="P38" i="11"/>
  <c r="P90" i="11" s="1"/>
  <c r="N90" i="11"/>
  <c r="O29" i="11"/>
  <c r="O57" i="11" s="1"/>
  <c r="O111" i="11" s="1"/>
  <c r="O79" i="11"/>
  <c r="N29" i="11"/>
  <c r="N80" i="11" s="1"/>
  <c r="P52" i="11"/>
  <c r="P106" i="11" s="1"/>
  <c r="N39" i="11"/>
  <c r="O103" i="11" l="1"/>
  <c r="N120" i="11" s="1"/>
  <c r="N119" i="11"/>
  <c r="P39" i="11"/>
  <c r="P91" i="11" s="1"/>
  <c r="P92" i="11" s="1"/>
  <c r="P56" i="11"/>
  <c r="P110" i="11" s="1"/>
  <c r="O30" i="11"/>
  <c r="O80" i="11"/>
  <c r="N91" i="11"/>
  <c r="N92" i="11" s="1"/>
  <c r="P29" i="11"/>
  <c r="P80" i="11" s="1"/>
  <c r="N30" i="11"/>
  <c r="N81" i="11" s="1"/>
  <c r="N82" i="11" s="1"/>
  <c r="N57" i="11"/>
  <c r="N111" i="11" s="1"/>
  <c r="AC17" i="4"/>
  <c r="AE17" i="4" l="1"/>
  <c r="O13" i="11" s="1"/>
  <c r="O63" i="11" s="1"/>
  <c r="P30" i="11"/>
  <c r="P81" i="11" s="1"/>
  <c r="P82" i="11" s="1"/>
  <c r="N58" i="11"/>
  <c r="N112" i="11" s="1"/>
  <c r="O81" i="11"/>
  <c r="O82" i="11" s="1"/>
  <c r="O58" i="11"/>
  <c r="O112" i="11" s="1"/>
  <c r="P57" i="11"/>
  <c r="P111" i="11" s="1"/>
  <c r="N13" i="11"/>
  <c r="N63" i="11" s="1"/>
  <c r="N20" i="12"/>
  <c r="N24" i="12" s="1"/>
  <c r="N25" i="12" s="1"/>
  <c r="N26" i="12" s="1"/>
  <c r="AE19" i="4"/>
  <c r="AC19" i="4"/>
  <c r="AE18" i="4"/>
  <c r="AC18" i="4"/>
  <c r="N118" i="11" l="1"/>
  <c r="O20" i="12"/>
  <c r="O24" i="12" s="1"/>
  <c r="P58" i="11"/>
  <c r="P112" i="11" s="1"/>
  <c r="P13" i="11"/>
  <c r="P63" i="11" s="1"/>
  <c r="O14" i="11"/>
  <c r="O64" i="11" s="1"/>
  <c r="O28" i="12"/>
  <c r="N14" i="11"/>
  <c r="N64" i="11" s="1"/>
  <c r="N28" i="12"/>
  <c r="N32" i="12" s="1"/>
  <c r="O15" i="11"/>
  <c r="O65" i="11" s="1"/>
  <c r="O36" i="12"/>
  <c r="N15" i="11"/>
  <c r="N65" i="11" s="1"/>
  <c r="N36" i="12"/>
  <c r="N40" i="12" s="1"/>
  <c r="N41" i="12" s="1"/>
  <c r="N42" i="12" s="1"/>
  <c r="P20" i="12" l="1"/>
  <c r="P24" i="12" s="1"/>
  <c r="P14" i="11"/>
  <c r="P64" i="11" s="1"/>
  <c r="P15" i="11"/>
  <c r="P65" i="11" s="1"/>
  <c r="P28" i="12"/>
  <c r="P32" i="12" s="1"/>
  <c r="O32" i="12"/>
  <c r="O33" i="12" s="1"/>
  <c r="O25" i="12"/>
  <c r="P25" i="12" s="1"/>
  <c r="P36" i="12"/>
  <c r="P40" i="12" s="1"/>
  <c r="O40" i="12"/>
  <c r="N33" i="12"/>
  <c r="S45" i="9"/>
  <c r="S42" i="9"/>
  <c r="S37" i="9"/>
  <c r="S20" i="9"/>
  <c r="S17" i="9"/>
  <c r="P26" i="12" l="1"/>
  <c r="O26" i="12"/>
  <c r="O34" i="12"/>
  <c r="P33" i="12"/>
  <c r="P34" i="12" s="1"/>
  <c r="O41" i="12"/>
  <c r="P41" i="12" s="1"/>
  <c r="P42" i="12" s="1"/>
  <c r="N34" i="12"/>
  <c r="S41" i="9"/>
  <c r="S43" i="9" s="1"/>
  <c r="Q43" i="9"/>
  <c r="S16" i="9"/>
  <c r="S18" i="9" s="1"/>
  <c r="Q18" i="9"/>
  <c r="Q38" i="9"/>
  <c r="S36" i="9"/>
  <c r="S38" i="9" s="1"/>
  <c r="O42" i="12" l="1"/>
  <c r="U14" i="9"/>
  <c r="S14" i="9"/>
  <c r="U27" i="9"/>
  <c r="S27" i="9"/>
  <c r="S13" i="9"/>
  <c r="U13" i="9"/>
  <c r="Q21" i="9"/>
  <c r="S26" i="9"/>
  <c r="U26" i="9"/>
  <c r="Q28" i="9"/>
  <c r="Q29" i="9" s="1"/>
  <c r="Q30" i="9" s="1"/>
  <c r="U33" i="9"/>
  <c r="U46" i="9" s="1"/>
  <c r="S33" i="9"/>
  <c r="S46" i="9" s="1"/>
  <c r="Q46" i="9"/>
  <c r="Q47" i="9" s="1"/>
  <c r="Q48" i="9" s="1"/>
  <c r="S28" i="9" l="1"/>
  <c r="K35" i="11" s="1"/>
  <c r="K87" i="11" s="1"/>
  <c r="U47" i="9"/>
  <c r="U48" i="9" s="1"/>
  <c r="L31" i="12"/>
  <c r="L44" i="11"/>
  <c r="L97" i="11" s="1"/>
  <c r="S47" i="9"/>
  <c r="S48" i="9" s="1"/>
  <c r="K31" i="12"/>
  <c r="K44" i="11"/>
  <c r="K97" i="11" s="1"/>
  <c r="U21" i="9"/>
  <c r="U28" i="9"/>
  <c r="S21" i="9"/>
  <c r="Q22" i="9"/>
  <c r="Q52" i="9" s="1"/>
  <c r="Q51" i="9"/>
  <c r="S29" i="9" l="1"/>
  <c r="S30" i="9" s="1"/>
  <c r="K30" i="12"/>
  <c r="M44" i="11"/>
  <c r="M97" i="11" s="1"/>
  <c r="U22" i="9"/>
  <c r="L29" i="12"/>
  <c r="L26" i="11"/>
  <c r="L77" i="11" s="1"/>
  <c r="U29" i="9"/>
  <c r="U30" i="9" s="1"/>
  <c r="L35" i="11"/>
  <c r="L30" i="12"/>
  <c r="S51" i="9"/>
  <c r="K26" i="11"/>
  <c r="K77" i="11" s="1"/>
  <c r="K29" i="12"/>
  <c r="M31" i="12"/>
  <c r="U51" i="9"/>
  <c r="S22" i="9"/>
  <c r="Q23" i="9"/>
  <c r="Q53" i="9"/>
  <c r="U37" i="7"/>
  <c r="U38" i="7" s="1"/>
  <c r="U39" i="7" s="1"/>
  <c r="V37" i="7"/>
  <c r="V38" i="7" s="1"/>
  <c r="V39" i="7" s="1"/>
  <c r="M30" i="12" l="1"/>
  <c r="S52" i="9"/>
  <c r="S53" i="9" s="1"/>
  <c r="M35" i="11"/>
  <c r="M87" i="11" s="1"/>
  <c r="L87" i="11"/>
  <c r="W21" i="7"/>
  <c r="W22" i="7" s="1"/>
  <c r="U52" i="9"/>
  <c r="U53" i="9" s="1"/>
  <c r="V23" i="7"/>
  <c r="M26" i="11"/>
  <c r="K54" i="11"/>
  <c r="K108" i="11" s="1"/>
  <c r="U23" i="7"/>
  <c r="V31" i="7"/>
  <c r="V32" i="7" s="1"/>
  <c r="V33" i="7" s="1"/>
  <c r="U23" i="9"/>
  <c r="M29" i="12"/>
  <c r="U31" i="7"/>
  <c r="U32" i="7" s="1"/>
  <c r="U33" i="7" s="1"/>
  <c r="L54" i="11"/>
  <c r="L108" i="11" s="1"/>
  <c r="S23" i="9"/>
  <c r="Y21" i="7"/>
  <c r="Y22" i="7" s="1"/>
  <c r="T31" i="7"/>
  <c r="T32" i="7" s="1"/>
  <c r="T33" i="7" s="1"/>
  <c r="W28" i="7"/>
  <c r="Y28" i="7"/>
  <c r="Y29" i="7"/>
  <c r="W29" i="7"/>
  <c r="Y30" i="7"/>
  <c r="W30" i="7"/>
  <c r="T37" i="7"/>
  <c r="T38" i="7" s="1"/>
  <c r="T39" i="7" s="1"/>
  <c r="Y36" i="7"/>
  <c r="Y37" i="7" s="1"/>
  <c r="W36" i="7"/>
  <c r="W37" i="7" s="1"/>
  <c r="U28" i="6"/>
  <c r="U29" i="6" s="1"/>
  <c r="V28" i="6"/>
  <c r="V29" i="6" s="1"/>
  <c r="U42" i="7" l="1"/>
  <c r="W17" i="6"/>
  <c r="V42" i="7"/>
  <c r="M54" i="11"/>
  <c r="M108" i="11" s="1"/>
  <c r="M77" i="11"/>
  <c r="W18" i="6"/>
  <c r="W16" i="6"/>
  <c r="W19" i="6"/>
  <c r="V43" i="7"/>
  <c r="W38" i="7"/>
  <c r="W39" i="7" s="1"/>
  <c r="K43" i="11"/>
  <c r="K23" i="12"/>
  <c r="Y38" i="7"/>
  <c r="Y39" i="7" s="1"/>
  <c r="L43" i="11"/>
  <c r="L96" i="11" s="1"/>
  <c r="L23" i="12"/>
  <c r="U20" i="6"/>
  <c r="U38" i="6" s="1"/>
  <c r="W31" i="7"/>
  <c r="U43" i="7"/>
  <c r="Y31" i="7"/>
  <c r="T23" i="7"/>
  <c r="T42" i="7"/>
  <c r="V20" i="6"/>
  <c r="V24" i="7"/>
  <c r="U24" i="7"/>
  <c r="Y16" i="6"/>
  <c r="T20" i="6"/>
  <c r="Y17" i="6"/>
  <c r="Y18" i="6"/>
  <c r="Y19" i="6"/>
  <c r="Y25" i="6"/>
  <c r="Y27" i="6" s="1"/>
  <c r="W25" i="6"/>
  <c r="W27" i="6" s="1"/>
  <c r="T28" i="6"/>
  <c r="T29" i="6" s="1"/>
  <c r="U44" i="7" l="1"/>
  <c r="V44" i="7"/>
  <c r="U21" i="6"/>
  <c r="U39" i="6" s="1"/>
  <c r="U40" i="6" s="1"/>
  <c r="K46" i="11"/>
  <c r="K96" i="11"/>
  <c r="M23" i="12"/>
  <c r="K21" i="12"/>
  <c r="K25" i="11"/>
  <c r="K76" i="11" s="1"/>
  <c r="Y28" i="6"/>
  <c r="Y29" i="6" s="1"/>
  <c r="L14" i="12"/>
  <c r="L33" i="11"/>
  <c r="L85" i="11" s="1"/>
  <c r="Y32" i="7"/>
  <c r="Y33" i="7" s="1"/>
  <c r="L22" i="12"/>
  <c r="L34" i="11"/>
  <c r="L86" i="11" s="1"/>
  <c r="W32" i="7"/>
  <c r="W33" i="7" s="1"/>
  <c r="K22" i="12"/>
  <c r="K34" i="11"/>
  <c r="K86" i="11" s="1"/>
  <c r="M43" i="11"/>
  <c r="L46" i="11"/>
  <c r="L99" i="11" s="1"/>
  <c r="W28" i="6"/>
  <c r="W29" i="6" s="1"/>
  <c r="K14" i="12"/>
  <c r="K33" i="11"/>
  <c r="K85" i="11" s="1"/>
  <c r="Y23" i="7"/>
  <c r="Y24" i="7" s="1"/>
  <c r="L21" i="12"/>
  <c r="L25" i="11"/>
  <c r="L76" i="11" s="1"/>
  <c r="T21" i="6"/>
  <c r="T38" i="6"/>
  <c r="W42" i="7"/>
  <c r="W23" i="7"/>
  <c r="Y42" i="7"/>
  <c r="T24" i="7"/>
  <c r="T43" i="7"/>
  <c r="T44" i="7" s="1"/>
  <c r="Y20" i="6"/>
  <c r="V21" i="6"/>
  <c r="V38" i="6"/>
  <c r="W20" i="6"/>
  <c r="U22" i="6" l="1"/>
  <c r="K47" i="11"/>
  <c r="K99" i="11"/>
  <c r="M46" i="11"/>
  <c r="M99" i="11" s="1"/>
  <c r="M96" i="11"/>
  <c r="M21" i="12"/>
  <c r="W43" i="7"/>
  <c r="W44" i="7" s="1"/>
  <c r="Y43" i="7"/>
  <c r="Y44" i="7" s="1"/>
  <c r="L47" i="11"/>
  <c r="M33" i="11"/>
  <c r="M85" i="11" s="1"/>
  <c r="L37" i="11"/>
  <c r="L89" i="11" s="1"/>
  <c r="K13" i="12"/>
  <c r="K24" i="11"/>
  <c r="K75" i="11" s="1"/>
  <c r="K53" i="11"/>
  <c r="K107" i="11" s="1"/>
  <c r="L53" i="11"/>
  <c r="L107" i="11" s="1"/>
  <c r="M25" i="11"/>
  <c r="M76" i="11" s="1"/>
  <c r="M22" i="12"/>
  <c r="L13" i="12"/>
  <c r="L24" i="11"/>
  <c r="L75" i="11" s="1"/>
  <c r="K37" i="11"/>
  <c r="M34" i="11"/>
  <c r="M86" i="11" s="1"/>
  <c r="M14" i="12"/>
  <c r="W24" i="7"/>
  <c r="W21" i="6"/>
  <c r="W39" i="6" s="1"/>
  <c r="W38" i="6"/>
  <c r="T22" i="6"/>
  <c r="T39" i="6"/>
  <c r="T40" i="6" s="1"/>
  <c r="Y38" i="6"/>
  <c r="Y21" i="6"/>
  <c r="Y39" i="6" s="1"/>
  <c r="V22" i="6"/>
  <c r="V39" i="6"/>
  <c r="V40" i="6" s="1"/>
  <c r="M47" i="11" l="1"/>
  <c r="L100" i="11"/>
  <c r="K48" i="11"/>
  <c r="K49" i="11" s="1"/>
  <c r="K100" i="11"/>
  <c r="K38" i="11"/>
  <c r="K89" i="11"/>
  <c r="W40" i="6"/>
  <c r="M53" i="11"/>
  <c r="M107" i="11" s="1"/>
  <c r="K52" i="11"/>
  <c r="K106" i="11" s="1"/>
  <c r="K28" i="11"/>
  <c r="K79" i="11" s="1"/>
  <c r="L48" i="11"/>
  <c r="L49" i="11" s="1"/>
  <c r="M13" i="12"/>
  <c r="M37" i="11"/>
  <c r="M89" i="11" s="1"/>
  <c r="L28" i="11"/>
  <c r="L79" i="11" s="1"/>
  <c r="M24" i="11"/>
  <c r="M75" i="11" s="1"/>
  <c r="L52" i="11"/>
  <c r="L106" i="11" s="1"/>
  <c r="L38" i="11"/>
  <c r="W22" i="6"/>
  <c r="Y40" i="6"/>
  <c r="Y22" i="6"/>
  <c r="L102" i="11" l="1"/>
  <c r="L103" i="11" s="1"/>
  <c r="K120" i="11" s="1"/>
  <c r="L101" i="11"/>
  <c r="M48" i="11"/>
  <c r="M49" i="11" s="1"/>
  <c r="M100" i="11"/>
  <c r="K102" i="11"/>
  <c r="K101" i="11"/>
  <c r="K39" i="11"/>
  <c r="K90" i="11"/>
  <c r="M38" i="11"/>
  <c r="L90" i="11"/>
  <c r="K56" i="11"/>
  <c r="K110" i="11" s="1"/>
  <c r="K29" i="11"/>
  <c r="M52" i="11"/>
  <c r="M106" i="11" s="1"/>
  <c r="M28" i="11"/>
  <c r="M79" i="11" s="1"/>
  <c r="L39" i="11"/>
  <c r="L56" i="11"/>
  <c r="L110" i="11" s="1"/>
  <c r="L29" i="11"/>
  <c r="M102" i="11" l="1"/>
  <c r="M101" i="11"/>
  <c r="K91" i="11"/>
  <c r="K92" i="11" s="1"/>
  <c r="L91" i="11"/>
  <c r="L92" i="11" s="1"/>
  <c r="K57" i="11"/>
  <c r="K111" i="11" s="1"/>
  <c r="K80" i="11"/>
  <c r="M39" i="11"/>
  <c r="M90" i="11"/>
  <c r="L30" i="11"/>
  <c r="L81" i="11" s="1"/>
  <c r="L82" i="11" s="1"/>
  <c r="L80" i="11"/>
  <c r="M56" i="11"/>
  <c r="M110" i="11" s="1"/>
  <c r="K30" i="11"/>
  <c r="K81" i="11" s="1"/>
  <c r="K82" i="11" s="1"/>
  <c r="L57" i="11"/>
  <c r="L111" i="11" s="1"/>
  <c r="M29" i="11"/>
  <c r="K119" i="11" l="1"/>
  <c r="M57" i="11"/>
  <c r="M111" i="11" s="1"/>
  <c r="M80" i="11"/>
  <c r="M91" i="11"/>
  <c r="M92" i="11" s="1"/>
  <c r="L58" i="11"/>
  <c r="L112" i="11" s="1"/>
  <c r="K58" i="11"/>
  <c r="K112" i="11" s="1"/>
  <c r="Y17" i="4"/>
  <c r="L20" i="12" s="1"/>
  <c r="M30" i="11"/>
  <c r="M81" i="11" s="1"/>
  <c r="M82" i="11" s="1"/>
  <c r="K20" i="12"/>
  <c r="K24" i="12" s="1"/>
  <c r="K25" i="12" s="1"/>
  <c r="K26" i="12" s="1"/>
  <c r="K13" i="11"/>
  <c r="K63" i="11" s="1"/>
  <c r="Y19" i="4"/>
  <c r="Y18" i="4"/>
  <c r="K118" i="11" l="1"/>
  <c r="M58" i="11"/>
  <c r="M112" i="11" s="1"/>
  <c r="L13" i="11"/>
  <c r="L28" i="12"/>
  <c r="L14" i="11"/>
  <c r="L64" i="11" s="1"/>
  <c r="K36" i="12"/>
  <c r="K40" i="12" s="1"/>
  <c r="K41" i="12" s="1"/>
  <c r="K42" i="12" s="1"/>
  <c r="K15" i="11"/>
  <c r="K65" i="11" s="1"/>
  <c r="L36" i="12"/>
  <c r="L15" i="11"/>
  <c r="L65" i="11" s="1"/>
  <c r="M20" i="12"/>
  <c r="M24" i="12" s="1"/>
  <c r="L24" i="12"/>
  <c r="K28" i="12"/>
  <c r="K32" i="12" s="1"/>
  <c r="K33" i="12" s="1"/>
  <c r="K34" i="12" s="1"/>
  <c r="K14" i="11"/>
  <c r="K64" i="11" s="1"/>
  <c r="M13" i="11" l="1"/>
  <c r="M63" i="11" s="1"/>
  <c r="L63" i="11"/>
  <c r="M28" i="12"/>
  <c r="M32" i="12" s="1"/>
  <c r="L32" i="12"/>
  <c r="L25" i="12"/>
  <c r="M25" i="12" s="1"/>
  <c r="M26" i="12" s="1"/>
  <c r="M14" i="11"/>
  <c r="M64" i="11" s="1"/>
  <c r="M36" i="12"/>
  <c r="M40" i="12" s="1"/>
  <c r="L40" i="12"/>
  <c r="M15" i="11"/>
  <c r="M65" i="11" s="1"/>
  <c r="N45" i="9"/>
  <c r="N42" i="9"/>
  <c r="N37" i="9"/>
  <c r="N20" i="9"/>
  <c r="N17" i="9"/>
  <c r="L33" i="12" l="1"/>
  <c r="M33" i="12" s="1"/>
  <c r="M34" i="12" s="1"/>
  <c r="L41" i="12"/>
  <c r="M41" i="12" s="1"/>
  <c r="M42" i="12" s="1"/>
  <c r="L26" i="12"/>
  <c r="N36" i="9"/>
  <c r="N38" i="9" s="1"/>
  <c r="L38" i="9"/>
  <c r="N41" i="9"/>
  <c r="N43" i="9" s="1"/>
  <c r="L43" i="9"/>
  <c r="L18" i="9"/>
  <c r="N16" i="9"/>
  <c r="N18" i="9" s="1"/>
  <c r="L42" i="12" l="1"/>
  <c r="L34" i="12"/>
  <c r="N14" i="9"/>
  <c r="P14" i="9"/>
  <c r="N27" i="9"/>
  <c r="P27" i="9"/>
  <c r="P13" i="9"/>
  <c r="N13" i="9"/>
  <c r="L21" i="9"/>
  <c r="N26" i="9"/>
  <c r="P26" i="9"/>
  <c r="L28" i="9"/>
  <c r="L29" i="9" s="1"/>
  <c r="L30" i="9" s="1"/>
  <c r="N33" i="9"/>
  <c r="N46" i="9" s="1"/>
  <c r="L46" i="9"/>
  <c r="P33" i="9"/>
  <c r="P46" i="9" s="1"/>
  <c r="N47" i="9" l="1"/>
  <c r="N48" i="9" s="1"/>
  <c r="H31" i="12"/>
  <c r="H44" i="11"/>
  <c r="H97" i="11" s="1"/>
  <c r="I31" i="12"/>
  <c r="I44" i="11"/>
  <c r="I97" i="11" s="1"/>
  <c r="N21" i="9"/>
  <c r="N28" i="9"/>
  <c r="P47" i="9"/>
  <c r="P48" i="9" s="1"/>
  <c r="P21" i="9"/>
  <c r="L51" i="9"/>
  <c r="L22" i="9"/>
  <c r="L23" i="9" s="1"/>
  <c r="L47" i="9"/>
  <c r="L48" i="9" s="1"/>
  <c r="P28" i="9"/>
  <c r="J44" i="11" l="1"/>
  <c r="J97" i="11" s="1"/>
  <c r="J31" i="12"/>
  <c r="I35" i="11"/>
  <c r="I87" i="11" s="1"/>
  <c r="I30" i="12"/>
  <c r="N22" i="9"/>
  <c r="H29" i="12"/>
  <c r="H26" i="11"/>
  <c r="H77" i="11" s="1"/>
  <c r="I26" i="11"/>
  <c r="I77" i="11" s="1"/>
  <c r="I29" i="12"/>
  <c r="N29" i="9"/>
  <c r="N30" i="9" s="1"/>
  <c r="H30" i="12"/>
  <c r="H35" i="11"/>
  <c r="H87" i="11" s="1"/>
  <c r="N51" i="9"/>
  <c r="P51" i="9"/>
  <c r="P22" i="9"/>
  <c r="P29" i="9"/>
  <c r="P30" i="9" s="1"/>
  <c r="L52" i="9"/>
  <c r="L53" i="9" s="1"/>
  <c r="O37" i="7"/>
  <c r="O38" i="7" s="1"/>
  <c r="O39" i="7" s="1"/>
  <c r="P37" i="7"/>
  <c r="P38" i="7" s="1"/>
  <c r="P39" i="7" s="1"/>
  <c r="Q21" i="7" l="1"/>
  <c r="Q19" i="7"/>
  <c r="O23" i="7"/>
  <c r="P31" i="7"/>
  <c r="P32" i="7" s="1"/>
  <c r="P33" i="7" s="1"/>
  <c r="O31" i="7"/>
  <c r="O32" i="7" s="1"/>
  <c r="O33" i="7" s="1"/>
  <c r="N52" i="9"/>
  <c r="N53" i="9" s="1"/>
  <c r="N23" i="9"/>
  <c r="H54" i="11"/>
  <c r="H108" i="11" s="1"/>
  <c r="J35" i="11"/>
  <c r="J87" i="11" s="1"/>
  <c r="I54" i="11"/>
  <c r="I108" i="11" s="1"/>
  <c r="J26" i="11"/>
  <c r="J77" i="11" s="1"/>
  <c r="P23" i="7"/>
  <c r="J30" i="12"/>
  <c r="J29" i="12"/>
  <c r="S19" i="7"/>
  <c r="S21" i="7"/>
  <c r="N31" i="7"/>
  <c r="N32" i="7" s="1"/>
  <c r="N33" i="7" s="1"/>
  <c r="S28" i="7"/>
  <c r="Q28" i="7"/>
  <c r="Q29" i="7"/>
  <c r="S29" i="7"/>
  <c r="Q30" i="7"/>
  <c r="S30" i="7"/>
  <c r="Q36" i="7"/>
  <c r="Q37" i="7" s="1"/>
  <c r="N37" i="7"/>
  <c r="N38" i="7" s="1"/>
  <c r="N39" i="7" s="1"/>
  <c r="S36" i="7"/>
  <c r="S37" i="7" s="1"/>
  <c r="P52" i="9"/>
  <c r="P53" i="9" s="1"/>
  <c r="P23" i="9"/>
  <c r="O28" i="6"/>
  <c r="O29" i="6" s="1"/>
  <c r="P28" i="6"/>
  <c r="P29" i="6" s="1"/>
  <c r="Q22" i="7" l="1"/>
  <c r="S22" i="7"/>
  <c r="P42" i="7"/>
  <c r="Q17" i="6"/>
  <c r="O20" i="6"/>
  <c r="O21" i="6" s="1"/>
  <c r="Q16" i="6"/>
  <c r="O42" i="7"/>
  <c r="P20" i="6"/>
  <c r="P38" i="6" s="1"/>
  <c r="Q18" i="6"/>
  <c r="Q19" i="6"/>
  <c r="S38" i="7"/>
  <c r="S39" i="7" s="1"/>
  <c r="I23" i="12"/>
  <c r="I43" i="11"/>
  <c r="I96" i="11" s="1"/>
  <c r="J54" i="11"/>
  <c r="J108" i="11" s="1"/>
  <c r="Q38" i="7"/>
  <c r="Q39" i="7" s="1"/>
  <c r="H23" i="12"/>
  <c r="H43" i="11"/>
  <c r="O43" i="7"/>
  <c r="O24" i="7"/>
  <c r="S31" i="7"/>
  <c r="P43" i="7"/>
  <c r="Q31" i="7"/>
  <c r="P24" i="7"/>
  <c r="S16" i="6"/>
  <c r="N20" i="6"/>
  <c r="S17" i="6"/>
  <c r="S18" i="6"/>
  <c r="S19" i="6"/>
  <c r="N28" i="6"/>
  <c r="N29" i="6" s="1"/>
  <c r="S25" i="6"/>
  <c r="S27" i="6" s="1"/>
  <c r="Q25" i="6"/>
  <c r="Q27" i="6" s="1"/>
  <c r="N42" i="7"/>
  <c r="N23" i="7"/>
  <c r="N43" i="7" s="1"/>
  <c r="P21" i="6" l="1"/>
  <c r="P22" i="6" s="1"/>
  <c r="P44" i="7"/>
  <c r="H46" i="11"/>
  <c r="H96" i="11"/>
  <c r="O38" i="6"/>
  <c r="O44" i="7"/>
  <c r="Q32" i="7"/>
  <c r="Q33" i="7" s="1"/>
  <c r="H22" i="12"/>
  <c r="H34" i="11"/>
  <c r="H86" i="11" s="1"/>
  <c r="I25" i="11"/>
  <c r="I76" i="11" s="1"/>
  <c r="I21" i="12"/>
  <c r="I14" i="12"/>
  <c r="I33" i="11"/>
  <c r="I85" i="11" s="1"/>
  <c r="H25" i="11"/>
  <c r="H76" i="11" s="1"/>
  <c r="H21" i="12"/>
  <c r="J23" i="12"/>
  <c r="Q28" i="6"/>
  <c r="Q29" i="6" s="1"/>
  <c r="H14" i="12"/>
  <c r="H33" i="11"/>
  <c r="H85" i="11" s="1"/>
  <c r="J43" i="11"/>
  <c r="I46" i="11"/>
  <c r="I99" i="11" s="1"/>
  <c r="S32" i="7"/>
  <c r="S33" i="7" s="1"/>
  <c r="I34" i="11"/>
  <c r="I86" i="11" s="1"/>
  <c r="I22" i="12"/>
  <c r="N24" i="7"/>
  <c r="S28" i="6"/>
  <c r="S29" i="6" s="1"/>
  <c r="Q42" i="7"/>
  <c r="Q23" i="7"/>
  <c r="O22" i="6"/>
  <c r="O39" i="6"/>
  <c r="Q20" i="6"/>
  <c r="S20" i="6"/>
  <c r="N38" i="6"/>
  <c r="N21" i="6"/>
  <c r="S42" i="7"/>
  <c r="S23" i="7"/>
  <c r="N44" i="7"/>
  <c r="J22" i="12" l="1"/>
  <c r="O40" i="6"/>
  <c r="S43" i="7"/>
  <c r="S44" i="7" s="1"/>
  <c r="P39" i="6"/>
  <c r="P40" i="6" s="1"/>
  <c r="H47" i="11"/>
  <c r="H99" i="11"/>
  <c r="J46" i="11"/>
  <c r="J99" i="11" s="1"/>
  <c r="J96" i="11"/>
  <c r="H37" i="11"/>
  <c r="Q43" i="7"/>
  <c r="Q44" i="7" s="1"/>
  <c r="H53" i="11"/>
  <c r="H107" i="11" s="1"/>
  <c r="H13" i="12"/>
  <c r="H24" i="11"/>
  <c r="H75" i="11" s="1"/>
  <c r="J21" i="12"/>
  <c r="J14" i="12"/>
  <c r="I47" i="11"/>
  <c r="J33" i="11"/>
  <c r="J85" i="11" s="1"/>
  <c r="I37" i="11"/>
  <c r="I89" i="11" s="1"/>
  <c r="J34" i="11"/>
  <c r="J86" i="11" s="1"/>
  <c r="I24" i="11"/>
  <c r="I75" i="11" s="1"/>
  <c r="I13" i="12"/>
  <c r="J25" i="11"/>
  <c r="J76" i="11" s="1"/>
  <c r="I53" i="11"/>
  <c r="I107" i="11" s="1"/>
  <c r="Q24" i="7"/>
  <c r="S38" i="6"/>
  <c r="S21" i="6"/>
  <c r="S39" i="6" s="1"/>
  <c r="S24" i="7"/>
  <c r="N22" i="6"/>
  <c r="N39" i="6"/>
  <c r="N40" i="6" s="1"/>
  <c r="Q38" i="6"/>
  <c r="Q21" i="6"/>
  <c r="Q39" i="6" s="1"/>
  <c r="H48" i="11" l="1"/>
  <c r="H49" i="11" s="1"/>
  <c r="H100" i="11"/>
  <c r="J47" i="11"/>
  <c r="I100" i="11"/>
  <c r="H38" i="11"/>
  <c r="H89" i="11"/>
  <c r="S40" i="6"/>
  <c r="I48" i="11"/>
  <c r="I49" i="11" s="1"/>
  <c r="J13" i="12"/>
  <c r="I38" i="11"/>
  <c r="J53" i="11"/>
  <c r="J107" i="11" s="1"/>
  <c r="J24" i="11"/>
  <c r="J75" i="11" s="1"/>
  <c r="H52" i="11"/>
  <c r="H106" i="11" s="1"/>
  <c r="H28" i="11"/>
  <c r="H79" i="11" s="1"/>
  <c r="I28" i="11"/>
  <c r="I79" i="11" s="1"/>
  <c r="I52" i="11"/>
  <c r="I106" i="11" s="1"/>
  <c r="J37" i="11"/>
  <c r="J89" i="11" s="1"/>
  <c r="S22" i="6"/>
  <c r="Q22" i="6"/>
  <c r="Q40" i="6"/>
  <c r="H102" i="11" l="1"/>
  <c r="H101" i="11"/>
  <c r="J48" i="11"/>
  <c r="J49" i="11" s="1"/>
  <c r="J100" i="11"/>
  <c r="I102" i="11"/>
  <c r="I103" i="11" s="1"/>
  <c r="H120" i="11" s="1"/>
  <c r="I101" i="11"/>
  <c r="H39" i="11"/>
  <c r="H90" i="11"/>
  <c r="J38" i="11"/>
  <c r="J90" i="11" s="1"/>
  <c r="I90" i="11"/>
  <c r="I39" i="11"/>
  <c r="H56" i="11"/>
  <c r="H110" i="11" s="1"/>
  <c r="H29" i="11"/>
  <c r="I56" i="11"/>
  <c r="I110" i="11" s="1"/>
  <c r="I29" i="11"/>
  <c r="I80" i="11" s="1"/>
  <c r="J52" i="11"/>
  <c r="J106" i="11" s="1"/>
  <c r="J28" i="11"/>
  <c r="J79" i="11" s="1"/>
  <c r="J102" i="11" l="1"/>
  <c r="J101" i="11"/>
  <c r="J39" i="11"/>
  <c r="J91" i="11" s="1"/>
  <c r="J92" i="11" s="1"/>
  <c r="H91" i="11"/>
  <c r="H92" i="11" s="1"/>
  <c r="I91" i="11"/>
  <c r="I92" i="11" s="1"/>
  <c r="H57" i="11"/>
  <c r="H111" i="11" s="1"/>
  <c r="H80" i="11"/>
  <c r="H30" i="11"/>
  <c r="H81" i="11" s="1"/>
  <c r="H82" i="11" s="1"/>
  <c r="J56" i="11"/>
  <c r="J110" i="11" s="1"/>
  <c r="J29" i="11"/>
  <c r="I57" i="11"/>
  <c r="I111" i="11" s="1"/>
  <c r="I30" i="11"/>
  <c r="I81" i="11" s="1"/>
  <c r="I82" i="11" s="1"/>
  <c r="H119" i="11" l="1"/>
  <c r="J57" i="11"/>
  <c r="J111" i="11" s="1"/>
  <c r="J80" i="11"/>
  <c r="I58" i="11"/>
  <c r="I112" i="11" s="1"/>
  <c r="H58" i="11"/>
  <c r="H112" i="11" s="1"/>
  <c r="H20" i="12"/>
  <c r="H24" i="12" s="1"/>
  <c r="H25" i="12" s="1"/>
  <c r="H26" i="12" s="1"/>
  <c r="J30" i="11"/>
  <c r="J81" i="11" s="1"/>
  <c r="J82" i="11" s="1"/>
  <c r="I20" i="12"/>
  <c r="I13" i="11"/>
  <c r="I63" i="11" s="1"/>
  <c r="H118" i="11" l="1"/>
  <c r="J58" i="11"/>
  <c r="J112" i="11" s="1"/>
  <c r="H13" i="11"/>
  <c r="I36" i="12"/>
  <c r="I40" i="12" s="1"/>
  <c r="I15" i="11"/>
  <c r="I65" i="11" s="1"/>
  <c r="J20" i="12"/>
  <c r="J24" i="12" s="1"/>
  <c r="I24" i="12"/>
  <c r="H36" i="12"/>
  <c r="H15" i="11"/>
  <c r="H65" i="11" s="1"/>
  <c r="I28" i="12"/>
  <c r="I14" i="11"/>
  <c r="I64" i="11" s="1"/>
  <c r="H28" i="12"/>
  <c r="H32" i="12" s="1"/>
  <c r="H33" i="12" s="1"/>
  <c r="H34" i="12" s="1"/>
  <c r="H14" i="11"/>
  <c r="H64" i="11" s="1"/>
  <c r="J13" i="11" l="1"/>
  <c r="J63" i="11" s="1"/>
  <c r="H63" i="11"/>
  <c r="J28" i="12"/>
  <c r="J32" i="12" s="1"/>
  <c r="I32" i="12"/>
  <c r="I41" i="12"/>
  <c r="I42" i="12" s="1"/>
  <c r="I25" i="12"/>
  <c r="J25" i="12" s="1"/>
  <c r="J26" i="12" s="1"/>
  <c r="J14" i="11"/>
  <c r="J64" i="11" s="1"/>
  <c r="J15" i="11"/>
  <c r="J65" i="11" s="1"/>
  <c r="J36" i="12"/>
  <c r="J40" i="12" s="1"/>
  <c r="H40" i="12"/>
  <c r="I45" i="9"/>
  <c r="I42" i="9"/>
  <c r="I37" i="9"/>
  <c r="I20" i="9"/>
  <c r="I17" i="9"/>
  <c r="I33" i="12" l="1"/>
  <c r="J33" i="12" s="1"/>
  <c r="J34" i="12" s="1"/>
  <c r="I26" i="12"/>
  <c r="H41" i="12"/>
  <c r="J41" i="12" s="1"/>
  <c r="J42" i="12" s="1"/>
  <c r="G18" i="9"/>
  <c r="I16" i="9"/>
  <c r="I18" i="9" s="1"/>
  <c r="G38" i="9"/>
  <c r="I36" i="9"/>
  <c r="I38" i="9" s="1"/>
  <c r="G43" i="9"/>
  <c r="I41" i="9"/>
  <c r="I43" i="9" s="1"/>
  <c r="I34" i="12" l="1"/>
  <c r="H42" i="12"/>
  <c r="I14" i="9"/>
  <c r="K14" i="9"/>
  <c r="K27" i="9"/>
  <c r="I27" i="9"/>
  <c r="K13" i="9"/>
  <c r="I13" i="9"/>
  <c r="G21" i="9"/>
  <c r="G28" i="9"/>
  <c r="G29" i="9" s="1"/>
  <c r="G30" i="9" s="1"/>
  <c r="I26" i="9"/>
  <c r="K26" i="9"/>
  <c r="I33" i="9"/>
  <c r="I46" i="9" s="1"/>
  <c r="K33" i="9"/>
  <c r="K46" i="9" s="1"/>
  <c r="G46" i="9"/>
  <c r="G47" i="9" s="1"/>
  <c r="G48" i="9" s="1"/>
  <c r="I28" i="9" l="1"/>
  <c r="E30" i="12" s="1"/>
  <c r="K28" i="9"/>
  <c r="K29" i="9" s="1"/>
  <c r="K30" i="9" s="1"/>
  <c r="I47" i="9"/>
  <c r="I48" i="9" s="1"/>
  <c r="E31" i="12"/>
  <c r="E44" i="11"/>
  <c r="E97" i="11" s="1"/>
  <c r="K47" i="9"/>
  <c r="K48" i="9" s="1"/>
  <c r="F31" i="12"/>
  <c r="F44" i="11"/>
  <c r="F97" i="11" s="1"/>
  <c r="I21" i="9"/>
  <c r="K21" i="9"/>
  <c r="G51" i="9"/>
  <c r="G22" i="9"/>
  <c r="G52" i="9" s="1"/>
  <c r="E35" i="11" l="1"/>
  <c r="E87" i="11" s="1"/>
  <c r="G44" i="11"/>
  <c r="G97" i="11" s="1"/>
  <c r="I29" i="9"/>
  <c r="I30" i="9" s="1"/>
  <c r="F35" i="11"/>
  <c r="F87" i="11" s="1"/>
  <c r="F30" i="12"/>
  <c r="G30" i="12" s="1"/>
  <c r="K51" i="9"/>
  <c r="F29" i="12"/>
  <c r="F26" i="11"/>
  <c r="G31" i="12"/>
  <c r="I22" i="9"/>
  <c r="E29" i="12"/>
  <c r="E26" i="11"/>
  <c r="E77" i="11" s="1"/>
  <c r="I51" i="9"/>
  <c r="K22" i="9"/>
  <c r="K23" i="9" s="1"/>
  <c r="G53" i="9"/>
  <c r="G23" i="9"/>
  <c r="I37" i="7"/>
  <c r="J37" i="7"/>
  <c r="J38" i="7" s="1"/>
  <c r="J39" i="7" s="1"/>
  <c r="F54" i="11" l="1"/>
  <c r="F108" i="11" s="1"/>
  <c r="F77" i="11"/>
  <c r="G35" i="11"/>
  <c r="G87" i="11" s="1"/>
  <c r="I52" i="9"/>
  <c r="I53" i="9" s="1"/>
  <c r="K21" i="7"/>
  <c r="K19" i="7"/>
  <c r="J31" i="7"/>
  <c r="J32" i="7" s="1"/>
  <c r="J33" i="7" s="1"/>
  <c r="I23" i="9"/>
  <c r="G26" i="11"/>
  <c r="G77" i="11" s="1"/>
  <c r="E54" i="11"/>
  <c r="E108" i="11" s="1"/>
  <c r="G29" i="12"/>
  <c r="I31" i="7"/>
  <c r="I32" i="7" s="1"/>
  <c r="I33" i="7" s="1"/>
  <c r="K52" i="9"/>
  <c r="K53" i="9" s="1"/>
  <c r="I23" i="7"/>
  <c r="I38" i="7"/>
  <c r="I39" i="7" s="1"/>
  <c r="K28" i="7"/>
  <c r="H31" i="7"/>
  <c r="H32" i="7" s="1"/>
  <c r="H33" i="7" s="1"/>
  <c r="K29" i="7"/>
  <c r="K30" i="7"/>
  <c r="M37" i="7"/>
  <c r="K36" i="7"/>
  <c r="K37" i="7" s="1"/>
  <c r="H37" i="7"/>
  <c r="H38" i="7" s="1"/>
  <c r="H39" i="7" s="1"/>
  <c r="I28" i="6"/>
  <c r="I29" i="6" s="1"/>
  <c r="J28" i="6"/>
  <c r="J29" i="6" s="1"/>
  <c r="K22" i="7" l="1"/>
  <c r="G54" i="11"/>
  <c r="G108" i="11" s="1"/>
  <c r="M38" i="7"/>
  <c r="M39" i="7" s="1"/>
  <c r="F43" i="11"/>
  <c r="F96" i="11" s="1"/>
  <c r="F23" i="12"/>
  <c r="I20" i="6"/>
  <c r="I21" i="6" s="1"/>
  <c r="K38" i="7"/>
  <c r="K39" i="7" s="1"/>
  <c r="E23" i="12"/>
  <c r="E43" i="11"/>
  <c r="I42" i="7"/>
  <c r="J20" i="6"/>
  <c r="J21" i="6" s="1"/>
  <c r="I43" i="7"/>
  <c r="H23" i="7"/>
  <c r="H43" i="7" s="1"/>
  <c r="H42" i="7"/>
  <c r="J42" i="7"/>
  <c r="J23" i="7"/>
  <c r="J43" i="7" s="1"/>
  <c r="M31" i="7"/>
  <c r="H20" i="6"/>
  <c r="M16" i="6"/>
  <c r="M17" i="6"/>
  <c r="M18" i="6"/>
  <c r="M19" i="6"/>
  <c r="M25" i="6"/>
  <c r="M27" i="6" s="1"/>
  <c r="H28" i="6"/>
  <c r="H29" i="6" s="1"/>
  <c r="K27" i="6"/>
  <c r="K31" i="7"/>
  <c r="I24" i="7"/>
  <c r="E46" i="11" l="1"/>
  <c r="E96" i="11"/>
  <c r="I38" i="6"/>
  <c r="J38" i="6"/>
  <c r="H44" i="7"/>
  <c r="K32" i="7"/>
  <c r="K33" i="7" s="1"/>
  <c r="E34" i="11"/>
  <c r="E86" i="11" s="1"/>
  <c r="E22" i="12"/>
  <c r="E21" i="12"/>
  <c r="E25" i="11"/>
  <c r="E76" i="11" s="1"/>
  <c r="M28" i="6"/>
  <c r="M29" i="6" s="1"/>
  <c r="F14" i="12"/>
  <c r="F33" i="11"/>
  <c r="F85" i="11" s="1"/>
  <c r="G43" i="11"/>
  <c r="F46" i="11"/>
  <c r="F99" i="11" s="1"/>
  <c r="J44" i="7"/>
  <c r="I44" i="7"/>
  <c r="F21" i="12"/>
  <c r="F25" i="11"/>
  <c r="F76" i="11" s="1"/>
  <c r="K28" i="6"/>
  <c r="K29" i="6" s="1"/>
  <c r="E14" i="12"/>
  <c r="E33" i="11"/>
  <c r="E85" i="11" s="1"/>
  <c r="M32" i="7"/>
  <c r="M33" i="7" s="1"/>
  <c r="F22" i="12"/>
  <c r="F34" i="11"/>
  <c r="F86" i="11" s="1"/>
  <c r="G23" i="12"/>
  <c r="H24" i="7"/>
  <c r="I22" i="6"/>
  <c r="I39" i="6"/>
  <c r="M20" i="6"/>
  <c r="K42" i="7"/>
  <c r="K23" i="7"/>
  <c r="J22" i="6"/>
  <c r="J39" i="6"/>
  <c r="J24" i="7"/>
  <c r="M23" i="7"/>
  <c r="M42" i="7"/>
  <c r="H21" i="6"/>
  <c r="H38" i="6"/>
  <c r="I40" i="6" l="1"/>
  <c r="M43" i="7"/>
  <c r="M44" i="7" s="1"/>
  <c r="G46" i="11"/>
  <c r="G99" i="11" s="1"/>
  <c r="G96" i="11"/>
  <c r="E47" i="11"/>
  <c r="E99" i="11"/>
  <c r="G34" i="11"/>
  <c r="G86" i="11" s="1"/>
  <c r="E37" i="11"/>
  <c r="J40" i="6"/>
  <c r="G22" i="12"/>
  <c r="K43" i="7"/>
  <c r="K44" i="7" s="1"/>
  <c r="E53" i="11"/>
  <c r="E107" i="11" s="1"/>
  <c r="F37" i="11"/>
  <c r="F89" i="11" s="1"/>
  <c r="G33" i="11"/>
  <c r="G85" i="11" s="1"/>
  <c r="F24" i="11"/>
  <c r="F75" i="11" s="1"/>
  <c r="F13" i="12"/>
  <c r="E13" i="12"/>
  <c r="E24" i="11"/>
  <c r="E75" i="11" s="1"/>
  <c r="F53" i="11"/>
  <c r="F107" i="11" s="1"/>
  <c r="G25" i="11"/>
  <c r="G76" i="11" s="1"/>
  <c r="F47" i="11"/>
  <c r="G21" i="12"/>
  <c r="G14" i="12"/>
  <c r="K24" i="7"/>
  <c r="K38" i="6"/>
  <c r="K39" i="6"/>
  <c r="M21" i="6"/>
  <c r="M39" i="6" s="1"/>
  <c r="M38" i="6"/>
  <c r="M24" i="7"/>
  <c r="H22" i="6"/>
  <c r="H39" i="6"/>
  <c r="H40" i="6" s="1"/>
  <c r="G47" i="11" l="1"/>
  <c r="F100" i="11"/>
  <c r="E48" i="11"/>
  <c r="E49" i="11" s="1"/>
  <c r="E100" i="11"/>
  <c r="E38" i="11"/>
  <c r="E89" i="11"/>
  <c r="G53" i="11"/>
  <c r="G107" i="11" s="1"/>
  <c r="G37" i="11"/>
  <c r="G89" i="11" s="1"/>
  <c r="F38" i="11"/>
  <c r="E28" i="11"/>
  <c r="E79" i="11" s="1"/>
  <c r="E52" i="11"/>
  <c r="E106" i="11" s="1"/>
  <c r="G13" i="12"/>
  <c r="M40" i="6"/>
  <c r="F48" i="11"/>
  <c r="F49" i="11" s="1"/>
  <c r="F52" i="11"/>
  <c r="F106" i="11" s="1"/>
  <c r="F28" i="11"/>
  <c r="F79" i="11" s="1"/>
  <c r="G24" i="11"/>
  <c r="G75" i="11" s="1"/>
  <c r="K40" i="6"/>
  <c r="M22" i="6"/>
  <c r="K22" i="6"/>
  <c r="G48" i="11" l="1"/>
  <c r="G49" i="11" s="1"/>
  <c r="G100" i="11"/>
  <c r="F102" i="11"/>
  <c r="F103" i="11" s="1"/>
  <c r="E120" i="11" s="1"/>
  <c r="F101" i="11"/>
  <c r="E102" i="11"/>
  <c r="E101" i="11"/>
  <c r="E39" i="11"/>
  <c r="E90" i="11"/>
  <c r="G38" i="11"/>
  <c r="G90" i="11" s="1"/>
  <c r="F90" i="11"/>
  <c r="F56" i="11"/>
  <c r="F110" i="11" s="1"/>
  <c r="F29" i="11"/>
  <c r="G28" i="11"/>
  <c r="G79" i="11" s="1"/>
  <c r="G52" i="11"/>
  <c r="G106" i="11" s="1"/>
  <c r="F39" i="11"/>
  <c r="E56" i="11"/>
  <c r="E110" i="11" s="1"/>
  <c r="E29" i="11"/>
  <c r="G102" i="11" l="1"/>
  <c r="G101" i="11"/>
  <c r="G39" i="11"/>
  <c r="G91" i="11" s="1"/>
  <c r="G92" i="11" s="1"/>
  <c r="E57" i="11"/>
  <c r="E111" i="11" s="1"/>
  <c r="E80" i="11"/>
  <c r="E91" i="11"/>
  <c r="E92" i="11" s="1"/>
  <c r="F91" i="11"/>
  <c r="F92" i="11" s="1"/>
  <c r="F30" i="11"/>
  <c r="F81" i="11" s="1"/>
  <c r="F82" i="11" s="1"/>
  <c r="F80" i="11"/>
  <c r="G29" i="11"/>
  <c r="F57" i="11"/>
  <c r="F111" i="11" s="1"/>
  <c r="E30" i="11"/>
  <c r="E81" i="11" s="1"/>
  <c r="E82" i="11" s="1"/>
  <c r="G56" i="11"/>
  <c r="G110" i="11" s="1"/>
  <c r="E119" i="11" l="1"/>
  <c r="G57" i="11"/>
  <c r="G111" i="11" s="1"/>
  <c r="G80" i="11"/>
  <c r="F58" i="11"/>
  <c r="F112" i="11" s="1"/>
  <c r="E58" i="11"/>
  <c r="E112" i="11" s="1"/>
  <c r="G30" i="11"/>
  <c r="G81" i="11" s="1"/>
  <c r="G82" i="11" s="1"/>
  <c r="M17" i="4"/>
  <c r="F13" i="11" s="1"/>
  <c r="F63" i="11" s="1"/>
  <c r="E20" i="12"/>
  <c r="E24" i="12" s="1"/>
  <c r="E25" i="12" s="1"/>
  <c r="E26" i="12" s="1"/>
  <c r="E13" i="11"/>
  <c r="E63" i="11" s="1"/>
  <c r="M18" i="4"/>
  <c r="E118" i="11" l="1"/>
  <c r="G58" i="11"/>
  <c r="G112" i="11" s="1"/>
  <c r="F20" i="12"/>
  <c r="G20" i="12" s="1"/>
  <c r="G24" i="12" s="1"/>
  <c r="F28" i="12"/>
  <c r="F14" i="11"/>
  <c r="F64" i="11" s="1"/>
  <c r="F36" i="12"/>
  <c r="F15" i="11"/>
  <c r="F65" i="11" s="1"/>
  <c r="E36" i="12"/>
  <c r="E40" i="12" s="1"/>
  <c r="E41" i="12" s="1"/>
  <c r="E42" i="12" s="1"/>
  <c r="E15" i="11"/>
  <c r="E65" i="11" s="1"/>
  <c r="G13" i="11"/>
  <c r="G63" i="11" s="1"/>
  <c r="E28" i="12"/>
  <c r="E32" i="12" s="1"/>
  <c r="E33" i="12" s="1"/>
  <c r="E34" i="12" s="1"/>
  <c r="E14" i="11"/>
  <c r="E64" i="11" s="1"/>
  <c r="F24" i="12" l="1"/>
  <c r="F25" i="12" s="1"/>
  <c r="G25" i="12" s="1"/>
  <c r="G26" i="12" s="1"/>
  <c r="G36" i="12"/>
  <c r="G40" i="12" s="1"/>
  <c r="F40" i="12"/>
  <c r="G28" i="12"/>
  <c r="G32" i="12" s="1"/>
  <c r="F32" i="12"/>
  <c r="G15" i="11"/>
  <c r="G65" i="11" s="1"/>
  <c r="G14" i="11"/>
  <c r="G64" i="11" s="1"/>
  <c r="D45" i="9"/>
  <c r="D42" i="9"/>
  <c r="D37" i="9"/>
  <c r="D20" i="9"/>
  <c r="D17" i="9"/>
  <c r="F41" i="12" l="1"/>
  <c r="G41" i="12" s="1"/>
  <c r="G42" i="12" s="1"/>
  <c r="F33" i="12"/>
  <c r="G33" i="12" s="1"/>
  <c r="G34" i="12" s="1"/>
  <c r="F26" i="12"/>
  <c r="D36" i="9"/>
  <c r="D38" i="9" s="1"/>
  <c r="B38" i="9"/>
  <c r="D41" i="9"/>
  <c r="D43" i="9" s="1"/>
  <c r="B43" i="9"/>
  <c r="D18" i="9"/>
  <c r="B18" i="9"/>
  <c r="F34" i="12" l="1"/>
  <c r="F42" i="12"/>
  <c r="D14" i="9" l="1"/>
  <c r="F14" i="9"/>
  <c r="D27" i="9"/>
  <c r="F27" i="9"/>
  <c r="D13" i="9"/>
  <c r="F13" i="9"/>
  <c r="B21" i="9"/>
  <c r="F26" i="9"/>
  <c r="B28" i="9"/>
  <c r="B29" i="9" s="1"/>
  <c r="B30" i="9" s="1"/>
  <c r="D26" i="9"/>
  <c r="F33" i="9"/>
  <c r="F46" i="9" s="1"/>
  <c r="D33" i="9"/>
  <c r="D46" i="9" s="1"/>
  <c r="B46" i="9"/>
  <c r="F21" i="9" l="1"/>
  <c r="C26" i="11" s="1"/>
  <c r="C77" i="11" s="1"/>
  <c r="D21" i="9"/>
  <c r="B29" i="12" s="1"/>
  <c r="D28" i="9"/>
  <c r="B30" i="12" s="1"/>
  <c r="F47" i="9"/>
  <c r="F48" i="9" s="1"/>
  <c r="C31" i="12"/>
  <c r="C44" i="11"/>
  <c r="C97" i="11" s="1"/>
  <c r="D47" i="9"/>
  <c r="D48" i="9" s="1"/>
  <c r="B44" i="11"/>
  <c r="B97" i="11" s="1"/>
  <c r="B31" i="12"/>
  <c r="B47" i="9"/>
  <c r="B48" i="9" s="1"/>
  <c r="B51" i="9"/>
  <c r="B22" i="9"/>
  <c r="F28" i="9"/>
  <c r="F22" i="9" l="1"/>
  <c r="F23" i="9" s="1"/>
  <c r="C29" i="12"/>
  <c r="D29" i="12" s="1"/>
  <c r="D22" i="9"/>
  <c r="D23" i="9" s="1"/>
  <c r="D29" i="9"/>
  <c r="D30" i="9" s="1"/>
  <c r="B26" i="11"/>
  <c r="B77" i="11" s="1"/>
  <c r="B35" i="11"/>
  <c r="D51" i="9"/>
  <c r="D31" i="12"/>
  <c r="D44" i="11"/>
  <c r="D97" i="11" s="1"/>
  <c r="F29" i="9"/>
  <c r="F30" i="9" s="1"/>
  <c r="C30" i="12"/>
  <c r="D30" i="12" s="1"/>
  <c r="C35" i="11"/>
  <c r="C87" i="11" s="1"/>
  <c r="B52" i="9"/>
  <c r="B53" i="9" s="1"/>
  <c r="B23" i="9"/>
  <c r="F51" i="9"/>
  <c r="C37" i="7"/>
  <c r="C38" i="7" s="1"/>
  <c r="C39" i="7" s="1"/>
  <c r="D37" i="7"/>
  <c r="D52" i="9" l="1"/>
  <c r="D53" i="9" s="1"/>
  <c r="D26" i="11"/>
  <c r="D77" i="11" s="1"/>
  <c r="B54" i="11"/>
  <c r="B108" i="11" s="1"/>
  <c r="B87" i="11"/>
  <c r="D35" i="11"/>
  <c r="C54" i="11"/>
  <c r="C108" i="11" s="1"/>
  <c r="F52" i="9"/>
  <c r="F53" i="9" s="1"/>
  <c r="D38" i="7"/>
  <c r="D39" i="7" s="1"/>
  <c r="G37" i="7"/>
  <c r="B37" i="7"/>
  <c r="B38" i="7" s="1"/>
  <c r="B39" i="7" s="1"/>
  <c r="D54" i="11" l="1"/>
  <c r="D108" i="11" s="1"/>
  <c r="D87" i="11"/>
  <c r="E38" i="7"/>
  <c r="E39" i="7" s="1"/>
  <c r="B23" i="12"/>
  <c r="B43" i="11"/>
  <c r="G38" i="7"/>
  <c r="G39" i="7" s="1"/>
  <c r="C43" i="11"/>
  <c r="C96" i="11" s="1"/>
  <c r="C23" i="12"/>
  <c r="D23" i="12" l="1"/>
  <c r="B46" i="11"/>
  <c r="B96" i="11"/>
  <c r="D43" i="11"/>
  <c r="C46" i="11"/>
  <c r="C99" i="11" s="1"/>
  <c r="B99" i="11" l="1"/>
  <c r="B47" i="11"/>
  <c r="B48" i="11" s="1"/>
  <c r="B49" i="11" s="1"/>
  <c r="D46" i="11"/>
  <c r="D99" i="11" s="1"/>
  <c r="D96" i="11"/>
  <c r="C47" i="11"/>
  <c r="B100" i="11" l="1"/>
  <c r="B102" i="11"/>
  <c r="B101" i="11"/>
  <c r="D47" i="11"/>
  <c r="C100" i="11"/>
  <c r="C48" i="11"/>
  <c r="C49" i="11" s="1"/>
  <c r="C102" i="11" l="1"/>
  <c r="C103" i="11" s="1"/>
  <c r="B120" i="11" s="1"/>
  <c r="C101" i="11"/>
  <c r="D48" i="11"/>
  <c r="D49" i="11" s="1"/>
  <c r="D100" i="11"/>
  <c r="D102" i="11" l="1"/>
  <c r="D101" i="11"/>
  <c r="B28" i="12" l="1"/>
  <c r="B32" i="12" s="1"/>
  <c r="B14" i="11"/>
  <c r="B64" i="11" s="1"/>
  <c r="C28" i="12"/>
  <c r="C14" i="11"/>
  <c r="C64" i="11" s="1"/>
  <c r="C36" i="12"/>
  <c r="C15" i="11"/>
  <c r="C65" i="11" s="1"/>
  <c r="B36" i="12"/>
  <c r="B40" i="12" s="1"/>
  <c r="B15" i="11"/>
  <c r="B65" i="11" s="1"/>
  <c r="D14" i="11" l="1"/>
  <c r="D64" i="11" s="1"/>
  <c r="B33" i="12"/>
  <c r="B34" i="12" s="1"/>
  <c r="D15" i="11"/>
  <c r="D65" i="11" s="1"/>
  <c r="D28" i="12"/>
  <c r="D32" i="12" s="1"/>
  <c r="C32" i="12"/>
  <c r="B41" i="12"/>
  <c r="B42" i="12" s="1"/>
  <c r="D36" i="12"/>
  <c r="D40" i="12" s="1"/>
  <c r="C40" i="12"/>
  <c r="C41" i="12" l="1"/>
  <c r="D41" i="12" s="1"/>
  <c r="D42" i="12" s="1"/>
  <c r="C33" i="12"/>
  <c r="D33" i="12" s="1"/>
  <c r="D34" i="12" s="1"/>
  <c r="C34" i="12" l="1"/>
  <c r="C42" i="12"/>
  <c r="C27" i="6" l="1"/>
  <c r="C28" i="6" s="1"/>
  <c r="C29" i="6" s="1"/>
  <c r="D27" i="6"/>
  <c r="D28" i="6" s="1"/>
  <c r="D29" i="6" s="1"/>
  <c r="G26" i="6"/>
  <c r="B27" i="6" l="1"/>
  <c r="B28" i="6" s="1"/>
  <c r="B29" i="6" s="1"/>
  <c r="G25" i="6"/>
  <c r="G27" i="6" s="1"/>
  <c r="C33" i="11" l="1"/>
  <c r="G28" i="6"/>
  <c r="G29" i="6" s="1"/>
  <c r="C14" i="12"/>
  <c r="B33" i="11"/>
  <c r="B14" i="12"/>
  <c r="D14" i="12" l="1"/>
  <c r="C85" i="11"/>
  <c r="D33" i="11"/>
  <c r="B85" i="11"/>
  <c r="D20" i="6" l="1"/>
  <c r="C20" i="6"/>
  <c r="G17" i="6"/>
  <c r="D85" i="11"/>
  <c r="G18" i="6"/>
  <c r="G19" i="6"/>
  <c r="C38" i="6" l="1"/>
  <c r="C21" i="6"/>
  <c r="C39" i="6" s="1"/>
  <c r="D38" i="6"/>
  <c r="D21" i="6"/>
  <c r="D39" i="6" s="1"/>
  <c r="G16" i="6"/>
  <c r="G20" i="6" s="1"/>
  <c r="B20" i="6"/>
  <c r="C22" i="6" l="1"/>
  <c r="B38" i="6"/>
  <c r="B21" i="6"/>
  <c r="B39" i="6" s="1"/>
  <c r="E39" i="6"/>
  <c r="B13" i="12"/>
  <c r="B24" i="11"/>
  <c r="E38" i="6"/>
  <c r="D22" i="6"/>
  <c r="C13" i="12"/>
  <c r="G38" i="6"/>
  <c r="G21" i="6"/>
  <c r="G39" i="6" s="1"/>
  <c r="G40" i="6" s="1"/>
  <c r="C24" i="11"/>
  <c r="D40" i="6"/>
  <c r="C40" i="6"/>
  <c r="E40" i="6" l="1"/>
  <c r="B22" i="6"/>
  <c r="B12" i="12"/>
  <c r="B16" i="12" s="1"/>
  <c r="B12" i="11"/>
  <c r="G22" i="6"/>
  <c r="B40" i="6"/>
  <c r="C12" i="12"/>
  <c r="C12" i="11"/>
  <c r="C75" i="11"/>
  <c r="D24" i="11"/>
  <c r="C52" i="11"/>
  <c r="C106" i="11" s="1"/>
  <c r="B75" i="11"/>
  <c r="B52" i="11"/>
  <c r="B106" i="11" s="1"/>
  <c r="D13" i="12"/>
  <c r="M16" i="4"/>
  <c r="H21" i="4"/>
  <c r="H22" i="4" s="1"/>
  <c r="H23" i="4" s="1"/>
  <c r="H69" i="4" s="1"/>
  <c r="D75" i="11" l="1"/>
  <c r="D52" i="11"/>
  <c r="D106" i="11" s="1"/>
  <c r="F12" i="11"/>
  <c r="F12" i="12"/>
  <c r="M21" i="4"/>
  <c r="M22" i="4" s="1"/>
  <c r="M23" i="4" s="1"/>
  <c r="N21" i="4"/>
  <c r="N22" i="4" s="1"/>
  <c r="N23" i="4" s="1"/>
  <c r="N69" i="4" s="1"/>
  <c r="C16" i="12"/>
  <c r="D12" i="12"/>
  <c r="D16" i="12" s="1"/>
  <c r="E12" i="11"/>
  <c r="E12" i="12"/>
  <c r="E16" i="12" s="1"/>
  <c r="K21" i="4"/>
  <c r="K22" i="4" s="1"/>
  <c r="K23" i="4" s="1"/>
  <c r="B62" i="11"/>
  <c r="C62" i="11"/>
  <c r="D12" i="11"/>
  <c r="B17" i="12"/>
  <c r="B18" i="12" s="1"/>
  <c r="F20" i="11" l="1"/>
  <c r="M69" i="4"/>
  <c r="E20" i="11"/>
  <c r="K69" i="4"/>
  <c r="E17" i="12"/>
  <c r="E44" i="12"/>
  <c r="E52" i="12" s="1"/>
  <c r="C17" i="12"/>
  <c r="H12" i="11"/>
  <c r="H12" i="12"/>
  <c r="H16" i="12" s="1"/>
  <c r="Q21" i="4"/>
  <c r="Q22" i="4" s="1"/>
  <c r="Q23" i="4" s="1"/>
  <c r="E62" i="11"/>
  <c r="E16" i="11"/>
  <c r="I12" i="12"/>
  <c r="I12" i="11"/>
  <c r="S21" i="4"/>
  <c r="S22" i="4" s="1"/>
  <c r="S23" i="4" s="1"/>
  <c r="F70" i="11"/>
  <c r="F60" i="11"/>
  <c r="F114" i="11" s="1"/>
  <c r="G20" i="11"/>
  <c r="D62" i="11"/>
  <c r="G12" i="12"/>
  <c r="G16" i="12" s="1"/>
  <c r="F16" i="12"/>
  <c r="E70" i="11"/>
  <c r="E71" i="11" s="1"/>
  <c r="E60" i="11"/>
  <c r="E114" i="11" s="1"/>
  <c r="F62" i="11"/>
  <c r="G12" i="11"/>
  <c r="F16" i="11"/>
  <c r="I20" i="11" l="1"/>
  <c r="I70" i="11" s="1"/>
  <c r="S69" i="4"/>
  <c r="H20" i="11"/>
  <c r="Q69" i="4"/>
  <c r="F71" i="11"/>
  <c r="E117" i="11" s="1"/>
  <c r="E121" i="11" s="1"/>
  <c r="I16" i="12"/>
  <c r="J12" i="12"/>
  <c r="J16" i="12" s="1"/>
  <c r="F18" i="11"/>
  <c r="F66" i="11"/>
  <c r="AC16" i="4"/>
  <c r="C18" i="12"/>
  <c r="D17" i="12"/>
  <c r="I62" i="11"/>
  <c r="J12" i="11"/>
  <c r="I16" i="11"/>
  <c r="E18" i="12"/>
  <c r="E46" i="12" s="1"/>
  <c r="E54" i="12" s="1"/>
  <c r="E45" i="12"/>
  <c r="E53" i="12" s="1"/>
  <c r="AE16" i="4"/>
  <c r="Z21" i="4"/>
  <c r="Z22" i="4" s="1"/>
  <c r="Z23" i="4" s="1"/>
  <c r="Z69" i="4" s="1"/>
  <c r="F17" i="12"/>
  <c r="F44" i="12"/>
  <c r="F52" i="12" s="1"/>
  <c r="E18" i="11"/>
  <c r="E66" i="11"/>
  <c r="Y16" i="4"/>
  <c r="T21" i="4"/>
  <c r="T22" i="4" s="1"/>
  <c r="T23" i="4" s="1"/>
  <c r="T69" i="4" s="1"/>
  <c r="H62" i="11"/>
  <c r="H16" i="11"/>
  <c r="G62" i="11"/>
  <c r="G16" i="11"/>
  <c r="G44" i="12"/>
  <c r="G52" i="12" s="1"/>
  <c r="G70" i="11"/>
  <c r="G71" i="11" s="1"/>
  <c r="G60" i="11"/>
  <c r="G114" i="11" s="1"/>
  <c r="H70" i="11"/>
  <c r="H71" i="11" s="1"/>
  <c r="H60" i="11"/>
  <c r="H114" i="11" s="1"/>
  <c r="H17" i="12"/>
  <c r="H45" i="12" s="1"/>
  <c r="H53" i="12" s="1"/>
  <c r="H44" i="12"/>
  <c r="H52" i="12" s="1"/>
  <c r="I60" i="11" l="1"/>
  <c r="I114" i="11" s="1"/>
  <c r="J20" i="11"/>
  <c r="I71" i="11"/>
  <c r="H117" i="11" s="1"/>
  <c r="H121" i="11" s="1"/>
  <c r="N12" i="12"/>
  <c r="N16" i="12" s="1"/>
  <c r="N12" i="11"/>
  <c r="AC21" i="4"/>
  <c r="L12" i="12"/>
  <c r="L12" i="11"/>
  <c r="Y21" i="4"/>
  <c r="Y22" i="4" s="1"/>
  <c r="Y23" i="4" s="1"/>
  <c r="J70" i="11"/>
  <c r="J71" i="11" s="1"/>
  <c r="J60" i="11"/>
  <c r="J114" i="11" s="1"/>
  <c r="K12" i="11"/>
  <c r="K12" i="12"/>
  <c r="K16" i="12" s="1"/>
  <c r="W21" i="4"/>
  <c r="W22" i="4" s="1"/>
  <c r="W23" i="4" s="1"/>
  <c r="H18" i="11"/>
  <c r="H66" i="11"/>
  <c r="E19" i="11"/>
  <c r="E69" i="11" s="1"/>
  <c r="E68" i="11"/>
  <c r="J44" i="12"/>
  <c r="J52" i="12" s="1"/>
  <c r="J62" i="11"/>
  <c r="J16" i="11"/>
  <c r="F18" i="12"/>
  <c r="F46" i="12" s="1"/>
  <c r="F54" i="12" s="1"/>
  <c r="G17" i="12"/>
  <c r="F45" i="12"/>
  <c r="F53" i="12" s="1"/>
  <c r="D18" i="12"/>
  <c r="I17" i="12"/>
  <c r="I18" i="12" s="1"/>
  <c r="I46" i="12" s="1"/>
  <c r="I54" i="12" s="1"/>
  <c r="I44" i="12"/>
  <c r="I52" i="12" s="1"/>
  <c r="O12" i="11"/>
  <c r="O12" i="12"/>
  <c r="AE21" i="4"/>
  <c r="I18" i="11"/>
  <c r="I66" i="11"/>
  <c r="G66" i="11"/>
  <c r="G18" i="11"/>
  <c r="G68" i="11" s="1"/>
  <c r="F68" i="11"/>
  <c r="F19" i="11"/>
  <c r="H18" i="12"/>
  <c r="H46" i="12" s="1"/>
  <c r="H54" i="12" s="1"/>
  <c r="K20" i="11" l="1"/>
  <c r="M20" i="11" s="1"/>
  <c r="W69" i="4"/>
  <c r="L20" i="11"/>
  <c r="Y69" i="4"/>
  <c r="P12" i="12"/>
  <c r="P16" i="12" s="1"/>
  <c r="O16" i="12"/>
  <c r="AE22" i="4"/>
  <c r="AE23" i="4" s="1"/>
  <c r="M12" i="12"/>
  <c r="M16" i="12" s="1"/>
  <c r="L16" i="12"/>
  <c r="O62" i="11"/>
  <c r="P12" i="11"/>
  <c r="O16" i="11"/>
  <c r="J66" i="11"/>
  <c r="J18" i="11"/>
  <c r="J68" i="11" s="1"/>
  <c r="H19" i="11"/>
  <c r="H69" i="11" s="1"/>
  <c r="H68" i="11"/>
  <c r="F69" i="11"/>
  <c r="G19" i="11"/>
  <c r="G69" i="11" s="1"/>
  <c r="G45" i="12"/>
  <c r="G53" i="12" s="1"/>
  <c r="G18" i="12"/>
  <c r="G46" i="12" s="1"/>
  <c r="G54" i="12" s="1"/>
  <c r="AC22" i="4"/>
  <c r="AC23" i="4" s="1"/>
  <c r="K17" i="12"/>
  <c r="K45" i="12" s="1"/>
  <c r="K53" i="12" s="1"/>
  <c r="K44" i="12"/>
  <c r="K52" i="12" s="1"/>
  <c r="L70" i="11"/>
  <c r="L60" i="11"/>
  <c r="L114" i="11" s="1"/>
  <c r="N62" i="11"/>
  <c r="N16" i="11"/>
  <c r="J17" i="12"/>
  <c r="I45" i="12"/>
  <c r="I53" i="12" s="1"/>
  <c r="I19" i="11"/>
  <c r="I68" i="11"/>
  <c r="K62" i="11"/>
  <c r="K16" i="11"/>
  <c r="L62" i="11"/>
  <c r="M12" i="11"/>
  <c r="L16" i="11"/>
  <c r="N17" i="12"/>
  <c r="N44" i="12"/>
  <c r="N52" i="12" s="1"/>
  <c r="O20" i="11" l="1"/>
  <c r="O60" i="11" s="1"/>
  <c r="O114" i="11" s="1"/>
  <c r="AE69" i="4"/>
  <c r="K70" i="11"/>
  <c r="K71" i="11" s="1"/>
  <c r="N20" i="11"/>
  <c r="AC69" i="4"/>
  <c r="K60" i="11"/>
  <c r="K114" i="11" s="1"/>
  <c r="L71" i="11"/>
  <c r="K117" i="11" s="1"/>
  <c r="K121" i="11" s="1"/>
  <c r="L17" i="12"/>
  <c r="L18" i="12" s="1"/>
  <c r="L46" i="12" s="1"/>
  <c r="L54" i="12" s="1"/>
  <c r="L44" i="12"/>
  <c r="L52" i="12" s="1"/>
  <c r="M44" i="12"/>
  <c r="M52" i="12" s="1"/>
  <c r="I69" i="11"/>
  <c r="J19" i="11"/>
  <c r="J69" i="11" s="1"/>
  <c r="K18" i="12"/>
  <c r="K46" i="12" s="1"/>
  <c r="K54" i="12" s="1"/>
  <c r="K66" i="11"/>
  <c r="K18" i="11"/>
  <c r="N18" i="12"/>
  <c r="N46" i="12" s="1"/>
  <c r="N54" i="12" s="1"/>
  <c r="N45" i="12"/>
  <c r="N53" i="12" s="1"/>
  <c r="N18" i="11"/>
  <c r="N66" i="11"/>
  <c r="L18" i="11"/>
  <c r="L66" i="11"/>
  <c r="N70" i="11"/>
  <c r="N71" i="11" s="1"/>
  <c r="N60" i="11"/>
  <c r="N114" i="11" s="1"/>
  <c r="O66" i="11"/>
  <c r="O18" i="11"/>
  <c r="O17" i="12"/>
  <c r="O18" i="12" s="1"/>
  <c r="O46" i="12" s="1"/>
  <c r="O54" i="12" s="1"/>
  <c r="O44" i="12"/>
  <c r="O52" i="12" s="1"/>
  <c r="J45" i="12"/>
  <c r="J53" i="12" s="1"/>
  <c r="J18" i="12"/>
  <c r="J46" i="12" s="1"/>
  <c r="J54" i="12" s="1"/>
  <c r="M62" i="11"/>
  <c r="M16" i="11"/>
  <c r="M70" i="11"/>
  <c r="M71" i="11" s="1"/>
  <c r="M60" i="11"/>
  <c r="M114" i="11" s="1"/>
  <c r="P62" i="11"/>
  <c r="P16" i="11"/>
  <c r="P44" i="12"/>
  <c r="P52" i="12" s="1"/>
  <c r="O70" i="11" l="1"/>
  <c r="O71" i="11" s="1"/>
  <c r="N117" i="11" s="1"/>
  <c r="N121" i="11" s="1"/>
  <c r="P20" i="11"/>
  <c r="N19" i="11"/>
  <c r="N69" i="11" s="1"/>
  <c r="N68" i="11"/>
  <c r="M18" i="11"/>
  <c r="M68" i="11" s="1"/>
  <c r="M66" i="11"/>
  <c r="P17" i="12"/>
  <c r="O45" i="12"/>
  <c r="O53" i="12" s="1"/>
  <c r="L68" i="11"/>
  <c r="L19" i="11"/>
  <c r="O68" i="11"/>
  <c r="O19" i="11"/>
  <c r="P18" i="11"/>
  <c r="P68" i="11" s="1"/>
  <c r="P66" i="11"/>
  <c r="K19" i="11"/>
  <c r="K69" i="11" s="1"/>
  <c r="K68" i="11"/>
  <c r="P70" i="11"/>
  <c r="P71" i="11" s="1"/>
  <c r="P60" i="11"/>
  <c r="P114" i="11" s="1"/>
  <c r="M17" i="12"/>
  <c r="L45" i="12"/>
  <c r="L53" i="12" s="1"/>
  <c r="O69" i="11" l="1"/>
  <c r="P19" i="11"/>
  <c r="P69" i="11" s="1"/>
  <c r="M45" i="12"/>
  <c r="M53" i="12" s="1"/>
  <c r="M18" i="12"/>
  <c r="M46" i="12" s="1"/>
  <c r="M54" i="12" s="1"/>
  <c r="L69" i="11"/>
  <c r="M19" i="11"/>
  <c r="M69" i="11" s="1"/>
  <c r="P45" i="12"/>
  <c r="P53" i="12" s="1"/>
  <c r="P18" i="12"/>
  <c r="P46" i="12" s="1"/>
  <c r="P54" i="12" s="1"/>
  <c r="C31" i="7" l="1"/>
  <c r="C32" i="7" s="1"/>
  <c r="C33" i="7" s="1"/>
  <c r="D31" i="7" l="1"/>
  <c r="D32" i="7" s="1"/>
  <c r="D33" i="7" s="1"/>
  <c r="B31" i="7"/>
  <c r="B32" i="7" s="1"/>
  <c r="B33" i="7" s="1"/>
  <c r="G31" i="7"/>
  <c r="E31" i="7"/>
  <c r="G27" i="7" l="1"/>
  <c r="E32" i="7"/>
  <c r="E33" i="7" s="1"/>
  <c r="B22" i="12"/>
  <c r="B34" i="11"/>
  <c r="C34" i="11"/>
  <c r="G32" i="7"/>
  <c r="G33" i="7" s="1"/>
  <c r="C22" i="12"/>
  <c r="D22" i="12" l="1"/>
  <c r="C22" i="7"/>
  <c r="B86" i="11"/>
  <c r="B37" i="11"/>
  <c r="B23" i="4"/>
  <c r="D22" i="7"/>
  <c r="C86" i="11"/>
  <c r="D34" i="11"/>
  <c r="C37" i="11"/>
  <c r="B13" i="11" l="1"/>
  <c r="C89" i="11"/>
  <c r="C38" i="11"/>
  <c r="C39" i="11" s="1"/>
  <c r="C91" i="11" s="1"/>
  <c r="C20" i="12"/>
  <c r="C13" i="11"/>
  <c r="G21" i="4"/>
  <c r="G22" i="4" s="1"/>
  <c r="G23" i="4" s="1"/>
  <c r="C42" i="7"/>
  <c r="C23" i="7"/>
  <c r="C43" i="7" s="1"/>
  <c r="D86" i="11"/>
  <c r="D37" i="11"/>
  <c r="B89" i="11"/>
  <c r="B38" i="11"/>
  <c r="B90" i="11" s="1"/>
  <c r="G22" i="7"/>
  <c r="B22" i="7"/>
  <c r="E22" i="7"/>
  <c r="D23" i="7"/>
  <c r="D42" i="7"/>
  <c r="C20" i="11" l="1"/>
  <c r="C92" i="11"/>
  <c r="B119" i="11" s="1"/>
  <c r="E21" i="4"/>
  <c r="E22" i="4" s="1"/>
  <c r="E23" i="4" s="1"/>
  <c r="B20" i="12"/>
  <c r="D20" i="12" s="1"/>
  <c r="B39" i="11"/>
  <c r="B91" i="11" s="1"/>
  <c r="B92" i="11" s="1"/>
  <c r="D24" i="7"/>
  <c r="D43" i="7"/>
  <c r="D44" i="7" s="1"/>
  <c r="C70" i="11"/>
  <c r="C63" i="11"/>
  <c r="D13" i="11"/>
  <c r="C16" i="11"/>
  <c r="B63" i="11"/>
  <c r="B16" i="11"/>
  <c r="C24" i="7"/>
  <c r="E23" i="7"/>
  <c r="E43" i="7" s="1"/>
  <c r="B21" i="12"/>
  <c r="E42" i="7"/>
  <c r="B25" i="11"/>
  <c r="D38" i="11"/>
  <c r="D90" i="11" s="1"/>
  <c r="C90" i="11"/>
  <c r="G23" i="7"/>
  <c r="G43" i="7" s="1"/>
  <c r="C25" i="11"/>
  <c r="G42" i="7"/>
  <c r="C21" i="12"/>
  <c r="B42" i="7"/>
  <c r="B23" i="7"/>
  <c r="B43" i="7" s="1"/>
  <c r="D89" i="11"/>
  <c r="C44" i="7"/>
  <c r="B20" i="11" l="1"/>
  <c r="B70" i="11" s="1"/>
  <c r="B71" i="11" s="1"/>
  <c r="C71" i="11"/>
  <c r="B117" i="11" s="1"/>
  <c r="D21" i="12"/>
  <c r="D24" i="12" s="1"/>
  <c r="D39" i="11"/>
  <c r="D91" i="11" s="1"/>
  <c r="D92" i="11" s="1"/>
  <c r="B24" i="12"/>
  <c r="B44" i="12" s="1"/>
  <c r="B52" i="12" s="1"/>
  <c r="B24" i="7"/>
  <c r="E44" i="7"/>
  <c r="E24" i="7"/>
  <c r="C76" i="11"/>
  <c r="C53" i="11"/>
  <c r="C107" i="11" s="1"/>
  <c r="D25" i="11"/>
  <c r="C28" i="11"/>
  <c r="G44" i="7"/>
  <c r="B18" i="11"/>
  <c r="B66" i="11"/>
  <c r="C24" i="12"/>
  <c r="C18" i="11"/>
  <c r="C66" i="11"/>
  <c r="B76" i="11"/>
  <c r="B53" i="11"/>
  <c r="B107" i="11" s="1"/>
  <c r="B28" i="11"/>
  <c r="B44" i="7"/>
  <c r="D63" i="11"/>
  <c r="D16" i="11"/>
  <c r="G24" i="7"/>
  <c r="D20" i="11" l="1"/>
  <c r="D70" i="11" s="1"/>
  <c r="D71" i="11" s="1"/>
  <c r="B25" i="12"/>
  <c r="B26" i="12" s="1"/>
  <c r="B46" i="12" s="1"/>
  <c r="B54" i="12" s="1"/>
  <c r="D66" i="11"/>
  <c r="D18" i="11"/>
  <c r="D68" i="11" s="1"/>
  <c r="B79" i="11"/>
  <c r="B29" i="11"/>
  <c r="B30" i="11" s="1"/>
  <c r="B56" i="11"/>
  <c r="B110" i="11" s="1"/>
  <c r="B19" i="11"/>
  <c r="B69" i="11" s="1"/>
  <c r="B68" i="11"/>
  <c r="C79" i="11"/>
  <c r="C29" i="11"/>
  <c r="C30" i="11" s="1"/>
  <c r="C56" i="11"/>
  <c r="C110" i="11" s="1"/>
  <c r="C19" i="11"/>
  <c r="C68" i="11"/>
  <c r="D44" i="12"/>
  <c r="D52" i="12" s="1"/>
  <c r="D53" i="11"/>
  <c r="D107" i="11" s="1"/>
  <c r="D76" i="11"/>
  <c r="D28" i="11"/>
  <c r="C25" i="12"/>
  <c r="C26" i="12" s="1"/>
  <c r="C46" i="12" s="1"/>
  <c r="C54" i="12" s="1"/>
  <c r="C44" i="12"/>
  <c r="C52" i="12" s="1"/>
  <c r="B45" i="12" l="1"/>
  <c r="B53" i="12" s="1"/>
  <c r="B81" i="11"/>
  <c r="B82" i="11" s="1"/>
  <c r="B58" i="11"/>
  <c r="C81" i="11"/>
  <c r="C82" i="11" s="1"/>
  <c r="C58" i="11"/>
  <c r="B57" i="11"/>
  <c r="B111" i="11" s="1"/>
  <c r="B80" i="11"/>
  <c r="D25" i="12"/>
  <c r="C45" i="12"/>
  <c r="C53" i="12" s="1"/>
  <c r="C80" i="11"/>
  <c r="D29" i="11"/>
  <c r="C57" i="11"/>
  <c r="C111" i="11" s="1"/>
  <c r="D79" i="11"/>
  <c r="D56" i="11"/>
  <c r="D110" i="11" s="1"/>
  <c r="C69" i="11"/>
  <c r="D19" i="11"/>
  <c r="D69" i="11" s="1"/>
  <c r="D80" i="11" l="1"/>
  <c r="D57" i="11"/>
  <c r="D111" i="11" s="1"/>
  <c r="C112" i="11"/>
  <c r="C60" i="11"/>
  <c r="C114" i="11" s="1"/>
  <c r="D30" i="11"/>
  <c r="D45" i="12"/>
  <c r="D53" i="12" s="1"/>
  <c r="D26" i="12"/>
  <c r="D46" i="12" s="1"/>
  <c r="D54" i="12" s="1"/>
  <c r="B112" i="11"/>
  <c r="B60" i="11"/>
  <c r="B114" i="11" s="1"/>
  <c r="D81" i="11" l="1"/>
  <c r="D58" i="11"/>
  <c r="D82" i="11" l="1"/>
  <c r="B118" i="11" s="1"/>
  <c r="B121" i="11" s="1"/>
  <c r="D112" i="11"/>
  <c r="D60" i="11"/>
  <c r="D114" i="11" s="1"/>
  <c r="G39" i="4"/>
  <c r="E39" i="4"/>
  <c r="G66" i="4" l="1"/>
  <c r="G67" i="4"/>
  <c r="B66" i="4"/>
  <c r="E67" i="4" l="1"/>
  <c r="E66" i="4"/>
  <c r="G43" i="4"/>
  <c r="G68" i="4" s="1"/>
  <c r="G69" i="4" s="1"/>
  <c r="E43" i="4" l="1"/>
  <c r="E68" i="4" s="1"/>
  <c r="E6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Gregory Harts</author>
  </authors>
  <commentList>
    <comment ref="A7" authorId="0" shapeId="0" xr:uid="{38BA66E0-9D7F-49D0-83EC-9421E1525263}">
      <text>
        <r>
          <rPr>
            <b/>
            <sz val="9"/>
            <color indexed="81"/>
            <rFont val="Tahoma"/>
            <family val="2"/>
          </rPr>
          <t>Gregory Harts:</t>
        </r>
        <r>
          <rPr>
            <sz val="9"/>
            <color indexed="81"/>
            <rFont val="Tahoma"/>
            <family val="2"/>
          </rPr>
          <t xml:space="preserve">
LV Peak Day values found in the "LV SAP Query Testing - PA" file.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B5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C5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D5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E5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F5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G54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H54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I5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J54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K54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L54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M5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N54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O54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  <comment ref="P54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Evan Crahen:
</t>
        </r>
        <r>
          <rPr>
            <sz val="9"/>
            <color indexed="81"/>
            <rFont val="Tahoma"/>
            <family val="2"/>
          </rPr>
          <t xml:space="preserve">These numbers include the impact of rounding, in order to strike to the "Summary" tab.
</t>
        </r>
      </text>
    </comment>
  </commentList>
</comments>
</file>

<file path=xl/sharedStrings.xml><?xml version="1.0" encoding="utf-8"?>
<sst xmlns="http://schemas.openxmlformats.org/spreadsheetml/2006/main" count="922" uniqueCount="368">
  <si>
    <t>NATIONAL FUEL GAS DISTRIBUTION CORPORATION</t>
  </si>
  <si>
    <t>PEAK DAY USED FOR CAPACITY ALLOCATION</t>
  </si>
  <si>
    <t>WINTER PERIOD</t>
  </si>
  <si>
    <t>VOLUMES IN MCF</t>
  </si>
  <si>
    <t>Shrinkage</t>
  </si>
  <si>
    <t>NOAA</t>
  </si>
  <si>
    <t>BASE</t>
  </si>
  <si>
    <t xml:space="preserve">JANUARY NORMAL DEGREE DAYS = </t>
  </si>
  <si>
    <t>CASE</t>
  </si>
  <si>
    <t>Retail Sales</t>
  </si>
  <si>
    <t>DEG DAYS</t>
  </si>
  <si>
    <t>Residential</t>
  </si>
  <si>
    <t>Commercial</t>
  </si>
  <si>
    <t>Public Authority</t>
  </si>
  <si>
    <t>Company Use</t>
  </si>
  <si>
    <t>Total Retail Sales</t>
  </si>
  <si>
    <t>Total Retail Sales Shrinkage</t>
  </si>
  <si>
    <t>Total Retail Sales Requirements</t>
  </si>
  <si>
    <t>DIVISION: PENNSYLVANIA</t>
  </si>
  <si>
    <t>The Normal degree day value for February 28 is used for February 29 in each leap year.</t>
  </si>
  <si>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</si>
  <si>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</si>
  <si>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</si>
  <si>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</si>
  <si>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</si>
  <si>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</si>
  <si>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</si>
  <si>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</si>
  <si>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</si>
  <si>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</si>
  <si>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</si>
  <si>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</si>
  <si>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</si>
  <si>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</si>
  <si>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</si>
  <si>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</si>
  <si>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</si>
  <si>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</si>
  <si>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</si>
  <si>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</si>
  <si>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</si>
  <si>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</si>
  <si>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</si>
  <si>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</si>
  <si>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</si>
  <si>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</si>
  <si>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</si>
  <si>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</si>
  <si>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</si>
  <si>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</si>
  <si>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</si>
  <si>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</si>
  <si>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</si>
  <si>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</si>
  <si>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</si>
  <si>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</si>
  <si>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</si>
  <si>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</si>
  <si>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</si>
  <si>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</si>
  <si>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</si>
  <si>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</si>
  <si>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</si>
  <si>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</si>
  <si>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Month</t>
  </si>
  <si>
    <t>Description:</t>
  </si>
  <si>
    <t>Type:</t>
  </si>
  <si>
    <t>Pennsylvania</t>
  </si>
  <si>
    <t>State:</t>
  </si>
  <si>
    <t>Normal DD Set ID:</t>
  </si>
  <si>
    <t>Time Printed:</t>
  </si>
  <si>
    <t xml:space="preserve"> Normal Degree Day Set Report</t>
  </si>
  <si>
    <t>Date Printed:</t>
  </si>
  <si>
    <t>Page 1 of 1</t>
  </si>
  <si>
    <t>National Fuel Gas Distribution Corporation</t>
  </si>
  <si>
    <t>NFQRE019</t>
  </si>
  <si>
    <t>Transportation Service</t>
  </si>
  <si>
    <t>Summary:</t>
  </si>
  <si>
    <t>Monthly Metered Transportation (MMT)</t>
  </si>
  <si>
    <t>Small Com/Pub Auth  LL (&lt;250 Mcf/Yr)</t>
  </si>
  <si>
    <t>Small Com/Pub Auth  UL (250-1,000 Mcf/Yr)</t>
  </si>
  <si>
    <t>Large Commercial/Pub Authority</t>
  </si>
  <si>
    <t>Residential MMT Service</t>
  </si>
  <si>
    <t>Residential MMT Shrinkage</t>
  </si>
  <si>
    <t>Residential MMT Requirements</t>
  </si>
  <si>
    <t>Small Aggregation Transportation Customer (SATC)</t>
  </si>
  <si>
    <t>Residential SATC Service</t>
  </si>
  <si>
    <t>Residential SATC Shrinkage</t>
  </si>
  <si>
    <t>Residential SATC Requirements</t>
  </si>
  <si>
    <t>Daily Metered Transportation (DMT)</t>
  </si>
  <si>
    <t>Residential DMT Service</t>
  </si>
  <si>
    <t>Residential Transportation Service</t>
  </si>
  <si>
    <t>Residential Transportation Shrinkage</t>
  </si>
  <si>
    <t>Residential Transportation Requirements</t>
  </si>
  <si>
    <t>Industrial</t>
  </si>
  <si>
    <t>Small Commercial LL (&lt;250 Mcf/Yr)</t>
  </si>
  <si>
    <t>Small Commercial UL (250-1,000 Mcf/Yr)</t>
  </si>
  <si>
    <t>Large Commercial (&gt;1,000 Mcf/Yr)</t>
  </si>
  <si>
    <t>Commercial MMT Service</t>
  </si>
  <si>
    <t>Commercial MMT Shrinkage</t>
  </si>
  <si>
    <t>Commercial MMT Requirements</t>
  </si>
  <si>
    <t>Commercial SATC  Service</t>
  </si>
  <si>
    <t>Commercial SATC Shrinkage</t>
  </si>
  <si>
    <t>Commercial SATC Requirements</t>
  </si>
  <si>
    <t xml:space="preserve">Daily Metered Transportation (DMT) </t>
  </si>
  <si>
    <t>Large Commercial (&gt;1,000 Mcf/Yr) DMT</t>
  </si>
  <si>
    <t>Commercial DMT Service</t>
  </si>
  <si>
    <t>Commercial DMT Shrinkage</t>
  </si>
  <si>
    <t>Commercial DMT Requirements</t>
  </si>
  <si>
    <t>Residential DMT Shrinkage</t>
  </si>
  <si>
    <t>Residential DMT Requirements</t>
  </si>
  <si>
    <t>Commercial Transportation</t>
  </si>
  <si>
    <t>Commercial Transportation Shrinkage</t>
  </si>
  <si>
    <t>Commercial Transportation Requirements</t>
  </si>
  <si>
    <t xml:space="preserve">Small Volume Industrial Service-SVIS </t>
  </si>
  <si>
    <t xml:space="preserve">Intermediate Volume Industrial Service-IVIS </t>
  </si>
  <si>
    <t>Large Volume Industrial Service -LVIS</t>
  </si>
  <si>
    <t>Large Volume Industrial Service -LVIS Load Balancing</t>
  </si>
  <si>
    <t>Large Industrial Service -LIS</t>
  </si>
  <si>
    <t>Industrial Monthly Metered Transportation MMT Service</t>
  </si>
  <si>
    <t>Industrial MMT Shrinkage</t>
  </si>
  <si>
    <t>Industrial MMT Service Requirements</t>
  </si>
  <si>
    <t>Intermediate Volume Industrial Service (IVIS)</t>
  </si>
  <si>
    <t xml:space="preserve">Industrial SATC </t>
  </si>
  <si>
    <t>Industrial SATC Shrinkage</t>
  </si>
  <si>
    <t>Industrial SATC Requirements</t>
  </si>
  <si>
    <t>Intermediate Volume Industrial Service-IVIS</t>
  </si>
  <si>
    <t xml:space="preserve">Large Volume Industrial Service -LVIS </t>
  </si>
  <si>
    <t>LVIS Daily Metered</t>
  </si>
  <si>
    <t>LVIS Daily Metered Flex</t>
  </si>
  <si>
    <t>LVIS Daily Metered Transportation</t>
  </si>
  <si>
    <t>LIS Daily Metered</t>
  </si>
  <si>
    <t>LIS Daily Metered  Flex Rate</t>
  </si>
  <si>
    <t>LIS Daily Metered Transportation</t>
  </si>
  <si>
    <t>Daily Metered Large Manufacturing Transportation Service - DMLMTS</t>
  </si>
  <si>
    <t>Industrial DMT Service</t>
  </si>
  <si>
    <t>Industrial DMT Shrinkage</t>
  </si>
  <si>
    <t>Industrial DMT Requirements</t>
  </si>
  <si>
    <t>Industrial Transportation</t>
  </si>
  <si>
    <t>Industrial Transportation Shrinkage</t>
  </si>
  <si>
    <t>Industrial Transportation Requirements</t>
  </si>
  <si>
    <t>Small Public Auth-LL (&lt; 250 Mcf/Yr)</t>
  </si>
  <si>
    <t>Small Public Auth-UL (250-1,000 Mcf/Yr)</t>
  </si>
  <si>
    <t>Large Public Auth (&gt;1,000 Mcf/Yr)</t>
  </si>
  <si>
    <t>Public Authority MMT Service</t>
  </si>
  <si>
    <t>Public Authority MMT Shrinkage</t>
  </si>
  <si>
    <t>Public Authority MMT Requirements</t>
  </si>
  <si>
    <t>Large Public Authority (&gt;1,000 Mcf/Yr)</t>
  </si>
  <si>
    <t>Public Authority SATC  Service</t>
  </si>
  <si>
    <t>Public Authority SATC Shrinkage</t>
  </si>
  <si>
    <t>Public Authority SATC Requirements</t>
  </si>
  <si>
    <t>Large Public Authority DMT Service</t>
  </si>
  <si>
    <t>Public Authority DMT Shrinkage</t>
  </si>
  <si>
    <t>Public Authority DMT Requirements</t>
  </si>
  <si>
    <t>Public Authority Transportation</t>
  </si>
  <si>
    <t>Public Authority Transportation Shrinkage</t>
  </si>
  <si>
    <t>Public Authority Transportation Requirements</t>
  </si>
  <si>
    <t>Projected Volumes in Mcf</t>
  </si>
  <si>
    <t>74 DD</t>
  </si>
  <si>
    <t>Base Case</t>
  </si>
  <si>
    <t>v.</t>
  </si>
  <si>
    <t>Peak Day</t>
  </si>
  <si>
    <t>Variance</t>
  </si>
  <si>
    <t>Total Transportation Service</t>
  </si>
  <si>
    <t>Total Transportation Requirements</t>
  </si>
  <si>
    <t>Pennsylvania Division</t>
  </si>
  <si>
    <t>Subtotal Retail Sales</t>
  </si>
  <si>
    <t>Retail Sales Shrinkage</t>
  </si>
  <si>
    <t>Residential MMT Transportation</t>
  </si>
  <si>
    <t>Commercial MMT Transportation</t>
  </si>
  <si>
    <t>Industrial MMT Transportation</t>
  </si>
  <si>
    <t>Public Authority MMT Transportation</t>
  </si>
  <si>
    <t>Total MMT Service</t>
  </si>
  <si>
    <t>MMT Service Shrinkage</t>
  </si>
  <si>
    <t>Total MMT Service Requirements</t>
  </si>
  <si>
    <t>Residential SATC Transportation</t>
  </si>
  <si>
    <t>Commercial SATC Transportation</t>
  </si>
  <si>
    <t>Industrial SATC Transportation</t>
  </si>
  <si>
    <t>Public Authority SATC Transportation</t>
  </si>
  <si>
    <t>Total SATC Service</t>
  </si>
  <si>
    <t>SATC Service Shrinkage</t>
  </si>
  <si>
    <t>Total SATC Service Requirements</t>
  </si>
  <si>
    <t>Residential DMT Transportation</t>
  </si>
  <si>
    <t>Commercial DMT Transportation</t>
  </si>
  <si>
    <t>Industrial DMT Transportation</t>
  </si>
  <si>
    <t>Public Authority DMT Transportation</t>
  </si>
  <si>
    <t>Total DMT Service</t>
  </si>
  <si>
    <t>DMT Service Shrinkage</t>
  </si>
  <si>
    <t>Total DMT Service Requirements</t>
  </si>
  <si>
    <t>Commercial Transportation Service</t>
  </si>
  <si>
    <t>Industrial Transportation Service</t>
  </si>
  <si>
    <t>Public Authority Transportation Service</t>
  </si>
  <si>
    <t>Total Transportation Shrinkage</t>
  </si>
  <si>
    <t>Total Requirements</t>
  </si>
  <si>
    <t>Residential Retail Sales</t>
  </si>
  <si>
    <t>Residential Shrinkage</t>
  </si>
  <si>
    <t>Total Residential Requirements</t>
  </si>
  <si>
    <t>Commercial Retail Sales</t>
  </si>
  <si>
    <t>Commercial Shrinkage</t>
  </si>
  <si>
    <t>Total Commercial Requirements</t>
  </si>
  <si>
    <t>Industrial Retail Sales</t>
  </si>
  <si>
    <t>Total Industrial Throughput</t>
  </si>
  <si>
    <t>Industrial Shrinkage</t>
  </si>
  <si>
    <t>Total Industrial Requirements</t>
  </si>
  <si>
    <t>Public Authority Retail Sales</t>
  </si>
  <si>
    <t>Total Public Authority Throughput</t>
  </si>
  <si>
    <t>Public Authority Shrinkage</t>
  </si>
  <si>
    <t>Total Public Authority Requirements</t>
  </si>
  <si>
    <t>Subtotal Throughput</t>
  </si>
  <si>
    <t>Subtotal Shrinkage</t>
  </si>
  <si>
    <t>Subtotal Requirements</t>
  </si>
  <si>
    <t>Company Use Shrinkage</t>
  </si>
  <si>
    <t>Total Throughput</t>
  </si>
  <si>
    <t>Total Shrinkage</t>
  </si>
  <si>
    <t>Total Residential Throughput</t>
  </si>
  <si>
    <t>Total Commercial Throughput</t>
  </si>
  <si>
    <t>Company Use Requirements</t>
  </si>
  <si>
    <t>MMT</t>
  </si>
  <si>
    <t>SATC</t>
  </si>
  <si>
    <t>52 DD MMT</t>
  </si>
  <si>
    <t>62 DD SATC</t>
  </si>
  <si>
    <t>52 / 62 DD</t>
  </si>
  <si>
    <t>DMT Imbalance (2% of DMT)</t>
  </si>
  <si>
    <t>Capacity Requirements (Dth) - For GSA</t>
  </si>
  <si>
    <t>Dth</t>
  </si>
  <si>
    <t>Gas Requirements</t>
  </si>
  <si>
    <t>FY 2023</t>
  </si>
  <si>
    <t>Jan 2023</t>
  </si>
  <si>
    <t>FY 2024</t>
  </si>
  <si>
    <t>Jan 2024</t>
  </si>
  <si>
    <t>FY 2025</t>
  </si>
  <si>
    <t>Jan 2025</t>
  </si>
  <si>
    <t>Residential Sales Service</t>
  </si>
  <si>
    <t>FY 2026</t>
  </si>
  <si>
    <t>Jan 2026</t>
  </si>
  <si>
    <t>10011</t>
  </si>
  <si>
    <t>NOAA 2006-2020</t>
  </si>
  <si>
    <t>2022 Master Estimate</t>
  </si>
  <si>
    <t>FY 2027</t>
  </si>
  <si>
    <t>Jan 2027</t>
  </si>
  <si>
    <t>2006 - 2020</t>
  </si>
  <si>
    <r>
      <t xml:space="preserve">Total Retail Sales Requirements (Dth - </t>
    </r>
    <r>
      <rPr>
        <b/>
        <sz val="10"/>
        <color rgb="FF0000CC"/>
        <rFont val="Calibri"/>
        <family val="2"/>
        <scheme val="minor"/>
      </rPr>
      <t>1.048</t>
    </r>
    <r>
      <rPr>
        <b/>
        <sz val="10"/>
        <rFont val="Calibri"/>
        <family val="2"/>
        <scheme val="minor"/>
      </rPr>
      <t xml:space="preserve"> Btu)</t>
    </r>
  </si>
  <si>
    <r>
      <t xml:space="preserve">Total MMT Service Requirements (Dth - </t>
    </r>
    <r>
      <rPr>
        <b/>
        <sz val="10"/>
        <color rgb="FF0000CC"/>
        <rFont val="Calibri"/>
        <family val="2"/>
        <scheme val="minor"/>
      </rPr>
      <t>1.048</t>
    </r>
    <r>
      <rPr>
        <b/>
        <sz val="10"/>
        <rFont val="Calibri"/>
        <family val="2"/>
        <scheme val="minor"/>
      </rPr>
      <t xml:space="preserve"> Btu)</t>
    </r>
  </si>
  <si>
    <r>
      <t xml:space="preserve">Total SATC Service Requirements (Dth - </t>
    </r>
    <r>
      <rPr>
        <b/>
        <sz val="10"/>
        <color rgb="FF0000CC"/>
        <rFont val="Calibri"/>
        <family val="2"/>
        <scheme val="minor"/>
      </rPr>
      <t>1.048</t>
    </r>
    <r>
      <rPr>
        <b/>
        <sz val="10"/>
        <rFont val="Calibri"/>
        <family val="2"/>
        <scheme val="minor"/>
      </rPr>
      <t xml:space="preserve"> Btu)</t>
    </r>
  </si>
  <si>
    <r>
      <t xml:space="preserve">Total DMT Service Requirements (Dth - </t>
    </r>
    <r>
      <rPr>
        <b/>
        <sz val="10"/>
        <color rgb="FF0000FF"/>
        <rFont val="Calibri"/>
        <family val="2"/>
        <scheme val="minor"/>
      </rPr>
      <t>1.048 Btu</t>
    </r>
    <r>
      <rPr>
        <b/>
        <sz val="10"/>
        <rFont val="Calibri"/>
        <family val="2"/>
        <scheme val="minor"/>
      </rPr>
      <t>)</t>
    </r>
  </si>
  <si>
    <r>
      <t xml:space="preserve">Total DMT Service Requirements (Dth - </t>
    </r>
    <r>
      <rPr>
        <b/>
        <sz val="10"/>
        <color rgb="FF0000FF"/>
        <rFont val="Calibri"/>
        <family val="2"/>
        <scheme val="minor"/>
      </rPr>
      <t xml:space="preserve">1.048 </t>
    </r>
    <r>
      <rPr>
        <b/>
        <sz val="10"/>
        <rFont val="Calibri"/>
        <family val="2"/>
        <scheme val="minor"/>
      </rPr>
      <t>Btu)</t>
    </r>
  </si>
  <si>
    <t>Residential less LIRA</t>
  </si>
  <si>
    <t>Low Income Residential Assistance (LIRA)</t>
  </si>
  <si>
    <t>Small Commercial-LL (&lt;250 Mcf/Yr)</t>
  </si>
  <si>
    <t>Small Commercial-UL (250-1,000 Mcf/Yr)</t>
  </si>
  <si>
    <t>Small Volume Industrial Service-SVIS</t>
  </si>
  <si>
    <t>Small Public Authority-LL (&lt;250 Mcf/Yr)</t>
  </si>
  <si>
    <t>Small Public Authority-UL (250-1,000 Mcf/Yr)</t>
  </si>
  <si>
    <t>Retail Sales Requirements</t>
  </si>
  <si>
    <t>Residential Retail Shrinkage</t>
  </si>
  <si>
    <t>Total Residential Retail Sales</t>
  </si>
  <si>
    <t>Commercial Retail Shrinkage</t>
  </si>
  <si>
    <t>Total Commercial Retail Sales</t>
  </si>
  <si>
    <t>Industrial Retail Shrinkage</t>
  </si>
  <si>
    <t>Total Industrial Retail Sales</t>
  </si>
  <si>
    <t>Public Authority Retail Shrinkage</t>
  </si>
  <si>
    <t>Total Public Authority Retail Sales</t>
  </si>
  <si>
    <t>Company Use Shinkage</t>
  </si>
  <si>
    <t>Total Company Use</t>
  </si>
  <si>
    <t>FY2023</t>
  </si>
  <si>
    <t>FY2024</t>
  </si>
  <si>
    <t>FY2025</t>
  </si>
  <si>
    <t>FY2026</t>
  </si>
  <si>
    <t>FY2027</t>
  </si>
  <si>
    <t>Variance to Base File (Due to Shinkage Rounding)</t>
  </si>
  <si>
    <t>Large Commercial (NGV)</t>
  </si>
  <si>
    <t>WP_Peak Day</t>
  </si>
  <si>
    <t>62DD</t>
  </si>
  <si>
    <t>74DD</t>
  </si>
  <si>
    <t>Tariff Schedule</t>
  </si>
  <si>
    <t>Class</t>
  </si>
  <si>
    <t>Retail Sales Base Case</t>
  </si>
  <si>
    <t>Res Trans Base Case</t>
  </si>
  <si>
    <t>Com Trans Base Case</t>
  </si>
  <si>
    <t>Ind Trans Base Case</t>
  </si>
  <si>
    <t>Pub Trans Base Case</t>
  </si>
  <si>
    <t>A1</t>
  </si>
  <si>
    <t>RESIDENTIAL</t>
  </si>
  <si>
    <t>Residential Service</t>
  </si>
  <si>
    <t>A2</t>
  </si>
  <si>
    <t>LIRA</t>
  </si>
  <si>
    <t>A3</t>
  </si>
  <si>
    <t>RESIDENTIAL_TRANS</t>
  </si>
  <si>
    <t>A4</t>
  </si>
  <si>
    <t>RES_SATC</t>
  </si>
  <si>
    <t>B1</t>
  </si>
  <si>
    <t>SMALL_COMM_LE250</t>
  </si>
  <si>
    <t>Small Commercial &amp; PA Service (LE 250)</t>
  </si>
  <si>
    <t>B2</t>
  </si>
  <si>
    <t>SMALL_COMM_LE_ 250_TRANS</t>
  </si>
  <si>
    <t>B3</t>
  </si>
  <si>
    <t>SM_COM_LE250_SATC</t>
  </si>
  <si>
    <t>C1</t>
  </si>
  <si>
    <t>SM_COM_GT250</t>
  </si>
  <si>
    <t>Small Commercial &amp; PA Service (GT 250)</t>
  </si>
  <si>
    <t>C2</t>
  </si>
  <si>
    <t>SM_COMM_GT250_TRANS</t>
  </si>
  <si>
    <t>C3</t>
  </si>
  <si>
    <t>SM_COM_GT250_SATC</t>
  </si>
  <si>
    <t>D1</t>
  </si>
  <si>
    <t>LARGE_COMMERCIAL</t>
  </si>
  <si>
    <t>Large Comm PA Service</t>
  </si>
  <si>
    <t>D2</t>
  </si>
  <si>
    <t>LARGE_COMM_MMT_TRANS</t>
  </si>
  <si>
    <t>D3</t>
  </si>
  <si>
    <t>LARGE_COMM_DMT_TRANS</t>
  </si>
  <si>
    <t>D4</t>
  </si>
  <si>
    <t>LARGE_COMM_SATC</t>
  </si>
  <si>
    <t>E1</t>
  </si>
  <si>
    <t>SMALL_PUB_AU_LE250</t>
  </si>
  <si>
    <t>F1</t>
  </si>
  <si>
    <t>SMALL_PUB_AU_GT250</t>
  </si>
  <si>
    <t>F3</t>
  </si>
  <si>
    <t>SM_PUB_GT250_SATC</t>
  </si>
  <si>
    <t>D5</t>
  </si>
  <si>
    <t>NGV</t>
  </si>
  <si>
    <t>G1</t>
  </si>
  <si>
    <t>LARGE_PUBLIC_AUTH</t>
  </si>
  <si>
    <t>G3</t>
  </si>
  <si>
    <t>LARGE_DMT_TRANS</t>
  </si>
  <si>
    <t>G4</t>
  </si>
  <si>
    <t>LARGE_PUB_SATC</t>
  </si>
  <si>
    <t>K1</t>
  </si>
  <si>
    <t>SVIS</t>
  </si>
  <si>
    <t>K2</t>
  </si>
  <si>
    <t>SVIS_MMT_TRANS</t>
  </si>
  <si>
    <t>K3</t>
  </si>
  <si>
    <t>SVIS_SATC</t>
  </si>
  <si>
    <t>H1</t>
  </si>
  <si>
    <t>IVIS</t>
  </si>
  <si>
    <t>H2</t>
  </si>
  <si>
    <t>IVIS_MMT_TRANS</t>
  </si>
  <si>
    <t>H3</t>
  </si>
  <si>
    <t>IVIS_DMT_TRANS</t>
  </si>
  <si>
    <t>H5</t>
  </si>
  <si>
    <t>IVIS_SATC</t>
  </si>
  <si>
    <t>I1</t>
  </si>
  <si>
    <t>LVIS_MMT</t>
  </si>
  <si>
    <t>LVIS</t>
  </si>
  <si>
    <t>I2</t>
  </si>
  <si>
    <t>LVIS_DMT</t>
  </si>
  <si>
    <t>J1</t>
  </si>
  <si>
    <t>LIS_MMT_TRANS</t>
  </si>
  <si>
    <t>LIS</t>
  </si>
  <si>
    <t>J2</t>
  </si>
  <si>
    <t>LIS_DMT</t>
  </si>
  <si>
    <t>J3</t>
  </si>
  <si>
    <t>LIS_DMT_FLEX</t>
  </si>
  <si>
    <t>L1</t>
  </si>
  <si>
    <t>DMT_LARGE_MAN_TRANS</t>
  </si>
  <si>
    <t>E2</t>
  </si>
  <si>
    <t>SMALL_LE_ 250_TRANS</t>
  </si>
  <si>
    <t>E3</t>
  </si>
  <si>
    <t>SM_LE250_SATC</t>
  </si>
  <si>
    <t>F2</t>
  </si>
  <si>
    <t>SM_GT250_TRANS</t>
  </si>
  <si>
    <t>G2</t>
  </si>
  <si>
    <t>LARGE_MMT_TRANS</t>
  </si>
  <si>
    <t>Tie out</t>
  </si>
  <si>
    <t>Mapping</t>
  </si>
  <si>
    <t>Negotiated contracts</t>
  </si>
  <si>
    <t>Negotiated Contracts</t>
  </si>
  <si>
    <t>Attachment COS-19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</si>
</sst>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mmmm\ d\,\ yyyy;@"/>
    <numFmt numFmtId="165" formatCode="#,##0;#,##0"/>
    <numFmt numFmtId="166" formatCode="h\:mm\:ss\ AM/PM"/>
    <numFmt numFmtId="167" formatCode="#,##0;\(#,##0\)"/>
    <numFmt numFmtId="168" formatCode="[$-409]d\-mmm\-yyyy;@"/>
    <numFmt numFmtId="169" formatCode="[$-409]mmm\-yy;@"/>
    <numFmt numFmtId="170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FF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>
      <alignment vertical="top"/>
    </xf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Border="1"/>
    <xf numFmtId="0" fontId="2" fillId="0" borderId="0" xfId="1" applyFont="1" applyAlignment="1">
      <alignment horizontal="right"/>
    </xf>
    <xf numFmtId="164" fontId="2" fillId="0" borderId="0" xfId="1" applyNumberFormat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10" fontId="2" fillId="0" borderId="4" xfId="1" applyNumberFormat="1" applyFont="1" applyBorder="1"/>
    <xf numFmtId="0" fontId="2" fillId="0" borderId="5" xfId="1" applyFont="1" applyBorder="1"/>
    <xf numFmtId="0" fontId="2" fillId="0" borderId="4" xfId="1" applyFont="1" applyBorder="1" applyAlignment="1">
      <alignment horizontal="right"/>
    </xf>
    <xf numFmtId="0" fontId="2" fillId="0" borderId="4" xfId="1" applyFont="1" applyBorder="1"/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4" fillId="0" borderId="0" xfId="1" applyNumberFormat="1" applyFont="1" applyBorder="1" applyProtection="1"/>
    <xf numFmtId="0" fontId="2" fillId="0" borderId="0" xfId="1" applyFont="1" applyBorder="1" applyAlignment="1">
      <alignment horizontal="centerContinuous"/>
    </xf>
    <xf numFmtId="3" fontId="2" fillId="0" borderId="4" xfId="1" applyNumberFormat="1" applyFont="1" applyBorder="1" applyProtection="1"/>
    <xf numFmtId="0" fontId="2" fillId="0" borderId="4" xfId="1" applyFont="1" applyBorder="1" applyAlignment="1">
      <alignment horizontal="centerContinuous"/>
    </xf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shrinkToFit="1"/>
    </xf>
    <xf numFmtId="17" fontId="2" fillId="0" borderId="4" xfId="1" applyNumberFormat="1" applyFont="1" applyBorder="1"/>
    <xf numFmtId="17" fontId="2" fillId="0" borderId="0" xfId="1" applyNumberFormat="1" applyFont="1" applyBorder="1"/>
    <xf numFmtId="0" fontId="2" fillId="0" borderId="0" xfId="1" applyFont="1" applyBorder="1" applyAlignment="1">
      <alignment shrinkToFit="1"/>
    </xf>
    <xf numFmtId="0" fontId="2" fillId="0" borderId="0" xfId="1" applyFont="1" applyAlignment="1">
      <alignment shrinkToFit="1"/>
    </xf>
    <xf numFmtId="3" fontId="2" fillId="0" borderId="4" xfId="1" applyNumberFormat="1" applyFont="1" applyFill="1" applyBorder="1"/>
    <xf numFmtId="3" fontId="2" fillId="0" borderId="0" xfId="1" applyNumberFormat="1" applyFont="1" applyFill="1" applyBorder="1"/>
    <xf numFmtId="3" fontId="5" fillId="0" borderId="0" xfId="1" applyNumberFormat="1" applyFont="1" applyBorder="1" applyProtection="1"/>
    <xf numFmtId="3" fontId="5" fillId="0" borderId="5" xfId="1" applyNumberFormat="1" applyFont="1" applyBorder="1" applyProtection="1"/>
    <xf numFmtId="3" fontId="2" fillId="0" borderId="0" xfId="1" applyNumberFormat="1" applyFont="1" applyBorder="1"/>
    <xf numFmtId="3" fontId="2" fillId="0" borderId="5" xfId="1" applyNumberFormat="1" applyFont="1" applyBorder="1"/>
    <xf numFmtId="3" fontId="2" fillId="0" borderId="5" xfId="1" applyNumberFormat="1" applyFont="1" applyFill="1" applyBorder="1"/>
    <xf numFmtId="0" fontId="2" fillId="0" borderId="6" xfId="1" applyFont="1" applyFill="1" applyBorder="1" applyAlignment="1">
      <alignment shrinkToFit="1"/>
    </xf>
    <xf numFmtId="3" fontId="2" fillId="0" borderId="6" xfId="1" applyNumberFormat="1" applyFont="1" applyFill="1" applyBorder="1"/>
    <xf numFmtId="3" fontId="2" fillId="0" borderId="8" xfId="1" applyNumberFormat="1" applyFont="1" applyFill="1" applyBorder="1"/>
    <xf numFmtId="3" fontId="2" fillId="0" borderId="7" xfId="1" applyNumberFormat="1" applyFont="1" applyBorder="1"/>
    <xf numFmtId="0" fontId="2" fillId="0" borderId="6" xfId="1" applyFont="1" applyBorder="1"/>
    <xf numFmtId="3" fontId="2" fillId="0" borderId="6" xfId="1" applyNumberFormat="1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0" fontId="2" fillId="0" borderId="10" xfId="1" applyFont="1" applyBorder="1"/>
    <xf numFmtId="3" fontId="2" fillId="0" borderId="10" xfId="1" applyNumberFormat="1" applyFont="1" applyBorder="1"/>
    <xf numFmtId="3" fontId="2" fillId="0" borderId="11" xfId="1" applyNumberFormat="1" applyFont="1" applyBorder="1"/>
    <xf numFmtId="0" fontId="6" fillId="0" borderId="0" xfId="2">
      <alignment vertical="top"/>
    </xf>
    <xf numFmtId="10" fontId="11" fillId="0" borderId="4" xfId="1" applyNumberFormat="1" applyFont="1" applyBorder="1"/>
    <xf numFmtId="3" fontId="11" fillId="0" borderId="4" xfId="1" applyNumberFormat="1" applyFont="1" applyBorder="1" applyProtection="1"/>
    <xf numFmtId="0" fontId="10" fillId="0" borderId="0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3" applyFont="1"/>
    <xf numFmtId="0" fontId="2" fillId="0" borderId="0" xfId="3" applyFont="1" applyBorder="1"/>
    <xf numFmtId="0" fontId="2" fillId="0" borderId="0" xfId="3" applyFont="1" applyAlignment="1">
      <alignment horizontal="right"/>
    </xf>
    <xf numFmtId="0" fontId="2" fillId="0" borderId="1" xfId="3" applyFont="1" applyBorder="1"/>
    <xf numFmtId="0" fontId="2" fillId="0" borderId="2" xfId="3" applyFont="1" applyBorder="1"/>
    <xf numFmtId="0" fontId="2" fillId="0" borderId="3" xfId="3" applyFont="1" applyBorder="1"/>
    <xf numFmtId="10" fontId="2" fillId="0" borderId="12" xfId="3" applyNumberFormat="1" applyFont="1" applyBorder="1"/>
    <xf numFmtId="0" fontId="2" fillId="0" borderId="13" xfId="3" applyFont="1" applyBorder="1"/>
    <xf numFmtId="0" fontId="2" fillId="0" borderId="14" xfId="3" applyFont="1" applyBorder="1"/>
    <xf numFmtId="0" fontId="2" fillId="0" borderId="4" xfId="3" applyFont="1" applyBorder="1"/>
    <xf numFmtId="0" fontId="2" fillId="0" borderId="5" xfId="3" applyFont="1" applyBorder="1"/>
    <xf numFmtId="0" fontId="2" fillId="0" borderId="4" xfId="3" applyFont="1" applyBorder="1" applyAlignment="1">
      <alignment horizontal="right"/>
    </xf>
    <xf numFmtId="0" fontId="3" fillId="0" borderId="0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3" fontId="4" fillId="0" borderId="4" xfId="3" applyNumberFormat="1" applyFont="1" applyBorder="1" applyProtection="1"/>
    <xf numFmtId="0" fontId="2" fillId="0" borderId="4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10" xfId="3" applyFont="1" applyBorder="1" applyAlignment="1">
      <alignment shrinkToFit="1"/>
    </xf>
    <xf numFmtId="17" fontId="2" fillId="0" borderId="4" xfId="3" applyNumberFormat="1" applyFont="1" applyBorder="1"/>
    <xf numFmtId="17" fontId="2" fillId="0" borderId="0" xfId="3" applyNumberFormat="1" applyFont="1" applyBorder="1"/>
    <xf numFmtId="0" fontId="2" fillId="0" borderId="0" xfId="3" applyFont="1" applyBorder="1" applyAlignment="1">
      <alignment shrinkToFit="1"/>
    </xf>
    <xf numFmtId="0" fontId="2" fillId="0" borderId="0" xfId="3" applyFont="1" applyAlignment="1">
      <alignment shrinkToFit="1"/>
    </xf>
    <xf numFmtId="3" fontId="2" fillId="0" borderId="4" xfId="3" applyNumberFormat="1" applyFont="1" applyFill="1" applyBorder="1"/>
    <xf numFmtId="3" fontId="2" fillId="0" borderId="0" xfId="3" applyNumberFormat="1" applyFont="1" applyFill="1" applyBorder="1"/>
    <xf numFmtId="3" fontId="5" fillId="0" borderId="0" xfId="3" applyNumberFormat="1" applyFont="1" applyBorder="1" applyProtection="1"/>
    <xf numFmtId="3" fontId="5" fillId="0" borderId="5" xfId="3" applyNumberFormat="1" applyFont="1" applyBorder="1" applyProtection="1"/>
    <xf numFmtId="3" fontId="2" fillId="0" borderId="9" xfId="3" applyNumberFormat="1" applyFont="1" applyFill="1" applyBorder="1"/>
    <xf numFmtId="3" fontId="2" fillId="0" borderId="10" xfId="3" applyNumberFormat="1" applyFont="1" applyFill="1" applyBorder="1"/>
    <xf numFmtId="3" fontId="5" fillId="0" borderId="10" xfId="3" applyNumberFormat="1" applyFont="1" applyBorder="1" applyProtection="1"/>
    <xf numFmtId="3" fontId="2" fillId="0" borderId="10" xfId="3" applyNumberFormat="1" applyFont="1" applyBorder="1"/>
    <xf numFmtId="3" fontId="5" fillId="0" borderId="11" xfId="3" applyNumberFormat="1" applyFont="1" applyBorder="1" applyProtection="1"/>
    <xf numFmtId="3" fontId="2" fillId="0" borderId="0" xfId="3" applyNumberFormat="1" applyFont="1" applyBorder="1"/>
    <xf numFmtId="3" fontId="2" fillId="0" borderId="5" xfId="3" applyNumberFormat="1" applyFont="1" applyBorder="1"/>
    <xf numFmtId="3" fontId="2" fillId="0" borderId="9" xfId="3" applyNumberFormat="1" applyFont="1" applyBorder="1"/>
    <xf numFmtId="3" fontId="2" fillId="0" borderId="11" xfId="3" applyNumberFormat="1" applyFont="1" applyBorder="1"/>
    <xf numFmtId="3" fontId="3" fillId="0" borderId="4" xfId="3" applyNumberFormat="1" applyFont="1" applyBorder="1"/>
    <xf numFmtId="3" fontId="3" fillId="0" borderId="0" xfId="3" applyNumberFormat="1" applyFont="1" applyBorder="1"/>
    <xf numFmtId="3" fontId="3" fillId="0" borderId="4" xfId="3" applyNumberFormat="1" applyFont="1" applyBorder="1" applyAlignment="1">
      <alignment horizontal="right"/>
    </xf>
    <xf numFmtId="3" fontId="2" fillId="0" borderId="4" xfId="3" applyNumberFormat="1" applyFont="1" applyBorder="1"/>
    <xf numFmtId="3" fontId="2" fillId="0" borderId="5" xfId="3" applyNumberFormat="1" applyFont="1" applyFill="1" applyBorder="1"/>
    <xf numFmtId="0" fontId="2" fillId="0" borderId="4" xfId="3" applyFont="1" applyFill="1" applyBorder="1"/>
    <xf numFmtId="0" fontId="2" fillId="0" borderId="10" xfId="3" applyFont="1" applyBorder="1"/>
    <xf numFmtId="0" fontId="2" fillId="0" borderId="0" xfId="3" applyFont="1" applyFill="1"/>
    <xf numFmtId="10" fontId="11" fillId="0" borderId="12" xfId="3" applyNumberFormat="1" applyFont="1" applyBorder="1"/>
    <xf numFmtId="3" fontId="11" fillId="0" borderId="4" xfId="3" applyNumberFormat="1" applyFont="1" applyBorder="1" applyProtection="1"/>
    <xf numFmtId="3" fontId="2" fillId="0" borderId="4" xfId="3" applyNumberFormat="1" applyFont="1" applyBorder="1" applyProtection="1"/>
    <xf numFmtId="0" fontId="2" fillId="0" borderId="0" xfId="3" applyFont="1" applyBorder="1" applyAlignment="1">
      <alignment horizontal="centerContinuous"/>
    </xf>
    <xf numFmtId="0" fontId="2" fillId="0" borderId="0" xfId="3" quotePrefix="1" applyFont="1" applyBorder="1" applyAlignment="1">
      <alignment horizontal="left" shrinkToFit="1"/>
    </xf>
    <xf numFmtId="0" fontId="2" fillId="0" borderId="0" xfId="3" applyFont="1" applyFill="1" applyBorder="1" applyAlignment="1">
      <alignment shrinkToFit="1"/>
    </xf>
    <xf numFmtId="3" fontId="2" fillId="0" borderId="11" xfId="3" applyNumberFormat="1" applyFont="1" applyFill="1" applyBorder="1"/>
    <xf numFmtId="3" fontId="2" fillId="0" borderId="2" xfId="3" applyNumberFormat="1" applyFont="1" applyBorder="1"/>
    <xf numFmtId="3" fontId="2" fillId="0" borderId="13" xfId="3" applyNumberFormat="1" applyFont="1" applyBorder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"/>
    </xf>
    <xf numFmtId="17" fontId="2" fillId="0" borderId="0" xfId="1" applyNumberFormat="1" applyFont="1"/>
    <xf numFmtId="3" fontId="2" fillId="0" borderId="0" xfId="4" applyNumberFormat="1" applyFont="1" applyFill="1" applyBorder="1"/>
    <xf numFmtId="3" fontId="2" fillId="0" borderId="0" xfId="4" applyNumberFormat="1" applyFont="1" applyBorder="1"/>
    <xf numFmtId="3" fontId="2" fillId="0" borderId="10" xfId="4" applyNumberFormat="1" applyFont="1" applyFill="1" applyBorder="1"/>
    <xf numFmtId="3" fontId="2" fillId="0" borderId="10" xfId="4" applyNumberFormat="1" applyFont="1" applyBorder="1"/>
    <xf numFmtId="0" fontId="2" fillId="0" borderId="0" xfId="1" applyFont="1" applyFill="1"/>
    <xf numFmtId="3" fontId="2" fillId="0" borderId="0" xfId="1" applyNumberFormat="1" applyFont="1" applyFill="1"/>
    <xf numFmtId="3" fontId="2" fillId="0" borderId="10" xfId="1" applyNumberFormat="1" applyFont="1" applyFill="1" applyBorder="1"/>
    <xf numFmtId="167" fontId="2" fillId="0" borderId="0" xfId="0" applyNumberFormat="1" applyFont="1" applyBorder="1" applyAlignment="1">
      <alignment shrinkToFit="1"/>
    </xf>
    <xf numFmtId="3" fontId="2" fillId="0" borderId="13" xfId="4" applyNumberFormat="1" applyFont="1" applyFill="1" applyBorder="1"/>
    <xf numFmtId="3" fontId="2" fillId="0" borderId="13" xfId="4" applyNumberFormat="1" applyFont="1" applyBorder="1"/>
    <xf numFmtId="3" fontId="2" fillId="0" borderId="5" xfId="4" applyNumberFormat="1" applyFont="1" applyBorder="1"/>
    <xf numFmtId="3" fontId="2" fillId="0" borderId="11" xfId="4" applyNumberFormat="1" applyFont="1" applyBorder="1"/>
    <xf numFmtId="3" fontId="2" fillId="0" borderId="5" xfId="4" applyNumberFormat="1" applyFont="1" applyFill="1" applyBorder="1"/>
    <xf numFmtId="3" fontId="2" fillId="0" borderId="11" xfId="1" applyNumberFormat="1" applyFont="1" applyFill="1" applyBorder="1"/>
    <xf numFmtId="3" fontId="2" fillId="0" borderId="14" xfId="4" applyNumberFormat="1" applyFont="1" applyFill="1" applyBorder="1"/>
    <xf numFmtId="167" fontId="2" fillId="0" borderId="0" xfId="0" applyNumberFormat="1" applyFont="1" applyAlignment="1">
      <alignment shrinkToFit="1"/>
    </xf>
    <xf numFmtId="167" fontId="2" fillId="0" borderId="10" xfId="0" applyNumberFormat="1" applyFont="1" applyBorder="1" applyAlignment="1">
      <alignment shrinkToFit="1"/>
    </xf>
    <xf numFmtId="0" fontId="2" fillId="0" borderId="14" xfId="1" applyFont="1" applyBorder="1"/>
    <xf numFmtId="167" fontId="2" fillId="0" borderId="12" xfId="0" applyNumberFormat="1" applyFont="1" applyBorder="1" applyAlignment="1">
      <alignment shrinkToFit="1"/>
    </xf>
    <xf numFmtId="17" fontId="2" fillId="0" borderId="13" xfId="1" applyNumberFormat="1" applyFont="1" applyBorder="1"/>
    <xf numFmtId="167" fontId="2" fillId="0" borderId="4" xfId="0" applyNumberFormat="1" applyFont="1" applyFill="1" applyBorder="1" applyAlignment="1">
      <alignment shrinkToFit="1"/>
    </xf>
    <xf numFmtId="0" fontId="2" fillId="0" borderId="4" xfId="1" applyFont="1" applyBorder="1" applyAlignment="1">
      <alignment shrinkToFit="1"/>
    </xf>
    <xf numFmtId="167" fontId="2" fillId="0" borderId="9" xfId="0" applyNumberFormat="1" applyFont="1" applyFill="1" applyBorder="1" applyAlignment="1">
      <alignment shrinkToFit="1"/>
    </xf>
    <xf numFmtId="0" fontId="2" fillId="0" borderId="9" xfId="1" applyFont="1" applyBorder="1" applyAlignment="1">
      <alignment shrinkToFit="1"/>
    </xf>
    <xf numFmtId="17" fontId="2" fillId="0" borderId="12" xfId="1" applyNumberFormat="1" applyFont="1" applyBorder="1"/>
    <xf numFmtId="3" fontId="2" fillId="0" borderId="4" xfId="4" applyNumberFormat="1" applyFont="1" applyFill="1" applyBorder="1"/>
    <xf numFmtId="3" fontId="2" fillId="0" borderId="12" xfId="4" applyNumberFormat="1" applyFont="1" applyFill="1" applyBorder="1"/>
    <xf numFmtId="3" fontId="2" fillId="0" borderId="9" xfId="4" applyNumberFormat="1" applyFont="1" applyFill="1" applyBorder="1"/>
    <xf numFmtId="3" fontId="2" fillId="0" borderId="1" xfId="4" applyNumberFormat="1" applyFont="1" applyFill="1" applyBorder="1"/>
    <xf numFmtId="0" fontId="2" fillId="0" borderId="15" xfId="3" applyFont="1" applyBorder="1" applyAlignment="1">
      <alignment shrinkToFit="1"/>
    </xf>
    <xf numFmtId="3" fontId="2" fillId="0" borderId="9" xfId="1" applyNumberFormat="1" applyFont="1" applyFill="1" applyBorder="1"/>
    <xf numFmtId="0" fontId="2" fillId="0" borderId="13" xfId="1" applyFont="1" applyBorder="1"/>
    <xf numFmtId="0" fontId="2" fillId="0" borderId="4" xfId="1" applyFont="1" applyBorder="1" applyAlignment="1">
      <alignment horizontal="left" shrinkToFit="1"/>
    </xf>
    <xf numFmtId="167" fontId="2" fillId="0" borderId="4" xfId="0" applyNumberFormat="1" applyFont="1" applyBorder="1" applyAlignment="1">
      <alignment shrinkToFit="1"/>
    </xf>
    <xf numFmtId="167" fontId="2" fillId="0" borderId="9" xfId="0" applyNumberFormat="1" applyFont="1" applyBorder="1" applyAlignment="1">
      <alignment shrinkToFit="1"/>
    </xf>
    <xf numFmtId="0" fontId="2" fillId="0" borderId="12" xfId="1" applyFont="1" applyBorder="1" applyAlignment="1">
      <alignment horizontal="left" shrinkToFit="1"/>
    </xf>
    <xf numFmtId="0" fontId="2" fillId="0" borderId="1" xfId="1" applyFont="1" applyBorder="1" applyAlignment="1">
      <alignment shrinkToFit="1"/>
    </xf>
    <xf numFmtId="164" fontId="2" fillId="0" borderId="0" xfId="3" applyNumberFormat="1" applyFont="1" applyFill="1"/>
    <xf numFmtId="3" fontId="2" fillId="0" borderId="10" xfId="3" applyNumberFormat="1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10" fontId="11" fillId="0" borderId="4" xfId="3" applyNumberFormat="1" applyFont="1" applyBorder="1"/>
    <xf numFmtId="3" fontId="2" fillId="0" borderId="11" xfId="3" applyNumberFormat="1" applyFont="1" applyBorder="1" applyAlignment="1">
      <alignment shrinkToFit="1"/>
    </xf>
    <xf numFmtId="10" fontId="2" fillId="0" borderId="4" xfId="3" applyNumberFormat="1" applyFont="1" applyBorder="1"/>
    <xf numFmtId="0" fontId="2" fillId="0" borderId="6" xfId="0" applyFont="1" applyBorder="1"/>
    <xf numFmtId="0" fontId="2" fillId="0" borderId="0" xfId="0" applyFont="1"/>
    <xf numFmtId="0" fontId="2" fillId="0" borderId="10" xfId="0" applyFont="1" applyBorder="1"/>
    <xf numFmtId="0" fontId="2" fillId="0" borderId="6" xfId="0" applyFont="1" applyBorder="1" applyAlignment="1">
      <alignment shrinkToFit="1"/>
    </xf>
    <xf numFmtId="3" fontId="2" fillId="0" borderId="13" xfId="1" applyNumberFormat="1" applyFont="1" applyBorder="1"/>
    <xf numFmtId="3" fontId="2" fillId="0" borderId="14" xfId="1" applyNumberFormat="1" applyFont="1" applyBorder="1"/>
    <xf numFmtId="168" fontId="2" fillId="0" borderId="0" xfId="1" applyNumberFormat="1" applyFont="1"/>
    <xf numFmtId="10" fontId="2" fillId="0" borderId="0" xfId="1" applyNumberFormat="1" applyFont="1"/>
    <xf numFmtId="0" fontId="2" fillId="0" borderId="1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7" fontId="2" fillId="0" borderId="0" xfId="1" applyNumberFormat="1" applyFont="1" applyBorder="1" applyAlignment="1">
      <alignment horizontal="center"/>
    </xf>
    <xf numFmtId="3" fontId="2" fillId="0" borderId="4" xfId="1" applyNumberFormat="1" applyFont="1" applyBorder="1"/>
    <xf numFmtId="3" fontId="2" fillId="0" borderId="12" xfId="1" applyNumberFormat="1" applyFont="1" applyBorder="1"/>
    <xf numFmtId="3" fontId="13" fillId="0" borderId="2" xfId="1" applyNumberFormat="1" applyFont="1" applyBorder="1"/>
    <xf numFmtId="3" fontId="13" fillId="0" borderId="3" xfId="1" applyNumberFormat="1" applyFont="1" applyBorder="1"/>
    <xf numFmtId="3" fontId="13" fillId="0" borderId="1" xfId="1" applyNumberFormat="1" applyFont="1" applyBorder="1"/>
    <xf numFmtId="0" fontId="10" fillId="0" borderId="0" xfId="3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10" fillId="0" borderId="0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10" fillId="0" borderId="0" xfId="3" applyFont="1" applyAlignment="1">
      <alignment horizontal="center"/>
    </xf>
    <xf numFmtId="0" fontId="10" fillId="0" borderId="0" xfId="3" applyFont="1"/>
    <xf numFmtId="0" fontId="10" fillId="0" borderId="0" xfId="3" applyFont="1" applyBorder="1"/>
    <xf numFmtId="0" fontId="10" fillId="0" borderId="0" xfId="1" applyFont="1"/>
    <xf numFmtId="0" fontId="2" fillId="0" borderId="0" xfId="0" applyFont="1" applyFill="1" applyAlignment="1">
      <alignment shrinkToFit="1"/>
    </xf>
    <xf numFmtId="0" fontId="2" fillId="2" borderId="16" xfId="0" applyFont="1" applyFill="1" applyBorder="1" applyAlignment="1">
      <alignment shrinkToFit="1"/>
    </xf>
    <xf numFmtId="3" fontId="2" fillId="2" borderId="17" xfId="1" applyNumberFormat="1" applyFont="1" applyFill="1" applyBorder="1"/>
    <xf numFmtId="3" fontId="2" fillId="2" borderId="18" xfId="1" applyNumberFormat="1" applyFont="1" applyFill="1" applyBorder="1"/>
    <xf numFmtId="3" fontId="2" fillId="2" borderId="19" xfId="1" applyNumberFormat="1" applyFont="1" applyFill="1" applyBorder="1"/>
    <xf numFmtId="3" fontId="2" fillId="2" borderId="20" xfId="1" applyNumberFormat="1" applyFont="1" applyFill="1" applyBorder="1"/>
    <xf numFmtId="0" fontId="2" fillId="0" borderId="16" xfId="0" applyFont="1" applyFill="1" applyBorder="1" applyAlignment="1">
      <alignment shrinkToFit="1"/>
    </xf>
    <xf numFmtId="3" fontId="2" fillId="0" borderId="17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0" fontId="16" fillId="0" borderId="0" xfId="0" applyFont="1" applyFill="1" applyBorder="1" applyAlignment="1">
      <alignment shrinkToFit="1"/>
    </xf>
    <xf numFmtId="0" fontId="2" fillId="0" borderId="11" xfId="1" applyFont="1" applyBorder="1"/>
    <xf numFmtId="3" fontId="16" fillId="0" borderId="4" xfId="1" applyNumberFormat="1" applyFont="1" applyBorder="1"/>
    <xf numFmtId="3" fontId="2" fillId="0" borderId="1" xfId="1" applyNumberFormat="1" applyFont="1" applyBorder="1"/>
    <xf numFmtId="0" fontId="2" fillId="3" borderId="0" xfId="1" applyFont="1" applyFill="1" applyAlignment="1">
      <alignment shrinkToFit="1"/>
    </xf>
    <xf numFmtId="0" fontId="2" fillId="3" borderId="12" xfId="1" applyFont="1" applyFill="1" applyBorder="1"/>
    <xf numFmtId="0" fontId="2" fillId="3" borderId="13" xfId="1" applyFont="1" applyFill="1" applyBorder="1"/>
    <xf numFmtId="0" fontId="2" fillId="3" borderId="14" xfId="1" applyFont="1" applyFill="1" applyBorder="1"/>
    <xf numFmtId="0" fontId="2" fillId="3" borderId="4" xfId="1" applyFont="1" applyFill="1" applyBorder="1"/>
    <xf numFmtId="0" fontId="2" fillId="3" borderId="0" xfId="1" applyFont="1" applyFill="1" applyBorder="1"/>
    <xf numFmtId="0" fontId="2" fillId="3" borderId="5" xfId="1" applyFont="1" applyFill="1" applyBorder="1"/>
    <xf numFmtId="164" fontId="17" fillId="0" borderId="0" xfId="1" applyNumberFormat="1" applyFont="1" applyAlignment="1"/>
    <xf numFmtId="0" fontId="2" fillId="0" borderId="0" xfId="0" applyFont="1" applyAlignment="1">
      <alignment horizontal="right"/>
    </xf>
    <xf numFmtId="0" fontId="2" fillId="0" borderId="12" xfId="1" applyFont="1" applyBorder="1"/>
    <xf numFmtId="17" fontId="13" fillId="0" borderId="4" xfId="1" quotePrefix="1" applyNumberFormat="1" applyFont="1" applyBorder="1" applyAlignment="1">
      <alignment horizontal="center"/>
    </xf>
    <xf numFmtId="0" fontId="13" fillId="0" borderId="1" xfId="1" applyFont="1" applyBorder="1"/>
    <xf numFmtId="0" fontId="13" fillId="0" borderId="2" xfId="1" applyFont="1" applyBorder="1"/>
    <xf numFmtId="0" fontId="13" fillId="0" borderId="3" xfId="1" applyFont="1" applyBorder="1"/>
    <xf numFmtId="17" fontId="13" fillId="0" borderId="0" xfId="1" applyNumberFormat="1" applyFont="1" applyBorder="1"/>
    <xf numFmtId="17" fontId="13" fillId="0" borderId="4" xfId="1" applyNumberFormat="1" applyFont="1" applyBorder="1"/>
    <xf numFmtId="17" fontId="10" fillId="0" borderId="4" xfId="1" applyNumberFormat="1" applyFont="1" applyBorder="1"/>
    <xf numFmtId="17" fontId="10" fillId="0" borderId="0" xfId="1" applyNumberFormat="1" applyFont="1" applyBorder="1"/>
    <xf numFmtId="0" fontId="13" fillId="0" borderId="0" xfId="1" applyFont="1" applyBorder="1" applyAlignment="1">
      <alignment horizontal="center"/>
    </xf>
    <xf numFmtId="0" fontId="13" fillId="0" borderId="0" xfId="1" applyFont="1" applyAlignment="1">
      <alignment horizontal="right"/>
    </xf>
    <xf numFmtId="3" fontId="18" fillId="0" borderId="4" xfId="1" applyNumberFormat="1" applyFont="1" applyFill="1" applyBorder="1"/>
    <xf numFmtId="3" fontId="18" fillId="0" borderId="0" xfId="1" applyNumberFormat="1" applyFont="1" applyFill="1" applyBorder="1"/>
    <xf numFmtId="3" fontId="18" fillId="0" borderId="0" xfId="1" applyNumberFormat="1" applyFont="1" applyBorder="1"/>
    <xf numFmtId="3" fontId="18" fillId="0" borderId="7" xfId="1" applyNumberFormat="1" applyFont="1" applyFill="1" applyBorder="1"/>
    <xf numFmtId="3" fontId="18" fillId="0" borderId="6" xfId="1" applyNumberFormat="1" applyFont="1" applyFill="1" applyBorder="1"/>
    <xf numFmtId="3" fontId="18" fillId="0" borderId="4" xfId="3" applyNumberFormat="1" applyFont="1" applyFill="1" applyBorder="1"/>
    <xf numFmtId="3" fontId="18" fillId="0" borderId="0" xfId="3" applyNumberFormat="1" applyFont="1" applyFill="1" applyBorder="1"/>
    <xf numFmtId="3" fontId="18" fillId="0" borderId="9" xfId="3" applyNumberFormat="1" applyFont="1" applyFill="1" applyBorder="1"/>
    <xf numFmtId="3" fontId="18" fillId="0" borderId="10" xfId="3" applyNumberFormat="1" applyFont="1" applyFill="1" applyBorder="1"/>
    <xf numFmtId="3" fontId="18" fillId="0" borderId="4" xfId="4" applyNumberFormat="1" applyFont="1" applyFill="1" applyBorder="1"/>
    <xf numFmtId="3" fontId="18" fillId="0" borderId="9" xfId="4" applyNumberFormat="1" applyFont="1" applyFill="1" applyBorder="1"/>
    <xf numFmtId="3" fontId="10" fillId="4" borderId="5" xfId="4" applyNumberFormat="1" applyFont="1" applyFill="1" applyBorder="1"/>
    <xf numFmtId="3" fontId="10" fillId="4" borderId="11" xfId="4" applyNumberFormat="1" applyFont="1" applyFill="1" applyBorder="1"/>
    <xf numFmtId="3" fontId="10" fillId="4" borderId="5" xfId="1" applyNumberFormat="1" applyFont="1" applyFill="1" applyBorder="1"/>
    <xf numFmtId="0" fontId="18" fillId="0" borderId="0" xfId="1" applyFont="1"/>
    <xf numFmtId="3" fontId="18" fillId="0" borderId="9" xfId="3" applyNumberFormat="1" applyFont="1" applyBorder="1" applyAlignment="1">
      <alignment shrinkToFit="1"/>
    </xf>
    <xf numFmtId="3" fontId="18" fillId="0" borderId="10" xfId="3" applyNumberFormat="1" applyFont="1" applyBorder="1" applyAlignment="1">
      <alignment shrinkToFit="1"/>
    </xf>
    <xf numFmtId="167" fontId="2" fillId="0" borderId="0" xfId="0" applyNumberFormat="1" applyFont="1" applyFill="1" applyBorder="1" applyAlignment="1">
      <alignment shrinkToFit="1"/>
    </xf>
    <xf numFmtId="167" fontId="2" fillId="0" borderId="10" xfId="0" applyNumberFormat="1" applyFont="1" applyFill="1" applyBorder="1" applyAlignment="1">
      <alignment shrinkToFit="1"/>
    </xf>
    <xf numFmtId="17" fontId="2" fillId="0" borderId="9" xfId="3" applyNumberFormat="1" applyFont="1" applyBorder="1"/>
    <xf numFmtId="17" fontId="2" fillId="0" borderId="10" xfId="3" applyNumberFormat="1" applyFont="1" applyBorder="1"/>
    <xf numFmtId="0" fontId="2" fillId="0" borderId="10" xfId="3" applyFont="1" applyBorder="1" applyAlignment="1">
      <alignment horizontal="center"/>
    </xf>
    <xf numFmtId="0" fontId="2" fillId="0" borderId="11" xfId="3" applyFont="1" applyBorder="1" applyAlignment="1">
      <alignment horizontal="center"/>
    </xf>
    <xf numFmtId="3" fontId="19" fillId="0" borderId="4" xfId="1" applyNumberFormat="1" applyFont="1" applyBorder="1"/>
    <xf numFmtId="3" fontId="19" fillId="0" borderId="0" xfId="1" applyNumberFormat="1" applyFont="1" applyBorder="1"/>
    <xf numFmtId="3" fontId="19" fillId="0" borderId="9" xfId="1" applyNumberFormat="1" applyFont="1" applyBorder="1"/>
    <xf numFmtId="3" fontId="19" fillId="0" borderId="10" xfId="1" applyNumberFormat="1" applyFont="1" applyBorder="1"/>
    <xf numFmtId="3" fontId="19" fillId="0" borderId="4" xfId="1" applyNumberFormat="1" applyFont="1" applyFill="1" applyBorder="1"/>
    <xf numFmtId="3" fontId="19" fillId="0" borderId="0" xfId="1" applyNumberFormat="1" applyFont="1" applyFill="1" applyBorder="1"/>
    <xf numFmtId="0" fontId="6" fillId="0" borderId="0" xfId="2">
      <alignment vertical="top"/>
    </xf>
    <xf numFmtId="0" fontId="6" fillId="0" borderId="0" xfId="2">
      <alignment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horizontal="left" vertical="top" wrapText="1" readingOrder="1"/>
    </xf>
    <xf numFmtId="0" fontId="9" fillId="0" borderId="0" xfId="2" applyFont="1" applyAlignment="1">
      <alignment horizontal="right" vertical="top" wrapText="1" readingOrder="1"/>
    </xf>
    <xf numFmtId="165" fontId="9" fillId="0" borderId="0" xfId="2" applyNumberFormat="1" applyFont="1" applyAlignment="1">
      <alignment horizontal="left" vertical="top"/>
    </xf>
    <xf numFmtId="3" fontId="9" fillId="0" borderId="0" xfId="2" applyNumberFormat="1" applyFont="1" applyAlignment="1">
      <alignment horizontal="right" vertical="top"/>
    </xf>
    <xf numFmtId="0" fontId="8" fillId="0" borderId="0" xfId="2" applyFont="1" applyAlignment="1">
      <alignment horizontal="left" vertical="top" wrapText="1" readingOrder="1"/>
    </xf>
    <xf numFmtId="3" fontId="8" fillId="0" borderId="0" xfId="2" applyNumberFormat="1" applyFont="1" applyAlignment="1">
      <alignment horizontal="right" vertical="top"/>
    </xf>
    <xf numFmtId="167" fontId="21" fillId="0" borderId="0" xfId="0" applyNumberFormat="1" applyFont="1" applyAlignment="1">
      <alignment shrinkToFit="1"/>
    </xf>
    <xf numFmtId="167" fontId="2" fillId="0" borderId="6" xfId="0" applyNumberFormat="1" applyFont="1" applyBorder="1" applyAlignment="1">
      <alignment shrinkToFit="1"/>
    </xf>
    <xf numFmtId="170" fontId="2" fillId="0" borderId="0" xfId="5" applyNumberFormat="1" applyFont="1" applyBorder="1"/>
    <xf numFmtId="3" fontId="18" fillId="0" borderId="10" xfId="1" applyNumberFormat="1" applyFont="1" applyBorder="1"/>
    <xf numFmtId="170" fontId="2" fillId="0" borderId="10" xfId="5" applyNumberFormat="1" applyFont="1" applyBorder="1"/>
    <xf numFmtId="170" fontId="18" fillId="0" borderId="10" xfId="5" applyNumberFormat="1" applyFont="1" applyBorder="1"/>
    <xf numFmtId="170" fontId="2" fillId="0" borderId="0" xfId="1" applyNumberFormat="1" applyFont="1"/>
    <xf numFmtId="170" fontId="18" fillId="0" borderId="0" xfId="5" applyNumberFormat="1" applyFont="1" applyBorder="1"/>
    <xf numFmtId="167" fontId="2" fillId="0" borderId="16" xfId="0" applyNumberFormat="1" applyFont="1" applyBorder="1" applyAlignment="1">
      <alignment shrinkToFit="1"/>
    </xf>
    <xf numFmtId="3" fontId="2" fillId="0" borderId="18" xfId="1" applyNumberFormat="1" applyFont="1" applyBorder="1"/>
    <xf numFmtId="170" fontId="2" fillId="0" borderId="18" xfId="5" applyNumberFormat="1" applyFont="1" applyBorder="1"/>
    <xf numFmtId="0" fontId="2" fillId="0" borderId="18" xfId="1" applyFont="1" applyBorder="1"/>
    <xf numFmtId="169" fontId="2" fillId="0" borderId="6" xfId="1" applyNumberFormat="1" applyFont="1" applyBorder="1" applyAlignment="1">
      <alignment horizontal="center"/>
    </xf>
    <xf numFmtId="3" fontId="2" fillId="0" borderId="20" xfId="1" applyNumberFormat="1" applyFont="1" applyBorder="1"/>
    <xf numFmtId="170" fontId="2" fillId="0" borderId="0" xfId="1" applyNumberFormat="1" applyFont="1" applyBorder="1"/>
    <xf numFmtId="170" fontId="2" fillId="0" borderId="10" xfId="1" applyNumberFormat="1" applyFont="1" applyBorder="1"/>
    <xf numFmtId="3" fontId="18" fillId="0" borderId="21" xfId="1" applyNumberFormat="1" applyFont="1" applyBorder="1"/>
    <xf numFmtId="169" fontId="2" fillId="0" borderId="25" xfId="1" applyNumberFormat="1" applyFont="1" applyBorder="1" applyAlignment="1">
      <alignment horizontal="center"/>
    </xf>
    <xf numFmtId="169" fontId="2" fillId="0" borderId="26" xfId="1" applyNumberFormat="1" applyFont="1" applyBorder="1" applyAlignment="1">
      <alignment horizontal="center"/>
    </xf>
    <xf numFmtId="3" fontId="18" fillId="0" borderId="27" xfId="1" applyNumberFormat="1" applyFont="1" applyBorder="1"/>
    <xf numFmtId="170" fontId="2" fillId="0" borderId="28" xfId="5" applyNumberFormat="1" applyFont="1" applyBorder="1"/>
    <xf numFmtId="3" fontId="18" fillId="0" borderId="29" xfId="1" applyNumberFormat="1" applyFont="1" applyBorder="1"/>
    <xf numFmtId="170" fontId="2" fillId="0" borderId="30" xfId="5" applyNumberFormat="1" applyFont="1" applyBorder="1"/>
    <xf numFmtId="3" fontId="2" fillId="0" borderId="27" xfId="1" applyNumberFormat="1" applyFont="1" applyBorder="1"/>
    <xf numFmtId="3" fontId="2" fillId="0" borderId="28" xfId="1" applyNumberFormat="1" applyFont="1" applyBorder="1"/>
    <xf numFmtId="3" fontId="2" fillId="0" borderId="16" xfId="1" applyNumberFormat="1" applyFont="1" applyBorder="1"/>
    <xf numFmtId="0" fontId="2" fillId="0" borderId="27" xfId="1" applyFont="1" applyBorder="1"/>
    <xf numFmtId="0" fontId="2" fillId="0" borderId="28" xfId="1" applyFont="1" applyBorder="1"/>
    <xf numFmtId="170" fontId="18" fillId="0" borderId="27" xfId="5" applyNumberFormat="1" applyFont="1" applyBorder="1"/>
    <xf numFmtId="170" fontId="18" fillId="0" borderId="29" xfId="5" applyNumberFormat="1" applyFont="1" applyBorder="1"/>
    <xf numFmtId="170" fontId="2" fillId="0" borderId="27" xfId="5" applyNumberFormat="1" applyFont="1" applyBorder="1"/>
    <xf numFmtId="0" fontId="2" fillId="0" borderId="30" xfId="1" applyFont="1" applyBorder="1"/>
    <xf numFmtId="170" fontId="2" fillId="0" borderId="27" xfId="1" applyNumberFormat="1" applyFont="1" applyBorder="1"/>
    <xf numFmtId="170" fontId="2" fillId="0" borderId="28" xfId="1" applyNumberFormat="1" applyFont="1" applyBorder="1"/>
    <xf numFmtId="170" fontId="2" fillId="0" borderId="29" xfId="1" applyNumberFormat="1" applyFont="1" applyBorder="1"/>
    <xf numFmtId="170" fontId="2" fillId="0" borderId="30" xfId="1" applyNumberFormat="1" applyFont="1" applyBorder="1"/>
    <xf numFmtId="170" fontId="2" fillId="0" borderId="25" xfId="1" applyNumberFormat="1" applyFont="1" applyBorder="1"/>
    <xf numFmtId="170" fontId="2" fillId="0" borderId="6" xfId="1" applyNumberFormat="1" applyFont="1" applyBorder="1"/>
    <xf numFmtId="170" fontId="2" fillId="0" borderId="26" xfId="1" applyNumberFormat="1" applyFont="1" applyBorder="1"/>
    <xf numFmtId="1" fontId="18" fillId="0" borderId="27" xfId="1" applyNumberFormat="1" applyFont="1" applyBorder="1"/>
    <xf numFmtId="1" fontId="18" fillId="0" borderId="29" xfId="1" applyNumberFormat="1" applyFont="1" applyBorder="1"/>
    <xf numFmtId="3" fontId="18" fillId="0" borderId="31" xfId="1" applyNumberFormat="1" applyFont="1" applyBorder="1"/>
    <xf numFmtId="170" fontId="2" fillId="0" borderId="0" xfId="1" applyNumberFormat="1" applyFont="1" applyAlignment="1">
      <alignment horizontal="center"/>
    </xf>
    <xf numFmtId="0" fontId="23" fillId="0" borderId="0" xfId="1" applyFont="1"/>
    <xf numFmtId="0" fontId="23" fillId="0" borderId="0" xfId="1" applyFont="1" applyBorder="1"/>
    <xf numFmtId="3" fontId="2" fillId="0" borderId="31" xfId="1" applyNumberFormat="1" applyFont="1" applyBorder="1"/>
    <xf numFmtId="3" fontId="2" fillId="0" borderId="21" xfId="1" applyNumberFormat="1" applyFont="1" applyBorder="1"/>
    <xf numFmtId="0" fontId="2" fillId="0" borderId="21" xfId="1" applyFont="1" applyBorder="1"/>
    <xf numFmtId="3" fontId="2" fillId="0" borderId="32" xfId="1" applyNumberFormat="1" applyFont="1" applyBorder="1"/>
    <xf numFmtId="3" fontId="2" fillId="0" borderId="25" xfId="1" applyNumberFormat="1" applyFont="1" applyBorder="1"/>
    <xf numFmtId="170" fontId="2" fillId="0" borderId="6" xfId="5" applyNumberFormat="1" applyFont="1" applyBorder="1"/>
    <xf numFmtId="3" fontId="2" fillId="0" borderId="26" xfId="1" applyNumberFormat="1" applyFont="1" applyBorder="1"/>
    <xf numFmtId="0" fontId="2" fillId="0" borderId="31" xfId="1" applyFont="1" applyBorder="1"/>
    <xf numFmtId="0" fontId="2" fillId="0" borderId="32" xfId="1" applyFont="1" applyBorder="1"/>
    <xf numFmtId="170" fontId="18" fillId="0" borderId="29" xfId="0" applyNumberFormat="1" applyFont="1" applyBorder="1"/>
    <xf numFmtId="170" fontId="18" fillId="0" borderId="10" xfId="0" applyNumberFormat="1" applyFont="1" applyBorder="1"/>
    <xf numFmtId="0" fontId="24" fillId="0" borderId="0" xfId="0" applyFont="1"/>
    <xf numFmtId="170" fontId="0" fillId="0" borderId="0" xfId="5" applyNumberFormat="1" applyFont="1" applyAlignment="1">
      <alignment wrapText="1"/>
    </xf>
    <xf numFmtId="0" fontId="0" fillId="0" borderId="0" xfId="0" applyAlignment="1">
      <alignment wrapText="1"/>
    </xf>
    <xf numFmtId="0" fontId="0" fillId="5" borderId="12" xfId="0" applyFill="1" applyBorder="1"/>
    <xf numFmtId="0" fontId="0" fillId="5" borderId="13" xfId="0" applyFill="1" applyBorder="1"/>
    <xf numFmtId="170" fontId="25" fillId="0" borderId="0" xfId="5" applyNumberFormat="1" applyFont="1" applyFill="1" applyAlignment="1">
      <alignment horizontal="center" wrapText="1"/>
    </xf>
    <xf numFmtId="0" fontId="24" fillId="5" borderId="9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170" fontId="24" fillId="5" borderId="10" xfId="5" applyNumberFormat="1" applyFont="1" applyFill="1" applyBorder="1" applyAlignment="1">
      <alignment horizontal="center" wrapText="1"/>
    </xf>
    <xf numFmtId="0" fontId="24" fillId="5" borderId="11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170" fontId="24" fillId="5" borderId="9" xfId="5" applyNumberFormat="1" applyFont="1" applyFill="1" applyBorder="1" applyAlignment="1">
      <alignment horizontal="center" wrapText="1"/>
    </xf>
    <xf numFmtId="170" fontId="0" fillId="0" borderId="0" xfId="5" applyNumberFormat="1" applyFont="1" applyFill="1" applyAlignment="1">
      <alignment wrapText="1"/>
    </xf>
    <xf numFmtId="170" fontId="0" fillId="0" borderId="0" xfId="0" applyNumberFormat="1" applyAlignment="1">
      <alignment wrapText="1"/>
    </xf>
    <xf numFmtId="170" fontId="0" fillId="0" borderId="0" xfId="0" applyNumberFormat="1"/>
    <xf numFmtId="0" fontId="26" fillId="0" borderId="0" xfId="0" applyFont="1"/>
    <xf numFmtId="170" fontId="24" fillId="0" borderId="0" xfId="5" applyNumberFormat="1" applyFont="1" applyAlignment="1">
      <alignment wrapText="1"/>
    </xf>
    <xf numFmtId="170" fontId="24" fillId="0" borderId="0" xfId="0" applyNumberFormat="1" applyFont="1" applyAlignment="1">
      <alignment wrapText="1"/>
    </xf>
    <xf numFmtId="170" fontId="27" fillId="0" borderId="0" xfId="5" applyNumberFormat="1" applyFont="1" applyAlignment="1">
      <alignment wrapText="1"/>
    </xf>
    <xf numFmtId="170" fontId="27" fillId="0" borderId="0" xfId="0" applyNumberFormat="1" applyFont="1" applyAlignment="1">
      <alignment wrapText="1"/>
    </xf>
    <xf numFmtId="0" fontId="27" fillId="0" borderId="0" xfId="0" applyFont="1"/>
    <xf numFmtId="3" fontId="27" fillId="0" borderId="0" xfId="0" applyNumberFormat="1" applyFont="1" applyAlignment="1">
      <alignment wrapText="1"/>
    </xf>
    <xf numFmtId="0" fontId="27" fillId="0" borderId="0" xfId="0" applyFont="1" applyAlignment="1">
      <alignment wrapText="1"/>
    </xf>
    <xf numFmtId="0" fontId="16" fillId="0" borderId="0" xfId="0" applyFont="1"/>
    <xf numFmtId="170" fontId="2" fillId="0" borderId="0" xfId="5" applyNumberFormat="1" applyFont="1"/>
    <xf numFmtId="0" fontId="2" fillId="6" borderId="10" xfId="3" applyFont="1" applyFill="1" applyBorder="1"/>
    <xf numFmtId="0" fontId="2" fillId="6" borderId="0" xfId="3" applyFont="1" applyFill="1"/>
    <xf numFmtId="0" fontId="2" fillId="0" borderId="10" xfId="3" applyFont="1" applyFill="1" applyBorder="1"/>
    <xf numFmtId="0" fontId="2" fillId="6" borderId="0" xfId="1" applyFont="1" applyFill="1"/>
    <xf numFmtId="167" fontId="2" fillId="7" borderId="9" xfId="0" applyNumberFormat="1" applyFont="1" applyFill="1" applyBorder="1" applyAlignment="1">
      <alignment shrinkToFit="1"/>
    </xf>
    <xf numFmtId="3" fontId="18" fillId="7" borderId="4" xfId="4" applyNumberFormat="1" applyFont="1" applyFill="1" applyBorder="1"/>
    <xf numFmtId="3" fontId="2" fillId="7" borderId="0" xfId="4" applyNumberFormat="1" applyFont="1" applyFill="1" applyBorder="1"/>
    <xf numFmtId="3" fontId="10" fillId="7" borderId="5" xfId="1" applyNumberFormat="1" applyFont="1" applyFill="1" applyBorder="1"/>
    <xf numFmtId="0" fontId="2" fillId="7" borderId="0" xfId="1" applyFont="1" applyFill="1"/>
    <xf numFmtId="167" fontId="2" fillId="7" borderId="4" xfId="0" applyNumberFormat="1" applyFont="1" applyFill="1" applyBorder="1" applyAlignment="1">
      <alignment shrinkToFit="1"/>
    </xf>
    <xf numFmtId="170" fontId="27" fillId="0" borderId="0" xfId="5" applyNumberFormat="1" applyFont="1" applyAlignment="1">
      <alignment horizontal="right"/>
    </xf>
    <xf numFmtId="0" fontId="24" fillId="0" borderId="0" xfId="0" applyFont="1" applyAlignment="1"/>
    <xf numFmtId="170" fontId="25" fillId="5" borderId="13" xfId="5" applyNumberFormat="1" applyFont="1" applyFill="1" applyBorder="1" applyAlignment="1">
      <alignment horizontal="center" wrapText="1"/>
    </xf>
    <xf numFmtId="170" fontId="25" fillId="5" borderId="14" xfId="5" applyNumberFormat="1" applyFont="1" applyFill="1" applyBorder="1" applyAlignment="1">
      <alignment horizontal="center" wrapText="1"/>
    </xf>
    <xf numFmtId="170" fontId="25" fillId="5" borderId="12" xfId="5" applyNumberFormat="1" applyFont="1" applyFill="1" applyBorder="1" applyAlignment="1">
      <alignment horizontal="center" wrapText="1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right" vertical="top"/>
    </xf>
    <xf numFmtId="0" fontId="9" fillId="0" borderId="0" xfId="2" applyFont="1" applyAlignment="1">
      <alignment horizontal="left" vertical="top" wrapText="1" readingOrder="1"/>
    </xf>
    <xf numFmtId="166" fontId="9" fillId="0" borderId="0" xfId="2" applyNumberFormat="1" applyFont="1" applyAlignment="1">
      <alignment horizontal="left" vertical="top"/>
    </xf>
    <xf numFmtId="14" fontId="9" fillId="0" borderId="0" xfId="2" applyNumberFormat="1" applyFont="1" applyAlignment="1">
      <alignment horizontal="left" vertical="top"/>
    </xf>
    <xf numFmtId="0" fontId="8" fillId="0" borderId="0" xfId="2" applyFont="1" applyAlignment="1">
      <alignment horizontal="center" vertical="top" wrapText="1" readingOrder="1"/>
    </xf>
    <xf numFmtId="0" fontId="7" fillId="0" borderId="0" xfId="2" applyFont="1" applyAlignment="1">
      <alignment horizontal="left" vertical="top" wrapText="1" readingOrder="1"/>
    </xf>
    <xf numFmtId="3" fontId="2" fillId="0" borderId="22" xfId="1" applyNumberFormat="1" applyFont="1" applyBorder="1" applyAlignment="1">
      <alignment horizontal="center"/>
    </xf>
    <xf numFmtId="3" fontId="2" fillId="0" borderId="23" xfId="1" applyNumberFormat="1" applyFont="1" applyBorder="1" applyAlignment="1">
      <alignment horizontal="center"/>
    </xf>
    <xf numFmtId="3" fontId="2" fillId="0" borderId="24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6">
    <cellStyle name="Comma" xfId="5" builtinId="3"/>
    <cellStyle name="Comma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colors>
    <mruColors>
      <color rgb="FFFF00FF"/>
      <color rgb="FF0000FF"/>
      <color rgb="FF0000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172509</xdr:colOff>
      <xdr:row>18</xdr:row>
      <xdr:rowOff>63500</xdr:rowOff>
    </xdr:from>
    <xdr:to>
      <xdr:col>6</xdr:col>
      <xdr:colOff>158751</xdr:colOff>
      <xdr:row>19</xdr:row>
      <xdr:rowOff>84667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342592" y="2931583"/>
          <a:ext cx="970492" cy="17991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</a:t>
          </a:r>
        </a:p>
      </xdr:txBody>
    </xdr:sp>
    <xdr:clientData/>
  </xdr:twoCellAnchor>
  <xdr:twoCellAnchor>
    <xdr:from>
      <xdr:col>5</xdr:col>
      <xdr:colOff>135465</xdr:colOff>
      <xdr:row>17</xdr:row>
      <xdr:rowOff>5293</xdr:rowOff>
    </xdr:from>
    <xdr:to>
      <xdr:col>6</xdr:col>
      <xdr:colOff>127000</xdr:colOff>
      <xdr:row>18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307665" y="2767543"/>
          <a:ext cx="972610" cy="156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4</xdr:col>
      <xdr:colOff>825500</xdr:colOff>
      <xdr:row>17</xdr:row>
      <xdr:rowOff>74084</xdr:rowOff>
    </xdr:from>
    <xdr:to>
      <xdr:col>5</xdr:col>
      <xdr:colOff>135465</xdr:colOff>
      <xdr:row>17</xdr:row>
      <xdr:rowOff>92605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3" idx="1"/>
        </xdr:cNvCxnSpPr>
      </xdr:nvCxnSpPr>
      <xdr:spPr bwMode="auto">
        <a:xfrm flipH="1" flipV="1">
          <a:off x="6149975" y="2836334"/>
          <a:ext cx="157690" cy="1852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6</xdr:col>
      <xdr:colOff>127000</xdr:colOff>
      <xdr:row>17</xdr:row>
      <xdr:rowOff>92605</xdr:rowOff>
    </xdr:from>
    <xdr:to>
      <xdr:col>6</xdr:col>
      <xdr:colOff>338667</xdr:colOff>
      <xdr:row>17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3"/>
        </xdr:cNvCxnSpPr>
      </xdr:nvCxnSpPr>
      <xdr:spPr bwMode="auto">
        <a:xfrm>
          <a:off x="7280275" y="2854855"/>
          <a:ext cx="211667" cy="26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5</xdr:col>
      <xdr:colOff>31751</xdr:colOff>
      <xdr:row>18</xdr:row>
      <xdr:rowOff>153459</xdr:rowOff>
    </xdr:from>
    <xdr:to>
      <xdr:col>5</xdr:col>
      <xdr:colOff>172509</xdr:colOff>
      <xdr:row>19</xdr:row>
      <xdr:rowOff>84667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2" idx="1"/>
        </xdr:cNvCxnSpPr>
      </xdr:nvCxnSpPr>
      <xdr:spPr bwMode="auto">
        <a:xfrm flipH="1">
          <a:off x="6201834" y="3021542"/>
          <a:ext cx="140758" cy="8995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6</xdr:col>
      <xdr:colOff>158751</xdr:colOff>
      <xdr:row>18</xdr:row>
      <xdr:rowOff>153459</xdr:rowOff>
    </xdr:from>
    <xdr:to>
      <xdr:col>6</xdr:col>
      <xdr:colOff>486834</xdr:colOff>
      <xdr:row>19</xdr:row>
      <xdr:rowOff>74084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2" idx="3"/>
        </xdr:cNvCxnSpPr>
      </xdr:nvCxnSpPr>
      <xdr:spPr bwMode="auto">
        <a:xfrm>
          <a:off x="7313084" y="3021542"/>
          <a:ext cx="328083" cy="793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11</xdr:col>
      <xdr:colOff>172509</xdr:colOff>
      <xdr:row>18</xdr:row>
      <xdr:rowOff>84666</xdr:rowOff>
    </xdr:from>
    <xdr:to>
      <xdr:col>12</xdr:col>
      <xdr:colOff>158751</xdr:colOff>
      <xdr:row>19</xdr:row>
      <xdr:rowOff>84667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1560176" y="2952749"/>
          <a:ext cx="970492" cy="1587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</a:t>
          </a:r>
        </a:p>
      </xdr:txBody>
    </xdr:sp>
    <xdr:clientData/>
  </xdr:twoCellAnchor>
  <xdr:twoCellAnchor>
    <xdr:from>
      <xdr:col>11</xdr:col>
      <xdr:colOff>135465</xdr:colOff>
      <xdr:row>17</xdr:row>
      <xdr:rowOff>5293</xdr:rowOff>
    </xdr:from>
    <xdr:to>
      <xdr:col>12</xdr:col>
      <xdr:colOff>127000</xdr:colOff>
      <xdr:row>18</xdr:row>
      <xdr:rowOff>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1527365" y="2767543"/>
          <a:ext cx="972610" cy="156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10</xdr:col>
      <xdr:colOff>825500</xdr:colOff>
      <xdr:row>17</xdr:row>
      <xdr:rowOff>74084</xdr:rowOff>
    </xdr:from>
    <xdr:to>
      <xdr:col>11</xdr:col>
      <xdr:colOff>135465</xdr:colOff>
      <xdr:row>17</xdr:row>
      <xdr:rowOff>92605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1"/>
        </xdr:cNvCxnSpPr>
      </xdr:nvCxnSpPr>
      <xdr:spPr bwMode="auto">
        <a:xfrm flipH="1" flipV="1">
          <a:off x="11369675" y="2836334"/>
          <a:ext cx="157690" cy="1852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12</xdr:col>
      <xdr:colOff>127000</xdr:colOff>
      <xdr:row>17</xdr:row>
      <xdr:rowOff>92605</xdr:rowOff>
    </xdr:from>
    <xdr:to>
      <xdr:col>12</xdr:col>
      <xdr:colOff>338667</xdr:colOff>
      <xdr:row>17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1" idx="3"/>
        </xdr:cNvCxnSpPr>
      </xdr:nvCxnSpPr>
      <xdr:spPr bwMode="auto">
        <a:xfrm>
          <a:off x="12499975" y="2854855"/>
          <a:ext cx="211667" cy="26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11</xdr:col>
      <xdr:colOff>31751</xdr:colOff>
      <xdr:row>19</xdr:row>
      <xdr:rowOff>5292</xdr:rowOff>
    </xdr:from>
    <xdr:to>
      <xdr:col>11</xdr:col>
      <xdr:colOff>172509</xdr:colOff>
      <xdr:row>19</xdr:row>
      <xdr:rowOff>84667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stCxn id="10" idx="1"/>
        </xdr:cNvCxnSpPr>
      </xdr:nvCxnSpPr>
      <xdr:spPr bwMode="auto">
        <a:xfrm flipH="1">
          <a:off x="11419418" y="3032125"/>
          <a:ext cx="140758" cy="793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12</xdr:col>
      <xdr:colOff>158751</xdr:colOff>
      <xdr:row>19</xdr:row>
      <xdr:rowOff>5292</xdr:rowOff>
    </xdr:from>
    <xdr:to>
      <xdr:col>12</xdr:col>
      <xdr:colOff>486834</xdr:colOff>
      <xdr:row>19</xdr:row>
      <xdr:rowOff>74084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0" idx="3"/>
        </xdr:cNvCxnSpPr>
      </xdr:nvCxnSpPr>
      <xdr:spPr bwMode="auto">
        <a:xfrm>
          <a:off x="12530668" y="3032125"/>
          <a:ext cx="328083" cy="6879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17</xdr:col>
      <xdr:colOff>172509</xdr:colOff>
      <xdr:row>18</xdr:row>
      <xdr:rowOff>84667</xdr:rowOff>
    </xdr:from>
    <xdr:to>
      <xdr:col>18</xdr:col>
      <xdr:colOff>158751</xdr:colOff>
      <xdr:row>19</xdr:row>
      <xdr:rowOff>84667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6777759" y="2952750"/>
          <a:ext cx="970492" cy="158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</a:t>
          </a:r>
        </a:p>
      </xdr:txBody>
    </xdr:sp>
    <xdr:clientData/>
  </xdr:twoCellAnchor>
  <xdr:twoCellAnchor>
    <xdr:from>
      <xdr:col>17</xdr:col>
      <xdr:colOff>135465</xdr:colOff>
      <xdr:row>17</xdr:row>
      <xdr:rowOff>5293</xdr:rowOff>
    </xdr:from>
    <xdr:to>
      <xdr:col>18</xdr:col>
      <xdr:colOff>127000</xdr:colOff>
      <xdr:row>18</xdr:row>
      <xdr:rowOff>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6747065" y="2767543"/>
          <a:ext cx="972610" cy="156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16</xdr:col>
      <xdr:colOff>825500</xdr:colOff>
      <xdr:row>17</xdr:row>
      <xdr:rowOff>74084</xdr:rowOff>
    </xdr:from>
    <xdr:to>
      <xdr:col>17</xdr:col>
      <xdr:colOff>135465</xdr:colOff>
      <xdr:row>17</xdr:row>
      <xdr:rowOff>92605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>
          <a:stCxn id="19" idx="1"/>
        </xdr:cNvCxnSpPr>
      </xdr:nvCxnSpPr>
      <xdr:spPr bwMode="auto">
        <a:xfrm flipH="1" flipV="1">
          <a:off x="16589375" y="2836334"/>
          <a:ext cx="157690" cy="1852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18</xdr:col>
      <xdr:colOff>127000</xdr:colOff>
      <xdr:row>17</xdr:row>
      <xdr:rowOff>92605</xdr:rowOff>
    </xdr:from>
    <xdr:to>
      <xdr:col>18</xdr:col>
      <xdr:colOff>338667</xdr:colOff>
      <xdr:row>17</xdr:row>
      <xdr:rowOff>95250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9" idx="3"/>
        </xdr:cNvCxnSpPr>
      </xdr:nvCxnSpPr>
      <xdr:spPr bwMode="auto">
        <a:xfrm>
          <a:off x="17719675" y="2854855"/>
          <a:ext cx="211667" cy="26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17</xdr:col>
      <xdr:colOff>31751</xdr:colOff>
      <xdr:row>19</xdr:row>
      <xdr:rowOff>5292</xdr:rowOff>
    </xdr:from>
    <xdr:to>
      <xdr:col>17</xdr:col>
      <xdr:colOff>172509</xdr:colOff>
      <xdr:row>19</xdr:row>
      <xdr:rowOff>84667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18" idx="1"/>
        </xdr:cNvCxnSpPr>
      </xdr:nvCxnSpPr>
      <xdr:spPr bwMode="auto">
        <a:xfrm flipH="1">
          <a:off x="16637001" y="3032125"/>
          <a:ext cx="140758" cy="793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18</xdr:col>
      <xdr:colOff>158751</xdr:colOff>
      <xdr:row>19</xdr:row>
      <xdr:rowOff>5292</xdr:rowOff>
    </xdr:from>
    <xdr:to>
      <xdr:col>18</xdr:col>
      <xdr:colOff>486834</xdr:colOff>
      <xdr:row>19</xdr:row>
      <xdr:rowOff>74084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8" idx="3"/>
        </xdr:cNvCxnSpPr>
      </xdr:nvCxnSpPr>
      <xdr:spPr bwMode="auto">
        <a:xfrm>
          <a:off x="17748251" y="3032125"/>
          <a:ext cx="328083" cy="6879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23</xdr:col>
      <xdr:colOff>172509</xdr:colOff>
      <xdr:row>18</xdr:row>
      <xdr:rowOff>74084</xdr:rowOff>
    </xdr:from>
    <xdr:to>
      <xdr:col>24</xdr:col>
      <xdr:colOff>158751</xdr:colOff>
      <xdr:row>19</xdr:row>
      <xdr:rowOff>84667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21995342" y="2942167"/>
          <a:ext cx="970492" cy="169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</a:t>
          </a:r>
        </a:p>
      </xdr:txBody>
    </xdr:sp>
    <xdr:clientData/>
  </xdr:twoCellAnchor>
  <xdr:twoCellAnchor>
    <xdr:from>
      <xdr:col>23</xdr:col>
      <xdr:colOff>135465</xdr:colOff>
      <xdr:row>17</xdr:row>
      <xdr:rowOff>5293</xdr:rowOff>
    </xdr:from>
    <xdr:to>
      <xdr:col>24</xdr:col>
      <xdr:colOff>127000</xdr:colOff>
      <xdr:row>18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21966765" y="2767543"/>
          <a:ext cx="972610" cy="156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22</xdr:col>
      <xdr:colOff>825500</xdr:colOff>
      <xdr:row>17</xdr:row>
      <xdr:rowOff>74084</xdr:rowOff>
    </xdr:from>
    <xdr:to>
      <xdr:col>23</xdr:col>
      <xdr:colOff>135465</xdr:colOff>
      <xdr:row>17</xdr:row>
      <xdr:rowOff>92605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7" idx="1"/>
        </xdr:cNvCxnSpPr>
      </xdr:nvCxnSpPr>
      <xdr:spPr bwMode="auto">
        <a:xfrm flipH="1" flipV="1">
          <a:off x="21809075" y="2836334"/>
          <a:ext cx="157690" cy="1852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24</xdr:col>
      <xdr:colOff>127000</xdr:colOff>
      <xdr:row>17</xdr:row>
      <xdr:rowOff>92605</xdr:rowOff>
    </xdr:from>
    <xdr:to>
      <xdr:col>24</xdr:col>
      <xdr:colOff>338667</xdr:colOff>
      <xdr:row>17</xdr:row>
      <xdr:rowOff>95250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27" idx="3"/>
        </xdr:cNvCxnSpPr>
      </xdr:nvCxnSpPr>
      <xdr:spPr bwMode="auto">
        <a:xfrm>
          <a:off x="22939375" y="2854855"/>
          <a:ext cx="211667" cy="26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23</xdr:col>
      <xdr:colOff>31751</xdr:colOff>
      <xdr:row>19</xdr:row>
      <xdr:rowOff>1</xdr:rowOff>
    </xdr:from>
    <xdr:to>
      <xdr:col>23</xdr:col>
      <xdr:colOff>172509</xdr:colOff>
      <xdr:row>19</xdr:row>
      <xdr:rowOff>84667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26" idx="1"/>
        </xdr:cNvCxnSpPr>
      </xdr:nvCxnSpPr>
      <xdr:spPr bwMode="auto">
        <a:xfrm flipH="1">
          <a:off x="21854584" y="3026834"/>
          <a:ext cx="140758" cy="846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24</xdr:col>
      <xdr:colOff>158751</xdr:colOff>
      <xdr:row>19</xdr:row>
      <xdr:rowOff>1</xdr:rowOff>
    </xdr:from>
    <xdr:to>
      <xdr:col>24</xdr:col>
      <xdr:colOff>486834</xdr:colOff>
      <xdr:row>19</xdr:row>
      <xdr:rowOff>74084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26" idx="3"/>
        </xdr:cNvCxnSpPr>
      </xdr:nvCxnSpPr>
      <xdr:spPr bwMode="auto">
        <a:xfrm>
          <a:off x="22965834" y="3026834"/>
          <a:ext cx="328083" cy="7408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29</xdr:col>
      <xdr:colOff>172509</xdr:colOff>
      <xdr:row>18</xdr:row>
      <xdr:rowOff>84668</xdr:rowOff>
    </xdr:from>
    <xdr:to>
      <xdr:col>30</xdr:col>
      <xdr:colOff>158751</xdr:colOff>
      <xdr:row>19</xdr:row>
      <xdr:rowOff>84668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27212926" y="2952751"/>
          <a:ext cx="970492" cy="158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</a:t>
          </a:r>
        </a:p>
      </xdr:txBody>
    </xdr:sp>
    <xdr:clientData/>
  </xdr:twoCellAnchor>
  <xdr:twoCellAnchor>
    <xdr:from>
      <xdr:col>29</xdr:col>
      <xdr:colOff>135465</xdr:colOff>
      <xdr:row>17</xdr:row>
      <xdr:rowOff>5293</xdr:rowOff>
    </xdr:from>
    <xdr:to>
      <xdr:col>30</xdr:col>
      <xdr:colOff>127000</xdr:colOff>
      <xdr:row>18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27186465" y="2767543"/>
          <a:ext cx="972610" cy="156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28</xdr:col>
      <xdr:colOff>825500</xdr:colOff>
      <xdr:row>17</xdr:row>
      <xdr:rowOff>74084</xdr:rowOff>
    </xdr:from>
    <xdr:to>
      <xdr:col>29</xdr:col>
      <xdr:colOff>135465</xdr:colOff>
      <xdr:row>17</xdr:row>
      <xdr:rowOff>92605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5" idx="1"/>
        </xdr:cNvCxnSpPr>
      </xdr:nvCxnSpPr>
      <xdr:spPr bwMode="auto">
        <a:xfrm flipH="1" flipV="1">
          <a:off x="27028775" y="2836334"/>
          <a:ext cx="157690" cy="1852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30</xdr:col>
      <xdr:colOff>127000</xdr:colOff>
      <xdr:row>17</xdr:row>
      <xdr:rowOff>92605</xdr:rowOff>
    </xdr:from>
    <xdr:to>
      <xdr:col>30</xdr:col>
      <xdr:colOff>338667</xdr:colOff>
      <xdr:row>17</xdr:row>
      <xdr:rowOff>95250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stCxn id="35" idx="3"/>
        </xdr:cNvCxnSpPr>
      </xdr:nvCxnSpPr>
      <xdr:spPr bwMode="auto">
        <a:xfrm>
          <a:off x="28159075" y="2854855"/>
          <a:ext cx="211667" cy="26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29</xdr:col>
      <xdr:colOff>31751</xdr:colOff>
      <xdr:row>19</xdr:row>
      <xdr:rowOff>5293</xdr:rowOff>
    </xdr:from>
    <xdr:to>
      <xdr:col>29</xdr:col>
      <xdr:colOff>172509</xdr:colOff>
      <xdr:row>19</xdr:row>
      <xdr:rowOff>84667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stCxn id="34" idx="1"/>
        </xdr:cNvCxnSpPr>
      </xdr:nvCxnSpPr>
      <xdr:spPr bwMode="auto">
        <a:xfrm flipH="1">
          <a:off x="27072168" y="3032126"/>
          <a:ext cx="140758" cy="7937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30</xdr:col>
      <xdr:colOff>158751</xdr:colOff>
      <xdr:row>19</xdr:row>
      <xdr:rowOff>5293</xdr:rowOff>
    </xdr:from>
    <xdr:to>
      <xdr:col>30</xdr:col>
      <xdr:colOff>486834</xdr:colOff>
      <xdr:row>19</xdr:row>
      <xdr:rowOff>74084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stCxn id="34" idx="3"/>
        </xdr:cNvCxnSpPr>
      </xdr:nvCxnSpPr>
      <xdr:spPr bwMode="auto">
        <a:xfrm>
          <a:off x="28183418" y="3032126"/>
          <a:ext cx="328083" cy="6879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13</xdr:row>
      <xdr:rowOff>133351</xdr:rowOff>
    </xdr:from>
    <xdr:to>
      <xdr:col>4</xdr:col>
      <xdr:colOff>657225</xdr:colOff>
      <xdr:row>18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219700" y="2400301"/>
          <a:ext cx="533400" cy="752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(assumes average day)</a:t>
          </a:r>
        </a:p>
      </xdr:txBody>
    </xdr:sp>
    <xdr:clientData/>
  </xdr:twoCellAnchor>
  <xdr:twoCellAnchor>
    <xdr:from>
      <xdr:col>4</xdr:col>
      <xdr:colOff>0</xdr:colOff>
      <xdr:row>12</xdr:row>
      <xdr:rowOff>28575</xdr:rowOff>
    </xdr:from>
    <xdr:to>
      <xdr:col>4</xdr:col>
      <xdr:colOff>85725</xdr:colOff>
      <xdr:row>20</xdr:row>
      <xdr:rowOff>0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>
          <a:off x="5095875" y="2133600"/>
          <a:ext cx="85725" cy="295275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11</xdr:row>
      <xdr:rowOff>47626</xdr:rowOff>
    </xdr:from>
    <xdr:to>
      <xdr:col>5</xdr:col>
      <xdr:colOff>342900</xdr:colOff>
      <xdr:row>15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1828801"/>
          <a:ext cx="695325" cy="6762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(assumes Peak Day is during work week)</a:t>
          </a:r>
        </a:p>
      </xdr:txBody>
    </xdr:sp>
    <xdr:clientData/>
  </xdr:twoCellAnchor>
  <xdr:twoCellAnchor>
    <xdr:from>
      <xdr:col>5</xdr:col>
      <xdr:colOff>238126</xdr:colOff>
      <xdr:row>15</xdr:row>
      <xdr:rowOff>142874</xdr:rowOff>
    </xdr:from>
    <xdr:to>
      <xdr:col>5</xdr:col>
      <xdr:colOff>312420</xdr:colOff>
      <xdr:row>19</xdr:row>
      <xdr:rowOff>133349</xdr:rowOff>
    </xdr:to>
    <xdr:sp macro="" textlink="">
      <xdr:nvSpPr>
        <xdr:cNvPr id="13" name="Right Brac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 bwMode="auto">
        <a:xfrm>
          <a:off x="6381751" y="2733674"/>
          <a:ext cx="74294" cy="6381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723901</xdr:colOff>
      <xdr:row>15</xdr:row>
      <xdr:rowOff>142875</xdr:rowOff>
    </xdr:from>
    <xdr:to>
      <xdr:col>5</xdr:col>
      <xdr:colOff>209551</xdr:colOff>
      <xdr:row>18</xdr:row>
      <xdr:rowOff>114299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5819776" y="273367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5</xdr:col>
      <xdr:colOff>371475</xdr:colOff>
      <xdr:row>12</xdr:row>
      <xdr:rowOff>9525</xdr:rowOff>
    </xdr:from>
    <xdr:to>
      <xdr:col>5</xdr:col>
      <xdr:colOff>447675</xdr:colOff>
      <xdr:row>13</xdr:row>
      <xdr:rowOff>133350</xdr:rowOff>
    </xdr:to>
    <xdr:sp macro="" textlink="">
      <xdr:nvSpPr>
        <xdr:cNvPr id="112" name="Right Brace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 bwMode="auto">
        <a:xfrm>
          <a:off x="6515100" y="2114550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123825</xdr:colOff>
      <xdr:row>24</xdr:row>
      <xdr:rowOff>47626</xdr:rowOff>
    </xdr:from>
    <xdr:to>
      <xdr:col>4</xdr:col>
      <xdr:colOff>571500</xdr:colOff>
      <xdr:row>26</xdr:row>
      <xdr:rowOff>142875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>
          <a:spLocks noChangeArrowheads="1"/>
        </xdr:cNvSpPr>
      </xdr:nvSpPr>
      <xdr:spPr bwMode="auto">
        <a:xfrm>
          <a:off x="5219700" y="4095751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4</xdr:col>
      <xdr:colOff>0</xdr:colOff>
      <xdr:row>24</xdr:row>
      <xdr:rowOff>152401</xdr:rowOff>
    </xdr:from>
    <xdr:to>
      <xdr:col>4</xdr:col>
      <xdr:colOff>85725</xdr:colOff>
      <xdr:row>26</xdr:row>
      <xdr:rowOff>133351</xdr:rowOff>
    </xdr:to>
    <xdr:sp macro="" textlink="">
      <xdr:nvSpPr>
        <xdr:cNvPr id="114" name="AutoShape 9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/>
        </xdr:cNvSpPr>
      </xdr:nvSpPr>
      <xdr:spPr bwMode="auto">
        <a:xfrm>
          <a:off x="5095875" y="4200526"/>
          <a:ext cx="85725" cy="304800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609600</xdr:colOff>
      <xdr:row>24</xdr:row>
      <xdr:rowOff>19051</xdr:rowOff>
    </xdr:from>
    <xdr:to>
      <xdr:col>4</xdr:col>
      <xdr:colOff>1038225</xdr:colOff>
      <xdr:row>26</xdr:row>
      <xdr:rowOff>133350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>
          <a:spLocks noChangeArrowheads="1"/>
        </xdr:cNvSpPr>
      </xdr:nvSpPr>
      <xdr:spPr bwMode="auto">
        <a:xfrm>
          <a:off x="5705475" y="4067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5</xdr:col>
      <xdr:colOff>28575</xdr:colOff>
      <xdr:row>24</xdr:row>
      <xdr:rowOff>133350</xdr:rowOff>
    </xdr:from>
    <xdr:to>
      <xdr:col>5</xdr:col>
      <xdr:colOff>104775</xdr:colOff>
      <xdr:row>26</xdr:row>
      <xdr:rowOff>95250</xdr:rowOff>
    </xdr:to>
    <xdr:sp macro="" textlink="">
      <xdr:nvSpPr>
        <xdr:cNvPr id="116" name="Right Brace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 bwMode="auto">
        <a:xfrm>
          <a:off x="6172200" y="4181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514351</xdr:colOff>
      <xdr:row>39</xdr:row>
      <xdr:rowOff>57150</xdr:rowOff>
    </xdr:from>
    <xdr:to>
      <xdr:col>5</xdr:col>
      <xdr:colOff>1</xdr:colOff>
      <xdr:row>42</xdr:row>
      <xdr:rowOff>28574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6353176" y="6534150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5</xdr:col>
      <xdr:colOff>9525</xdr:colOff>
      <xdr:row>35</xdr:row>
      <xdr:rowOff>19049</xdr:rowOff>
    </xdr:from>
    <xdr:to>
      <xdr:col>5</xdr:col>
      <xdr:colOff>104775</xdr:colOff>
      <xdr:row>44</xdr:row>
      <xdr:rowOff>152399</xdr:rowOff>
    </xdr:to>
    <xdr:sp macro="" textlink="">
      <xdr:nvSpPr>
        <xdr:cNvPr id="118" name="Right Brace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 bwMode="auto">
        <a:xfrm>
          <a:off x="6896100" y="5848349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523875</xdr:colOff>
      <xdr:row>31</xdr:row>
      <xdr:rowOff>28576</xdr:rowOff>
    </xdr:from>
    <xdr:to>
      <xdr:col>4</xdr:col>
      <xdr:colOff>952500</xdr:colOff>
      <xdr:row>33</xdr:row>
      <xdr:rowOff>142875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6362700" y="5210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5</xdr:col>
      <xdr:colOff>19050</xdr:colOff>
      <xdr:row>31</xdr:row>
      <xdr:rowOff>142875</xdr:rowOff>
    </xdr:from>
    <xdr:to>
      <xdr:col>5</xdr:col>
      <xdr:colOff>95250</xdr:colOff>
      <xdr:row>33</xdr:row>
      <xdr:rowOff>104775</xdr:rowOff>
    </xdr:to>
    <xdr:sp macro="" textlink="">
      <xdr:nvSpPr>
        <xdr:cNvPr id="120" name="Right Brace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/>
      </xdr:nvSpPr>
      <xdr:spPr bwMode="auto">
        <a:xfrm>
          <a:off x="6905625" y="5324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190500</xdr:colOff>
      <xdr:row>36</xdr:row>
      <xdr:rowOff>95251</xdr:rowOff>
    </xdr:from>
    <xdr:to>
      <xdr:col>4</xdr:col>
      <xdr:colOff>638175</xdr:colOff>
      <xdr:row>39</xdr:row>
      <xdr:rowOff>28575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6029325" y="6086476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4</xdr:col>
      <xdr:colOff>9526</xdr:colOff>
      <xdr:row>32</xdr:row>
      <xdr:rowOff>19050</xdr:rowOff>
    </xdr:from>
    <xdr:to>
      <xdr:col>4</xdr:col>
      <xdr:colOff>104776</xdr:colOff>
      <xdr:row>44</xdr:row>
      <xdr:rowOff>152399</xdr:rowOff>
    </xdr:to>
    <xdr:sp macro="" textlink="">
      <xdr:nvSpPr>
        <xdr:cNvPr id="123" name="AutoShape 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/>
        </xdr:cNvSpPr>
      </xdr:nvSpPr>
      <xdr:spPr bwMode="auto">
        <a:xfrm>
          <a:off x="5848351" y="5362575"/>
          <a:ext cx="95250" cy="2076449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13</xdr:row>
      <xdr:rowOff>133351</xdr:rowOff>
    </xdr:from>
    <xdr:to>
      <xdr:col>9</xdr:col>
      <xdr:colOff>657225</xdr:colOff>
      <xdr:row>18</xdr:row>
      <xdr:rowOff>76200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5962650" y="2400301"/>
          <a:ext cx="533400" cy="752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(assumes average day)</a:t>
          </a:r>
        </a:p>
      </xdr:txBody>
    </xdr:sp>
    <xdr:clientData/>
  </xdr:twoCellAnchor>
  <xdr:twoCellAnchor>
    <xdr:from>
      <xdr:col>9</xdr:col>
      <xdr:colOff>0</xdr:colOff>
      <xdr:row>12</xdr:row>
      <xdr:rowOff>28575</xdr:rowOff>
    </xdr:from>
    <xdr:to>
      <xdr:col>9</xdr:col>
      <xdr:colOff>85725</xdr:colOff>
      <xdr:row>20</xdr:row>
      <xdr:rowOff>0</xdr:rowOff>
    </xdr:to>
    <xdr:sp macro="" textlink="">
      <xdr:nvSpPr>
        <xdr:cNvPr id="125" name="AutoShape 9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/>
        </xdr:cNvSpPr>
      </xdr:nvSpPr>
      <xdr:spPr bwMode="auto">
        <a:xfrm>
          <a:off x="5838825" y="2133600"/>
          <a:ext cx="85725" cy="1266825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695325</xdr:colOff>
      <xdr:row>11</xdr:row>
      <xdr:rowOff>38101</xdr:rowOff>
    </xdr:from>
    <xdr:to>
      <xdr:col>10</xdr:col>
      <xdr:colOff>342900</xdr:colOff>
      <xdr:row>15</xdr:row>
      <xdr:rowOff>66675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10506075" y="1819276"/>
          <a:ext cx="695325" cy="6762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(assumes Peak Day is during work week)</a:t>
          </a:r>
        </a:p>
      </xdr:txBody>
    </xdr:sp>
    <xdr:clientData/>
  </xdr:twoCellAnchor>
  <xdr:twoCellAnchor>
    <xdr:from>
      <xdr:col>10</xdr:col>
      <xdr:colOff>238126</xdr:colOff>
      <xdr:row>15</xdr:row>
      <xdr:rowOff>142874</xdr:rowOff>
    </xdr:from>
    <xdr:to>
      <xdr:col>10</xdr:col>
      <xdr:colOff>312420</xdr:colOff>
      <xdr:row>19</xdr:row>
      <xdr:rowOff>133349</xdr:rowOff>
    </xdr:to>
    <xdr:sp macro="" textlink="">
      <xdr:nvSpPr>
        <xdr:cNvPr id="127" name="Right Brace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/>
      </xdr:nvSpPr>
      <xdr:spPr bwMode="auto">
        <a:xfrm>
          <a:off x="7124701" y="2733674"/>
          <a:ext cx="74294" cy="6381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723901</xdr:colOff>
      <xdr:row>15</xdr:row>
      <xdr:rowOff>142875</xdr:rowOff>
    </xdr:from>
    <xdr:to>
      <xdr:col>10</xdr:col>
      <xdr:colOff>209551</xdr:colOff>
      <xdr:row>18</xdr:row>
      <xdr:rowOff>114299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6562726" y="273367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10</xdr:col>
      <xdr:colOff>371475</xdr:colOff>
      <xdr:row>12</xdr:row>
      <xdr:rowOff>9525</xdr:rowOff>
    </xdr:from>
    <xdr:to>
      <xdr:col>10</xdr:col>
      <xdr:colOff>447675</xdr:colOff>
      <xdr:row>13</xdr:row>
      <xdr:rowOff>133350</xdr:rowOff>
    </xdr:to>
    <xdr:sp macro="" textlink="">
      <xdr:nvSpPr>
        <xdr:cNvPr id="129" name="Right Brace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 bwMode="auto">
        <a:xfrm>
          <a:off x="7258050" y="2114550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123825</xdr:colOff>
      <xdr:row>24</xdr:row>
      <xdr:rowOff>47626</xdr:rowOff>
    </xdr:from>
    <xdr:to>
      <xdr:col>9</xdr:col>
      <xdr:colOff>571500</xdr:colOff>
      <xdr:row>26</xdr:row>
      <xdr:rowOff>142875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5962650" y="4095751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9</xdr:col>
      <xdr:colOff>0</xdr:colOff>
      <xdr:row>24</xdr:row>
      <xdr:rowOff>152401</xdr:rowOff>
    </xdr:from>
    <xdr:to>
      <xdr:col>9</xdr:col>
      <xdr:colOff>85725</xdr:colOff>
      <xdr:row>26</xdr:row>
      <xdr:rowOff>133351</xdr:rowOff>
    </xdr:to>
    <xdr:sp macro="" textlink="">
      <xdr:nvSpPr>
        <xdr:cNvPr id="131" name="AutoShape 9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/>
        </xdr:cNvSpPr>
      </xdr:nvSpPr>
      <xdr:spPr bwMode="auto">
        <a:xfrm>
          <a:off x="5838825" y="4200526"/>
          <a:ext cx="85725" cy="304800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609600</xdr:colOff>
      <xdr:row>24</xdr:row>
      <xdr:rowOff>19051</xdr:rowOff>
    </xdr:from>
    <xdr:to>
      <xdr:col>9</xdr:col>
      <xdr:colOff>1038225</xdr:colOff>
      <xdr:row>26</xdr:row>
      <xdr:rowOff>133350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6448425" y="4067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10</xdr:col>
      <xdr:colOff>28575</xdr:colOff>
      <xdr:row>24</xdr:row>
      <xdr:rowOff>133350</xdr:rowOff>
    </xdr:from>
    <xdr:to>
      <xdr:col>10</xdr:col>
      <xdr:colOff>104775</xdr:colOff>
      <xdr:row>26</xdr:row>
      <xdr:rowOff>95250</xdr:rowOff>
    </xdr:to>
    <xdr:sp macro="" textlink="">
      <xdr:nvSpPr>
        <xdr:cNvPr id="133" name="Right Brace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 bwMode="auto">
        <a:xfrm>
          <a:off x="6915150" y="4181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514351</xdr:colOff>
      <xdr:row>39</xdr:row>
      <xdr:rowOff>57150</xdr:rowOff>
    </xdr:from>
    <xdr:to>
      <xdr:col>10</xdr:col>
      <xdr:colOff>1</xdr:colOff>
      <xdr:row>42</xdr:row>
      <xdr:rowOff>28574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6353176" y="6534150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10</xdr:col>
      <xdr:colOff>9525</xdr:colOff>
      <xdr:row>35</xdr:row>
      <xdr:rowOff>19049</xdr:rowOff>
    </xdr:from>
    <xdr:to>
      <xdr:col>10</xdr:col>
      <xdr:colOff>104775</xdr:colOff>
      <xdr:row>44</xdr:row>
      <xdr:rowOff>152399</xdr:rowOff>
    </xdr:to>
    <xdr:sp macro="" textlink="">
      <xdr:nvSpPr>
        <xdr:cNvPr id="135" name="Right Brace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 bwMode="auto">
        <a:xfrm>
          <a:off x="6896100" y="5848349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523875</xdr:colOff>
      <xdr:row>31</xdr:row>
      <xdr:rowOff>28576</xdr:rowOff>
    </xdr:from>
    <xdr:to>
      <xdr:col>9</xdr:col>
      <xdr:colOff>952500</xdr:colOff>
      <xdr:row>33</xdr:row>
      <xdr:rowOff>142875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6362700" y="5210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10</xdr:col>
      <xdr:colOff>19050</xdr:colOff>
      <xdr:row>31</xdr:row>
      <xdr:rowOff>142875</xdr:rowOff>
    </xdr:from>
    <xdr:to>
      <xdr:col>10</xdr:col>
      <xdr:colOff>95250</xdr:colOff>
      <xdr:row>33</xdr:row>
      <xdr:rowOff>104775</xdr:rowOff>
    </xdr:to>
    <xdr:sp macro="" textlink="">
      <xdr:nvSpPr>
        <xdr:cNvPr id="137" name="Right Brace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 bwMode="auto">
        <a:xfrm>
          <a:off x="6905625" y="5324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190500</xdr:colOff>
      <xdr:row>36</xdr:row>
      <xdr:rowOff>95251</xdr:rowOff>
    </xdr:from>
    <xdr:to>
      <xdr:col>9</xdr:col>
      <xdr:colOff>638175</xdr:colOff>
      <xdr:row>39</xdr:row>
      <xdr:rowOff>28575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6029325" y="6086476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9</xdr:col>
      <xdr:colOff>9526</xdr:colOff>
      <xdr:row>32</xdr:row>
      <xdr:rowOff>19050</xdr:rowOff>
    </xdr:from>
    <xdr:to>
      <xdr:col>9</xdr:col>
      <xdr:colOff>104776</xdr:colOff>
      <xdr:row>44</xdr:row>
      <xdr:rowOff>152399</xdr:rowOff>
    </xdr:to>
    <xdr:sp macro="" textlink="">
      <xdr:nvSpPr>
        <xdr:cNvPr id="139" name="AutoShape 9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/>
        </xdr:cNvSpPr>
      </xdr:nvSpPr>
      <xdr:spPr bwMode="auto">
        <a:xfrm>
          <a:off x="5848351" y="5362575"/>
          <a:ext cx="95250" cy="2076449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13</xdr:row>
      <xdr:rowOff>133351</xdr:rowOff>
    </xdr:from>
    <xdr:to>
      <xdr:col>14</xdr:col>
      <xdr:colOff>657225</xdr:colOff>
      <xdr:row>18</xdr:row>
      <xdr:rowOff>76200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9934575" y="2400301"/>
          <a:ext cx="533400" cy="752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(assumes average day)</a:t>
          </a:r>
        </a:p>
      </xdr:txBody>
    </xdr:sp>
    <xdr:clientData/>
  </xdr:twoCellAnchor>
  <xdr:twoCellAnchor>
    <xdr:from>
      <xdr:col>14</xdr:col>
      <xdr:colOff>0</xdr:colOff>
      <xdr:row>12</xdr:row>
      <xdr:rowOff>28575</xdr:rowOff>
    </xdr:from>
    <xdr:to>
      <xdr:col>14</xdr:col>
      <xdr:colOff>85725</xdr:colOff>
      <xdr:row>20</xdr:row>
      <xdr:rowOff>0</xdr:rowOff>
    </xdr:to>
    <xdr:sp macro="" textlink="">
      <xdr:nvSpPr>
        <xdr:cNvPr id="141" name="AutoShape 9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/>
        </xdr:cNvSpPr>
      </xdr:nvSpPr>
      <xdr:spPr bwMode="auto">
        <a:xfrm>
          <a:off x="9810750" y="2133600"/>
          <a:ext cx="85725" cy="1266825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695325</xdr:colOff>
      <xdr:row>11</xdr:row>
      <xdr:rowOff>38101</xdr:rowOff>
    </xdr:from>
    <xdr:to>
      <xdr:col>15</xdr:col>
      <xdr:colOff>342900</xdr:colOff>
      <xdr:row>15</xdr:row>
      <xdr:rowOff>66675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14478000" y="1819276"/>
          <a:ext cx="695325" cy="6762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(assumes Peak Day is during work week)</a:t>
          </a:r>
        </a:p>
      </xdr:txBody>
    </xdr:sp>
    <xdr:clientData/>
  </xdr:twoCellAnchor>
  <xdr:twoCellAnchor>
    <xdr:from>
      <xdr:col>15</xdr:col>
      <xdr:colOff>238126</xdr:colOff>
      <xdr:row>15</xdr:row>
      <xdr:rowOff>142874</xdr:rowOff>
    </xdr:from>
    <xdr:to>
      <xdr:col>15</xdr:col>
      <xdr:colOff>312420</xdr:colOff>
      <xdr:row>19</xdr:row>
      <xdr:rowOff>133349</xdr:rowOff>
    </xdr:to>
    <xdr:sp macro="" textlink="">
      <xdr:nvSpPr>
        <xdr:cNvPr id="143" name="Right Brace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 bwMode="auto">
        <a:xfrm>
          <a:off x="11096626" y="2733674"/>
          <a:ext cx="74294" cy="6381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723901</xdr:colOff>
      <xdr:row>15</xdr:row>
      <xdr:rowOff>142875</xdr:rowOff>
    </xdr:from>
    <xdr:to>
      <xdr:col>15</xdr:col>
      <xdr:colOff>209551</xdr:colOff>
      <xdr:row>18</xdr:row>
      <xdr:rowOff>114299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10534651" y="273367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15</xdr:col>
      <xdr:colOff>371475</xdr:colOff>
      <xdr:row>12</xdr:row>
      <xdr:rowOff>9525</xdr:rowOff>
    </xdr:from>
    <xdr:to>
      <xdr:col>15</xdr:col>
      <xdr:colOff>447675</xdr:colOff>
      <xdr:row>13</xdr:row>
      <xdr:rowOff>133350</xdr:rowOff>
    </xdr:to>
    <xdr:sp macro="" textlink="">
      <xdr:nvSpPr>
        <xdr:cNvPr id="145" name="Right Brace 14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 bwMode="auto">
        <a:xfrm>
          <a:off x="11229975" y="2114550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123825</xdr:colOff>
      <xdr:row>24</xdr:row>
      <xdr:rowOff>47626</xdr:rowOff>
    </xdr:from>
    <xdr:to>
      <xdr:col>14</xdr:col>
      <xdr:colOff>571500</xdr:colOff>
      <xdr:row>26</xdr:row>
      <xdr:rowOff>142875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9934575" y="4095751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14</xdr:col>
      <xdr:colOff>0</xdr:colOff>
      <xdr:row>24</xdr:row>
      <xdr:rowOff>152401</xdr:rowOff>
    </xdr:from>
    <xdr:to>
      <xdr:col>14</xdr:col>
      <xdr:colOff>85725</xdr:colOff>
      <xdr:row>26</xdr:row>
      <xdr:rowOff>133351</xdr:rowOff>
    </xdr:to>
    <xdr:sp macro="" textlink="">
      <xdr:nvSpPr>
        <xdr:cNvPr id="147" name="AutoShape 9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/>
        </xdr:cNvSpPr>
      </xdr:nvSpPr>
      <xdr:spPr bwMode="auto">
        <a:xfrm>
          <a:off x="9810750" y="4200526"/>
          <a:ext cx="85725" cy="304800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609600</xdr:colOff>
      <xdr:row>24</xdr:row>
      <xdr:rowOff>19051</xdr:rowOff>
    </xdr:from>
    <xdr:to>
      <xdr:col>14</xdr:col>
      <xdr:colOff>1038225</xdr:colOff>
      <xdr:row>26</xdr:row>
      <xdr:rowOff>133350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10420350" y="4067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15</xdr:col>
      <xdr:colOff>28575</xdr:colOff>
      <xdr:row>24</xdr:row>
      <xdr:rowOff>133350</xdr:rowOff>
    </xdr:from>
    <xdr:to>
      <xdr:col>15</xdr:col>
      <xdr:colOff>104775</xdr:colOff>
      <xdr:row>26</xdr:row>
      <xdr:rowOff>95250</xdr:rowOff>
    </xdr:to>
    <xdr:sp macro="" textlink="">
      <xdr:nvSpPr>
        <xdr:cNvPr id="149" name="Right Brace 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 bwMode="auto">
        <a:xfrm>
          <a:off x="10887075" y="4181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514351</xdr:colOff>
      <xdr:row>39</xdr:row>
      <xdr:rowOff>57150</xdr:rowOff>
    </xdr:from>
    <xdr:to>
      <xdr:col>15</xdr:col>
      <xdr:colOff>1</xdr:colOff>
      <xdr:row>42</xdr:row>
      <xdr:rowOff>28574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10325101" y="6534150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15</xdr:col>
      <xdr:colOff>9525</xdr:colOff>
      <xdr:row>35</xdr:row>
      <xdr:rowOff>19049</xdr:rowOff>
    </xdr:from>
    <xdr:to>
      <xdr:col>15</xdr:col>
      <xdr:colOff>104775</xdr:colOff>
      <xdr:row>44</xdr:row>
      <xdr:rowOff>152399</xdr:rowOff>
    </xdr:to>
    <xdr:sp macro="" textlink="">
      <xdr:nvSpPr>
        <xdr:cNvPr id="151" name="Right Brace 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 bwMode="auto">
        <a:xfrm>
          <a:off x="10868025" y="5848349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523875</xdr:colOff>
      <xdr:row>31</xdr:row>
      <xdr:rowOff>28576</xdr:rowOff>
    </xdr:from>
    <xdr:to>
      <xdr:col>14</xdr:col>
      <xdr:colOff>952500</xdr:colOff>
      <xdr:row>33</xdr:row>
      <xdr:rowOff>142875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10334625" y="5210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15</xdr:col>
      <xdr:colOff>19050</xdr:colOff>
      <xdr:row>31</xdr:row>
      <xdr:rowOff>142875</xdr:rowOff>
    </xdr:from>
    <xdr:to>
      <xdr:col>15</xdr:col>
      <xdr:colOff>95250</xdr:colOff>
      <xdr:row>33</xdr:row>
      <xdr:rowOff>104775</xdr:rowOff>
    </xdr:to>
    <xdr:sp macro="" textlink="">
      <xdr:nvSpPr>
        <xdr:cNvPr id="153" name="Right Brace 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 bwMode="auto">
        <a:xfrm>
          <a:off x="10877550" y="5324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190500</xdr:colOff>
      <xdr:row>36</xdr:row>
      <xdr:rowOff>95251</xdr:rowOff>
    </xdr:from>
    <xdr:to>
      <xdr:col>14</xdr:col>
      <xdr:colOff>638175</xdr:colOff>
      <xdr:row>39</xdr:row>
      <xdr:rowOff>28575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10001250" y="6086476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14</xdr:col>
      <xdr:colOff>9526</xdr:colOff>
      <xdr:row>32</xdr:row>
      <xdr:rowOff>19050</xdr:rowOff>
    </xdr:from>
    <xdr:to>
      <xdr:col>14</xdr:col>
      <xdr:colOff>104776</xdr:colOff>
      <xdr:row>44</xdr:row>
      <xdr:rowOff>152399</xdr:rowOff>
    </xdr:to>
    <xdr:sp macro="" textlink="">
      <xdr:nvSpPr>
        <xdr:cNvPr id="155" name="AutoShape 9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/>
        </xdr:cNvSpPr>
      </xdr:nvSpPr>
      <xdr:spPr bwMode="auto">
        <a:xfrm>
          <a:off x="9820276" y="5362575"/>
          <a:ext cx="95250" cy="2076449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123825</xdr:colOff>
      <xdr:row>13</xdr:row>
      <xdr:rowOff>133351</xdr:rowOff>
    </xdr:from>
    <xdr:to>
      <xdr:col>19</xdr:col>
      <xdr:colOff>657225</xdr:colOff>
      <xdr:row>18</xdr:row>
      <xdr:rowOff>76200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9934575" y="2400301"/>
          <a:ext cx="533400" cy="752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(assumes average day)</a:t>
          </a:r>
        </a:p>
      </xdr:txBody>
    </xdr:sp>
    <xdr:clientData/>
  </xdr:twoCellAnchor>
  <xdr:twoCellAnchor>
    <xdr:from>
      <xdr:col>19</xdr:col>
      <xdr:colOff>0</xdr:colOff>
      <xdr:row>12</xdr:row>
      <xdr:rowOff>28575</xdr:rowOff>
    </xdr:from>
    <xdr:to>
      <xdr:col>19</xdr:col>
      <xdr:colOff>85725</xdr:colOff>
      <xdr:row>20</xdr:row>
      <xdr:rowOff>0</xdr:rowOff>
    </xdr:to>
    <xdr:sp macro="" textlink="">
      <xdr:nvSpPr>
        <xdr:cNvPr id="157" name="AutoShape 9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/>
        </xdr:cNvSpPr>
      </xdr:nvSpPr>
      <xdr:spPr bwMode="auto">
        <a:xfrm>
          <a:off x="9810750" y="2133600"/>
          <a:ext cx="85725" cy="1266825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695325</xdr:colOff>
      <xdr:row>11</xdr:row>
      <xdr:rowOff>38101</xdr:rowOff>
    </xdr:from>
    <xdr:to>
      <xdr:col>20</xdr:col>
      <xdr:colOff>342900</xdr:colOff>
      <xdr:row>15</xdr:row>
      <xdr:rowOff>66675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18449925" y="1819276"/>
          <a:ext cx="695325" cy="6762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(assumes Peak Day is during work week)</a:t>
          </a:r>
        </a:p>
      </xdr:txBody>
    </xdr:sp>
    <xdr:clientData/>
  </xdr:twoCellAnchor>
  <xdr:twoCellAnchor>
    <xdr:from>
      <xdr:col>20</xdr:col>
      <xdr:colOff>238126</xdr:colOff>
      <xdr:row>15</xdr:row>
      <xdr:rowOff>142874</xdr:rowOff>
    </xdr:from>
    <xdr:to>
      <xdr:col>20</xdr:col>
      <xdr:colOff>312420</xdr:colOff>
      <xdr:row>19</xdr:row>
      <xdr:rowOff>133349</xdr:rowOff>
    </xdr:to>
    <xdr:sp macro="" textlink="">
      <xdr:nvSpPr>
        <xdr:cNvPr id="159" name="Right Brace 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 bwMode="auto">
        <a:xfrm>
          <a:off x="11096626" y="2733674"/>
          <a:ext cx="74294" cy="6381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723901</xdr:colOff>
      <xdr:row>15</xdr:row>
      <xdr:rowOff>142875</xdr:rowOff>
    </xdr:from>
    <xdr:to>
      <xdr:col>20</xdr:col>
      <xdr:colOff>209551</xdr:colOff>
      <xdr:row>18</xdr:row>
      <xdr:rowOff>114299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10534651" y="273367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20</xdr:col>
      <xdr:colOff>371475</xdr:colOff>
      <xdr:row>12</xdr:row>
      <xdr:rowOff>9525</xdr:rowOff>
    </xdr:from>
    <xdr:to>
      <xdr:col>20</xdr:col>
      <xdr:colOff>447675</xdr:colOff>
      <xdr:row>13</xdr:row>
      <xdr:rowOff>133350</xdr:rowOff>
    </xdr:to>
    <xdr:sp macro="" textlink="">
      <xdr:nvSpPr>
        <xdr:cNvPr id="161" name="Right Brace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 bwMode="auto">
        <a:xfrm>
          <a:off x="11229975" y="2114550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123825</xdr:colOff>
      <xdr:row>24</xdr:row>
      <xdr:rowOff>47626</xdr:rowOff>
    </xdr:from>
    <xdr:to>
      <xdr:col>19</xdr:col>
      <xdr:colOff>571500</xdr:colOff>
      <xdr:row>26</xdr:row>
      <xdr:rowOff>142875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 txBox="1">
          <a:spLocks noChangeArrowheads="1"/>
        </xdr:cNvSpPr>
      </xdr:nvSpPr>
      <xdr:spPr bwMode="auto">
        <a:xfrm>
          <a:off x="9934575" y="4095751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19</xdr:col>
      <xdr:colOff>0</xdr:colOff>
      <xdr:row>24</xdr:row>
      <xdr:rowOff>152401</xdr:rowOff>
    </xdr:from>
    <xdr:to>
      <xdr:col>19</xdr:col>
      <xdr:colOff>85725</xdr:colOff>
      <xdr:row>26</xdr:row>
      <xdr:rowOff>133351</xdr:rowOff>
    </xdr:to>
    <xdr:sp macro="" textlink="">
      <xdr:nvSpPr>
        <xdr:cNvPr id="163" name="AutoShape 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/>
        </xdr:cNvSpPr>
      </xdr:nvSpPr>
      <xdr:spPr bwMode="auto">
        <a:xfrm>
          <a:off x="9810750" y="4200526"/>
          <a:ext cx="85725" cy="304800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609600</xdr:colOff>
      <xdr:row>24</xdr:row>
      <xdr:rowOff>19051</xdr:rowOff>
    </xdr:from>
    <xdr:to>
      <xdr:col>19</xdr:col>
      <xdr:colOff>1038225</xdr:colOff>
      <xdr:row>26</xdr:row>
      <xdr:rowOff>133350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 txBox="1">
          <a:spLocks noChangeArrowheads="1"/>
        </xdr:cNvSpPr>
      </xdr:nvSpPr>
      <xdr:spPr bwMode="auto">
        <a:xfrm>
          <a:off x="10420350" y="4067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20</xdr:col>
      <xdr:colOff>28575</xdr:colOff>
      <xdr:row>24</xdr:row>
      <xdr:rowOff>133350</xdr:rowOff>
    </xdr:from>
    <xdr:to>
      <xdr:col>20</xdr:col>
      <xdr:colOff>104775</xdr:colOff>
      <xdr:row>26</xdr:row>
      <xdr:rowOff>95250</xdr:rowOff>
    </xdr:to>
    <xdr:sp macro="" textlink="">
      <xdr:nvSpPr>
        <xdr:cNvPr id="165" name="Right Brace 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 bwMode="auto">
        <a:xfrm>
          <a:off x="10887075" y="4181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514351</xdr:colOff>
      <xdr:row>39</xdr:row>
      <xdr:rowOff>57150</xdr:rowOff>
    </xdr:from>
    <xdr:to>
      <xdr:col>20</xdr:col>
      <xdr:colOff>1</xdr:colOff>
      <xdr:row>42</xdr:row>
      <xdr:rowOff>28574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 txBox="1">
          <a:spLocks noChangeArrowheads="1"/>
        </xdr:cNvSpPr>
      </xdr:nvSpPr>
      <xdr:spPr bwMode="auto">
        <a:xfrm>
          <a:off x="10325101" y="6534150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20</xdr:col>
      <xdr:colOff>9525</xdr:colOff>
      <xdr:row>35</xdr:row>
      <xdr:rowOff>19049</xdr:rowOff>
    </xdr:from>
    <xdr:to>
      <xdr:col>20</xdr:col>
      <xdr:colOff>104775</xdr:colOff>
      <xdr:row>44</xdr:row>
      <xdr:rowOff>152399</xdr:rowOff>
    </xdr:to>
    <xdr:sp macro="" textlink="">
      <xdr:nvSpPr>
        <xdr:cNvPr id="167" name="Right Brace 16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 bwMode="auto">
        <a:xfrm>
          <a:off x="10868025" y="5848349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523875</xdr:colOff>
      <xdr:row>31</xdr:row>
      <xdr:rowOff>28576</xdr:rowOff>
    </xdr:from>
    <xdr:to>
      <xdr:col>19</xdr:col>
      <xdr:colOff>952500</xdr:colOff>
      <xdr:row>33</xdr:row>
      <xdr:rowOff>142875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 txBox="1">
          <a:spLocks noChangeArrowheads="1"/>
        </xdr:cNvSpPr>
      </xdr:nvSpPr>
      <xdr:spPr bwMode="auto">
        <a:xfrm>
          <a:off x="10334625" y="5210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20</xdr:col>
      <xdr:colOff>19050</xdr:colOff>
      <xdr:row>31</xdr:row>
      <xdr:rowOff>142875</xdr:rowOff>
    </xdr:from>
    <xdr:to>
      <xdr:col>20</xdr:col>
      <xdr:colOff>95250</xdr:colOff>
      <xdr:row>33</xdr:row>
      <xdr:rowOff>104775</xdr:rowOff>
    </xdr:to>
    <xdr:sp macro="" textlink="">
      <xdr:nvSpPr>
        <xdr:cNvPr id="169" name="Right Brace 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 bwMode="auto">
        <a:xfrm>
          <a:off x="10877550" y="5324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190500</xdr:colOff>
      <xdr:row>36</xdr:row>
      <xdr:rowOff>95251</xdr:rowOff>
    </xdr:from>
    <xdr:to>
      <xdr:col>19</xdr:col>
      <xdr:colOff>638175</xdr:colOff>
      <xdr:row>39</xdr:row>
      <xdr:rowOff>28575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 txBox="1">
          <a:spLocks noChangeArrowheads="1"/>
        </xdr:cNvSpPr>
      </xdr:nvSpPr>
      <xdr:spPr bwMode="auto">
        <a:xfrm>
          <a:off x="10001250" y="6086476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19</xdr:col>
      <xdr:colOff>9526</xdr:colOff>
      <xdr:row>32</xdr:row>
      <xdr:rowOff>19050</xdr:rowOff>
    </xdr:from>
    <xdr:to>
      <xdr:col>19</xdr:col>
      <xdr:colOff>104776</xdr:colOff>
      <xdr:row>44</xdr:row>
      <xdr:rowOff>152399</xdr:rowOff>
    </xdr:to>
    <xdr:sp macro="" textlink="">
      <xdr:nvSpPr>
        <xdr:cNvPr id="171" name="AutoShape 9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/>
        </xdr:cNvSpPr>
      </xdr:nvSpPr>
      <xdr:spPr bwMode="auto">
        <a:xfrm>
          <a:off x="9820276" y="5362575"/>
          <a:ext cx="95250" cy="2076449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123825</xdr:colOff>
      <xdr:row>13</xdr:row>
      <xdr:rowOff>133351</xdr:rowOff>
    </xdr:from>
    <xdr:to>
      <xdr:col>24</xdr:col>
      <xdr:colOff>657225</xdr:colOff>
      <xdr:row>18</xdr:row>
      <xdr:rowOff>76200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 txBox="1">
          <a:spLocks noChangeArrowheads="1"/>
        </xdr:cNvSpPr>
      </xdr:nvSpPr>
      <xdr:spPr bwMode="auto">
        <a:xfrm>
          <a:off x="9934575" y="2400301"/>
          <a:ext cx="533400" cy="752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(assumes average day)</a:t>
          </a:r>
        </a:p>
      </xdr:txBody>
    </xdr:sp>
    <xdr:clientData/>
  </xdr:twoCellAnchor>
  <xdr:twoCellAnchor>
    <xdr:from>
      <xdr:col>24</xdr:col>
      <xdr:colOff>0</xdr:colOff>
      <xdr:row>12</xdr:row>
      <xdr:rowOff>28575</xdr:rowOff>
    </xdr:from>
    <xdr:to>
      <xdr:col>24</xdr:col>
      <xdr:colOff>85725</xdr:colOff>
      <xdr:row>20</xdr:row>
      <xdr:rowOff>0</xdr:rowOff>
    </xdr:to>
    <xdr:sp macro="" textlink="">
      <xdr:nvSpPr>
        <xdr:cNvPr id="173" name="AutoShape 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/>
        </xdr:cNvSpPr>
      </xdr:nvSpPr>
      <xdr:spPr bwMode="auto">
        <a:xfrm>
          <a:off x="9810750" y="2133600"/>
          <a:ext cx="85725" cy="1266825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695325</xdr:colOff>
      <xdr:row>11</xdr:row>
      <xdr:rowOff>38101</xdr:rowOff>
    </xdr:from>
    <xdr:to>
      <xdr:col>25</xdr:col>
      <xdr:colOff>342900</xdr:colOff>
      <xdr:row>15</xdr:row>
      <xdr:rowOff>66675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>
          <a:spLocks noChangeArrowheads="1"/>
        </xdr:cNvSpPr>
      </xdr:nvSpPr>
      <xdr:spPr bwMode="auto">
        <a:xfrm>
          <a:off x="22421850" y="1819276"/>
          <a:ext cx="695325" cy="6762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(assumes Peak Day is during work week)</a:t>
          </a:r>
        </a:p>
      </xdr:txBody>
    </xdr:sp>
    <xdr:clientData/>
  </xdr:twoCellAnchor>
  <xdr:twoCellAnchor>
    <xdr:from>
      <xdr:col>25</xdr:col>
      <xdr:colOff>238126</xdr:colOff>
      <xdr:row>15</xdr:row>
      <xdr:rowOff>142874</xdr:rowOff>
    </xdr:from>
    <xdr:to>
      <xdr:col>25</xdr:col>
      <xdr:colOff>312420</xdr:colOff>
      <xdr:row>19</xdr:row>
      <xdr:rowOff>133349</xdr:rowOff>
    </xdr:to>
    <xdr:sp macro="" textlink="">
      <xdr:nvSpPr>
        <xdr:cNvPr id="175" name="Right Brace 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 bwMode="auto">
        <a:xfrm>
          <a:off x="11096626" y="2733674"/>
          <a:ext cx="74294" cy="6381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723901</xdr:colOff>
      <xdr:row>15</xdr:row>
      <xdr:rowOff>142875</xdr:rowOff>
    </xdr:from>
    <xdr:to>
      <xdr:col>25</xdr:col>
      <xdr:colOff>209551</xdr:colOff>
      <xdr:row>18</xdr:row>
      <xdr:rowOff>114299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 txBox="1">
          <a:spLocks noChangeArrowheads="1"/>
        </xdr:cNvSpPr>
      </xdr:nvSpPr>
      <xdr:spPr bwMode="auto">
        <a:xfrm>
          <a:off x="10534651" y="273367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25</xdr:col>
      <xdr:colOff>371475</xdr:colOff>
      <xdr:row>12</xdr:row>
      <xdr:rowOff>9525</xdr:rowOff>
    </xdr:from>
    <xdr:to>
      <xdr:col>25</xdr:col>
      <xdr:colOff>447675</xdr:colOff>
      <xdr:row>13</xdr:row>
      <xdr:rowOff>133350</xdr:rowOff>
    </xdr:to>
    <xdr:sp macro="" textlink="">
      <xdr:nvSpPr>
        <xdr:cNvPr id="177" name="Right Brace 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 bwMode="auto">
        <a:xfrm>
          <a:off x="11229975" y="2114550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123825</xdr:colOff>
      <xdr:row>24</xdr:row>
      <xdr:rowOff>47626</xdr:rowOff>
    </xdr:from>
    <xdr:to>
      <xdr:col>24</xdr:col>
      <xdr:colOff>571500</xdr:colOff>
      <xdr:row>26</xdr:row>
      <xdr:rowOff>142875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 txBox="1">
          <a:spLocks noChangeArrowheads="1"/>
        </xdr:cNvSpPr>
      </xdr:nvSpPr>
      <xdr:spPr bwMode="auto">
        <a:xfrm>
          <a:off x="9934575" y="4095751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24</xdr:col>
      <xdr:colOff>0</xdr:colOff>
      <xdr:row>24</xdr:row>
      <xdr:rowOff>152401</xdr:rowOff>
    </xdr:from>
    <xdr:to>
      <xdr:col>24</xdr:col>
      <xdr:colOff>85725</xdr:colOff>
      <xdr:row>26</xdr:row>
      <xdr:rowOff>133351</xdr:rowOff>
    </xdr:to>
    <xdr:sp macro="" textlink="">
      <xdr:nvSpPr>
        <xdr:cNvPr id="179" name="AutoShape 9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/>
        </xdr:cNvSpPr>
      </xdr:nvSpPr>
      <xdr:spPr bwMode="auto">
        <a:xfrm>
          <a:off x="9810750" y="4200526"/>
          <a:ext cx="85725" cy="304800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609600</xdr:colOff>
      <xdr:row>24</xdr:row>
      <xdr:rowOff>19051</xdr:rowOff>
    </xdr:from>
    <xdr:to>
      <xdr:col>24</xdr:col>
      <xdr:colOff>1038225</xdr:colOff>
      <xdr:row>26</xdr:row>
      <xdr:rowOff>133350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>
          <a:spLocks noChangeArrowheads="1"/>
        </xdr:cNvSpPr>
      </xdr:nvSpPr>
      <xdr:spPr bwMode="auto">
        <a:xfrm>
          <a:off x="10420350" y="4067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25</xdr:col>
      <xdr:colOff>28575</xdr:colOff>
      <xdr:row>24</xdr:row>
      <xdr:rowOff>133350</xdr:rowOff>
    </xdr:from>
    <xdr:to>
      <xdr:col>25</xdr:col>
      <xdr:colOff>104775</xdr:colOff>
      <xdr:row>26</xdr:row>
      <xdr:rowOff>95250</xdr:rowOff>
    </xdr:to>
    <xdr:sp macro="" textlink="">
      <xdr:nvSpPr>
        <xdr:cNvPr id="181" name="Right Brace 18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/>
      </xdr:nvSpPr>
      <xdr:spPr bwMode="auto">
        <a:xfrm>
          <a:off x="10887075" y="4181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514351</xdr:colOff>
      <xdr:row>39</xdr:row>
      <xdr:rowOff>57150</xdr:rowOff>
    </xdr:from>
    <xdr:to>
      <xdr:col>25</xdr:col>
      <xdr:colOff>1</xdr:colOff>
      <xdr:row>42</xdr:row>
      <xdr:rowOff>28574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>
          <a:spLocks noChangeArrowheads="1"/>
        </xdr:cNvSpPr>
      </xdr:nvSpPr>
      <xdr:spPr bwMode="auto">
        <a:xfrm>
          <a:off x="10325101" y="6534150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25</xdr:col>
      <xdr:colOff>9525</xdr:colOff>
      <xdr:row>35</xdr:row>
      <xdr:rowOff>19049</xdr:rowOff>
    </xdr:from>
    <xdr:to>
      <xdr:col>25</xdr:col>
      <xdr:colOff>104775</xdr:colOff>
      <xdr:row>44</xdr:row>
      <xdr:rowOff>152399</xdr:rowOff>
    </xdr:to>
    <xdr:sp macro="" textlink="">
      <xdr:nvSpPr>
        <xdr:cNvPr id="183" name="Right Brace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 bwMode="auto">
        <a:xfrm>
          <a:off x="10868025" y="5848349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523875</xdr:colOff>
      <xdr:row>31</xdr:row>
      <xdr:rowOff>28576</xdr:rowOff>
    </xdr:from>
    <xdr:to>
      <xdr:col>24</xdr:col>
      <xdr:colOff>952500</xdr:colOff>
      <xdr:row>33</xdr:row>
      <xdr:rowOff>142875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 txBox="1">
          <a:spLocks noChangeArrowheads="1"/>
        </xdr:cNvSpPr>
      </xdr:nvSpPr>
      <xdr:spPr bwMode="auto">
        <a:xfrm>
          <a:off x="10334625" y="5210176"/>
          <a:ext cx="428625" cy="438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21 days</a:t>
          </a:r>
        </a:p>
      </xdr:txBody>
    </xdr:sp>
    <xdr:clientData/>
  </xdr:twoCellAnchor>
  <xdr:twoCellAnchor>
    <xdr:from>
      <xdr:col>25</xdr:col>
      <xdr:colOff>19050</xdr:colOff>
      <xdr:row>31</xdr:row>
      <xdr:rowOff>142875</xdr:rowOff>
    </xdr:from>
    <xdr:to>
      <xdr:col>25</xdr:col>
      <xdr:colOff>95250</xdr:colOff>
      <xdr:row>33</xdr:row>
      <xdr:rowOff>104775</xdr:rowOff>
    </xdr:to>
    <xdr:sp macro="" textlink="">
      <xdr:nvSpPr>
        <xdr:cNvPr id="185" name="Right Brace 184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 bwMode="auto">
        <a:xfrm>
          <a:off x="10877550" y="5324475"/>
          <a:ext cx="76200" cy="2857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190500</xdr:colOff>
      <xdr:row>36</xdr:row>
      <xdr:rowOff>95251</xdr:rowOff>
    </xdr:from>
    <xdr:to>
      <xdr:col>24</xdr:col>
      <xdr:colOff>638175</xdr:colOff>
      <xdr:row>39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 txBox="1">
          <a:spLocks noChangeArrowheads="1"/>
        </xdr:cNvSpPr>
      </xdr:nvSpPr>
      <xdr:spPr bwMode="auto">
        <a:xfrm>
          <a:off x="10001250" y="6086476"/>
          <a:ext cx="4476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Divided by 31 days </a:t>
          </a:r>
        </a:p>
      </xdr:txBody>
    </xdr:sp>
    <xdr:clientData/>
  </xdr:twoCellAnchor>
  <xdr:twoCellAnchor>
    <xdr:from>
      <xdr:col>24</xdr:col>
      <xdr:colOff>9526</xdr:colOff>
      <xdr:row>32</xdr:row>
      <xdr:rowOff>19050</xdr:rowOff>
    </xdr:from>
    <xdr:to>
      <xdr:col>24</xdr:col>
      <xdr:colOff>104776</xdr:colOff>
      <xdr:row>44</xdr:row>
      <xdr:rowOff>152399</xdr:rowOff>
    </xdr:to>
    <xdr:sp macro="" textlink="">
      <xdr:nvSpPr>
        <xdr:cNvPr id="187" name="AutoShape 9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/>
        </xdr:cNvSpPr>
      </xdr:nvSpPr>
      <xdr:spPr bwMode="auto">
        <a:xfrm>
          <a:off x="9820276" y="5362575"/>
          <a:ext cx="95250" cy="2076449"/>
        </a:xfrm>
        <a:prstGeom prst="rightBrace">
          <a:avLst>
            <a:gd name="adj1" fmla="val 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514351</xdr:colOff>
      <xdr:row>39</xdr:row>
      <xdr:rowOff>57150</xdr:rowOff>
    </xdr:from>
    <xdr:to>
      <xdr:col>10</xdr:col>
      <xdr:colOff>1</xdr:colOff>
      <xdr:row>42</xdr:row>
      <xdr:rowOff>28574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51129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14</xdr:col>
      <xdr:colOff>514351</xdr:colOff>
      <xdr:row>39</xdr:row>
      <xdr:rowOff>57150</xdr:rowOff>
    </xdr:from>
    <xdr:to>
      <xdr:col>15</xdr:col>
      <xdr:colOff>1</xdr:colOff>
      <xdr:row>42</xdr:row>
      <xdr:rowOff>28574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51129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19</xdr:col>
      <xdr:colOff>514351</xdr:colOff>
      <xdr:row>39</xdr:row>
      <xdr:rowOff>57150</xdr:rowOff>
    </xdr:from>
    <xdr:to>
      <xdr:col>20</xdr:col>
      <xdr:colOff>1</xdr:colOff>
      <xdr:row>42</xdr:row>
      <xdr:rowOff>28574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51129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24</xdr:col>
      <xdr:colOff>514351</xdr:colOff>
      <xdr:row>39</xdr:row>
      <xdr:rowOff>57150</xdr:rowOff>
    </xdr:from>
    <xdr:to>
      <xdr:col>25</xdr:col>
      <xdr:colOff>1</xdr:colOff>
      <xdr:row>42</xdr:row>
      <xdr:rowOff>28574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51129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14</xdr:col>
      <xdr:colOff>514351</xdr:colOff>
      <xdr:row>39</xdr:row>
      <xdr:rowOff>57150</xdr:rowOff>
    </xdr:from>
    <xdr:to>
      <xdr:col>15</xdr:col>
      <xdr:colOff>1</xdr:colOff>
      <xdr:row>42</xdr:row>
      <xdr:rowOff>28574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058037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14</xdr:col>
      <xdr:colOff>514351</xdr:colOff>
      <xdr:row>39</xdr:row>
      <xdr:rowOff>57150</xdr:rowOff>
    </xdr:from>
    <xdr:to>
      <xdr:col>15</xdr:col>
      <xdr:colOff>1</xdr:colOff>
      <xdr:row>42</xdr:row>
      <xdr:rowOff>28574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1058037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19</xdr:col>
      <xdr:colOff>514351</xdr:colOff>
      <xdr:row>39</xdr:row>
      <xdr:rowOff>57150</xdr:rowOff>
    </xdr:from>
    <xdr:to>
      <xdr:col>20</xdr:col>
      <xdr:colOff>1</xdr:colOff>
      <xdr:row>42</xdr:row>
      <xdr:rowOff>28574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1058037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19</xdr:col>
      <xdr:colOff>514351</xdr:colOff>
      <xdr:row>39</xdr:row>
      <xdr:rowOff>57150</xdr:rowOff>
    </xdr:from>
    <xdr:to>
      <xdr:col>20</xdr:col>
      <xdr:colOff>1</xdr:colOff>
      <xdr:row>42</xdr:row>
      <xdr:rowOff>28574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1058037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24</xdr:col>
      <xdr:colOff>514351</xdr:colOff>
      <xdr:row>39</xdr:row>
      <xdr:rowOff>57150</xdr:rowOff>
    </xdr:from>
    <xdr:to>
      <xdr:col>25</xdr:col>
      <xdr:colOff>1</xdr:colOff>
      <xdr:row>42</xdr:row>
      <xdr:rowOff>28574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1058037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24</xdr:col>
      <xdr:colOff>514351</xdr:colOff>
      <xdr:row>39</xdr:row>
      <xdr:rowOff>57150</xdr:rowOff>
    </xdr:from>
    <xdr:to>
      <xdr:col>25</xdr:col>
      <xdr:colOff>1</xdr:colOff>
      <xdr:row>42</xdr:row>
      <xdr:rowOff>28574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10580371" y="6892290"/>
          <a:ext cx="560070" cy="497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9</xdr:col>
      <xdr:colOff>514351</xdr:colOff>
      <xdr:row>39</xdr:row>
      <xdr:rowOff>57150</xdr:rowOff>
    </xdr:from>
    <xdr:to>
      <xdr:col>10</xdr:col>
      <xdr:colOff>1</xdr:colOff>
      <xdr:row>42</xdr:row>
      <xdr:rowOff>28574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353176" y="637222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10</xdr:col>
      <xdr:colOff>9525</xdr:colOff>
      <xdr:row>35</xdr:row>
      <xdr:rowOff>19049</xdr:rowOff>
    </xdr:from>
    <xdr:to>
      <xdr:col>10</xdr:col>
      <xdr:colOff>104775</xdr:colOff>
      <xdr:row>44</xdr:row>
      <xdr:rowOff>152399</xdr:rowOff>
    </xdr:to>
    <xdr:sp macro="" textlink="">
      <xdr:nvSpPr>
        <xdr:cNvPr id="93" name="Right Brace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 bwMode="auto">
        <a:xfrm>
          <a:off x="6896100" y="5686424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514351</xdr:colOff>
      <xdr:row>39</xdr:row>
      <xdr:rowOff>57150</xdr:rowOff>
    </xdr:from>
    <xdr:to>
      <xdr:col>15</xdr:col>
      <xdr:colOff>1</xdr:colOff>
      <xdr:row>42</xdr:row>
      <xdr:rowOff>28574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353176" y="637222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15</xdr:col>
      <xdr:colOff>9525</xdr:colOff>
      <xdr:row>35</xdr:row>
      <xdr:rowOff>19049</xdr:rowOff>
    </xdr:from>
    <xdr:to>
      <xdr:col>15</xdr:col>
      <xdr:colOff>104775</xdr:colOff>
      <xdr:row>44</xdr:row>
      <xdr:rowOff>152399</xdr:rowOff>
    </xdr:to>
    <xdr:sp macro="" textlink="">
      <xdr:nvSpPr>
        <xdr:cNvPr id="95" name="Right Brace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 bwMode="auto">
        <a:xfrm>
          <a:off x="6896100" y="5686424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514351</xdr:colOff>
      <xdr:row>39</xdr:row>
      <xdr:rowOff>57150</xdr:rowOff>
    </xdr:from>
    <xdr:to>
      <xdr:col>20</xdr:col>
      <xdr:colOff>1</xdr:colOff>
      <xdr:row>42</xdr:row>
      <xdr:rowOff>28574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353176" y="637222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20</xdr:col>
      <xdr:colOff>9525</xdr:colOff>
      <xdr:row>35</xdr:row>
      <xdr:rowOff>19049</xdr:rowOff>
    </xdr:from>
    <xdr:to>
      <xdr:col>20</xdr:col>
      <xdr:colOff>104775</xdr:colOff>
      <xdr:row>44</xdr:row>
      <xdr:rowOff>152399</xdr:rowOff>
    </xdr:to>
    <xdr:sp macro="" textlink="">
      <xdr:nvSpPr>
        <xdr:cNvPr id="97" name="Right Brace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 bwMode="auto">
        <a:xfrm>
          <a:off x="6896100" y="5686424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514351</xdr:colOff>
      <xdr:row>39</xdr:row>
      <xdr:rowOff>57150</xdr:rowOff>
    </xdr:from>
    <xdr:to>
      <xdr:col>25</xdr:col>
      <xdr:colOff>1</xdr:colOff>
      <xdr:row>42</xdr:row>
      <xdr:rowOff>28574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6353176" y="6372225"/>
          <a:ext cx="5334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Large Vol Peak Day</a:t>
          </a:r>
        </a:p>
      </xdr:txBody>
    </xdr:sp>
    <xdr:clientData/>
  </xdr:twoCellAnchor>
  <xdr:twoCellAnchor>
    <xdr:from>
      <xdr:col>25</xdr:col>
      <xdr:colOff>9525</xdr:colOff>
      <xdr:row>35</xdr:row>
      <xdr:rowOff>19049</xdr:rowOff>
    </xdr:from>
    <xdr:to>
      <xdr:col>25</xdr:col>
      <xdr:colOff>104775</xdr:colOff>
      <xdr:row>44</xdr:row>
      <xdr:rowOff>152399</xdr:rowOff>
    </xdr:to>
    <xdr:sp macro="" textlink="">
      <xdr:nvSpPr>
        <xdr:cNvPr id="99" name="Right Brace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 bwMode="auto">
        <a:xfrm>
          <a:off x="6896100" y="5686424"/>
          <a:ext cx="95250" cy="15906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164646</xdr:colOff>
      <xdr:row>69</xdr:row>
      <xdr:rowOff>138792</xdr:rowOff>
    </xdr:from>
    <xdr:to>
      <xdr:col>3</xdr:col>
      <xdr:colOff>31296</xdr:colOff>
      <xdr:row>71</xdr:row>
      <xdr:rowOff>72117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/>
      </xdr:nvSpPr>
      <xdr:spPr>
        <a:xfrm>
          <a:off x="4655003" y="11500756"/>
          <a:ext cx="642257" cy="28711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141514</xdr:colOff>
      <xdr:row>69</xdr:row>
      <xdr:rowOff>138792</xdr:rowOff>
    </xdr:from>
    <xdr:to>
      <xdr:col>6</xdr:col>
      <xdr:colOff>8164</xdr:colOff>
      <xdr:row>71</xdr:row>
      <xdr:rowOff>53067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/>
      </xdr:nvSpPr>
      <xdr:spPr>
        <a:xfrm>
          <a:off x="6958693" y="11500756"/>
          <a:ext cx="642257" cy="26806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168729</xdr:colOff>
      <xdr:row>69</xdr:row>
      <xdr:rowOff>152399</xdr:rowOff>
    </xdr:from>
    <xdr:to>
      <xdr:col>12</xdr:col>
      <xdr:colOff>35379</xdr:colOff>
      <xdr:row>71</xdr:row>
      <xdr:rowOff>66674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>
          <a:off x="11639550" y="11514363"/>
          <a:ext cx="642258" cy="26806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160564</xdr:colOff>
      <xdr:row>69</xdr:row>
      <xdr:rowOff>152399</xdr:rowOff>
    </xdr:from>
    <xdr:to>
      <xdr:col>15</xdr:col>
      <xdr:colOff>27214</xdr:colOff>
      <xdr:row>71</xdr:row>
      <xdr:rowOff>47624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/>
      </xdr:nvSpPr>
      <xdr:spPr>
        <a:xfrm>
          <a:off x="13958207" y="11514363"/>
          <a:ext cx="642257" cy="24901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206828</xdr:colOff>
      <xdr:row>80</xdr:row>
      <xdr:rowOff>148317</xdr:rowOff>
    </xdr:from>
    <xdr:to>
      <xdr:col>4</xdr:col>
      <xdr:colOff>73478</xdr:colOff>
      <xdr:row>82</xdr:row>
      <xdr:rowOff>81642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/>
      </xdr:nvSpPr>
      <xdr:spPr>
        <a:xfrm>
          <a:off x="5472792" y="13347246"/>
          <a:ext cx="642257" cy="2871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206828</xdr:colOff>
      <xdr:row>80</xdr:row>
      <xdr:rowOff>161925</xdr:rowOff>
    </xdr:from>
    <xdr:to>
      <xdr:col>10</xdr:col>
      <xdr:colOff>73478</xdr:colOff>
      <xdr:row>82</xdr:row>
      <xdr:rowOff>57150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/>
      </xdr:nvSpPr>
      <xdr:spPr>
        <a:xfrm>
          <a:off x="10126435" y="13360854"/>
          <a:ext cx="642257" cy="2490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202747</xdr:colOff>
      <xdr:row>80</xdr:row>
      <xdr:rowOff>148317</xdr:rowOff>
    </xdr:from>
    <xdr:to>
      <xdr:col>13</xdr:col>
      <xdr:colOff>69397</xdr:colOff>
      <xdr:row>82</xdr:row>
      <xdr:rowOff>62592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/>
      </xdr:nvSpPr>
      <xdr:spPr>
        <a:xfrm>
          <a:off x="12449176" y="13347246"/>
          <a:ext cx="642257" cy="2680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238125</xdr:colOff>
      <xdr:row>80</xdr:row>
      <xdr:rowOff>161924</xdr:rowOff>
    </xdr:from>
    <xdr:to>
      <xdr:col>16</xdr:col>
      <xdr:colOff>104775</xdr:colOff>
      <xdr:row>82</xdr:row>
      <xdr:rowOff>57149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/>
      </xdr:nvSpPr>
      <xdr:spPr>
        <a:xfrm>
          <a:off x="15078075" y="5086349"/>
          <a:ext cx="64770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219075</xdr:colOff>
      <xdr:row>90</xdr:row>
      <xdr:rowOff>152399</xdr:rowOff>
    </xdr:from>
    <xdr:to>
      <xdr:col>3</xdr:col>
      <xdr:colOff>85725</xdr:colOff>
      <xdr:row>92</xdr:row>
      <xdr:rowOff>85724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/>
      </xdr:nvSpPr>
      <xdr:spPr>
        <a:xfrm>
          <a:off x="4905375" y="6715124"/>
          <a:ext cx="647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209550</xdr:colOff>
      <xdr:row>90</xdr:row>
      <xdr:rowOff>152399</xdr:rowOff>
    </xdr:from>
    <xdr:to>
      <xdr:col>6</xdr:col>
      <xdr:colOff>76200</xdr:colOff>
      <xdr:row>92</xdr:row>
      <xdr:rowOff>66674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7239000" y="6715124"/>
          <a:ext cx="647700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176893</xdr:colOff>
      <xdr:row>90</xdr:row>
      <xdr:rowOff>136071</xdr:rowOff>
    </xdr:from>
    <xdr:to>
      <xdr:col>9</xdr:col>
      <xdr:colOff>66675</xdr:colOff>
      <xdr:row>92</xdr:row>
      <xdr:rowOff>66675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9974036" y="14995071"/>
          <a:ext cx="665389" cy="2843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209550</xdr:colOff>
      <xdr:row>90</xdr:row>
      <xdr:rowOff>152399</xdr:rowOff>
    </xdr:from>
    <xdr:to>
      <xdr:col>12</xdr:col>
      <xdr:colOff>76200</xdr:colOff>
      <xdr:row>92</xdr:row>
      <xdr:rowOff>66674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11925300" y="6715124"/>
          <a:ext cx="647700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228600</xdr:colOff>
      <xdr:row>90</xdr:row>
      <xdr:rowOff>152399</xdr:rowOff>
    </xdr:from>
    <xdr:to>
      <xdr:col>15</xdr:col>
      <xdr:colOff>95250</xdr:colOff>
      <xdr:row>92</xdr:row>
      <xdr:rowOff>47624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14287500" y="6715124"/>
          <a:ext cx="64770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285750</xdr:colOff>
      <xdr:row>101</xdr:row>
      <xdr:rowOff>152400</xdr:rowOff>
    </xdr:from>
    <xdr:to>
      <xdr:col>3</xdr:col>
      <xdr:colOff>152400</xdr:colOff>
      <xdr:row>103</xdr:row>
      <xdr:rowOff>85725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4972050" y="8524875"/>
          <a:ext cx="647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257175</xdr:colOff>
      <xdr:row>101</xdr:row>
      <xdr:rowOff>161925</xdr:rowOff>
    </xdr:from>
    <xdr:to>
      <xdr:col>6</xdr:col>
      <xdr:colOff>123825</xdr:colOff>
      <xdr:row>103</xdr:row>
      <xdr:rowOff>95250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>
          <a:off x="7286625" y="8534400"/>
          <a:ext cx="647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257175</xdr:colOff>
      <xdr:row>102</xdr:row>
      <xdr:rowOff>0</xdr:rowOff>
    </xdr:from>
    <xdr:to>
      <xdr:col>9</xdr:col>
      <xdr:colOff>123825</xdr:colOff>
      <xdr:row>103</xdr:row>
      <xdr:rowOff>104775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9629775" y="8543925"/>
          <a:ext cx="647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276225</xdr:colOff>
      <xdr:row>102</xdr:row>
      <xdr:rowOff>0</xdr:rowOff>
    </xdr:from>
    <xdr:to>
      <xdr:col>12</xdr:col>
      <xdr:colOff>142875</xdr:colOff>
      <xdr:row>103</xdr:row>
      <xdr:rowOff>104775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11991975" y="8543925"/>
          <a:ext cx="647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276225</xdr:colOff>
      <xdr:row>102</xdr:row>
      <xdr:rowOff>0</xdr:rowOff>
    </xdr:from>
    <xdr:to>
      <xdr:col>15</xdr:col>
      <xdr:colOff>142875</xdr:colOff>
      <xdr:row>103</xdr:row>
      <xdr:rowOff>104775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/>
      </xdr:nvSpPr>
      <xdr:spPr>
        <a:xfrm>
          <a:off x="14335125" y="8543925"/>
          <a:ext cx="647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164646</xdr:colOff>
      <xdr:row>69</xdr:row>
      <xdr:rowOff>138792</xdr:rowOff>
    </xdr:from>
    <xdr:to>
      <xdr:col>9</xdr:col>
      <xdr:colOff>31296</xdr:colOff>
      <xdr:row>71</xdr:row>
      <xdr:rowOff>72117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714C66C3-349C-43D8-8525-BAB5E327ABF7}"/>
            </a:ext>
          </a:extLst>
        </xdr:cNvPr>
        <xdr:cNvSpPr/>
      </xdr:nvSpPr>
      <xdr:spPr>
        <a:xfrm>
          <a:off x="5087257" y="11503931"/>
          <a:ext cx="683078" cy="28076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206828</xdr:colOff>
      <xdr:row>80</xdr:row>
      <xdr:rowOff>148317</xdr:rowOff>
    </xdr:from>
    <xdr:to>
      <xdr:col>7</xdr:col>
      <xdr:colOff>73478</xdr:colOff>
      <xdr:row>82</xdr:row>
      <xdr:rowOff>81642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2CC50724-C1A6-427C-9654-72EAAF5B498B}"/>
            </a:ext>
          </a:extLst>
        </xdr:cNvPr>
        <xdr:cNvSpPr/>
      </xdr:nvSpPr>
      <xdr:spPr>
        <a:xfrm>
          <a:off x="5949042" y="13344071"/>
          <a:ext cx="683079" cy="2934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99BB-42B0-4699-9529-D6009FBCE18D}">
  <dimension ref="A1:V54"/>
  <sheetViews>
    <sheetView tabSelected="1" zoomScale="70" zoomScaleNormal="70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27" bestFit="1" customWidth="1"/>
    <col min="3" max="3" width="39.5703125" customWidth="1"/>
    <col min="4" max="8" width="13.140625" style="304" customWidth="1"/>
    <col min="9" max="9" width="13.140625" style="305" customWidth="1"/>
    <col min="10" max="10" width="4.5703125" style="305" customWidth="1"/>
    <col min="11" max="15" width="13.140625" style="304" customWidth="1"/>
    <col min="16" max="17" width="13.140625" style="305" customWidth="1"/>
  </cols>
  <sheetData>
    <row r="1" spans="1:22" x14ac:dyDescent="0.25">
      <c r="A1" s="303" t="s">
        <v>74</v>
      </c>
      <c r="C1" s="303"/>
    </row>
    <row r="2" spans="1:22" x14ac:dyDescent="0.25">
      <c r="A2" s="303" t="s">
        <v>165</v>
      </c>
      <c r="C2" s="303"/>
    </row>
    <row r="3" spans="1:22" x14ac:dyDescent="0.25">
      <c r="A3" s="303" t="s">
        <v>367</v>
      </c>
      <c r="C3" s="303"/>
    </row>
    <row r="4" spans="1:22" x14ac:dyDescent="0.25">
      <c r="A4" s="339" t="s">
        <v>271</v>
      </c>
      <c r="C4" s="303"/>
    </row>
    <row r="5" spans="1:22" x14ac:dyDescent="0.25">
      <c r="A5" s="303" t="s">
        <v>228</v>
      </c>
      <c r="C5" s="303"/>
    </row>
    <row r="7" spans="1:22" ht="17.25" x14ac:dyDescent="0.4">
      <c r="A7" s="306"/>
      <c r="B7" s="307"/>
      <c r="C7" s="307"/>
      <c r="D7" s="340" t="s">
        <v>272</v>
      </c>
      <c r="E7" s="340"/>
      <c r="F7" s="340"/>
      <c r="G7" s="340"/>
      <c r="H7" s="340"/>
      <c r="I7" s="341"/>
      <c r="J7" s="308"/>
      <c r="K7" s="342" t="s">
        <v>273</v>
      </c>
      <c r="L7" s="340"/>
      <c r="M7" s="340"/>
      <c r="N7" s="340"/>
      <c r="O7" s="340"/>
      <c r="P7" s="341"/>
      <c r="Q7" s="308"/>
    </row>
    <row r="8" spans="1:22" ht="30" x14ac:dyDescent="0.25">
      <c r="A8" s="309"/>
      <c r="B8" s="310" t="s">
        <v>274</v>
      </c>
      <c r="C8" s="310" t="s">
        <v>275</v>
      </c>
      <c r="D8" s="311" t="s">
        <v>276</v>
      </c>
      <c r="E8" s="311" t="s">
        <v>277</v>
      </c>
      <c r="F8" s="311" t="s">
        <v>278</v>
      </c>
      <c r="G8" s="311" t="s">
        <v>279</v>
      </c>
      <c r="H8" s="311" t="s">
        <v>280</v>
      </c>
      <c r="I8" s="312" t="s">
        <v>20</v>
      </c>
      <c r="J8" s="313"/>
      <c r="K8" s="314" t="s">
        <v>276</v>
      </c>
      <c r="L8" s="311" t="s">
        <v>277</v>
      </c>
      <c r="M8" s="311" t="s">
        <v>278</v>
      </c>
      <c r="N8" s="311" t="s">
        <v>279</v>
      </c>
      <c r="O8" s="311" t="s">
        <v>280</v>
      </c>
      <c r="P8" s="312" t="s">
        <v>20</v>
      </c>
      <c r="Q8" s="313"/>
    </row>
    <row r="9" spans="1:22" x14ac:dyDescent="0.25">
      <c r="A9" t="s">
        <v>281</v>
      </c>
      <c r="B9" t="s">
        <v>282</v>
      </c>
      <c r="C9" t="s">
        <v>283</v>
      </c>
      <c r="D9" s="315">
        <f>SUMIF('Retail Sales Base Case'!AF:AF,B9,'Retail Sales Base Case'!K:K)</f>
        <v>181009</v>
      </c>
      <c r="E9" s="315">
        <f>SUMIF('Res Trans Base Case'!AG:AG,B9,'Res Trans Base Case'!K:K)</f>
        <v>0</v>
      </c>
      <c r="F9" s="315">
        <f>SUMIF('Com Trans Base Case'!AG:AG,'Peak Day Summary'!B9,'Com Trans Base Case'!K:K)</f>
        <v>0</v>
      </c>
      <c r="G9" s="304">
        <f>SUMIF('Ind Trans Base Case'!AB:AB,'Peak Day Summary'!B9,'Ind Trans Base Case'!I:I)</f>
        <v>0</v>
      </c>
      <c r="H9" s="304">
        <f>SUMIF('Pub Trans Base Case'!AG:AG,'Peak Day Summary'!B9,'Pub Trans Base Case'!K:K)</f>
        <v>0</v>
      </c>
      <c r="I9" s="316">
        <f>SUM(D9:H9)</f>
        <v>181009</v>
      </c>
      <c r="J9" s="316"/>
      <c r="K9" s="304">
        <f>SUMIF('Retail Sales Base Case'!AF:AF,B9,'Retail Sales Base Case'!M:M)</f>
        <v>214074</v>
      </c>
      <c r="L9" s="304">
        <f>SUMIF('Res Trans Base Case'!AG:AG,B9,'Res Trans Base Case'!M:M)</f>
        <v>0</v>
      </c>
      <c r="M9" s="304">
        <f>SUMIF('Com Trans Base Case'!AG:AG,'Peak Day Summary'!B9,'Com Trans Base Case'!M:M)</f>
        <v>0</v>
      </c>
      <c r="N9" s="304">
        <f>SUMIF('Ind Trans Base Case'!AB:AB,'Peak Day Summary'!B9,'Ind Trans Base Case'!K:K)</f>
        <v>0</v>
      </c>
      <c r="O9" s="304">
        <f>SUMIF('Pub Trans Base Case'!AG:AG,'Peak Day Summary'!B9,'Pub Trans Base Case'!M:M)</f>
        <v>0</v>
      </c>
      <c r="P9" s="316">
        <f>SUM(K9:O9)</f>
        <v>214074</v>
      </c>
      <c r="Q9" s="316"/>
      <c r="R9" s="317"/>
      <c r="S9" s="317"/>
      <c r="U9" s="317"/>
      <c r="V9" s="317"/>
    </row>
    <row r="10" spans="1:22" x14ac:dyDescent="0.25">
      <c r="A10" t="s">
        <v>284</v>
      </c>
      <c r="B10" s="318" t="s">
        <v>285</v>
      </c>
      <c r="C10" s="318" t="s">
        <v>283</v>
      </c>
      <c r="D10" s="315">
        <f>SUMIF('Retail Sales Base Case'!AF:AF,B10,'Retail Sales Base Case'!K:K)</f>
        <v>7834</v>
      </c>
      <c r="E10" s="315">
        <f>SUMIF('Res Trans Base Case'!AG:AG,B10,'Res Trans Base Case'!K:K)</f>
        <v>0</v>
      </c>
      <c r="F10" s="315">
        <f>SUMIF('Com Trans Base Case'!AG:AG,'Peak Day Summary'!B10,'Com Trans Base Case'!K:K)</f>
        <v>0</v>
      </c>
      <c r="G10" s="304">
        <f>SUMIF('Ind Trans Base Case'!AB:AB,'Peak Day Summary'!B10,'Ind Trans Base Case'!I:I)</f>
        <v>0</v>
      </c>
      <c r="H10" s="304">
        <f>SUMIF('Pub Trans Base Case'!AG:AG,'Peak Day Summary'!B10,'Pub Trans Base Case'!K:K)</f>
        <v>0</v>
      </c>
      <c r="I10" s="316">
        <f t="shared" ref="I10:I46" si="0">SUM(D10:H10)</f>
        <v>7834</v>
      </c>
      <c r="J10" s="316"/>
      <c r="K10" s="304">
        <f>SUMIF('Retail Sales Base Case'!AF:AF,B10,'Retail Sales Base Case'!M:M)</f>
        <v>9265</v>
      </c>
      <c r="L10" s="304">
        <f>SUMIF('Res Trans Base Case'!AG:AG,B10,'Res Trans Base Case'!M:M)</f>
        <v>0</v>
      </c>
      <c r="M10" s="304">
        <f>SUMIF('Com Trans Base Case'!AG:AG,'Peak Day Summary'!B10,'Com Trans Base Case'!M:M)</f>
        <v>0</v>
      </c>
      <c r="N10" s="304">
        <f>SUMIF('Ind Trans Base Case'!AB:AB,'Peak Day Summary'!B10,'Ind Trans Base Case'!K:K)</f>
        <v>0</v>
      </c>
      <c r="O10" s="304">
        <f>SUMIF('Pub Trans Base Case'!AG:AG,'Peak Day Summary'!B10,'Pub Trans Base Case'!M:M)</f>
        <v>0</v>
      </c>
      <c r="P10" s="316">
        <f t="shared" ref="P10:P46" si="1">SUM(K10:O10)</f>
        <v>9265</v>
      </c>
      <c r="Q10" s="316"/>
      <c r="R10" s="317"/>
      <c r="S10" s="317"/>
      <c r="U10" s="317"/>
      <c r="V10" s="317"/>
    </row>
    <row r="11" spans="1:22" x14ac:dyDescent="0.25">
      <c r="A11" t="s">
        <v>286</v>
      </c>
      <c r="B11" t="s">
        <v>287</v>
      </c>
      <c r="C11" t="s">
        <v>283</v>
      </c>
      <c r="D11" s="315">
        <f>SUMIF('Retail Sales Base Case'!AF:AF,B11,'Retail Sales Base Case'!K:K)</f>
        <v>0</v>
      </c>
      <c r="E11" s="315">
        <f>SUMIF('Res Trans Base Case'!AG:AG,B11,'Res Trans Base Case'!K:K)</f>
        <v>901</v>
      </c>
      <c r="F11" s="315">
        <f>SUMIF('Com Trans Base Case'!AG:AG,'Peak Day Summary'!B11,'Com Trans Base Case'!K:K)</f>
        <v>8</v>
      </c>
      <c r="G11" s="304">
        <f>SUMIF('Ind Trans Base Case'!AB:AB,'Peak Day Summary'!B11,'Ind Trans Base Case'!I:I)</f>
        <v>0</v>
      </c>
      <c r="H11" s="304">
        <f>SUMIF('Pub Trans Base Case'!AG:AG,'Peak Day Summary'!B11,'Pub Trans Base Case'!K:K)</f>
        <v>0</v>
      </c>
      <c r="I11" s="316">
        <f t="shared" si="0"/>
        <v>909</v>
      </c>
      <c r="J11" s="316"/>
      <c r="K11" s="304">
        <f>SUMIF('Retail Sales Base Case'!AF:AF,B11,'Retail Sales Base Case'!M:M)</f>
        <v>0</v>
      </c>
      <c r="L11" s="304">
        <f>SUMIF('Res Trans Base Case'!AG:AG,B11,'Res Trans Base Case'!M:M)</f>
        <v>1256</v>
      </c>
      <c r="M11" s="304">
        <f>SUMIF('Com Trans Base Case'!AG:AG,'Peak Day Summary'!B11,'Com Trans Base Case'!M:M)</f>
        <v>12</v>
      </c>
      <c r="N11" s="304">
        <f>SUMIF('Ind Trans Base Case'!AB:AB,'Peak Day Summary'!B11,'Ind Trans Base Case'!K:K)</f>
        <v>0</v>
      </c>
      <c r="O11" s="304">
        <f>SUMIF('Pub Trans Base Case'!AG:AG,'Peak Day Summary'!B11,'Pub Trans Base Case'!M:M)</f>
        <v>0</v>
      </c>
      <c r="P11" s="316">
        <f t="shared" si="1"/>
        <v>1268</v>
      </c>
      <c r="Q11" s="316"/>
      <c r="R11" s="317"/>
      <c r="S11" s="317"/>
      <c r="U11" s="317"/>
      <c r="V11" s="317"/>
    </row>
    <row r="12" spans="1:22" x14ac:dyDescent="0.25">
      <c r="A12" t="s">
        <v>288</v>
      </c>
      <c r="B12" t="s">
        <v>289</v>
      </c>
      <c r="C12" t="s">
        <v>283</v>
      </c>
      <c r="D12" s="315">
        <f>SUMIF('Retail Sales Base Case'!AF:AF,B12,'Retail Sales Base Case'!K:K)</f>
        <v>0</v>
      </c>
      <c r="E12" s="315">
        <f>SUMIF('Res Trans Base Case'!AG:AG,B12,'Res Trans Base Case'!K:K)</f>
        <v>16904</v>
      </c>
      <c r="F12" s="315">
        <f>SUMIF('Com Trans Base Case'!AG:AG,'Peak Day Summary'!B12,'Com Trans Base Case'!K:K)</f>
        <v>0</v>
      </c>
      <c r="G12" s="304">
        <f>SUMIF('Ind Trans Base Case'!AB:AB,'Peak Day Summary'!B12,'Ind Trans Base Case'!I:I)</f>
        <v>0</v>
      </c>
      <c r="H12" s="304">
        <f>SUMIF('Pub Trans Base Case'!AG:AG,'Peak Day Summary'!B12,'Pub Trans Base Case'!K:K)</f>
        <v>0</v>
      </c>
      <c r="I12" s="316">
        <f t="shared" si="0"/>
        <v>16904</v>
      </c>
      <c r="J12" s="316"/>
      <c r="K12" s="304">
        <f>SUMIF('Retail Sales Base Case'!AF:AF,B12,'Retail Sales Base Case'!M:M)</f>
        <v>0</v>
      </c>
      <c r="L12" s="304">
        <f>SUMIF('Res Trans Base Case'!AG:AG,B12,'Res Trans Base Case'!M:M)</f>
        <v>19992</v>
      </c>
      <c r="M12" s="304">
        <f>SUMIF('Com Trans Base Case'!AG:AG,'Peak Day Summary'!B12,'Com Trans Base Case'!M:M)</f>
        <v>0</v>
      </c>
      <c r="N12" s="304">
        <f>SUMIF('Ind Trans Base Case'!AB:AB,'Peak Day Summary'!B12,'Ind Trans Base Case'!K:K)</f>
        <v>0</v>
      </c>
      <c r="O12" s="304">
        <f>SUMIF('Pub Trans Base Case'!AG:AG,'Peak Day Summary'!B12,'Pub Trans Base Case'!M:M)</f>
        <v>0</v>
      </c>
      <c r="P12" s="316">
        <f t="shared" si="1"/>
        <v>19992</v>
      </c>
      <c r="Q12" s="316"/>
      <c r="R12" s="317"/>
      <c r="S12" s="317"/>
      <c r="U12" s="317"/>
      <c r="V12" s="317"/>
    </row>
    <row r="13" spans="1:22" x14ac:dyDescent="0.25">
      <c r="A13" t="s">
        <v>290</v>
      </c>
      <c r="B13" t="s">
        <v>291</v>
      </c>
      <c r="C13" t="s">
        <v>292</v>
      </c>
      <c r="D13" s="315">
        <f>SUMIF('Retail Sales Base Case'!AF:AF,B13,'Retail Sales Base Case'!K:K)</f>
        <v>9945</v>
      </c>
      <c r="E13" s="315">
        <f>SUMIF('Res Trans Base Case'!AG:AG,B13,'Res Trans Base Case'!K:K)</f>
        <v>0</v>
      </c>
      <c r="F13" s="315">
        <f>SUMIF('Com Trans Base Case'!AG:AG,'Peak Day Summary'!B13,'Com Trans Base Case'!K:K)</f>
        <v>0</v>
      </c>
      <c r="G13" s="304">
        <f>SUMIF('Ind Trans Base Case'!AB:AB,'Peak Day Summary'!B13,'Ind Trans Base Case'!I:I)</f>
        <v>0</v>
      </c>
      <c r="H13" s="304">
        <f>SUMIF('Pub Trans Base Case'!AG:AG,'Peak Day Summary'!B13,'Pub Trans Base Case'!K:K)</f>
        <v>0</v>
      </c>
      <c r="I13" s="316">
        <f t="shared" si="0"/>
        <v>9945</v>
      </c>
      <c r="J13" s="316"/>
      <c r="K13" s="304">
        <f>SUMIF('Retail Sales Base Case'!AF:AF,B13,'Retail Sales Base Case'!M:M)</f>
        <v>11762</v>
      </c>
      <c r="L13" s="304">
        <f>SUMIF('Res Trans Base Case'!AG:AG,B13,'Res Trans Base Case'!M:M)</f>
        <v>0</v>
      </c>
      <c r="M13" s="304">
        <f>SUMIF('Com Trans Base Case'!AG:AG,'Peak Day Summary'!B13,'Com Trans Base Case'!M:M)</f>
        <v>0</v>
      </c>
      <c r="N13" s="304">
        <f>SUMIF('Ind Trans Base Case'!AB:AB,'Peak Day Summary'!B13,'Ind Trans Base Case'!K:K)</f>
        <v>0</v>
      </c>
      <c r="O13" s="304">
        <f>SUMIF('Pub Trans Base Case'!AG:AG,'Peak Day Summary'!B13,'Pub Trans Base Case'!M:M)</f>
        <v>0</v>
      </c>
      <c r="P13" s="316">
        <f t="shared" si="1"/>
        <v>11762</v>
      </c>
      <c r="Q13" s="316"/>
      <c r="R13" s="317"/>
      <c r="S13" s="317"/>
      <c r="U13" s="317"/>
      <c r="V13" s="317"/>
    </row>
    <row r="14" spans="1:22" x14ac:dyDescent="0.25">
      <c r="A14" t="s">
        <v>293</v>
      </c>
      <c r="B14" t="s">
        <v>294</v>
      </c>
      <c r="C14" t="s">
        <v>292</v>
      </c>
      <c r="D14" s="315">
        <f>SUMIF('Retail Sales Base Case'!AF:AF,B14,'Retail Sales Base Case'!K:K)</f>
        <v>0</v>
      </c>
      <c r="E14" s="315">
        <f>SUMIF('Res Trans Base Case'!AG:AG,B14,'Res Trans Base Case'!K:K)</f>
        <v>0</v>
      </c>
      <c r="F14" s="315">
        <f>SUMIF('Com Trans Base Case'!AG:AG,'Peak Day Summary'!B14,'Com Trans Base Case'!K:K)</f>
        <v>1333</v>
      </c>
      <c r="G14" s="304">
        <f>SUMIF('Ind Trans Base Case'!AB:AB,'Peak Day Summary'!B14,'Ind Trans Base Case'!I:I)</f>
        <v>0</v>
      </c>
      <c r="H14" s="304">
        <f>SUMIF('Pub Trans Base Case'!AG:AG,'Peak Day Summary'!B14,'Pub Trans Base Case'!K:K)</f>
        <v>0</v>
      </c>
      <c r="I14" s="316">
        <f t="shared" si="0"/>
        <v>1333</v>
      </c>
      <c r="J14" s="316"/>
      <c r="K14" s="304">
        <f>SUMIF('Retail Sales Base Case'!AF:AF,B14,'Retail Sales Base Case'!M:M)</f>
        <v>0</v>
      </c>
      <c r="L14" s="304">
        <f>SUMIF('Res Trans Base Case'!AG:AG,B14,'Res Trans Base Case'!M:M)</f>
        <v>0</v>
      </c>
      <c r="M14" s="304">
        <f>SUMIF('Com Trans Base Case'!AG:AG,'Peak Day Summary'!B14,'Com Trans Base Case'!M:M)</f>
        <v>1860</v>
      </c>
      <c r="N14" s="304">
        <f>SUMIF('Ind Trans Base Case'!AB:AB,'Peak Day Summary'!B14,'Ind Trans Base Case'!K:K)</f>
        <v>0</v>
      </c>
      <c r="O14" s="304">
        <f>SUMIF('Pub Trans Base Case'!AG:AG,'Peak Day Summary'!B14,'Pub Trans Base Case'!M:M)</f>
        <v>0</v>
      </c>
      <c r="P14" s="316">
        <f t="shared" si="1"/>
        <v>1860</v>
      </c>
      <c r="Q14" s="316"/>
      <c r="R14" s="317"/>
      <c r="S14" s="317"/>
      <c r="U14" s="317"/>
      <c r="V14" s="317"/>
    </row>
    <row r="15" spans="1:22" x14ac:dyDescent="0.25">
      <c r="A15" t="s">
        <v>295</v>
      </c>
      <c r="B15" t="s">
        <v>296</v>
      </c>
      <c r="C15" t="s">
        <v>292</v>
      </c>
      <c r="D15" s="315">
        <f>SUMIF('Retail Sales Base Case'!AF:AF,B15,'Retail Sales Base Case'!K:K)</f>
        <v>0</v>
      </c>
      <c r="E15" s="315">
        <f>SUMIF('Res Trans Base Case'!AG:AG,B15,'Res Trans Base Case'!K:K)</f>
        <v>1</v>
      </c>
      <c r="F15" s="315">
        <f>SUMIF('Com Trans Base Case'!AG:AG,'Peak Day Summary'!B15,'Com Trans Base Case'!K:K)</f>
        <v>997</v>
      </c>
      <c r="G15" s="304">
        <f>SUMIF('Ind Trans Base Case'!AB:AB,'Peak Day Summary'!B15,'Ind Trans Base Case'!I:I)</f>
        <v>0</v>
      </c>
      <c r="H15" s="304">
        <f>SUMIF('Pub Trans Base Case'!AG:AG,'Peak Day Summary'!B15,'Pub Trans Base Case'!K:K)</f>
        <v>0</v>
      </c>
      <c r="I15" s="316">
        <f t="shared" si="0"/>
        <v>998</v>
      </c>
      <c r="J15" s="316"/>
      <c r="K15" s="304">
        <f>SUMIF('Retail Sales Base Case'!AF:AF,B15,'Retail Sales Base Case'!M:M)</f>
        <v>0</v>
      </c>
      <c r="L15" s="304">
        <f>SUMIF('Res Trans Base Case'!AG:AG,B15,'Res Trans Base Case'!M:M)</f>
        <v>1</v>
      </c>
      <c r="M15" s="304">
        <f>SUMIF('Com Trans Base Case'!AG:AG,'Peak Day Summary'!B15,'Com Trans Base Case'!M:M)</f>
        <v>1179</v>
      </c>
      <c r="N15" s="304">
        <f>SUMIF('Ind Trans Base Case'!AB:AB,'Peak Day Summary'!B15,'Ind Trans Base Case'!K:K)</f>
        <v>0</v>
      </c>
      <c r="O15" s="304">
        <f>SUMIF('Pub Trans Base Case'!AG:AG,'Peak Day Summary'!B15,'Pub Trans Base Case'!M:M)</f>
        <v>0</v>
      </c>
      <c r="P15" s="316">
        <f t="shared" si="1"/>
        <v>1180</v>
      </c>
      <c r="Q15" s="316"/>
      <c r="R15" s="317"/>
      <c r="S15" s="317"/>
      <c r="U15" s="317"/>
      <c r="V15" s="317"/>
    </row>
    <row r="16" spans="1:22" x14ac:dyDescent="0.25">
      <c r="A16" t="s">
        <v>297</v>
      </c>
      <c r="B16" t="s">
        <v>298</v>
      </c>
      <c r="C16" t="s">
        <v>299</v>
      </c>
      <c r="D16" s="315">
        <f>SUMIF('Retail Sales Base Case'!AF:AF,B16,'Retail Sales Base Case'!K:K)</f>
        <v>13835</v>
      </c>
      <c r="E16" s="315">
        <f>SUMIF('Res Trans Base Case'!AG:AG,B16,'Res Trans Base Case'!K:K)</f>
        <v>0</v>
      </c>
      <c r="F16" s="315">
        <f>SUMIF('Com Trans Base Case'!AG:AG,'Peak Day Summary'!B16,'Com Trans Base Case'!K:K)</f>
        <v>0</v>
      </c>
      <c r="G16" s="304">
        <f>SUMIF('Ind Trans Base Case'!AB:AB,'Peak Day Summary'!B16,'Ind Trans Base Case'!I:I)</f>
        <v>0</v>
      </c>
      <c r="H16" s="304">
        <f>SUMIF('Pub Trans Base Case'!AG:AG,'Peak Day Summary'!B16,'Pub Trans Base Case'!K:K)</f>
        <v>0</v>
      </c>
      <c r="I16" s="316">
        <f t="shared" si="0"/>
        <v>13835</v>
      </c>
      <c r="J16" s="316"/>
      <c r="K16" s="304">
        <f>SUMIF('Retail Sales Base Case'!AF:AF,B16,'Retail Sales Base Case'!M:M)</f>
        <v>16362</v>
      </c>
      <c r="L16" s="304">
        <f>SUMIF('Res Trans Base Case'!AG:AG,B16,'Res Trans Base Case'!M:M)</f>
        <v>0</v>
      </c>
      <c r="M16" s="304">
        <f>SUMIF('Com Trans Base Case'!AG:AG,'Peak Day Summary'!B16,'Com Trans Base Case'!M:M)</f>
        <v>0</v>
      </c>
      <c r="N16" s="304">
        <f>SUMIF('Ind Trans Base Case'!AB:AB,'Peak Day Summary'!B16,'Ind Trans Base Case'!K:K)</f>
        <v>0</v>
      </c>
      <c r="O16" s="304">
        <f>SUMIF('Pub Trans Base Case'!AG:AG,'Peak Day Summary'!B16,'Pub Trans Base Case'!M:M)</f>
        <v>0</v>
      </c>
      <c r="P16" s="316">
        <f t="shared" si="1"/>
        <v>16362</v>
      </c>
      <c r="Q16" s="316"/>
      <c r="R16" s="317"/>
      <c r="S16" s="317"/>
      <c r="U16" s="317"/>
      <c r="V16" s="317"/>
    </row>
    <row r="17" spans="1:22" x14ac:dyDescent="0.25">
      <c r="A17" t="s">
        <v>300</v>
      </c>
      <c r="B17" t="s">
        <v>301</v>
      </c>
      <c r="C17" t="s">
        <v>299</v>
      </c>
      <c r="D17" s="315">
        <f>SUMIF('Retail Sales Base Case'!AF:AF,B17,'Retail Sales Base Case'!K:K)</f>
        <v>0</v>
      </c>
      <c r="E17" s="315">
        <f>SUMIF('Res Trans Base Case'!AG:AG,B17,'Res Trans Base Case'!K:K)</f>
        <v>0</v>
      </c>
      <c r="F17" s="315">
        <f>SUMIF('Com Trans Base Case'!AG:AG,'Peak Day Summary'!B17,'Com Trans Base Case'!K:K)</f>
        <v>6127</v>
      </c>
      <c r="G17" s="304">
        <f>SUMIF('Ind Trans Base Case'!AB:AB,'Peak Day Summary'!B17,'Ind Trans Base Case'!I:I)</f>
        <v>0</v>
      </c>
      <c r="H17" s="304">
        <f>SUMIF('Pub Trans Base Case'!AG:AG,'Peak Day Summary'!B17,'Pub Trans Base Case'!K:K)</f>
        <v>0</v>
      </c>
      <c r="I17" s="316">
        <f t="shared" si="0"/>
        <v>6127</v>
      </c>
      <c r="J17" s="316"/>
      <c r="K17" s="304">
        <f>SUMIF('Retail Sales Base Case'!AF:AF,B17,'Retail Sales Base Case'!M:M)</f>
        <v>0</v>
      </c>
      <c r="L17" s="304">
        <f>SUMIF('Res Trans Base Case'!AG:AG,B17,'Res Trans Base Case'!M:M)</f>
        <v>0</v>
      </c>
      <c r="M17" s="304">
        <f>SUMIF('Com Trans Base Case'!AG:AG,'Peak Day Summary'!B17,'Com Trans Base Case'!M:M)</f>
        <v>8548</v>
      </c>
      <c r="N17" s="304">
        <f>SUMIF('Ind Trans Base Case'!AB:AB,'Peak Day Summary'!B17,'Ind Trans Base Case'!K:K)</f>
        <v>0</v>
      </c>
      <c r="O17" s="304">
        <f>SUMIF('Pub Trans Base Case'!AG:AG,'Peak Day Summary'!B17,'Pub Trans Base Case'!M:M)</f>
        <v>0</v>
      </c>
      <c r="P17" s="316">
        <f t="shared" si="1"/>
        <v>8548</v>
      </c>
      <c r="Q17" s="316"/>
      <c r="R17" s="317"/>
      <c r="S17" s="317"/>
      <c r="U17" s="317"/>
      <c r="V17" s="317"/>
    </row>
    <row r="18" spans="1:22" x14ac:dyDescent="0.25">
      <c r="A18" t="s">
        <v>302</v>
      </c>
      <c r="B18" t="s">
        <v>303</v>
      </c>
      <c r="C18" t="s">
        <v>299</v>
      </c>
      <c r="D18" s="315">
        <f>SUMIF('Retail Sales Base Case'!AF:AF,B18,'Retail Sales Base Case'!K:K)</f>
        <v>0</v>
      </c>
      <c r="E18" s="315">
        <f>SUMIF('Res Trans Base Case'!AG:AG,B18,'Res Trans Base Case'!K:K)</f>
        <v>0</v>
      </c>
      <c r="F18" s="315">
        <f>SUMIF('Com Trans Base Case'!AG:AG,'Peak Day Summary'!B18,'Com Trans Base Case'!K:K)</f>
        <v>1303</v>
      </c>
      <c r="G18" s="304">
        <f>SUMIF('Ind Trans Base Case'!AB:AB,'Peak Day Summary'!B18,'Ind Trans Base Case'!I:I)</f>
        <v>0</v>
      </c>
      <c r="H18" s="304">
        <f>SUMIF('Pub Trans Base Case'!AG:AG,'Peak Day Summary'!B18,'Pub Trans Base Case'!K:K)</f>
        <v>0</v>
      </c>
      <c r="I18" s="316">
        <f t="shared" si="0"/>
        <v>1303</v>
      </c>
      <c r="J18" s="316"/>
      <c r="K18" s="304">
        <f>SUMIF('Retail Sales Base Case'!AF:AF,B18,'Retail Sales Base Case'!M:M)</f>
        <v>0</v>
      </c>
      <c r="L18" s="304">
        <f>SUMIF('Res Trans Base Case'!AG:AG,B18,'Res Trans Base Case'!M:M)</f>
        <v>0</v>
      </c>
      <c r="M18" s="304">
        <f>SUMIF('Com Trans Base Case'!AG:AG,'Peak Day Summary'!B18,'Com Trans Base Case'!M:M)</f>
        <v>1541</v>
      </c>
      <c r="N18" s="304">
        <f>SUMIF('Ind Trans Base Case'!AB:AB,'Peak Day Summary'!B18,'Ind Trans Base Case'!K:K)</f>
        <v>0</v>
      </c>
      <c r="O18" s="304">
        <f>SUMIF('Pub Trans Base Case'!AG:AG,'Peak Day Summary'!B18,'Pub Trans Base Case'!M:M)</f>
        <v>0</v>
      </c>
      <c r="P18" s="316">
        <f t="shared" si="1"/>
        <v>1541</v>
      </c>
      <c r="Q18" s="316"/>
      <c r="R18" s="317"/>
      <c r="S18" s="317"/>
      <c r="U18" s="317"/>
      <c r="V18" s="317"/>
    </row>
    <row r="19" spans="1:22" x14ac:dyDescent="0.25">
      <c r="A19" t="s">
        <v>304</v>
      </c>
      <c r="B19" t="s">
        <v>305</v>
      </c>
      <c r="C19" t="s">
        <v>306</v>
      </c>
      <c r="D19" s="315">
        <f>SUMIF('Retail Sales Base Case'!AF:AF,B19,'Retail Sales Base Case'!K:K)</f>
        <v>9070</v>
      </c>
      <c r="E19" s="315">
        <f>SUMIF('Res Trans Base Case'!AG:AG,B19,'Res Trans Base Case'!K:K)</f>
        <v>0</v>
      </c>
      <c r="F19" s="315">
        <f>SUMIF('Com Trans Base Case'!AG:AG,'Peak Day Summary'!B19,'Com Trans Base Case'!K:K)</f>
        <v>0</v>
      </c>
      <c r="G19" s="304">
        <f>SUMIF('Ind Trans Base Case'!AB:AB,'Peak Day Summary'!B19,'Ind Trans Base Case'!I:I)</f>
        <v>0</v>
      </c>
      <c r="H19" s="304">
        <f>SUMIF('Pub Trans Base Case'!AG:AG,'Peak Day Summary'!B19,'Pub Trans Base Case'!K:K)</f>
        <v>0</v>
      </c>
      <c r="I19" s="316">
        <f t="shared" si="0"/>
        <v>9070</v>
      </c>
      <c r="J19" s="316"/>
      <c r="K19" s="304">
        <f>SUMIF('Retail Sales Base Case'!AF:AF,B19,'Retail Sales Base Case'!M:M)</f>
        <v>10787</v>
      </c>
      <c r="L19" s="304">
        <f>SUMIF('Res Trans Base Case'!AG:AG,B19,'Res Trans Base Case'!M:M)</f>
        <v>0</v>
      </c>
      <c r="M19" s="304">
        <f>SUMIF('Com Trans Base Case'!AG:AG,'Peak Day Summary'!B19,'Com Trans Base Case'!M:M)</f>
        <v>0</v>
      </c>
      <c r="N19" s="304">
        <f>SUMIF('Ind Trans Base Case'!AB:AB,'Peak Day Summary'!B19,'Ind Trans Base Case'!K:K)</f>
        <v>0</v>
      </c>
      <c r="O19" s="304">
        <f>SUMIF('Pub Trans Base Case'!AG:AG,'Peak Day Summary'!B19,'Pub Trans Base Case'!M:M)</f>
        <v>0</v>
      </c>
      <c r="P19" s="316">
        <f t="shared" si="1"/>
        <v>10787</v>
      </c>
      <c r="Q19" s="316"/>
      <c r="R19" s="317"/>
      <c r="S19" s="317"/>
      <c r="U19" s="317"/>
      <c r="V19" s="317"/>
    </row>
    <row r="20" spans="1:22" x14ac:dyDescent="0.25">
      <c r="A20" t="s">
        <v>307</v>
      </c>
      <c r="B20" t="s">
        <v>308</v>
      </c>
      <c r="C20" t="s">
        <v>306</v>
      </c>
      <c r="D20" s="315">
        <f>SUMIF('Retail Sales Base Case'!AF:AF,B20,'Retail Sales Base Case'!K:K)</f>
        <v>0</v>
      </c>
      <c r="E20" s="315">
        <f>SUMIF('Res Trans Base Case'!AG:AG,B20,'Res Trans Base Case'!K:K)</f>
        <v>0</v>
      </c>
      <c r="F20" s="315">
        <f>SUMIF('Com Trans Base Case'!AG:AG,'Peak Day Summary'!B20,'Com Trans Base Case'!K:K)</f>
        <v>0</v>
      </c>
      <c r="G20" s="304">
        <f>SUMIF('Ind Trans Base Case'!AB:AB,'Peak Day Summary'!B20,'Ind Trans Base Case'!I:I)</f>
        <v>0</v>
      </c>
      <c r="H20" s="304">
        <f>SUMIF('Pub Trans Base Case'!AG:AG,'Peak Day Summary'!B20,'Pub Trans Base Case'!K:K)</f>
        <v>0</v>
      </c>
      <c r="I20" s="316">
        <f t="shared" si="0"/>
        <v>0</v>
      </c>
      <c r="J20" s="316"/>
      <c r="K20" s="304">
        <f>SUMIF('Retail Sales Base Case'!AF:AF,B20,'Retail Sales Base Case'!M:M)</f>
        <v>0</v>
      </c>
      <c r="L20" s="304">
        <f>SUMIF('Res Trans Base Case'!AG:AG,B20,'Res Trans Base Case'!M:M)</f>
        <v>0</v>
      </c>
      <c r="M20" s="304">
        <f>SUMIF('Com Trans Base Case'!AG:AG,'Peak Day Summary'!B20,'Com Trans Base Case'!M:M)</f>
        <v>0</v>
      </c>
      <c r="N20" s="304">
        <f>SUMIF('Ind Trans Base Case'!AB:AB,'Peak Day Summary'!B20,'Ind Trans Base Case'!K:K)</f>
        <v>0</v>
      </c>
      <c r="O20" s="304">
        <f>SUMIF('Pub Trans Base Case'!AG:AG,'Peak Day Summary'!B20,'Pub Trans Base Case'!M:M)</f>
        <v>0</v>
      </c>
      <c r="P20" s="316">
        <f t="shared" si="1"/>
        <v>0</v>
      </c>
      <c r="Q20" s="316"/>
      <c r="R20" s="317"/>
      <c r="S20" s="317"/>
      <c r="U20" s="317"/>
      <c r="V20" s="317"/>
    </row>
    <row r="21" spans="1:22" x14ac:dyDescent="0.25">
      <c r="A21" t="s">
        <v>309</v>
      </c>
      <c r="B21" t="s">
        <v>310</v>
      </c>
      <c r="C21" t="s">
        <v>306</v>
      </c>
      <c r="D21" s="315">
        <f>SUMIF('Retail Sales Base Case'!AF:AF,B21,'Retail Sales Base Case'!K:K)</f>
        <v>0</v>
      </c>
      <c r="E21" s="315">
        <f>SUMIF('Res Trans Base Case'!AG:AG,B21,'Res Trans Base Case'!K:K)</f>
        <v>0</v>
      </c>
      <c r="F21" s="315">
        <f>SUMIF('Com Trans Base Case'!AG:AG,'Peak Day Summary'!B21,'Com Trans Base Case'!K:K)</f>
        <v>7834</v>
      </c>
      <c r="G21" s="304">
        <f>SUMIF('Ind Trans Base Case'!AB:AB,'Peak Day Summary'!B21,'Ind Trans Base Case'!I:I)</f>
        <v>0</v>
      </c>
      <c r="H21" s="304">
        <f>SUMIF('Pub Trans Base Case'!AG:AG,'Peak Day Summary'!B21,'Pub Trans Base Case'!K:K)</f>
        <v>0</v>
      </c>
      <c r="I21" s="316">
        <f t="shared" si="0"/>
        <v>7834</v>
      </c>
      <c r="J21" s="316"/>
      <c r="K21" s="304">
        <f>SUMIF('Retail Sales Base Case'!AF:AF,B21,'Retail Sales Base Case'!M:M)</f>
        <v>0</v>
      </c>
      <c r="L21" s="304">
        <f>SUMIF('Res Trans Base Case'!AG:AG,B21,'Res Trans Base Case'!M:M)</f>
        <v>0</v>
      </c>
      <c r="M21" s="304">
        <f>SUMIF('Com Trans Base Case'!AG:AG,'Peak Day Summary'!B21,'Com Trans Base Case'!M:M)</f>
        <v>9265</v>
      </c>
      <c r="N21" s="304">
        <f>SUMIF('Ind Trans Base Case'!AB:AB,'Peak Day Summary'!B21,'Ind Trans Base Case'!K:K)</f>
        <v>0</v>
      </c>
      <c r="O21" s="304">
        <f>SUMIF('Pub Trans Base Case'!AG:AG,'Peak Day Summary'!B21,'Pub Trans Base Case'!M:M)</f>
        <v>0</v>
      </c>
      <c r="P21" s="316">
        <f t="shared" si="1"/>
        <v>9265</v>
      </c>
      <c r="Q21" s="316"/>
      <c r="R21" s="317"/>
      <c r="S21" s="317"/>
      <c r="U21" s="317"/>
      <c r="V21" s="317"/>
    </row>
    <row r="22" spans="1:22" x14ac:dyDescent="0.25">
      <c r="A22" t="s">
        <v>311</v>
      </c>
      <c r="B22" t="s">
        <v>312</v>
      </c>
      <c r="C22" t="s">
        <v>306</v>
      </c>
      <c r="D22" s="315">
        <f>SUMIF('Retail Sales Base Case'!AF:AF,B22,'Retail Sales Base Case'!K:K)</f>
        <v>0</v>
      </c>
      <c r="E22" s="315">
        <f>SUMIF('Res Trans Base Case'!AG:AG,B22,'Res Trans Base Case'!K:K)</f>
        <v>0</v>
      </c>
      <c r="F22" s="315">
        <f>SUMIF('Com Trans Base Case'!AG:AG,'Peak Day Summary'!B22,'Com Trans Base Case'!K:K)</f>
        <v>502</v>
      </c>
      <c r="G22" s="304">
        <f>SUMIF('Ind Trans Base Case'!AB:AB,'Peak Day Summary'!B22,'Ind Trans Base Case'!I:I)</f>
        <v>0</v>
      </c>
      <c r="H22" s="304">
        <f>SUMIF('Pub Trans Base Case'!AG:AG,'Peak Day Summary'!B22,'Pub Trans Base Case'!K:K)</f>
        <v>0</v>
      </c>
      <c r="I22" s="316">
        <f t="shared" si="0"/>
        <v>502</v>
      </c>
      <c r="J22" s="316"/>
      <c r="K22" s="304">
        <f>SUMIF('Retail Sales Base Case'!AF:AF,B22,'Retail Sales Base Case'!M:M)</f>
        <v>0</v>
      </c>
      <c r="L22" s="304">
        <f>SUMIF('Res Trans Base Case'!AG:AG,B22,'Res Trans Base Case'!M:M)</f>
        <v>0</v>
      </c>
      <c r="M22" s="304">
        <f>SUMIF('Com Trans Base Case'!AG:AG,'Peak Day Summary'!B22,'Com Trans Base Case'!M:M)</f>
        <v>593</v>
      </c>
      <c r="N22" s="304">
        <f>SUMIF('Ind Trans Base Case'!AB:AB,'Peak Day Summary'!B22,'Ind Trans Base Case'!K:K)</f>
        <v>0</v>
      </c>
      <c r="O22" s="304">
        <f>SUMIF('Pub Trans Base Case'!AG:AG,'Peak Day Summary'!B22,'Pub Trans Base Case'!M:M)</f>
        <v>0</v>
      </c>
      <c r="P22" s="316">
        <f t="shared" si="1"/>
        <v>593</v>
      </c>
      <c r="Q22" s="316"/>
      <c r="R22" s="317"/>
      <c r="S22" s="317"/>
      <c r="U22" s="317"/>
      <c r="V22" s="317"/>
    </row>
    <row r="23" spans="1:22" x14ac:dyDescent="0.25">
      <c r="A23" t="s">
        <v>313</v>
      </c>
      <c r="B23" t="s">
        <v>314</v>
      </c>
      <c r="C23" t="s">
        <v>292</v>
      </c>
      <c r="D23" s="315">
        <f>SUMIF('Retail Sales Base Case'!AF:AF,B23,'Retail Sales Base Case'!K:K)</f>
        <v>0</v>
      </c>
      <c r="E23" s="315">
        <f>SUMIF('Res Trans Base Case'!AG:AG,B23,'Res Trans Base Case'!K:K)</f>
        <v>0</v>
      </c>
      <c r="F23" s="315">
        <f>SUMIF('Com Trans Base Case'!AG:AG,'Peak Day Summary'!B23,'Com Trans Base Case'!K:K)</f>
        <v>0</v>
      </c>
      <c r="G23" s="304">
        <f>SUMIF('Ind Trans Base Case'!AB:AB,'Peak Day Summary'!B23,'Ind Trans Base Case'!I:I)</f>
        <v>0</v>
      </c>
      <c r="H23" s="304">
        <f>SUMIF('Pub Trans Base Case'!AG:AG,'Peak Day Summary'!B23,'Pub Trans Base Case'!K:K)</f>
        <v>240</v>
      </c>
      <c r="I23" s="316">
        <f t="shared" si="0"/>
        <v>240</v>
      </c>
      <c r="J23" s="316"/>
      <c r="K23" s="304">
        <f>SUMIF('Retail Sales Base Case'!AF:AF,B23,'Retail Sales Base Case'!M:M)</f>
        <v>0</v>
      </c>
      <c r="L23" s="304">
        <f>SUMIF('Res Trans Base Case'!AG:AG,B23,'Res Trans Base Case'!M:M)</f>
        <v>0</v>
      </c>
      <c r="M23" s="304">
        <f>SUMIF('Com Trans Base Case'!AG:AG,'Peak Day Summary'!B23,'Com Trans Base Case'!M:M)</f>
        <v>0</v>
      </c>
      <c r="N23" s="304">
        <f>SUMIF('Ind Trans Base Case'!AB:AB,'Peak Day Summary'!B23,'Ind Trans Base Case'!K:K)</f>
        <v>0</v>
      </c>
      <c r="O23" s="304">
        <f>SUMIF('Pub Trans Base Case'!AG:AG,'Peak Day Summary'!B23,'Pub Trans Base Case'!M:M)</f>
        <v>322</v>
      </c>
      <c r="P23" s="316">
        <f t="shared" si="1"/>
        <v>322</v>
      </c>
      <c r="Q23" s="316"/>
      <c r="R23" s="317"/>
      <c r="S23" s="317"/>
      <c r="U23" s="317"/>
      <c r="V23" s="317"/>
    </row>
    <row r="24" spans="1:22" x14ac:dyDescent="0.25">
      <c r="A24" t="s">
        <v>315</v>
      </c>
      <c r="B24" t="s">
        <v>316</v>
      </c>
      <c r="C24" t="s">
        <v>299</v>
      </c>
      <c r="D24" s="315">
        <f>SUMIF('Retail Sales Base Case'!AF:AF,B24,'Retail Sales Base Case'!K:K)</f>
        <v>0</v>
      </c>
      <c r="E24" s="315">
        <f>SUMIF('Res Trans Base Case'!AG:AG,B24,'Res Trans Base Case'!K:K)</f>
        <v>0</v>
      </c>
      <c r="F24" s="315">
        <f>SUMIF('Com Trans Base Case'!AG:AG,'Peak Day Summary'!B24,'Com Trans Base Case'!K:K)</f>
        <v>0</v>
      </c>
      <c r="G24" s="304">
        <f>SUMIF('Ind Trans Base Case'!AB:AB,'Peak Day Summary'!B24,'Ind Trans Base Case'!I:I)</f>
        <v>0</v>
      </c>
      <c r="H24" s="304">
        <f>SUMIF('Pub Trans Base Case'!AG:AG,'Peak Day Summary'!B24,'Pub Trans Base Case'!K:K)</f>
        <v>622</v>
      </c>
      <c r="I24" s="316">
        <f t="shared" si="0"/>
        <v>622</v>
      </c>
      <c r="J24" s="316"/>
      <c r="K24" s="304">
        <f>SUMIF('Retail Sales Base Case'!AF:AF,B24,'Retail Sales Base Case'!M:M)</f>
        <v>0</v>
      </c>
      <c r="L24" s="304">
        <f>SUMIF('Res Trans Base Case'!AG:AG,B24,'Res Trans Base Case'!M:M)</f>
        <v>0</v>
      </c>
      <c r="M24" s="304">
        <f>SUMIF('Com Trans Base Case'!AG:AG,'Peak Day Summary'!B24,'Com Trans Base Case'!M:M)</f>
        <v>0</v>
      </c>
      <c r="N24" s="304">
        <f>SUMIF('Ind Trans Base Case'!AB:AB,'Peak Day Summary'!B24,'Ind Trans Base Case'!K:K)</f>
        <v>0</v>
      </c>
      <c r="O24" s="304">
        <f>SUMIF('Pub Trans Base Case'!AG:AG,'Peak Day Summary'!B24,'Pub Trans Base Case'!M:M)</f>
        <v>868</v>
      </c>
      <c r="P24" s="316">
        <f t="shared" si="1"/>
        <v>868</v>
      </c>
      <c r="Q24" s="316"/>
      <c r="R24" s="317"/>
      <c r="S24" s="317"/>
      <c r="U24" s="317"/>
      <c r="V24" s="317"/>
    </row>
    <row r="25" spans="1:22" x14ac:dyDescent="0.25">
      <c r="A25" t="s">
        <v>317</v>
      </c>
      <c r="B25" t="s">
        <v>318</v>
      </c>
      <c r="C25" t="s">
        <v>299</v>
      </c>
      <c r="D25" s="315">
        <f>SUMIF('Retail Sales Base Case'!AF:AF,B25,'Retail Sales Base Case'!K:K)</f>
        <v>0</v>
      </c>
      <c r="E25" s="315">
        <f>SUMIF('Res Trans Base Case'!AG:AG,B25,'Res Trans Base Case'!K:K)</f>
        <v>0</v>
      </c>
      <c r="F25" s="315">
        <f>SUMIF('Com Trans Base Case'!AG:AG,'Peak Day Summary'!B25,'Com Trans Base Case'!K:K)</f>
        <v>0</v>
      </c>
      <c r="G25" s="304">
        <f>SUMIF('Ind Trans Base Case'!AB:AB,'Peak Day Summary'!B25,'Ind Trans Base Case'!I:I)</f>
        <v>0</v>
      </c>
      <c r="H25" s="304">
        <f>SUMIF('Pub Trans Base Case'!AG:AG,'Peak Day Summary'!B25,'Pub Trans Base Case'!K:K)</f>
        <v>85</v>
      </c>
      <c r="I25" s="316">
        <f t="shared" si="0"/>
        <v>85</v>
      </c>
      <c r="J25" s="316"/>
      <c r="K25" s="304">
        <f>SUMIF('Retail Sales Base Case'!AF:AF,B25,'Retail Sales Base Case'!M:M)</f>
        <v>0</v>
      </c>
      <c r="L25" s="304">
        <f>SUMIF('Res Trans Base Case'!AG:AG,B25,'Res Trans Base Case'!M:M)</f>
        <v>0</v>
      </c>
      <c r="M25" s="304">
        <f>SUMIF('Com Trans Base Case'!AG:AG,'Peak Day Summary'!B25,'Com Trans Base Case'!M:M)</f>
        <v>0</v>
      </c>
      <c r="N25" s="304">
        <f>SUMIF('Ind Trans Base Case'!AB:AB,'Peak Day Summary'!B25,'Ind Trans Base Case'!K:K)</f>
        <v>0</v>
      </c>
      <c r="O25" s="304">
        <f>SUMIF('Pub Trans Base Case'!AG:AG,'Peak Day Summary'!B25,'Pub Trans Base Case'!M:M)</f>
        <v>100</v>
      </c>
      <c r="P25" s="316">
        <f t="shared" si="1"/>
        <v>100</v>
      </c>
      <c r="Q25" s="316"/>
      <c r="R25" s="317"/>
      <c r="S25" s="317"/>
      <c r="U25" s="317"/>
      <c r="V25" s="317"/>
    </row>
    <row r="26" spans="1:22" x14ac:dyDescent="0.25">
      <c r="A26" t="s">
        <v>319</v>
      </c>
      <c r="B26" t="s">
        <v>320</v>
      </c>
      <c r="C26" t="s">
        <v>320</v>
      </c>
      <c r="D26" s="315">
        <f>SUMIF('Retail Sales Base Case'!AF:AF,B26,'Retail Sales Base Case'!K:K)</f>
        <v>331</v>
      </c>
      <c r="E26" s="315">
        <f>SUMIF('Res Trans Base Case'!AG:AG,B26,'Res Trans Base Case'!K:K)</f>
        <v>0</v>
      </c>
      <c r="F26" s="315">
        <f>SUMIF('Com Trans Base Case'!AG:AG,'Peak Day Summary'!B26,'Com Trans Base Case'!K:K)</f>
        <v>0</v>
      </c>
      <c r="G26" s="315">
        <f>SUMIF('Ind Trans Base Case'!AB:AB,'Peak Day Summary'!B26,'Ind Trans Base Case'!I:I)</f>
        <v>0</v>
      </c>
      <c r="H26" s="315">
        <f>SUMIF('Pub Trans Base Case'!AG:AG,'Peak Day Summary'!B26,'Pub Trans Base Case'!K:K)</f>
        <v>0</v>
      </c>
      <c r="I26" s="316">
        <f t="shared" si="0"/>
        <v>331</v>
      </c>
      <c r="J26" s="316"/>
      <c r="K26" s="315">
        <f>SUMIF('Retail Sales Base Case'!AF:AF,B26,'Retail Sales Base Case'!M:M)</f>
        <v>331</v>
      </c>
      <c r="L26" s="315">
        <f>SUMIF('Res Trans Base Case'!AG:AG,B26,'Res Trans Base Case'!M:M)</f>
        <v>0</v>
      </c>
      <c r="M26" s="315">
        <f>SUMIF('Com Trans Base Case'!AG:AG,'Peak Day Summary'!B26,'Com Trans Base Case'!M:M)</f>
        <v>0</v>
      </c>
      <c r="N26" s="315">
        <f>SUMIF('Ind Trans Base Case'!AB:AB,'Peak Day Summary'!B26,'Ind Trans Base Case'!K:K)</f>
        <v>0</v>
      </c>
      <c r="O26" s="315">
        <f>SUMIF('Pub Trans Base Case'!AG:AG,'Peak Day Summary'!B26,'Pub Trans Base Case'!M:M)</f>
        <v>0</v>
      </c>
      <c r="P26" s="316">
        <f t="shared" si="1"/>
        <v>331</v>
      </c>
      <c r="Q26" s="316"/>
      <c r="R26" s="317"/>
      <c r="S26" s="317"/>
      <c r="U26" s="317"/>
      <c r="V26" s="317"/>
    </row>
    <row r="27" spans="1:22" x14ac:dyDescent="0.25">
      <c r="A27" t="s">
        <v>321</v>
      </c>
      <c r="B27" t="s">
        <v>322</v>
      </c>
      <c r="C27" t="s">
        <v>306</v>
      </c>
      <c r="D27" s="315">
        <f>SUMIF('Retail Sales Base Case'!AF:AF,B27,'Retail Sales Base Case'!K:K)</f>
        <v>0</v>
      </c>
      <c r="E27" s="315">
        <f>SUMIF('Res Trans Base Case'!AG:AG,B27,'Res Trans Base Case'!K:K)</f>
        <v>1237</v>
      </c>
      <c r="F27" s="315">
        <f>SUMIF('Com Trans Base Case'!AG:AG,'Peak Day Summary'!B27,'Com Trans Base Case'!K:K)</f>
        <v>0</v>
      </c>
      <c r="G27" s="304">
        <f>SUMIF('Ind Trans Base Case'!AB:AB,'Peak Day Summary'!B27,'Ind Trans Base Case'!I:I)</f>
        <v>0</v>
      </c>
      <c r="H27" s="304">
        <f>SUMIF('Pub Trans Base Case'!AG:AG,'Peak Day Summary'!B27,'Pub Trans Base Case'!K:K)</f>
        <v>0</v>
      </c>
      <c r="I27" s="316">
        <f t="shared" si="0"/>
        <v>1237</v>
      </c>
      <c r="J27" s="316"/>
      <c r="K27" s="304">
        <f>SUMIF('Retail Sales Base Case'!AF:AF,B27,'Retail Sales Base Case'!M:M)</f>
        <v>0</v>
      </c>
      <c r="L27" s="304">
        <f>SUMIF('Res Trans Base Case'!AG:AG,B27,'Res Trans Base Case'!M:M)</f>
        <v>1726</v>
      </c>
      <c r="M27" s="304">
        <f>SUMIF('Com Trans Base Case'!AG:AG,'Peak Day Summary'!B27,'Com Trans Base Case'!M:M)</f>
        <v>0</v>
      </c>
      <c r="N27" s="304">
        <f>SUMIF('Ind Trans Base Case'!AB:AB,'Peak Day Summary'!B27,'Ind Trans Base Case'!K:K)</f>
        <v>0</v>
      </c>
      <c r="O27" s="304">
        <f>SUMIF('Pub Trans Base Case'!AG:AG,'Peak Day Summary'!B27,'Pub Trans Base Case'!M:M)</f>
        <v>0</v>
      </c>
      <c r="P27" s="316">
        <f t="shared" si="1"/>
        <v>1726</v>
      </c>
      <c r="Q27" s="316"/>
      <c r="R27" s="317"/>
      <c r="S27" s="317"/>
      <c r="U27" s="317"/>
      <c r="V27" s="317"/>
    </row>
    <row r="28" spans="1:22" x14ac:dyDescent="0.25">
      <c r="A28" t="s">
        <v>323</v>
      </c>
      <c r="B28" t="s">
        <v>324</v>
      </c>
      <c r="C28" t="s">
        <v>306</v>
      </c>
      <c r="D28" s="315">
        <f>SUMIF('Retail Sales Base Case'!AF:AF,B28,'Retail Sales Base Case'!K:K)</f>
        <v>0</v>
      </c>
      <c r="E28" s="315">
        <f>SUMIF('Res Trans Base Case'!AG:AG,B28,'Res Trans Base Case'!K:K)</f>
        <v>0</v>
      </c>
      <c r="F28" s="315">
        <f>SUMIF('Com Trans Base Case'!AG:AG,'Peak Day Summary'!B28,'Com Trans Base Case'!K:K)</f>
        <v>0</v>
      </c>
      <c r="G28" s="304">
        <f>SUMIF('Ind Trans Base Case'!AB:AB,'Peak Day Summary'!B28,'Ind Trans Base Case'!I:I)</f>
        <v>0</v>
      </c>
      <c r="H28" s="304">
        <f>SUMIF('Pub Trans Base Case'!AG:AG,'Peak Day Summary'!B28,'Pub Trans Base Case'!K:K)</f>
        <v>1896</v>
      </c>
      <c r="I28" s="316">
        <f t="shared" si="0"/>
        <v>1896</v>
      </c>
      <c r="J28" s="316"/>
      <c r="K28" s="304">
        <f>SUMIF('Retail Sales Base Case'!AF:AF,B28,'Retail Sales Base Case'!M:M)</f>
        <v>0</v>
      </c>
      <c r="L28" s="304">
        <f>SUMIF('Res Trans Base Case'!AG:AG,B28,'Res Trans Base Case'!M:M)</f>
        <v>0</v>
      </c>
      <c r="M28" s="304">
        <f>SUMIF('Com Trans Base Case'!AG:AG,'Peak Day Summary'!B28,'Com Trans Base Case'!M:M)</f>
        <v>0</v>
      </c>
      <c r="N28" s="304">
        <f>SUMIF('Ind Trans Base Case'!AB:AB,'Peak Day Summary'!B28,'Ind Trans Base Case'!K:K)</f>
        <v>0</v>
      </c>
      <c r="O28" s="304">
        <f>SUMIF('Pub Trans Base Case'!AG:AG,'Peak Day Summary'!B28,'Pub Trans Base Case'!M:M)</f>
        <v>2242</v>
      </c>
      <c r="P28" s="316">
        <f t="shared" si="1"/>
        <v>2242</v>
      </c>
      <c r="Q28" s="316"/>
      <c r="R28" s="317"/>
      <c r="S28" s="317"/>
      <c r="U28" s="317"/>
      <c r="V28" s="317"/>
    </row>
    <row r="29" spans="1:22" x14ac:dyDescent="0.25">
      <c r="A29" t="s">
        <v>325</v>
      </c>
      <c r="B29" t="s">
        <v>326</v>
      </c>
      <c r="C29" t="s">
        <v>306</v>
      </c>
      <c r="D29" s="315">
        <f>SUMIF('Retail Sales Base Case'!AF:AF,B29,'Retail Sales Base Case'!K:K)</f>
        <v>0</v>
      </c>
      <c r="E29" s="315">
        <f>SUMIF('Res Trans Base Case'!AG:AG,B29,'Res Trans Base Case'!K:K)</f>
        <v>0</v>
      </c>
      <c r="F29" s="315">
        <f>SUMIF('Com Trans Base Case'!AG:AG,'Peak Day Summary'!B29,'Com Trans Base Case'!K:K)</f>
        <v>0</v>
      </c>
      <c r="G29" s="304">
        <f>SUMIF('Ind Trans Base Case'!AB:AB,'Peak Day Summary'!B29,'Ind Trans Base Case'!I:I)</f>
        <v>0</v>
      </c>
      <c r="H29" s="304">
        <f>SUMIF('Pub Trans Base Case'!AG:AG,'Peak Day Summary'!B29,'Pub Trans Base Case'!K:K)</f>
        <v>49</v>
      </c>
      <c r="I29" s="316">
        <f t="shared" si="0"/>
        <v>49</v>
      </c>
      <c r="J29" s="316"/>
      <c r="K29" s="304">
        <f>SUMIF('Retail Sales Base Case'!AF:AF,B29,'Retail Sales Base Case'!M:M)</f>
        <v>0</v>
      </c>
      <c r="L29" s="304">
        <f>SUMIF('Res Trans Base Case'!AG:AG,B29,'Res Trans Base Case'!M:M)</f>
        <v>0</v>
      </c>
      <c r="M29" s="304">
        <f>SUMIF('Com Trans Base Case'!AG:AG,'Peak Day Summary'!B29,'Com Trans Base Case'!M:M)</f>
        <v>0</v>
      </c>
      <c r="N29" s="304">
        <f>SUMIF('Ind Trans Base Case'!AB:AB,'Peak Day Summary'!B29,'Ind Trans Base Case'!K:K)</f>
        <v>0</v>
      </c>
      <c r="O29" s="304">
        <f>SUMIF('Pub Trans Base Case'!AG:AG,'Peak Day Summary'!B29,'Pub Trans Base Case'!M:M)</f>
        <v>58</v>
      </c>
      <c r="P29" s="316">
        <f t="shared" si="1"/>
        <v>58</v>
      </c>
      <c r="Q29" s="316"/>
      <c r="R29" s="317"/>
      <c r="S29" s="317"/>
      <c r="U29" s="317"/>
      <c r="V29" s="317"/>
    </row>
    <row r="30" spans="1:22" x14ac:dyDescent="0.25">
      <c r="A30" t="s">
        <v>327</v>
      </c>
      <c r="B30" t="s">
        <v>328</v>
      </c>
      <c r="C30" t="s">
        <v>328</v>
      </c>
      <c r="D30" s="315">
        <f>SUMIF('Retail Sales Base Case'!AF:AF,B30,'Retail Sales Base Case'!K:K)</f>
        <v>474</v>
      </c>
      <c r="E30" s="315">
        <f>SUMIF('Res Trans Base Case'!AG:AG,B30,'Res Trans Base Case'!K:K)</f>
        <v>0</v>
      </c>
      <c r="F30" s="315">
        <f>SUMIF('Com Trans Base Case'!AG:AG,'Peak Day Summary'!B30,'Com Trans Base Case'!K:K)</f>
        <v>0</v>
      </c>
      <c r="G30" s="304">
        <f>SUMIF('Ind Trans Base Case'!AB:AB,'Peak Day Summary'!B30,'Ind Trans Base Case'!I:I)</f>
        <v>0</v>
      </c>
      <c r="H30" s="304">
        <f>SUMIF('Pub Trans Base Case'!AG:AG,'Peak Day Summary'!B30,'Pub Trans Base Case'!K:K)</f>
        <v>0</v>
      </c>
      <c r="I30" s="316">
        <f t="shared" si="0"/>
        <v>474</v>
      </c>
      <c r="J30" s="316"/>
      <c r="K30" s="304">
        <f>SUMIF('Retail Sales Base Case'!AF:AF,B30,'Retail Sales Base Case'!M:M)</f>
        <v>474</v>
      </c>
      <c r="L30" s="304">
        <f>SUMIF('Res Trans Base Case'!AG:AG,B30,'Res Trans Base Case'!M:M)</f>
        <v>0</v>
      </c>
      <c r="M30" s="304">
        <f>SUMIF('Com Trans Base Case'!AG:AG,'Peak Day Summary'!B30,'Com Trans Base Case'!M:M)</f>
        <v>0</v>
      </c>
      <c r="N30" s="304">
        <f>SUMIF('Ind Trans Base Case'!AB:AB,'Peak Day Summary'!B30,'Ind Trans Base Case'!K:K)</f>
        <v>0</v>
      </c>
      <c r="O30" s="304">
        <f>SUMIF('Pub Trans Base Case'!AG:AG,'Peak Day Summary'!B30,'Pub Trans Base Case'!M:M)</f>
        <v>0</v>
      </c>
      <c r="P30" s="316">
        <f t="shared" si="1"/>
        <v>474</v>
      </c>
      <c r="Q30" s="316"/>
      <c r="R30" s="317"/>
      <c r="S30" s="317"/>
      <c r="U30" s="317"/>
      <c r="V30" s="317"/>
    </row>
    <row r="31" spans="1:22" x14ac:dyDescent="0.25">
      <c r="A31" t="s">
        <v>329</v>
      </c>
      <c r="B31" t="s">
        <v>330</v>
      </c>
      <c r="C31" t="s">
        <v>328</v>
      </c>
      <c r="D31" s="315">
        <f>SUMIF('Retail Sales Base Case'!AF:AF,B31,'Retail Sales Base Case'!K:K)</f>
        <v>0</v>
      </c>
      <c r="E31" s="315">
        <f>SUMIF('Res Trans Base Case'!AG:AG,B31,'Res Trans Base Case'!K:K)</f>
        <v>0</v>
      </c>
      <c r="F31" s="315">
        <f>SUMIF('Com Trans Base Case'!AG:AG,'Peak Day Summary'!B31,'Com Trans Base Case'!K:K)</f>
        <v>0</v>
      </c>
      <c r="G31" s="304">
        <f>SUMIF('Ind Trans Base Case'!AB:AB,'Peak Day Summary'!B31,'Ind Trans Base Case'!I:I)</f>
        <v>226</v>
      </c>
      <c r="H31" s="304">
        <f>SUMIF('Pub Trans Base Case'!AG:AG,'Peak Day Summary'!B31,'Pub Trans Base Case'!K:K)</f>
        <v>0</v>
      </c>
      <c r="I31" s="316">
        <f t="shared" si="0"/>
        <v>226</v>
      </c>
      <c r="J31" s="316"/>
      <c r="K31" s="304">
        <f>SUMIF('Retail Sales Base Case'!AF:AF,B31,'Retail Sales Base Case'!M:M)</f>
        <v>0</v>
      </c>
      <c r="L31" s="304">
        <f>SUMIF('Res Trans Base Case'!AG:AG,B31,'Res Trans Base Case'!M:M)</f>
        <v>0</v>
      </c>
      <c r="M31" s="304">
        <f>SUMIF('Com Trans Base Case'!AG:AG,'Peak Day Summary'!B31,'Com Trans Base Case'!M:M)</f>
        <v>0</v>
      </c>
      <c r="N31" s="304">
        <f>SUMIF('Ind Trans Base Case'!AB:AB,'Peak Day Summary'!B31,'Ind Trans Base Case'!K:K)</f>
        <v>334</v>
      </c>
      <c r="O31" s="304">
        <f>SUMIF('Pub Trans Base Case'!AG:AG,'Peak Day Summary'!B31,'Pub Trans Base Case'!M:M)</f>
        <v>0</v>
      </c>
      <c r="P31" s="316">
        <f t="shared" si="1"/>
        <v>334</v>
      </c>
      <c r="Q31" s="316"/>
      <c r="R31" s="317"/>
      <c r="S31" s="317"/>
      <c r="U31" s="317"/>
      <c r="V31" s="317"/>
    </row>
    <row r="32" spans="1:22" x14ac:dyDescent="0.25">
      <c r="A32" t="s">
        <v>331</v>
      </c>
      <c r="B32" t="s">
        <v>332</v>
      </c>
      <c r="C32" t="s">
        <v>328</v>
      </c>
      <c r="D32" s="315">
        <f>SUMIF('Retail Sales Base Case'!AF:AF,B32,'Retail Sales Base Case'!K:K)</f>
        <v>0</v>
      </c>
      <c r="E32" s="315">
        <f>SUMIF('Res Trans Base Case'!AG:AG,B32,'Res Trans Base Case'!K:K)</f>
        <v>0</v>
      </c>
      <c r="F32" s="315">
        <f>SUMIF('Com Trans Base Case'!AG:AG,'Peak Day Summary'!B32,'Com Trans Base Case'!K:K)</f>
        <v>0</v>
      </c>
      <c r="G32" s="304">
        <f>SUMIF('Ind Trans Base Case'!AB:AB,'Peak Day Summary'!B32,'Ind Trans Base Case'!I:I)</f>
        <v>53</v>
      </c>
      <c r="H32" s="304">
        <f>SUMIF('Pub Trans Base Case'!AG:AG,'Peak Day Summary'!B32,'Pub Trans Base Case'!K:K)</f>
        <v>0</v>
      </c>
      <c r="I32" s="316">
        <f t="shared" si="0"/>
        <v>53</v>
      </c>
      <c r="J32" s="316"/>
      <c r="K32" s="304">
        <f>SUMIF('Retail Sales Base Case'!AF:AF,B32,'Retail Sales Base Case'!M:M)</f>
        <v>0</v>
      </c>
      <c r="L32" s="304">
        <f>SUMIF('Res Trans Base Case'!AG:AG,B32,'Res Trans Base Case'!M:M)</f>
        <v>0</v>
      </c>
      <c r="M32" s="304">
        <f>SUMIF('Com Trans Base Case'!AG:AG,'Peak Day Summary'!B32,'Com Trans Base Case'!M:M)</f>
        <v>0</v>
      </c>
      <c r="N32" s="304">
        <f>SUMIF('Ind Trans Base Case'!AB:AB,'Peak Day Summary'!B32,'Ind Trans Base Case'!K:K)</f>
        <v>78</v>
      </c>
      <c r="O32" s="304">
        <f>SUMIF('Pub Trans Base Case'!AG:AG,'Peak Day Summary'!B32,'Pub Trans Base Case'!M:M)</f>
        <v>0</v>
      </c>
      <c r="P32" s="316">
        <f t="shared" si="1"/>
        <v>78</v>
      </c>
      <c r="Q32" s="316"/>
      <c r="R32" s="317"/>
      <c r="S32" s="317"/>
      <c r="U32" s="317"/>
      <c r="V32" s="317"/>
    </row>
    <row r="33" spans="1:22" x14ac:dyDescent="0.25">
      <c r="A33" t="s">
        <v>333</v>
      </c>
      <c r="B33" t="s">
        <v>334</v>
      </c>
      <c r="C33" t="s">
        <v>334</v>
      </c>
      <c r="D33" s="315">
        <f>SUMIF('Retail Sales Base Case'!AF:AF,B33,'Retail Sales Base Case'!K:K)</f>
        <v>1735</v>
      </c>
      <c r="E33" s="315">
        <f>SUMIF('Res Trans Base Case'!AG:AG,B33,'Res Trans Base Case'!K:K)</f>
        <v>0</v>
      </c>
      <c r="F33" s="315">
        <f>SUMIF('Com Trans Base Case'!AG:AG,'Peak Day Summary'!B33,'Com Trans Base Case'!K:K)</f>
        <v>0</v>
      </c>
      <c r="G33" s="304">
        <f>SUMIF('Ind Trans Base Case'!AB:AB,'Peak Day Summary'!B33,'Ind Trans Base Case'!I:I)</f>
        <v>0</v>
      </c>
      <c r="H33" s="304">
        <f>SUMIF('Pub Trans Base Case'!AG:AG,'Peak Day Summary'!B33,'Pub Trans Base Case'!K:K)</f>
        <v>0</v>
      </c>
      <c r="I33" s="316">
        <f t="shared" si="0"/>
        <v>1735</v>
      </c>
      <c r="J33" s="316"/>
      <c r="K33" s="304">
        <f>SUMIF('Retail Sales Base Case'!AF:AF,B33,'Retail Sales Base Case'!M:M)</f>
        <v>1735</v>
      </c>
      <c r="L33" s="304">
        <f>SUMIF('Res Trans Base Case'!AG:AG,B33,'Res Trans Base Case'!M:M)</f>
        <v>0</v>
      </c>
      <c r="M33" s="304">
        <f>SUMIF('Com Trans Base Case'!AG:AG,'Peak Day Summary'!B33,'Com Trans Base Case'!M:M)</f>
        <v>0</v>
      </c>
      <c r="N33" s="304">
        <f>SUMIF('Ind Trans Base Case'!AB:AB,'Peak Day Summary'!B33,'Ind Trans Base Case'!K:K)</f>
        <v>0</v>
      </c>
      <c r="O33" s="304">
        <f>SUMIF('Pub Trans Base Case'!AG:AG,'Peak Day Summary'!B33,'Pub Trans Base Case'!M:M)</f>
        <v>0</v>
      </c>
      <c r="P33" s="316">
        <f t="shared" si="1"/>
        <v>1735</v>
      </c>
      <c r="Q33" s="316"/>
      <c r="R33" s="317"/>
      <c r="S33" s="317"/>
      <c r="U33" s="317"/>
      <c r="V33" s="317"/>
    </row>
    <row r="34" spans="1:22" x14ac:dyDescent="0.25">
      <c r="A34" t="s">
        <v>335</v>
      </c>
      <c r="B34" t="s">
        <v>336</v>
      </c>
      <c r="C34" t="s">
        <v>334</v>
      </c>
      <c r="D34" s="315">
        <f>SUMIF('Retail Sales Base Case'!AF:AF,B34,'Retail Sales Base Case'!K:K)</f>
        <v>0</v>
      </c>
      <c r="E34" s="315">
        <f>SUMIF('Res Trans Base Case'!AG:AG,B34,'Res Trans Base Case'!K:K)</f>
        <v>0</v>
      </c>
      <c r="F34" s="315">
        <f>SUMIF('Com Trans Base Case'!AG:AG,'Peak Day Summary'!B34,'Com Trans Base Case'!K:K)</f>
        <v>0</v>
      </c>
      <c r="G34" s="304">
        <f>SUMIF('Ind Trans Base Case'!AB:AB,'Peak Day Summary'!B34,'Ind Trans Base Case'!I:I)</f>
        <v>14803</v>
      </c>
      <c r="H34" s="304">
        <f>SUMIF('Pub Trans Base Case'!AG:AG,'Peak Day Summary'!B34,'Pub Trans Base Case'!K:K)</f>
        <v>0</v>
      </c>
      <c r="I34" s="316">
        <f t="shared" si="0"/>
        <v>14803</v>
      </c>
      <c r="J34" s="316"/>
      <c r="K34" s="304">
        <f>SUMIF('Retail Sales Base Case'!AF:AF,B34,'Retail Sales Base Case'!M:M)</f>
        <v>0</v>
      </c>
      <c r="L34" s="304">
        <f>SUMIF('Res Trans Base Case'!AG:AG,B34,'Res Trans Base Case'!M:M)</f>
        <v>0</v>
      </c>
      <c r="M34" s="304">
        <f>SUMIF('Com Trans Base Case'!AG:AG,'Peak Day Summary'!B34,'Com Trans Base Case'!M:M)</f>
        <v>0</v>
      </c>
      <c r="N34" s="304">
        <f>SUMIF('Ind Trans Base Case'!AB:AB,'Peak Day Summary'!B34,'Ind Trans Base Case'!K:K)</f>
        <v>21852</v>
      </c>
      <c r="O34" s="304">
        <f>SUMIF('Pub Trans Base Case'!AG:AG,'Peak Day Summary'!B34,'Pub Trans Base Case'!M:M)</f>
        <v>0</v>
      </c>
      <c r="P34" s="316">
        <f t="shared" si="1"/>
        <v>21852</v>
      </c>
      <c r="Q34" s="316"/>
      <c r="R34" s="317"/>
      <c r="S34" s="317"/>
      <c r="U34" s="317"/>
      <c r="V34" s="317"/>
    </row>
    <row r="35" spans="1:22" x14ac:dyDescent="0.25">
      <c r="A35" t="s">
        <v>337</v>
      </c>
      <c r="B35" t="s">
        <v>338</v>
      </c>
      <c r="C35" t="s">
        <v>334</v>
      </c>
      <c r="D35" s="315">
        <f>SUMIF('Retail Sales Base Case'!AF:AF,B35,'Retail Sales Base Case'!K:K)</f>
        <v>0</v>
      </c>
      <c r="E35" s="315">
        <f>SUMIF('Res Trans Base Case'!AG:AG,B35,'Res Trans Base Case'!K:K)</f>
        <v>0</v>
      </c>
      <c r="F35" s="315">
        <f>SUMIF('Com Trans Base Case'!AG:AG,'Peak Day Summary'!B35,'Com Trans Base Case'!K:K)</f>
        <v>0</v>
      </c>
      <c r="G35" s="304">
        <f>SUMIF('Ind Trans Base Case'!AB:AB,'Peak Day Summary'!B35,'Ind Trans Base Case'!I:I)</f>
        <v>3498</v>
      </c>
      <c r="H35" s="304">
        <f>SUMIF('Pub Trans Base Case'!AG:AG,'Peak Day Summary'!B35,'Pub Trans Base Case'!K:K)</f>
        <v>0</v>
      </c>
      <c r="I35" s="316">
        <f t="shared" si="0"/>
        <v>3498</v>
      </c>
      <c r="J35" s="316"/>
      <c r="K35" s="304">
        <f>SUMIF('Retail Sales Base Case'!AF:AF,B35,'Retail Sales Base Case'!M:M)</f>
        <v>0</v>
      </c>
      <c r="L35" s="304">
        <f>SUMIF('Res Trans Base Case'!AG:AG,B35,'Res Trans Base Case'!M:M)</f>
        <v>0</v>
      </c>
      <c r="M35" s="304">
        <f>SUMIF('Com Trans Base Case'!AG:AG,'Peak Day Summary'!B35,'Com Trans Base Case'!M:M)</f>
        <v>0</v>
      </c>
      <c r="N35" s="304">
        <f>SUMIF('Ind Trans Base Case'!AB:AB,'Peak Day Summary'!B35,'Ind Trans Base Case'!K:K)</f>
        <v>5164</v>
      </c>
      <c r="O35" s="304">
        <f>SUMIF('Pub Trans Base Case'!AG:AG,'Peak Day Summary'!B35,'Pub Trans Base Case'!M:M)</f>
        <v>0</v>
      </c>
      <c r="P35" s="316">
        <f t="shared" si="1"/>
        <v>5164</v>
      </c>
      <c r="Q35" s="316"/>
      <c r="R35" s="317"/>
      <c r="S35" s="317"/>
      <c r="U35" s="317"/>
      <c r="V35" s="317"/>
    </row>
    <row r="36" spans="1:22" x14ac:dyDescent="0.25">
      <c r="A36" t="s">
        <v>339</v>
      </c>
      <c r="B36" t="s">
        <v>340</v>
      </c>
      <c r="C36" t="s">
        <v>334</v>
      </c>
      <c r="D36" s="315">
        <f>SUMIF('Retail Sales Base Case'!AF:AF,B36,'Retail Sales Base Case'!K:K)</f>
        <v>0</v>
      </c>
      <c r="E36" s="315">
        <f>SUMIF('Res Trans Base Case'!AG:AG,B36,'Res Trans Base Case'!K:K)</f>
        <v>0</v>
      </c>
      <c r="F36" s="315">
        <f>SUMIF('Com Trans Base Case'!AG:AG,'Peak Day Summary'!B36,'Com Trans Base Case'!K:K)</f>
        <v>0</v>
      </c>
      <c r="G36" s="304">
        <f>SUMIF('Ind Trans Base Case'!AB:AB,'Peak Day Summary'!B36,'Ind Trans Base Case'!I:I)</f>
        <v>15</v>
      </c>
      <c r="H36" s="304">
        <f>SUMIF('Pub Trans Base Case'!AG:AG,'Peak Day Summary'!B36,'Pub Trans Base Case'!K:K)</f>
        <v>0</v>
      </c>
      <c r="I36" s="316">
        <f t="shared" si="0"/>
        <v>15</v>
      </c>
      <c r="J36" s="316"/>
      <c r="K36" s="304">
        <f>SUMIF('Retail Sales Base Case'!AF:AF,B36,'Retail Sales Base Case'!M:M)</f>
        <v>0</v>
      </c>
      <c r="L36" s="304">
        <f>SUMIF('Res Trans Base Case'!AG:AG,B36,'Res Trans Base Case'!M:M)</f>
        <v>0</v>
      </c>
      <c r="M36" s="304">
        <f>SUMIF('Com Trans Base Case'!AG:AG,'Peak Day Summary'!B36,'Com Trans Base Case'!M:M)</f>
        <v>0</v>
      </c>
      <c r="N36" s="304">
        <f>SUMIF('Ind Trans Base Case'!AB:AB,'Peak Day Summary'!B36,'Ind Trans Base Case'!K:K)</f>
        <v>23</v>
      </c>
      <c r="O36" s="304">
        <f>SUMIF('Pub Trans Base Case'!AG:AG,'Peak Day Summary'!B36,'Pub Trans Base Case'!M:M)</f>
        <v>0</v>
      </c>
      <c r="P36" s="316">
        <f t="shared" si="1"/>
        <v>23</v>
      </c>
      <c r="Q36" s="316"/>
      <c r="R36" s="317"/>
      <c r="S36" s="317"/>
      <c r="U36" s="317"/>
      <c r="V36" s="317"/>
    </row>
    <row r="37" spans="1:22" x14ac:dyDescent="0.25">
      <c r="A37" t="s">
        <v>341</v>
      </c>
      <c r="B37" t="s">
        <v>342</v>
      </c>
      <c r="C37" t="s">
        <v>343</v>
      </c>
      <c r="D37" s="315">
        <f>SUMIF('Retail Sales Base Case'!AF:AF,B37,'Retail Sales Base Case'!K:K)</f>
        <v>0</v>
      </c>
      <c r="E37" s="315">
        <f>SUMIF('Res Trans Base Case'!AG:AG,B37,'Res Trans Base Case'!K:K)</f>
        <v>0</v>
      </c>
      <c r="F37" s="315">
        <f>SUMIF('Com Trans Base Case'!AG:AG,'Peak Day Summary'!B37,'Com Trans Base Case'!K:K)</f>
        <v>0</v>
      </c>
      <c r="G37" s="304">
        <f>SUMIF('Ind Trans Base Case'!AB:AB,'Peak Day Summary'!B37,'Ind Trans Base Case'!I:I)</f>
        <v>1714</v>
      </c>
      <c r="H37" s="304">
        <f>SUMIF('Pub Trans Base Case'!AG:AG,'Peak Day Summary'!B37,'Pub Trans Base Case'!K:K)</f>
        <v>0</v>
      </c>
      <c r="I37" s="316">
        <f t="shared" si="0"/>
        <v>1714</v>
      </c>
      <c r="J37" s="316"/>
      <c r="K37" s="304">
        <f>SUMIF('Retail Sales Base Case'!AF:AF,B37,'Retail Sales Base Case'!M:M)</f>
        <v>0</v>
      </c>
      <c r="L37" s="304">
        <f>SUMIF('Res Trans Base Case'!AG:AG,B37,'Res Trans Base Case'!M:M)</f>
        <v>0</v>
      </c>
      <c r="M37" s="304">
        <f>SUMIF('Com Trans Base Case'!AG:AG,'Peak Day Summary'!B37,'Com Trans Base Case'!M:M)</f>
        <v>0</v>
      </c>
      <c r="N37" s="304">
        <f>SUMIF('Ind Trans Base Case'!AB:AB,'Peak Day Summary'!B37,'Ind Trans Base Case'!K:K)</f>
        <v>2576.3964516395508</v>
      </c>
      <c r="O37" s="304">
        <f>SUMIF('Pub Trans Base Case'!AG:AG,'Peak Day Summary'!B37,'Pub Trans Base Case'!M:M)</f>
        <v>0</v>
      </c>
      <c r="P37" s="316">
        <f t="shared" si="1"/>
        <v>2576.3964516395508</v>
      </c>
      <c r="Q37" s="316"/>
      <c r="R37" s="317"/>
      <c r="S37" s="317"/>
      <c r="U37" s="317"/>
      <c r="V37" s="317"/>
    </row>
    <row r="38" spans="1:22" x14ac:dyDescent="0.25">
      <c r="A38" t="s">
        <v>344</v>
      </c>
      <c r="B38" t="s">
        <v>345</v>
      </c>
      <c r="C38" t="s">
        <v>343</v>
      </c>
      <c r="D38" s="315">
        <f>SUMIF('Retail Sales Base Case'!AF:AF,B38,'Retail Sales Base Case'!K:K)</f>
        <v>0</v>
      </c>
      <c r="E38" s="315">
        <f>SUMIF('Res Trans Base Case'!AG:AG,B38,'Res Trans Base Case'!K:K)</f>
        <v>0</v>
      </c>
      <c r="F38" s="315">
        <f>SUMIF('Com Trans Base Case'!AG:AG,'Peak Day Summary'!B38,'Com Trans Base Case'!K:K)</f>
        <v>0</v>
      </c>
      <c r="G38" s="304">
        <f>SUMIF('Ind Trans Base Case'!AB:AB,'Peak Day Summary'!B38,'Ind Trans Base Case'!I:I)</f>
        <v>7526</v>
      </c>
      <c r="H38" s="304">
        <f>SUMIF('Pub Trans Base Case'!AG:AG,'Peak Day Summary'!B38,'Pub Trans Base Case'!K:K)</f>
        <v>0</v>
      </c>
      <c r="I38" s="316">
        <f t="shared" si="0"/>
        <v>7526</v>
      </c>
      <c r="J38" s="316"/>
      <c r="K38" s="304">
        <f>SUMIF('Retail Sales Base Case'!AF:AF,B38,'Retail Sales Base Case'!M:M)</f>
        <v>0</v>
      </c>
      <c r="L38" s="304">
        <f>SUMIF('Res Trans Base Case'!AG:AG,B38,'Res Trans Base Case'!M:M)</f>
        <v>0</v>
      </c>
      <c r="M38" s="304">
        <f>SUMIF('Com Trans Base Case'!AG:AG,'Peak Day Summary'!B38,'Com Trans Base Case'!M:M)</f>
        <v>0</v>
      </c>
      <c r="N38" s="304">
        <f>SUMIF('Ind Trans Base Case'!AB:AB,'Peak Day Summary'!B38,'Ind Trans Base Case'!K:K)</f>
        <v>6959.5362026841458</v>
      </c>
      <c r="O38" s="304">
        <f>SUMIF('Pub Trans Base Case'!AG:AG,'Peak Day Summary'!B38,'Pub Trans Base Case'!M:M)</f>
        <v>0</v>
      </c>
      <c r="P38" s="316">
        <f t="shared" si="1"/>
        <v>6959.5362026841458</v>
      </c>
      <c r="Q38" s="316"/>
      <c r="R38" s="317"/>
      <c r="S38" s="317"/>
      <c r="U38" s="317"/>
      <c r="V38" s="317"/>
    </row>
    <row r="39" spans="1:22" x14ac:dyDescent="0.25">
      <c r="A39" t="s">
        <v>346</v>
      </c>
      <c r="B39" t="s">
        <v>347</v>
      </c>
      <c r="C39" t="s">
        <v>348</v>
      </c>
      <c r="D39" s="315">
        <f>SUMIF('Retail Sales Base Case'!AF:AF,B39,'Retail Sales Base Case'!K:K)</f>
        <v>0</v>
      </c>
      <c r="E39" s="315">
        <f>SUMIF('Res Trans Base Case'!AG:AG,B39,'Res Trans Base Case'!K:K)</f>
        <v>0</v>
      </c>
      <c r="F39" s="315">
        <f>SUMIF('Com Trans Base Case'!AG:AG,'Peak Day Summary'!B39,'Com Trans Base Case'!K:K)</f>
        <v>0</v>
      </c>
      <c r="G39" s="304">
        <f>SUMIF('Ind Trans Base Case'!AB:AB,'Peak Day Summary'!B39,'Ind Trans Base Case'!I:I)</f>
        <v>1085</v>
      </c>
      <c r="H39" s="304">
        <f>SUMIF('Pub Trans Base Case'!AG:AG,'Peak Day Summary'!B39,'Pub Trans Base Case'!K:K)</f>
        <v>0</v>
      </c>
      <c r="I39" s="316">
        <f t="shared" si="0"/>
        <v>1085</v>
      </c>
      <c r="J39" s="316"/>
      <c r="K39" s="304">
        <f>SUMIF('Retail Sales Base Case'!AF:AF,B39,'Retail Sales Base Case'!M:M)</f>
        <v>0</v>
      </c>
      <c r="L39" s="304">
        <f>SUMIF('Res Trans Base Case'!AG:AG,B39,'Res Trans Base Case'!M:M)</f>
        <v>0</v>
      </c>
      <c r="M39" s="304">
        <f>SUMIF('Com Trans Base Case'!AG:AG,'Peak Day Summary'!B39,'Com Trans Base Case'!M:M)</f>
        <v>0</v>
      </c>
      <c r="N39" s="304">
        <f>SUMIF('Ind Trans Base Case'!AB:AB,'Peak Day Summary'!B39,'Ind Trans Base Case'!K:K)</f>
        <v>1120.4346710673999</v>
      </c>
      <c r="O39" s="304">
        <f>SUMIF('Pub Trans Base Case'!AG:AG,'Peak Day Summary'!B39,'Pub Trans Base Case'!M:M)</f>
        <v>0</v>
      </c>
      <c r="P39" s="316">
        <f t="shared" si="1"/>
        <v>1120.4346710673999</v>
      </c>
      <c r="Q39" s="316"/>
      <c r="R39" s="317"/>
      <c r="S39" s="317"/>
      <c r="U39" s="317"/>
      <c r="V39" s="317"/>
    </row>
    <row r="40" spans="1:22" x14ac:dyDescent="0.25">
      <c r="A40" t="s">
        <v>349</v>
      </c>
      <c r="B40" t="s">
        <v>350</v>
      </c>
      <c r="C40" t="s">
        <v>348</v>
      </c>
      <c r="D40" s="315">
        <f>SUMIF('Retail Sales Base Case'!AF:AF,B40,'Retail Sales Base Case'!K:K)</f>
        <v>0</v>
      </c>
      <c r="E40" s="315">
        <f>SUMIF('Res Trans Base Case'!AG:AG,B40,'Res Trans Base Case'!K:K)</f>
        <v>0</v>
      </c>
      <c r="F40" s="315">
        <f>SUMIF('Com Trans Base Case'!AG:AG,'Peak Day Summary'!B40,'Com Trans Base Case'!K:K)</f>
        <v>0</v>
      </c>
      <c r="G40" s="304">
        <f>SUMIF('Ind Trans Base Case'!AB:AB,'Peak Day Summary'!B40,'Ind Trans Base Case'!I:I)</f>
        <v>21428</v>
      </c>
      <c r="H40" s="304">
        <f>SUMIF('Pub Trans Base Case'!AG:AG,'Peak Day Summary'!B40,'Pub Trans Base Case'!K:K)</f>
        <v>0</v>
      </c>
      <c r="I40" s="316">
        <f t="shared" si="0"/>
        <v>21428</v>
      </c>
      <c r="J40" s="316"/>
      <c r="K40" s="304">
        <f>SUMIF('Retail Sales Base Case'!AF:AF,B40,'Retail Sales Base Case'!M:M)</f>
        <v>0</v>
      </c>
      <c r="L40" s="304">
        <f>SUMIF('Res Trans Base Case'!AG:AG,B40,'Res Trans Base Case'!M:M)</f>
        <v>0</v>
      </c>
      <c r="M40" s="304">
        <f>SUMIF('Com Trans Base Case'!AG:AG,'Peak Day Summary'!B40,'Com Trans Base Case'!M:M)</f>
        <v>0</v>
      </c>
      <c r="N40" s="304">
        <f>SUMIF('Ind Trans Base Case'!AB:AB,'Peak Day Summary'!B40,'Ind Trans Base Case'!K:K)</f>
        <v>20624.129748531836</v>
      </c>
      <c r="O40" s="304">
        <f>SUMIF('Pub Trans Base Case'!AG:AG,'Peak Day Summary'!B40,'Pub Trans Base Case'!M:M)</f>
        <v>0</v>
      </c>
      <c r="P40" s="316">
        <f t="shared" si="1"/>
        <v>20624.129748531836</v>
      </c>
      <c r="Q40" s="316"/>
      <c r="R40" s="317"/>
      <c r="S40" s="317"/>
      <c r="U40" s="317"/>
      <c r="V40" s="317"/>
    </row>
    <row r="41" spans="1:22" x14ac:dyDescent="0.25">
      <c r="A41" t="s">
        <v>351</v>
      </c>
      <c r="B41" t="s">
        <v>352</v>
      </c>
      <c r="C41" t="s">
        <v>348</v>
      </c>
      <c r="D41" s="315">
        <f>SUMIF('Retail Sales Base Case'!AF:AF,B41,'Retail Sales Base Case'!K:K)</f>
        <v>0</v>
      </c>
      <c r="E41" s="315">
        <f>SUMIF('Res Trans Base Case'!AG:AG,B41,'Res Trans Base Case'!K:K)</f>
        <v>0</v>
      </c>
      <c r="F41" s="315">
        <f>SUMIF('Com Trans Base Case'!AG:AG,'Peak Day Summary'!B41,'Com Trans Base Case'!K:K)</f>
        <v>0</v>
      </c>
      <c r="G41" s="304">
        <f>SUMIF('Ind Trans Base Case'!AB:AB,'Peak Day Summary'!B41,'Ind Trans Base Case'!I:I)</f>
        <v>0</v>
      </c>
      <c r="H41" s="304">
        <f>SUMIF('Pub Trans Base Case'!AG:AG,'Peak Day Summary'!B41,'Pub Trans Base Case'!K:K)</f>
        <v>0</v>
      </c>
      <c r="I41" s="316">
        <f t="shared" si="0"/>
        <v>0</v>
      </c>
      <c r="J41" s="316"/>
      <c r="K41" s="304">
        <f>SUMIF('Retail Sales Base Case'!AF:AF,B41,'Retail Sales Base Case'!M:M)</f>
        <v>0</v>
      </c>
      <c r="L41" s="304">
        <f>SUMIF('Res Trans Base Case'!AG:AG,B41,'Res Trans Base Case'!M:M)</f>
        <v>0</v>
      </c>
      <c r="M41" s="304">
        <f>SUMIF('Com Trans Base Case'!AG:AG,'Peak Day Summary'!B41,'Com Trans Base Case'!M:M)</f>
        <v>0</v>
      </c>
      <c r="N41" s="304">
        <f>SUMIF('Ind Trans Base Case'!AB:AB,'Peak Day Summary'!B41,'Ind Trans Base Case'!K:K)</f>
        <v>0</v>
      </c>
      <c r="O41" s="304">
        <f>SUMIF('Pub Trans Base Case'!AG:AG,'Peak Day Summary'!B41,'Pub Trans Base Case'!M:M)</f>
        <v>0</v>
      </c>
      <c r="P41" s="316">
        <f t="shared" si="1"/>
        <v>0</v>
      </c>
      <c r="Q41" s="316"/>
      <c r="R41" s="317"/>
      <c r="S41" s="317"/>
      <c r="U41" s="317"/>
      <c r="V41" s="317"/>
    </row>
    <row r="42" spans="1:22" x14ac:dyDescent="0.25">
      <c r="A42" t="s">
        <v>353</v>
      </c>
      <c r="B42" t="s">
        <v>354</v>
      </c>
      <c r="C42" t="s">
        <v>348</v>
      </c>
      <c r="D42" s="315">
        <f>SUMIF('Retail Sales Base Case'!AF:AF,B42,'Retail Sales Base Case'!K:K)</f>
        <v>0</v>
      </c>
      <c r="E42" s="315">
        <f>SUMIF('Res Trans Base Case'!AG:AG,B42,'Res Trans Base Case'!K:K)</f>
        <v>0</v>
      </c>
      <c r="F42" s="315">
        <f>SUMIF('Com Trans Base Case'!AG:AG,'Peak Day Summary'!B42,'Com Trans Base Case'!K:K)</f>
        <v>0</v>
      </c>
      <c r="G42" s="304">
        <f>SUMIF('Ind Trans Base Case'!AB:AB,'Peak Day Summary'!B42,'Ind Trans Base Case'!I:I)</f>
        <v>0</v>
      </c>
      <c r="H42" s="304">
        <f>SUMIF('Pub Trans Base Case'!AG:AG,'Peak Day Summary'!B42,'Pub Trans Base Case'!K:K)</f>
        <v>0</v>
      </c>
      <c r="I42" s="316">
        <f t="shared" si="0"/>
        <v>0</v>
      </c>
      <c r="J42" s="316"/>
      <c r="K42" s="304">
        <f>SUMIF('Retail Sales Base Case'!AF:AF,B42,'Retail Sales Base Case'!M:M)</f>
        <v>0</v>
      </c>
      <c r="L42" s="304">
        <f>SUMIF('Res Trans Base Case'!AG:AG,B42,'Res Trans Base Case'!M:M)</f>
        <v>0</v>
      </c>
      <c r="M42" s="304">
        <f>SUMIF('Com Trans Base Case'!AG:AG,'Peak Day Summary'!B42,'Com Trans Base Case'!M:M)</f>
        <v>0</v>
      </c>
      <c r="N42" s="304">
        <f>SUMIF('Ind Trans Base Case'!AB:AB,'Peak Day Summary'!B42,'Ind Trans Base Case'!K:K)</f>
        <v>0</v>
      </c>
      <c r="O42" s="304">
        <f>SUMIF('Pub Trans Base Case'!AG:AG,'Peak Day Summary'!B42,'Pub Trans Base Case'!M:M)</f>
        <v>0</v>
      </c>
      <c r="P42" s="316">
        <f t="shared" si="1"/>
        <v>0</v>
      </c>
      <c r="Q42" s="316"/>
      <c r="R42" s="317"/>
      <c r="S42" s="317"/>
      <c r="U42" s="317"/>
      <c r="V42" s="317"/>
    </row>
    <row r="43" spans="1:22" x14ac:dyDescent="0.25">
      <c r="A43" t="s">
        <v>355</v>
      </c>
      <c r="B43" t="s">
        <v>356</v>
      </c>
      <c r="C43" t="s">
        <v>292</v>
      </c>
      <c r="D43" s="315">
        <f>SUMIF('Retail Sales Base Case'!AF:AF,B43,'Retail Sales Base Case'!K:K)</f>
        <v>0</v>
      </c>
      <c r="E43" s="315">
        <f>SUMIF('Res Trans Base Case'!AG:AG,B43,'Res Trans Base Case'!K:K)</f>
        <v>22</v>
      </c>
      <c r="F43" s="315">
        <f>SUMIF('Com Trans Base Case'!AG:AG,'Peak Day Summary'!B43,'Com Trans Base Case'!K:K)</f>
        <v>0</v>
      </c>
      <c r="G43" s="304">
        <f>SUMIF('Ind Trans Base Case'!AB:AB,'Peak Day Summary'!B43,'Ind Trans Base Case'!I:I)</f>
        <v>0</v>
      </c>
      <c r="H43" s="304">
        <f>SUMIF('Pub Trans Base Case'!AG:AG,'Peak Day Summary'!B43,'Pub Trans Base Case'!K:K)</f>
        <v>0</v>
      </c>
      <c r="I43" s="316">
        <f t="shared" si="0"/>
        <v>22</v>
      </c>
      <c r="J43" s="316"/>
      <c r="K43" s="304">
        <f>SUMIF('Retail Sales Base Case'!AF:AF,B43,'Retail Sales Base Case'!M:M)</f>
        <v>0</v>
      </c>
      <c r="L43" s="304">
        <f>SUMIF('Res Trans Base Case'!AG:AG,B43,'Res Trans Base Case'!M:M)</f>
        <v>31</v>
      </c>
      <c r="M43" s="304">
        <f>SUMIF('Com Trans Base Case'!AG:AG,'Peak Day Summary'!B43,'Com Trans Base Case'!M:M)</f>
        <v>0</v>
      </c>
      <c r="N43" s="304">
        <f>SUMIF('Ind Trans Base Case'!AB:AB,'Peak Day Summary'!B43,'Ind Trans Base Case'!K:K)</f>
        <v>0</v>
      </c>
      <c r="O43" s="304">
        <f>SUMIF('Pub Trans Base Case'!AG:AG,'Peak Day Summary'!B43,'Pub Trans Base Case'!M:M)</f>
        <v>0</v>
      </c>
      <c r="P43" s="316">
        <f t="shared" si="1"/>
        <v>31</v>
      </c>
      <c r="Q43" s="316"/>
      <c r="R43" s="317"/>
      <c r="S43" s="317"/>
      <c r="U43" s="317"/>
      <c r="V43" s="317"/>
    </row>
    <row r="44" spans="1:22" x14ac:dyDescent="0.25">
      <c r="A44" t="s">
        <v>357</v>
      </c>
      <c r="B44" t="s">
        <v>358</v>
      </c>
      <c r="C44" t="s">
        <v>292</v>
      </c>
      <c r="D44" s="315">
        <f>SUMIF('Retail Sales Base Case'!AF:AF,B44,'Retail Sales Base Case'!K:K)</f>
        <v>0</v>
      </c>
      <c r="E44" s="315">
        <f>SUMIF('Res Trans Base Case'!AG:AG,B44,'Res Trans Base Case'!K:K)</f>
        <v>0</v>
      </c>
      <c r="F44" s="315">
        <f>SUMIF('Com Trans Base Case'!AG:AG,'Peak Day Summary'!B44,'Com Trans Base Case'!K:K)</f>
        <v>0</v>
      </c>
      <c r="G44" s="304">
        <f>SUMIF('Ind Trans Base Case'!AB:AB,'Peak Day Summary'!B44,'Ind Trans Base Case'!I:I)</f>
        <v>0</v>
      </c>
      <c r="H44" s="304">
        <f>SUMIF('Pub Trans Base Case'!AG:AG,'Peak Day Summary'!B44,'Pub Trans Base Case'!K:K)</f>
        <v>0</v>
      </c>
      <c r="I44" s="316">
        <f t="shared" si="0"/>
        <v>0</v>
      </c>
      <c r="J44" s="316"/>
      <c r="K44" s="304">
        <f>SUMIF('Retail Sales Base Case'!AF:AF,B44,'Retail Sales Base Case'!M:M)</f>
        <v>0</v>
      </c>
      <c r="L44" s="304">
        <f>SUMIF('Res Trans Base Case'!AG:AG,B44,'Res Trans Base Case'!M:M)</f>
        <v>0</v>
      </c>
      <c r="M44" s="304">
        <f>SUMIF('Com Trans Base Case'!AG:AG,'Peak Day Summary'!B44,'Com Trans Base Case'!M:M)</f>
        <v>0</v>
      </c>
      <c r="N44" s="304">
        <f>SUMIF('Ind Trans Base Case'!AB:AB,'Peak Day Summary'!B44,'Ind Trans Base Case'!K:K)</f>
        <v>0</v>
      </c>
      <c r="O44" s="304">
        <f>SUMIF('Pub Trans Base Case'!AG:AG,'Peak Day Summary'!B44,'Pub Trans Base Case'!M:M)</f>
        <v>0</v>
      </c>
      <c r="P44" s="316">
        <f t="shared" si="1"/>
        <v>0</v>
      </c>
      <c r="Q44" s="316"/>
      <c r="R44" s="317"/>
      <c r="S44" s="317"/>
      <c r="U44" s="317"/>
      <c r="V44" s="317"/>
    </row>
    <row r="45" spans="1:22" x14ac:dyDescent="0.25">
      <c r="A45" t="s">
        <v>359</v>
      </c>
      <c r="B45" t="s">
        <v>360</v>
      </c>
      <c r="C45" t="s">
        <v>299</v>
      </c>
      <c r="D45" s="315">
        <f>SUMIF('Retail Sales Base Case'!AF:AF,B45,'Retail Sales Base Case'!K:K)</f>
        <v>0</v>
      </c>
      <c r="E45" s="315">
        <f>SUMIF('Res Trans Base Case'!AG:AG,B45,'Res Trans Base Case'!K:K)</f>
        <v>145</v>
      </c>
      <c r="F45" s="315">
        <f>SUMIF('Com Trans Base Case'!AG:AG,'Peak Day Summary'!B45,'Com Trans Base Case'!K:K)</f>
        <v>0</v>
      </c>
      <c r="G45" s="304">
        <f>SUMIF('Ind Trans Base Case'!AB:AB,'Peak Day Summary'!B45,'Ind Trans Base Case'!I:I)</f>
        <v>0</v>
      </c>
      <c r="H45" s="304">
        <f>SUMIF('Pub Trans Base Case'!AG:AG,'Peak Day Summary'!B45,'Pub Trans Base Case'!K:K)</f>
        <v>0</v>
      </c>
      <c r="I45" s="316">
        <f t="shared" si="0"/>
        <v>145</v>
      </c>
      <c r="J45" s="316"/>
      <c r="K45" s="304">
        <f>SUMIF('Retail Sales Base Case'!AF:AF,B45,'Retail Sales Base Case'!M:M)</f>
        <v>0</v>
      </c>
      <c r="L45" s="304">
        <f>SUMIF('Res Trans Base Case'!AG:AG,B45,'Res Trans Base Case'!M:M)</f>
        <v>202</v>
      </c>
      <c r="M45" s="304">
        <f>SUMIF('Com Trans Base Case'!AG:AG,'Peak Day Summary'!B45,'Com Trans Base Case'!M:M)</f>
        <v>0</v>
      </c>
      <c r="N45" s="304">
        <f>SUMIF('Ind Trans Base Case'!AB:AB,'Peak Day Summary'!B45,'Ind Trans Base Case'!K:K)</f>
        <v>0</v>
      </c>
      <c r="O45" s="304">
        <f>SUMIF('Pub Trans Base Case'!AG:AG,'Peak Day Summary'!B45,'Pub Trans Base Case'!M:M)</f>
        <v>0</v>
      </c>
      <c r="P45" s="316">
        <f t="shared" si="1"/>
        <v>202</v>
      </c>
      <c r="Q45" s="316"/>
      <c r="R45" s="317"/>
      <c r="S45" s="317"/>
      <c r="U45" s="317"/>
      <c r="V45" s="317"/>
    </row>
    <row r="46" spans="1:22" x14ac:dyDescent="0.25">
      <c r="A46" t="s">
        <v>361</v>
      </c>
      <c r="B46" t="s">
        <v>362</v>
      </c>
      <c r="C46" t="s">
        <v>306</v>
      </c>
      <c r="D46" s="315">
        <f>SUMIF('Retail Sales Base Case'!AF:AF,B46,'Retail Sales Base Case'!K:K)</f>
        <v>0</v>
      </c>
      <c r="E46" s="315">
        <f>SUMIF('Res Trans Base Case'!AG:AG,B46,'Res Trans Base Case'!K:K)</f>
        <v>0</v>
      </c>
      <c r="F46" s="315">
        <f>SUMIF('Com Trans Base Case'!AG:AG,'Peak Day Summary'!B46,'Com Trans Base Case'!K:K)</f>
        <v>26319</v>
      </c>
      <c r="G46" s="304">
        <f>SUMIF('Ind Trans Base Case'!AB:AB,'Peak Day Summary'!B46,'Ind Trans Base Case'!I:I)</f>
        <v>0</v>
      </c>
      <c r="H46" s="304">
        <f>SUMIF('Pub Trans Base Case'!AG:AG,'Peak Day Summary'!B46,'Pub Trans Base Case'!K:K)</f>
        <v>15880</v>
      </c>
      <c r="I46" s="316">
        <f t="shared" si="0"/>
        <v>42199</v>
      </c>
      <c r="J46" s="316"/>
      <c r="K46" s="304">
        <f>SUMIF('Retail Sales Base Case'!AF:AF,B46,'Retail Sales Base Case'!M:M)</f>
        <v>0</v>
      </c>
      <c r="L46" s="304">
        <f>SUMIF('Res Trans Base Case'!AG:AG,B46,'Res Trans Base Case'!M:M)</f>
        <v>0</v>
      </c>
      <c r="M46" s="304">
        <f>SUMIF('Com Trans Base Case'!AG:AG,'Peak Day Summary'!B46,'Com Trans Base Case'!M:M)</f>
        <v>36717</v>
      </c>
      <c r="N46" s="304">
        <f>SUMIF('Ind Trans Base Case'!AB:AB,'Peak Day Summary'!B46,'Ind Trans Base Case'!K:K)</f>
        <v>0</v>
      </c>
      <c r="O46" s="304">
        <f>SUMIF('Pub Trans Base Case'!AG:AG,'Peak Day Summary'!B46,'Pub Trans Base Case'!M:M)</f>
        <v>22154</v>
      </c>
      <c r="P46" s="316">
        <f t="shared" si="1"/>
        <v>58871</v>
      </c>
      <c r="Q46" s="316"/>
      <c r="R46" s="317"/>
      <c r="S46" s="317"/>
      <c r="U46" s="317"/>
      <c r="V46" s="317"/>
    </row>
    <row r="47" spans="1:22" x14ac:dyDescent="0.25">
      <c r="D47" s="319">
        <f t="shared" ref="D47:I47" si="2">SUM(D9:D46)</f>
        <v>224233</v>
      </c>
      <c r="E47" s="319">
        <f t="shared" si="2"/>
        <v>19210</v>
      </c>
      <c r="F47" s="319">
        <f t="shared" si="2"/>
        <v>44423</v>
      </c>
      <c r="G47" s="319">
        <f t="shared" si="2"/>
        <v>50348</v>
      </c>
      <c r="H47" s="319">
        <f t="shared" si="2"/>
        <v>18772</v>
      </c>
      <c r="I47" s="319">
        <f t="shared" si="2"/>
        <v>356986</v>
      </c>
      <c r="J47" s="320"/>
      <c r="K47" s="319">
        <f>SUM(K9:K46)</f>
        <v>264790</v>
      </c>
      <c r="L47" s="319">
        <f t="shared" ref="L47:P47" si="3">SUM(L9:L46)</f>
        <v>23208</v>
      </c>
      <c r="M47" s="319">
        <f t="shared" si="3"/>
        <v>59715</v>
      </c>
      <c r="N47" s="319">
        <f t="shared" si="3"/>
        <v>58731.497073922932</v>
      </c>
      <c r="O47" s="319">
        <f t="shared" si="3"/>
        <v>25744</v>
      </c>
      <c r="P47" s="320">
        <f t="shared" si="3"/>
        <v>432188.49707392295</v>
      </c>
      <c r="Q47" s="320"/>
      <c r="R47" s="317"/>
      <c r="S47" s="317"/>
    </row>
    <row r="48" spans="1:22" x14ac:dyDescent="0.25">
      <c r="D48" s="319"/>
      <c r="E48" s="319"/>
      <c r="F48" s="319"/>
      <c r="G48" s="319"/>
      <c r="H48" s="319"/>
      <c r="I48" s="320"/>
      <c r="J48" s="320"/>
      <c r="K48" s="319"/>
      <c r="L48" s="319"/>
      <c r="M48" s="319"/>
      <c r="N48" s="319"/>
      <c r="O48" s="319"/>
      <c r="P48" s="320"/>
      <c r="Q48" s="320"/>
      <c r="R48" s="317"/>
      <c r="S48" s="317"/>
    </row>
    <row r="49" spans="4:19" s="323" customFormat="1" x14ac:dyDescent="0.25">
      <c r="D49" s="321">
        <f>'Retail Sales Base Case'!K66-'Retail Sales Base Case'!K64</f>
        <v>224233</v>
      </c>
      <c r="E49" s="321">
        <f>'Res Trans Base Case'!K38</f>
        <v>19210</v>
      </c>
      <c r="F49" s="321">
        <f>'Com Trans Base Case'!K42</f>
        <v>44423</v>
      </c>
      <c r="G49" s="321">
        <f>'Ind Trans Base Case'!I51-I53</f>
        <v>50348</v>
      </c>
      <c r="H49" s="321">
        <f>'Pub Trans Base Case'!K39</f>
        <v>18772</v>
      </c>
      <c r="I49" s="322">
        <f>SUM(D49:H49)</f>
        <v>356986</v>
      </c>
      <c r="J49" s="322"/>
      <c r="K49" s="321">
        <f>'Retail Sales Base Case'!M66-'Retail Sales Base Case'!M64</f>
        <v>264791</v>
      </c>
      <c r="L49" s="321">
        <f>'Res Trans Base Case'!M38</f>
        <v>23208</v>
      </c>
      <c r="M49" s="321">
        <f>'Com Trans Base Case'!M42</f>
        <v>59715</v>
      </c>
      <c r="N49" s="321">
        <f>'Ind Trans Base Case'!K51-P53</f>
        <v>58731.497073922932</v>
      </c>
      <c r="O49" s="321">
        <f>'Pub Trans Base Case'!M39</f>
        <v>25744</v>
      </c>
      <c r="P49" s="322">
        <f>SUM(K49:O49)</f>
        <v>432189.49707392295</v>
      </c>
      <c r="Q49" s="322"/>
      <c r="R49" s="317"/>
      <c r="S49" s="317"/>
    </row>
    <row r="50" spans="4:19" s="323" customFormat="1" x14ac:dyDescent="0.25">
      <c r="D50" s="321"/>
      <c r="E50" s="321"/>
      <c r="F50" s="321"/>
      <c r="G50" s="321"/>
      <c r="H50" s="321"/>
      <c r="I50" s="324"/>
      <c r="J50" s="324"/>
      <c r="K50" s="321"/>
      <c r="L50" s="321"/>
      <c r="M50" s="321"/>
      <c r="N50" s="321"/>
      <c r="O50" s="321"/>
      <c r="P50" s="324"/>
      <c r="Q50" s="324"/>
      <c r="R50" s="317"/>
      <c r="S50" s="317"/>
    </row>
    <row r="51" spans="4:19" s="323" customFormat="1" x14ac:dyDescent="0.25">
      <c r="D51" s="321"/>
      <c r="E51" s="321"/>
      <c r="F51" s="321"/>
      <c r="G51" s="321"/>
      <c r="H51" s="321"/>
      <c r="I51" s="324">
        <f>Summary!E60</f>
        <v>378766</v>
      </c>
      <c r="J51" s="324"/>
      <c r="K51" s="321"/>
      <c r="L51" s="321"/>
      <c r="M51" s="321"/>
      <c r="N51" s="321"/>
      <c r="O51" s="321"/>
      <c r="P51" s="324">
        <f>Summary!F60</f>
        <v>454572.98570646287</v>
      </c>
      <c r="Q51" s="324"/>
      <c r="R51" s="317"/>
      <c r="S51" s="317"/>
    </row>
    <row r="52" spans="4:19" s="323" customFormat="1" x14ac:dyDescent="0.25">
      <c r="D52" s="321"/>
      <c r="E52" s="321"/>
      <c r="F52" s="321"/>
      <c r="G52" s="321"/>
      <c r="H52" s="321" t="s">
        <v>4</v>
      </c>
      <c r="I52" s="322">
        <f>Summary!E17+Summary!E19+Summary!E29+Summary!E38+Summary!E47</f>
        <v>623</v>
      </c>
      <c r="J52" s="322"/>
      <c r="K52" s="321"/>
      <c r="L52" s="321"/>
      <c r="M52" s="321"/>
      <c r="N52" s="321"/>
      <c r="O52" s="321"/>
      <c r="P52" s="322">
        <f>Summary!F17+Summary!F19+Summary!F29+Summary!F38+Summary!F47</f>
        <v>737</v>
      </c>
      <c r="Q52" s="325"/>
      <c r="R52" s="317"/>
      <c r="S52" s="317"/>
    </row>
    <row r="53" spans="4:19" s="323" customFormat="1" x14ac:dyDescent="0.25">
      <c r="D53" s="321"/>
      <c r="E53" s="321"/>
      <c r="F53" s="321"/>
      <c r="G53" s="321"/>
      <c r="H53" s="338" t="s">
        <v>366</v>
      </c>
      <c r="I53" s="322">
        <f>'Ind Trans Base Case'!I42+'Ind Trans Base Case'!I45</f>
        <v>21157</v>
      </c>
      <c r="J53" s="322"/>
      <c r="K53" s="321"/>
      <c r="L53" s="321"/>
      <c r="M53" s="321"/>
      <c r="N53" s="321"/>
      <c r="O53" s="321"/>
      <c r="P53" s="322">
        <f>'Ind Trans Base Case'!K42+'Ind Trans Base Case'!K45</f>
        <v>21646.488632539942</v>
      </c>
      <c r="Q53" s="325"/>
      <c r="R53" s="317"/>
      <c r="S53" s="317"/>
    </row>
    <row r="54" spans="4:19" x14ac:dyDescent="0.25">
      <c r="H54" s="304" t="s">
        <v>363</v>
      </c>
      <c r="I54" s="316">
        <f>I51-I47-I52-I53</f>
        <v>0</v>
      </c>
      <c r="P54" s="316">
        <f>P51-P47-P52-P53</f>
        <v>0.99999999998544808</v>
      </c>
      <c r="R54" s="317"/>
      <c r="S54" s="317"/>
    </row>
  </sheetData>
  <mergeCells count="2">
    <mergeCell ref="D7:I7"/>
    <mergeCell ref="K7:P7"/>
  </mergeCells>
  <hyperlinks>
    <hyperlink ref="K8" location="'Retail Sales Base Case'!A1" display="Retail Sales Base Case" xr:uid="{825BEE2A-9515-4975-940E-11B702739074}"/>
    <hyperlink ref="D8" location="'Retail Sales Base Case'!A1" display="Retail Sales Base Case" xr:uid="{31004C0D-F3A7-41DD-99FA-BF575D108EB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AG31"/>
  <sheetViews>
    <sheetView showGridLines="0" workbookViewId="0">
      <selection activeCell="AD39" sqref="AD39"/>
    </sheetView>
  </sheetViews>
  <sheetFormatPr defaultColWidth="8" defaultRowHeight="12.75" customHeight="1" x14ac:dyDescent="0.25"/>
  <cols>
    <col min="1" max="1" width="9.5703125" style="44" customWidth="1"/>
    <col min="2" max="3" width="2.85546875" style="44" customWidth="1"/>
    <col min="4" max="4" width="2.7109375" style="44" customWidth="1"/>
    <col min="5" max="32" width="2.85546875" style="44" customWidth="1"/>
    <col min="33" max="33" width="5.5703125" style="44" customWidth="1"/>
    <col min="34" max="256" width="6.85546875" style="44" customWidth="1"/>
    <col min="257" max="16384" width="8" style="44"/>
  </cols>
  <sheetData>
    <row r="1" spans="1:33" ht="13.5" customHeight="1" x14ac:dyDescent="0.25">
      <c r="A1" s="343" t="s">
        <v>75</v>
      </c>
      <c r="B1" s="343"/>
      <c r="C1" s="343"/>
      <c r="D1" s="343"/>
      <c r="E1" s="343"/>
      <c r="F1" s="343"/>
      <c r="G1" s="344" t="s">
        <v>74</v>
      </c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5" t="s">
        <v>73</v>
      </c>
      <c r="AB1" s="345"/>
      <c r="AC1" s="345"/>
      <c r="AD1" s="345"/>
      <c r="AE1" s="345"/>
      <c r="AF1" s="345"/>
      <c r="AG1" s="345"/>
    </row>
    <row r="2" spans="1:33" ht="13.5" customHeight="1" x14ac:dyDescent="0.25">
      <c r="A2" s="346" t="s">
        <v>72</v>
      </c>
      <c r="B2" s="346"/>
      <c r="C2" s="348">
        <v>44726</v>
      </c>
      <c r="D2" s="348"/>
      <c r="E2" s="348"/>
      <c r="F2" s="348"/>
      <c r="G2" s="349" t="s">
        <v>71</v>
      </c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238"/>
      <c r="AB2" s="238"/>
      <c r="AC2" s="238"/>
      <c r="AD2" s="238"/>
      <c r="AE2" s="238"/>
      <c r="AF2" s="238"/>
      <c r="AG2" s="238"/>
    </row>
    <row r="3" spans="1:33" ht="13.5" customHeight="1" x14ac:dyDescent="0.25">
      <c r="A3" s="346" t="s">
        <v>70</v>
      </c>
      <c r="B3" s="346"/>
      <c r="C3" s="347">
        <v>0.67216435185185186</v>
      </c>
      <c r="D3" s="347"/>
      <c r="E3" s="347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</row>
    <row r="4" spans="1:33" ht="12" customHeight="1" x14ac:dyDescent="0.2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</row>
    <row r="5" spans="1:33" ht="13.5" customHeight="1" x14ac:dyDescent="0.25">
      <c r="A5" s="346" t="s">
        <v>69</v>
      </c>
      <c r="B5" s="346"/>
      <c r="C5" s="346"/>
      <c r="D5" s="346"/>
      <c r="E5" s="343" t="s">
        <v>235</v>
      </c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</row>
    <row r="6" spans="1:33" ht="12.75" hidden="1" customHeight="1" x14ac:dyDescent="0.25">
      <c r="A6" s="346"/>
      <c r="B6" s="346"/>
      <c r="C6" s="346"/>
      <c r="D6" s="346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</row>
    <row r="7" spans="1:33" ht="13.5" customHeight="1" x14ac:dyDescent="0.25">
      <c r="A7" s="346" t="s">
        <v>68</v>
      </c>
      <c r="B7" s="346"/>
      <c r="C7" s="346"/>
      <c r="D7" s="346"/>
      <c r="E7" s="343" t="s">
        <v>67</v>
      </c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</row>
    <row r="8" spans="1:33" ht="12" customHeight="1" x14ac:dyDescent="0.25"/>
    <row r="9" spans="1:33" ht="12.75" hidden="1" customHeight="1" x14ac:dyDescent="0.25">
      <c r="A9" s="346" t="s">
        <v>66</v>
      </c>
      <c r="B9" s="346"/>
      <c r="C9" s="346"/>
      <c r="D9" s="346"/>
      <c r="E9" s="343" t="s">
        <v>5</v>
      </c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</row>
    <row r="10" spans="1:33" ht="13.5" customHeight="1" x14ac:dyDescent="0.25">
      <c r="A10" s="346"/>
      <c r="B10" s="346"/>
      <c r="C10" s="346"/>
      <c r="D10" s="346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</row>
    <row r="11" spans="1:33" ht="12.75" hidden="1" customHeight="1" x14ac:dyDescent="0.25">
      <c r="A11" s="346"/>
      <c r="B11" s="346"/>
      <c r="C11" s="346"/>
      <c r="D11" s="346"/>
    </row>
    <row r="12" spans="1:33" ht="13.5" customHeight="1" x14ac:dyDescent="0.25">
      <c r="A12" s="346" t="s">
        <v>65</v>
      </c>
      <c r="B12" s="346"/>
      <c r="C12" s="346"/>
      <c r="D12" s="346"/>
      <c r="E12" s="343" t="s">
        <v>236</v>
      </c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</row>
    <row r="13" spans="1:33" ht="12" customHeight="1" x14ac:dyDescent="0.25"/>
    <row r="14" spans="1:33" ht="24.75" customHeight="1" x14ac:dyDescent="0.25"/>
    <row r="15" spans="1:33" ht="13.5" customHeight="1" x14ac:dyDescent="0.25">
      <c r="A15" s="241" t="s">
        <v>64</v>
      </c>
      <c r="B15" s="241" t="s">
        <v>63</v>
      </c>
      <c r="C15" s="241" t="s">
        <v>62</v>
      </c>
      <c r="D15" s="241" t="s">
        <v>61</v>
      </c>
      <c r="E15" s="241" t="s">
        <v>60</v>
      </c>
      <c r="F15" s="241" t="s">
        <v>59</v>
      </c>
      <c r="G15" s="241" t="s">
        <v>58</v>
      </c>
      <c r="H15" s="241" t="s">
        <v>57</v>
      </c>
      <c r="I15" s="241" t="s">
        <v>56</v>
      </c>
      <c r="J15" s="241" t="s">
        <v>55</v>
      </c>
      <c r="K15" s="241" t="s">
        <v>54</v>
      </c>
      <c r="L15" s="241" t="s">
        <v>53</v>
      </c>
      <c r="M15" s="241" t="s">
        <v>52</v>
      </c>
      <c r="N15" s="241" t="s">
        <v>51</v>
      </c>
      <c r="O15" s="241" t="s">
        <v>50</v>
      </c>
      <c r="P15" s="241" t="s">
        <v>49</v>
      </c>
      <c r="Q15" s="241" t="s">
        <v>48</v>
      </c>
      <c r="R15" s="241" t="s">
        <v>47</v>
      </c>
      <c r="S15" s="241" t="s">
        <v>46</v>
      </c>
      <c r="T15" s="241" t="s">
        <v>45</v>
      </c>
      <c r="U15" s="241" t="s">
        <v>44</v>
      </c>
      <c r="V15" s="241" t="s">
        <v>43</v>
      </c>
      <c r="W15" s="241" t="s">
        <v>42</v>
      </c>
      <c r="X15" s="241" t="s">
        <v>41</v>
      </c>
      <c r="Y15" s="241" t="s">
        <v>40</v>
      </c>
      <c r="Z15" s="241" t="s">
        <v>39</v>
      </c>
      <c r="AA15" s="241" t="s">
        <v>38</v>
      </c>
      <c r="AB15" s="241" t="s">
        <v>37</v>
      </c>
      <c r="AC15" s="241" t="s">
        <v>36</v>
      </c>
      <c r="AD15" s="241" t="s">
        <v>35</v>
      </c>
      <c r="AE15" s="241" t="s">
        <v>34</v>
      </c>
      <c r="AF15" s="241" t="s">
        <v>33</v>
      </c>
      <c r="AG15" s="242" t="s">
        <v>20</v>
      </c>
    </row>
    <row r="16" spans="1:33" ht="5.25" customHeight="1" x14ac:dyDescent="0.25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</row>
    <row r="17" spans="1:33" ht="13.5" customHeight="1" x14ac:dyDescent="0.25">
      <c r="A17" s="240" t="s">
        <v>32</v>
      </c>
      <c r="B17" s="243">
        <v>33</v>
      </c>
      <c r="C17" s="243">
        <v>33</v>
      </c>
      <c r="D17" s="243">
        <v>34</v>
      </c>
      <c r="E17" s="243">
        <v>34</v>
      </c>
      <c r="F17" s="243">
        <v>34</v>
      </c>
      <c r="G17" s="243">
        <v>34</v>
      </c>
      <c r="H17" s="243">
        <v>34</v>
      </c>
      <c r="I17" s="243">
        <v>35</v>
      </c>
      <c r="J17" s="243">
        <v>35</v>
      </c>
      <c r="K17" s="243">
        <v>35</v>
      </c>
      <c r="L17" s="243">
        <v>35</v>
      </c>
      <c r="M17" s="243">
        <v>36</v>
      </c>
      <c r="N17" s="243">
        <v>36</v>
      </c>
      <c r="O17" s="243">
        <v>36</v>
      </c>
      <c r="P17" s="243">
        <v>36</v>
      </c>
      <c r="Q17" s="243">
        <v>36</v>
      </c>
      <c r="R17" s="243">
        <v>36</v>
      </c>
      <c r="S17" s="243">
        <v>37</v>
      </c>
      <c r="T17" s="243">
        <v>37</v>
      </c>
      <c r="U17" s="243">
        <v>37</v>
      </c>
      <c r="V17" s="243">
        <v>37</v>
      </c>
      <c r="W17" s="243">
        <v>37</v>
      </c>
      <c r="X17" s="243">
        <v>37</v>
      </c>
      <c r="Y17" s="243">
        <v>37</v>
      </c>
      <c r="Z17" s="243">
        <v>37</v>
      </c>
      <c r="AA17" s="243">
        <v>38</v>
      </c>
      <c r="AB17" s="243">
        <v>38</v>
      </c>
      <c r="AC17" s="243">
        <v>38</v>
      </c>
      <c r="AD17" s="243">
        <v>38</v>
      </c>
      <c r="AE17" s="243">
        <v>38</v>
      </c>
      <c r="AF17" s="243">
        <v>38</v>
      </c>
      <c r="AG17" s="244">
        <v>1116</v>
      </c>
    </row>
    <row r="18" spans="1:33" ht="13.5" customHeight="1" x14ac:dyDescent="0.25">
      <c r="A18" s="240" t="s">
        <v>31</v>
      </c>
      <c r="B18" s="243">
        <v>38</v>
      </c>
      <c r="C18" s="243">
        <v>38</v>
      </c>
      <c r="D18" s="243">
        <v>38</v>
      </c>
      <c r="E18" s="243">
        <v>38</v>
      </c>
      <c r="F18" s="243">
        <v>38</v>
      </c>
      <c r="G18" s="243">
        <v>38</v>
      </c>
      <c r="H18" s="243">
        <v>38</v>
      </c>
      <c r="I18" s="243">
        <v>38</v>
      </c>
      <c r="J18" s="243">
        <v>38</v>
      </c>
      <c r="K18" s="243">
        <v>37</v>
      </c>
      <c r="L18" s="243">
        <v>37</v>
      </c>
      <c r="M18" s="243">
        <v>37</v>
      </c>
      <c r="N18" s="243">
        <v>37</v>
      </c>
      <c r="O18" s="243">
        <v>37</v>
      </c>
      <c r="P18" s="243">
        <v>37</v>
      </c>
      <c r="Q18" s="243">
        <v>37</v>
      </c>
      <c r="R18" s="243">
        <v>36</v>
      </c>
      <c r="S18" s="243">
        <v>36</v>
      </c>
      <c r="T18" s="243">
        <v>36</v>
      </c>
      <c r="U18" s="243">
        <v>36</v>
      </c>
      <c r="V18" s="243">
        <v>35</v>
      </c>
      <c r="W18" s="243">
        <v>35</v>
      </c>
      <c r="X18" s="243">
        <v>35</v>
      </c>
      <c r="Y18" s="243">
        <v>35</v>
      </c>
      <c r="Z18" s="243">
        <v>35</v>
      </c>
      <c r="AA18" s="243">
        <v>34</v>
      </c>
      <c r="AB18" s="243">
        <v>34</v>
      </c>
      <c r="AC18" s="243">
        <v>34</v>
      </c>
      <c r="AD18" s="239"/>
      <c r="AE18" s="239"/>
      <c r="AF18" s="239"/>
      <c r="AG18" s="244">
        <v>1022</v>
      </c>
    </row>
    <row r="19" spans="1:33" ht="13.5" customHeight="1" x14ac:dyDescent="0.25">
      <c r="A19" s="240" t="s">
        <v>30</v>
      </c>
      <c r="B19" s="243">
        <v>33</v>
      </c>
      <c r="C19" s="243">
        <v>33</v>
      </c>
      <c r="D19" s="243">
        <v>33</v>
      </c>
      <c r="E19" s="243">
        <v>32</v>
      </c>
      <c r="F19" s="243">
        <v>32</v>
      </c>
      <c r="G19" s="243">
        <v>32</v>
      </c>
      <c r="H19" s="243">
        <v>32</v>
      </c>
      <c r="I19" s="243">
        <v>31</v>
      </c>
      <c r="J19" s="243">
        <v>31</v>
      </c>
      <c r="K19" s="243">
        <v>30</v>
      </c>
      <c r="L19" s="243">
        <v>30</v>
      </c>
      <c r="M19" s="243">
        <v>30</v>
      </c>
      <c r="N19" s="243">
        <v>29</v>
      </c>
      <c r="O19" s="243">
        <v>29</v>
      </c>
      <c r="P19" s="243">
        <v>29</v>
      </c>
      <c r="Q19" s="243">
        <v>29</v>
      </c>
      <c r="R19" s="243">
        <v>28</v>
      </c>
      <c r="S19" s="243">
        <v>28</v>
      </c>
      <c r="T19" s="243">
        <v>28</v>
      </c>
      <c r="U19" s="243">
        <v>27</v>
      </c>
      <c r="V19" s="243">
        <v>27</v>
      </c>
      <c r="W19" s="243">
        <v>27</v>
      </c>
      <c r="X19" s="243">
        <v>26</v>
      </c>
      <c r="Y19" s="243">
        <v>26</v>
      </c>
      <c r="Z19" s="243">
        <v>26</v>
      </c>
      <c r="AA19" s="243">
        <v>25</v>
      </c>
      <c r="AB19" s="243">
        <v>25</v>
      </c>
      <c r="AC19" s="243">
        <v>25</v>
      </c>
      <c r="AD19" s="243">
        <v>24</v>
      </c>
      <c r="AE19" s="243">
        <v>24</v>
      </c>
      <c r="AF19" s="243">
        <v>24</v>
      </c>
      <c r="AG19" s="244">
        <v>885</v>
      </c>
    </row>
    <row r="20" spans="1:33" ht="13.5" customHeight="1" x14ac:dyDescent="0.25">
      <c r="A20" s="240" t="s">
        <v>29</v>
      </c>
      <c r="B20" s="243">
        <v>23</v>
      </c>
      <c r="C20" s="243">
        <v>23</v>
      </c>
      <c r="D20" s="243">
        <v>22</v>
      </c>
      <c r="E20" s="243">
        <v>22</v>
      </c>
      <c r="F20" s="243">
        <v>22</v>
      </c>
      <c r="G20" s="243">
        <v>21</v>
      </c>
      <c r="H20" s="243">
        <v>21</v>
      </c>
      <c r="I20" s="243">
        <v>21</v>
      </c>
      <c r="J20" s="243">
        <v>20</v>
      </c>
      <c r="K20" s="243">
        <v>20</v>
      </c>
      <c r="L20" s="243">
        <v>19</v>
      </c>
      <c r="M20" s="243">
        <v>19</v>
      </c>
      <c r="N20" s="243">
        <v>19</v>
      </c>
      <c r="O20" s="243">
        <v>18</v>
      </c>
      <c r="P20" s="243">
        <v>18</v>
      </c>
      <c r="Q20" s="243">
        <v>17</v>
      </c>
      <c r="R20" s="243">
        <v>17</v>
      </c>
      <c r="S20" s="243">
        <v>17</v>
      </c>
      <c r="T20" s="243">
        <v>16</v>
      </c>
      <c r="U20" s="243">
        <v>16</v>
      </c>
      <c r="V20" s="243">
        <v>16</v>
      </c>
      <c r="W20" s="243">
        <v>15</v>
      </c>
      <c r="X20" s="243">
        <v>15</v>
      </c>
      <c r="Y20" s="243">
        <v>14</v>
      </c>
      <c r="Z20" s="243">
        <v>14</v>
      </c>
      <c r="AA20" s="243">
        <v>13</v>
      </c>
      <c r="AB20" s="243">
        <v>13</v>
      </c>
      <c r="AC20" s="243">
        <v>13</v>
      </c>
      <c r="AD20" s="243">
        <v>12</v>
      </c>
      <c r="AE20" s="243">
        <v>12</v>
      </c>
      <c r="AF20" s="239"/>
      <c r="AG20" s="244">
        <v>528</v>
      </c>
    </row>
    <row r="21" spans="1:33" ht="13.5" customHeight="1" x14ac:dyDescent="0.25">
      <c r="A21" s="240" t="s">
        <v>28</v>
      </c>
      <c r="B21" s="243">
        <v>11</v>
      </c>
      <c r="C21" s="243">
        <v>11</v>
      </c>
      <c r="D21" s="243">
        <v>10</v>
      </c>
      <c r="E21" s="243">
        <v>10</v>
      </c>
      <c r="F21" s="243">
        <v>10</v>
      </c>
      <c r="G21" s="243">
        <v>9</v>
      </c>
      <c r="H21" s="243">
        <v>9</v>
      </c>
      <c r="I21" s="243">
        <v>8</v>
      </c>
      <c r="J21" s="243">
        <v>8</v>
      </c>
      <c r="K21" s="243">
        <v>8</v>
      </c>
      <c r="L21" s="243">
        <v>8</v>
      </c>
      <c r="M21" s="243">
        <v>8</v>
      </c>
      <c r="N21" s="243">
        <v>7</v>
      </c>
      <c r="O21" s="243">
        <v>7</v>
      </c>
      <c r="P21" s="243">
        <v>7</v>
      </c>
      <c r="Q21" s="243">
        <v>7</v>
      </c>
      <c r="R21" s="243">
        <v>6</v>
      </c>
      <c r="S21" s="243">
        <v>6</v>
      </c>
      <c r="T21" s="243">
        <v>6</v>
      </c>
      <c r="U21" s="243">
        <v>6</v>
      </c>
      <c r="V21" s="243">
        <v>5</v>
      </c>
      <c r="W21" s="243">
        <v>5</v>
      </c>
      <c r="X21" s="243">
        <v>5</v>
      </c>
      <c r="Y21" s="243">
        <v>5</v>
      </c>
      <c r="Z21" s="243">
        <v>5</v>
      </c>
      <c r="AA21" s="243">
        <v>4</v>
      </c>
      <c r="AB21" s="243">
        <v>4</v>
      </c>
      <c r="AC21" s="243">
        <v>4</v>
      </c>
      <c r="AD21" s="243">
        <v>4</v>
      </c>
      <c r="AE21" s="243">
        <v>4</v>
      </c>
      <c r="AF21" s="243">
        <v>3</v>
      </c>
      <c r="AG21" s="244">
        <v>210</v>
      </c>
    </row>
    <row r="22" spans="1:33" ht="13.5" customHeight="1" x14ac:dyDescent="0.25">
      <c r="A22" s="240" t="s">
        <v>27</v>
      </c>
      <c r="B22" s="243">
        <v>3</v>
      </c>
      <c r="C22" s="243">
        <v>3</v>
      </c>
      <c r="D22" s="243">
        <v>3</v>
      </c>
      <c r="E22" s="243">
        <v>3</v>
      </c>
      <c r="F22" s="243">
        <v>2</v>
      </c>
      <c r="G22" s="243">
        <v>2</v>
      </c>
      <c r="H22" s="243">
        <v>2</v>
      </c>
      <c r="I22" s="243">
        <v>2</v>
      </c>
      <c r="J22" s="243">
        <v>2</v>
      </c>
      <c r="K22" s="243">
        <v>2</v>
      </c>
      <c r="L22" s="243">
        <v>2</v>
      </c>
      <c r="M22" s="243">
        <v>1</v>
      </c>
      <c r="N22" s="243">
        <v>1</v>
      </c>
      <c r="O22" s="243">
        <v>1</v>
      </c>
      <c r="P22" s="243">
        <v>1</v>
      </c>
      <c r="Q22" s="243">
        <v>1</v>
      </c>
      <c r="R22" s="243">
        <v>1</v>
      </c>
      <c r="S22" s="243">
        <v>1</v>
      </c>
      <c r="T22" s="243">
        <v>1</v>
      </c>
      <c r="U22" s="243">
        <v>1</v>
      </c>
      <c r="V22" s="243">
        <v>1</v>
      </c>
      <c r="W22" s="243">
        <v>1</v>
      </c>
      <c r="X22" s="243">
        <v>1</v>
      </c>
      <c r="Y22" s="243">
        <v>0</v>
      </c>
      <c r="Z22" s="243">
        <v>0</v>
      </c>
      <c r="AA22" s="243">
        <v>0</v>
      </c>
      <c r="AB22" s="243">
        <v>0</v>
      </c>
      <c r="AC22" s="243">
        <v>0</v>
      </c>
      <c r="AD22" s="243">
        <v>0</v>
      </c>
      <c r="AE22" s="243">
        <v>0</v>
      </c>
      <c r="AF22" s="239"/>
      <c r="AG22" s="244">
        <v>38</v>
      </c>
    </row>
    <row r="23" spans="1:33" ht="13.5" customHeight="1" x14ac:dyDescent="0.25">
      <c r="A23" s="240" t="s">
        <v>26</v>
      </c>
      <c r="B23" s="243">
        <v>0</v>
      </c>
      <c r="C23" s="243">
        <v>0</v>
      </c>
      <c r="D23" s="243">
        <v>0</v>
      </c>
      <c r="E23" s="243">
        <v>0</v>
      </c>
      <c r="F23" s="243">
        <v>0</v>
      </c>
      <c r="G23" s="243">
        <v>0</v>
      </c>
      <c r="H23" s="243">
        <v>0</v>
      </c>
      <c r="I23" s="243">
        <v>0</v>
      </c>
      <c r="J23" s="243">
        <v>0</v>
      </c>
      <c r="K23" s="243">
        <v>0</v>
      </c>
      <c r="L23" s="243">
        <v>0</v>
      </c>
      <c r="M23" s="243">
        <v>0</v>
      </c>
      <c r="N23" s="243">
        <v>0</v>
      </c>
      <c r="O23" s="243">
        <v>0</v>
      </c>
      <c r="P23" s="243">
        <v>0</v>
      </c>
      <c r="Q23" s="243">
        <v>0</v>
      </c>
      <c r="R23" s="243">
        <v>0</v>
      </c>
      <c r="S23" s="243">
        <v>0</v>
      </c>
      <c r="T23" s="243">
        <v>0</v>
      </c>
      <c r="U23" s="243">
        <v>0</v>
      </c>
      <c r="V23" s="243">
        <v>0</v>
      </c>
      <c r="W23" s="243">
        <v>0</v>
      </c>
      <c r="X23" s="243">
        <v>0</v>
      </c>
      <c r="Y23" s="243">
        <v>0</v>
      </c>
      <c r="Z23" s="243">
        <v>0</v>
      </c>
      <c r="AA23" s="243">
        <v>0</v>
      </c>
      <c r="AB23" s="243">
        <v>1</v>
      </c>
      <c r="AC23" s="243">
        <v>1</v>
      </c>
      <c r="AD23" s="243">
        <v>1</v>
      </c>
      <c r="AE23" s="243">
        <v>1</v>
      </c>
      <c r="AF23" s="243">
        <v>0</v>
      </c>
      <c r="AG23" s="244">
        <v>4</v>
      </c>
    </row>
    <row r="24" spans="1:33" ht="13.5" customHeight="1" x14ac:dyDescent="0.25">
      <c r="A24" s="240" t="s">
        <v>25</v>
      </c>
      <c r="B24" s="243">
        <v>0</v>
      </c>
      <c r="C24" s="243">
        <v>0</v>
      </c>
      <c r="D24" s="243">
        <v>0</v>
      </c>
      <c r="E24" s="243">
        <v>0</v>
      </c>
      <c r="F24" s="243">
        <v>0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3">
        <v>0</v>
      </c>
      <c r="P24" s="243">
        <v>0</v>
      </c>
      <c r="Q24" s="243">
        <v>0</v>
      </c>
      <c r="R24" s="243">
        <v>0</v>
      </c>
      <c r="S24" s="243">
        <v>0</v>
      </c>
      <c r="T24" s="243">
        <v>0</v>
      </c>
      <c r="U24" s="243">
        <v>0</v>
      </c>
      <c r="V24" s="243">
        <v>0</v>
      </c>
      <c r="W24" s="243">
        <v>0</v>
      </c>
      <c r="X24" s="243">
        <v>0</v>
      </c>
      <c r="Y24" s="243">
        <v>0</v>
      </c>
      <c r="Z24" s="243">
        <v>0</v>
      </c>
      <c r="AA24" s="243">
        <v>1</v>
      </c>
      <c r="AB24" s="243">
        <v>1</v>
      </c>
      <c r="AC24" s="243">
        <v>1</v>
      </c>
      <c r="AD24" s="243">
        <v>1</v>
      </c>
      <c r="AE24" s="243">
        <v>1</v>
      </c>
      <c r="AF24" s="243">
        <v>1</v>
      </c>
      <c r="AG24" s="244">
        <v>6</v>
      </c>
    </row>
    <row r="25" spans="1:33" ht="13.5" customHeight="1" x14ac:dyDescent="0.25">
      <c r="A25" s="240" t="s">
        <v>24</v>
      </c>
      <c r="B25" s="243">
        <v>1</v>
      </c>
      <c r="C25" s="243">
        <v>1</v>
      </c>
      <c r="D25" s="243">
        <v>1</v>
      </c>
      <c r="E25" s="243">
        <v>1</v>
      </c>
      <c r="F25" s="243">
        <v>1</v>
      </c>
      <c r="G25" s="243">
        <v>1</v>
      </c>
      <c r="H25" s="243">
        <v>1</v>
      </c>
      <c r="I25" s="243">
        <v>1</v>
      </c>
      <c r="J25" s="243">
        <v>1</v>
      </c>
      <c r="K25" s="243">
        <v>1</v>
      </c>
      <c r="L25" s="243">
        <v>1</v>
      </c>
      <c r="M25" s="243">
        <v>1</v>
      </c>
      <c r="N25" s="243">
        <v>2</v>
      </c>
      <c r="O25" s="243">
        <v>2</v>
      </c>
      <c r="P25" s="243">
        <v>2</v>
      </c>
      <c r="Q25" s="243">
        <v>2</v>
      </c>
      <c r="R25" s="243">
        <v>2</v>
      </c>
      <c r="S25" s="243">
        <v>2</v>
      </c>
      <c r="T25" s="243">
        <v>3</v>
      </c>
      <c r="U25" s="243">
        <v>3</v>
      </c>
      <c r="V25" s="243">
        <v>3</v>
      </c>
      <c r="W25" s="243">
        <v>3</v>
      </c>
      <c r="X25" s="243">
        <v>3</v>
      </c>
      <c r="Y25" s="243">
        <v>3</v>
      </c>
      <c r="Z25" s="243">
        <v>4</v>
      </c>
      <c r="AA25" s="243">
        <v>4</v>
      </c>
      <c r="AB25" s="243">
        <v>4</v>
      </c>
      <c r="AC25" s="243">
        <v>4</v>
      </c>
      <c r="AD25" s="243">
        <v>5</v>
      </c>
      <c r="AE25" s="243">
        <v>5</v>
      </c>
      <c r="AF25" s="239"/>
      <c r="AG25" s="244">
        <v>68</v>
      </c>
    </row>
    <row r="26" spans="1:33" ht="13.5" customHeight="1" x14ac:dyDescent="0.25">
      <c r="A26" s="240" t="s">
        <v>23</v>
      </c>
      <c r="B26" s="243">
        <v>5</v>
      </c>
      <c r="C26" s="243">
        <v>5</v>
      </c>
      <c r="D26" s="243">
        <v>6</v>
      </c>
      <c r="E26" s="243">
        <v>6</v>
      </c>
      <c r="F26" s="243">
        <v>6</v>
      </c>
      <c r="G26" s="243">
        <v>7</v>
      </c>
      <c r="H26" s="243">
        <v>7</v>
      </c>
      <c r="I26" s="243">
        <v>8</v>
      </c>
      <c r="J26" s="243">
        <v>8</v>
      </c>
      <c r="K26" s="243">
        <v>9</v>
      </c>
      <c r="L26" s="243">
        <v>9</v>
      </c>
      <c r="M26" s="243">
        <v>9</v>
      </c>
      <c r="N26" s="243">
        <v>10</v>
      </c>
      <c r="O26" s="243">
        <v>10</v>
      </c>
      <c r="P26" s="243">
        <v>10</v>
      </c>
      <c r="Q26" s="243">
        <v>11</v>
      </c>
      <c r="R26" s="243">
        <v>11</v>
      </c>
      <c r="S26" s="243">
        <v>11</v>
      </c>
      <c r="T26" s="243">
        <v>12</v>
      </c>
      <c r="U26" s="243">
        <v>12</v>
      </c>
      <c r="V26" s="243">
        <v>12</v>
      </c>
      <c r="W26" s="243">
        <v>13</v>
      </c>
      <c r="X26" s="243">
        <v>13</v>
      </c>
      <c r="Y26" s="243">
        <v>13</v>
      </c>
      <c r="Z26" s="243">
        <v>14</v>
      </c>
      <c r="AA26" s="243">
        <v>14</v>
      </c>
      <c r="AB26" s="243">
        <v>15</v>
      </c>
      <c r="AC26" s="243">
        <v>15</v>
      </c>
      <c r="AD26" s="243">
        <v>15</v>
      </c>
      <c r="AE26" s="243">
        <v>16</v>
      </c>
      <c r="AF26" s="243">
        <v>16</v>
      </c>
      <c r="AG26" s="244">
        <v>328</v>
      </c>
    </row>
    <row r="27" spans="1:33" ht="13.5" customHeight="1" x14ac:dyDescent="0.25">
      <c r="A27" s="240" t="s">
        <v>22</v>
      </c>
      <c r="B27" s="243">
        <v>16</v>
      </c>
      <c r="C27" s="243">
        <v>16</v>
      </c>
      <c r="D27" s="243">
        <v>17</v>
      </c>
      <c r="E27" s="243">
        <v>17</v>
      </c>
      <c r="F27" s="243">
        <v>17</v>
      </c>
      <c r="G27" s="243">
        <v>18</v>
      </c>
      <c r="H27" s="243">
        <v>18</v>
      </c>
      <c r="I27" s="243">
        <v>19</v>
      </c>
      <c r="J27" s="243">
        <v>19</v>
      </c>
      <c r="K27" s="243">
        <v>20</v>
      </c>
      <c r="L27" s="243">
        <v>20</v>
      </c>
      <c r="M27" s="243">
        <v>20</v>
      </c>
      <c r="N27" s="243">
        <v>21</v>
      </c>
      <c r="O27" s="243">
        <v>21</v>
      </c>
      <c r="P27" s="243">
        <v>21</v>
      </c>
      <c r="Q27" s="243">
        <v>22</v>
      </c>
      <c r="R27" s="243">
        <v>22</v>
      </c>
      <c r="S27" s="243">
        <v>22</v>
      </c>
      <c r="T27" s="243">
        <v>23</v>
      </c>
      <c r="U27" s="243">
        <v>23</v>
      </c>
      <c r="V27" s="243">
        <v>23</v>
      </c>
      <c r="W27" s="243">
        <v>24</v>
      </c>
      <c r="X27" s="243">
        <v>24</v>
      </c>
      <c r="Y27" s="243">
        <v>24</v>
      </c>
      <c r="Z27" s="243">
        <v>24</v>
      </c>
      <c r="AA27" s="243">
        <v>25</v>
      </c>
      <c r="AB27" s="243">
        <v>25</v>
      </c>
      <c r="AC27" s="243">
        <v>25</v>
      </c>
      <c r="AD27" s="243">
        <v>26</v>
      </c>
      <c r="AE27" s="243">
        <v>26</v>
      </c>
      <c r="AF27" s="239"/>
      <c r="AG27" s="244">
        <v>638</v>
      </c>
    </row>
    <row r="28" spans="1:33" ht="13.5" customHeight="1" x14ac:dyDescent="0.25">
      <c r="A28" s="240" t="s">
        <v>21</v>
      </c>
      <c r="B28" s="243">
        <v>26</v>
      </c>
      <c r="C28" s="243">
        <v>26</v>
      </c>
      <c r="D28" s="243">
        <v>27</v>
      </c>
      <c r="E28" s="243">
        <v>27</v>
      </c>
      <c r="F28" s="243">
        <v>27</v>
      </c>
      <c r="G28" s="243">
        <v>28</v>
      </c>
      <c r="H28" s="243">
        <v>28</v>
      </c>
      <c r="I28" s="243">
        <v>28</v>
      </c>
      <c r="J28" s="243">
        <v>28</v>
      </c>
      <c r="K28" s="243">
        <v>29</v>
      </c>
      <c r="L28" s="243">
        <v>29</v>
      </c>
      <c r="M28" s="243">
        <v>29</v>
      </c>
      <c r="N28" s="243">
        <v>29</v>
      </c>
      <c r="O28" s="243">
        <v>30</v>
      </c>
      <c r="P28" s="243">
        <v>30</v>
      </c>
      <c r="Q28" s="243">
        <v>30</v>
      </c>
      <c r="R28" s="243">
        <v>30</v>
      </c>
      <c r="S28" s="243">
        <v>31</v>
      </c>
      <c r="T28" s="243">
        <v>31</v>
      </c>
      <c r="U28" s="243">
        <v>31</v>
      </c>
      <c r="V28" s="243">
        <v>31</v>
      </c>
      <c r="W28" s="243">
        <v>31</v>
      </c>
      <c r="X28" s="243">
        <v>32</v>
      </c>
      <c r="Y28" s="243">
        <v>32</v>
      </c>
      <c r="Z28" s="243">
        <v>32</v>
      </c>
      <c r="AA28" s="243">
        <v>32</v>
      </c>
      <c r="AB28" s="243">
        <v>32</v>
      </c>
      <c r="AC28" s="243">
        <v>33</v>
      </c>
      <c r="AD28" s="243">
        <v>33</v>
      </c>
      <c r="AE28" s="243">
        <v>33</v>
      </c>
      <c r="AF28" s="243">
        <v>33</v>
      </c>
      <c r="AG28" s="244">
        <v>928</v>
      </c>
    </row>
    <row r="29" spans="1:33" ht="12" customHeight="1" x14ac:dyDescent="0.25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</row>
    <row r="30" spans="1:33" ht="18" customHeight="1" x14ac:dyDescent="0.25">
      <c r="A30" s="245" t="s">
        <v>20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46">
        <v>5771</v>
      </c>
    </row>
    <row r="31" spans="1:33" ht="15" customHeight="1" x14ac:dyDescent="0.25">
      <c r="A31" s="350" t="s">
        <v>19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</row>
  </sheetData>
  <mergeCells count="17">
    <mergeCell ref="E12:AG12"/>
    <mergeCell ref="A31:AG31"/>
    <mergeCell ref="E7:AG7"/>
    <mergeCell ref="A9:D11"/>
    <mergeCell ref="E9:AG10"/>
    <mergeCell ref="A12:D12"/>
    <mergeCell ref="A1:F1"/>
    <mergeCell ref="G1:Z1"/>
    <mergeCell ref="AA1:AG1"/>
    <mergeCell ref="A7:D7"/>
    <mergeCell ref="A3:B3"/>
    <mergeCell ref="C3:E3"/>
    <mergeCell ref="A5:D6"/>
    <mergeCell ref="E5:AG5"/>
    <mergeCell ref="A2:B2"/>
    <mergeCell ref="C2:F2"/>
    <mergeCell ref="G2:Z2"/>
  </mergeCells>
  <pageMargins left="0.75" right="0.25" top="0.25" bottom="0.25" header="0" footer="0"/>
  <pageSetup fitToWidth="0" fitToHeight="0" orientation="portrait" horizontalDpi="0" verticalDpi="0" copies="0"/>
  <headerFooter alignWithMargins="0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F75"/>
  <sheetViews>
    <sheetView zoomScale="80" zoomScaleNormal="80" workbookViewId="0">
      <selection activeCell="AF13" sqref="AF1:AF1048576"/>
    </sheetView>
  </sheetViews>
  <sheetFormatPr defaultColWidth="9.140625" defaultRowHeight="12.75" x14ac:dyDescent="0.2"/>
  <cols>
    <col min="1" max="1" width="41.7109375" style="2" customWidth="1"/>
    <col min="2" max="3" width="12.7109375" style="2" customWidth="1"/>
    <col min="4" max="5" width="12.7109375" style="3" customWidth="1"/>
    <col min="6" max="6" width="14.7109375" style="3" customWidth="1"/>
    <col min="7" max="11" width="12.7109375" style="2" customWidth="1"/>
    <col min="12" max="12" width="14.7109375" style="2" customWidth="1"/>
    <col min="13" max="17" width="12.7109375" style="2" customWidth="1"/>
    <col min="18" max="18" width="14.7109375" style="2" customWidth="1"/>
    <col min="19" max="23" width="12.7109375" style="2" customWidth="1"/>
    <col min="24" max="24" width="14.7109375" style="2" customWidth="1"/>
    <col min="25" max="29" width="12.7109375" style="2" customWidth="1"/>
    <col min="30" max="30" width="14.7109375" style="2" customWidth="1"/>
    <col min="31" max="31" width="12.7109375" style="2" customWidth="1"/>
    <col min="32" max="32" width="13.140625" style="2" customWidth="1"/>
    <col min="33" max="16384" width="9.140625" style="2"/>
  </cols>
  <sheetData>
    <row r="1" spans="1:31" x14ac:dyDescent="0.2">
      <c r="A1" s="1" t="s">
        <v>0</v>
      </c>
      <c r="G1" s="208" t="s">
        <v>237</v>
      </c>
    </row>
    <row r="2" spans="1:31" x14ac:dyDescent="0.2">
      <c r="A2" s="1" t="s">
        <v>18</v>
      </c>
      <c r="G2" s="5">
        <f ca="1">NOW()</f>
        <v>44852.574980324076</v>
      </c>
    </row>
    <row r="3" spans="1:31" x14ac:dyDescent="0.2">
      <c r="A3" s="1" t="s">
        <v>1</v>
      </c>
    </row>
    <row r="4" spans="1:31" x14ac:dyDescent="0.2">
      <c r="A4" s="1" t="s">
        <v>2</v>
      </c>
    </row>
    <row r="5" spans="1:31" x14ac:dyDescent="0.2">
      <c r="A5" s="1" t="s">
        <v>3</v>
      </c>
      <c r="B5" s="200" t="s">
        <v>226</v>
      </c>
      <c r="C5" s="201"/>
      <c r="D5" s="201"/>
      <c r="E5" s="201"/>
      <c r="F5" s="201"/>
      <c r="G5" s="202"/>
      <c r="H5" s="200" t="s">
        <v>228</v>
      </c>
      <c r="I5" s="201"/>
      <c r="J5" s="201"/>
      <c r="K5" s="201"/>
      <c r="L5" s="201"/>
      <c r="M5" s="202"/>
      <c r="N5" s="200" t="s">
        <v>230</v>
      </c>
      <c r="O5" s="201"/>
      <c r="P5" s="201"/>
      <c r="Q5" s="201"/>
      <c r="R5" s="201"/>
      <c r="S5" s="202"/>
      <c r="T5" s="200" t="s">
        <v>233</v>
      </c>
      <c r="U5" s="201"/>
      <c r="V5" s="201"/>
      <c r="W5" s="201"/>
      <c r="X5" s="201"/>
      <c r="Y5" s="202"/>
      <c r="Z5" s="200" t="s">
        <v>238</v>
      </c>
      <c r="AA5" s="201"/>
      <c r="AB5" s="201"/>
      <c r="AC5" s="201"/>
      <c r="AD5" s="201"/>
      <c r="AE5" s="202"/>
    </row>
    <row r="6" spans="1:31" x14ac:dyDescent="0.2">
      <c r="A6" s="2" t="s">
        <v>4</v>
      </c>
      <c r="B6" s="45">
        <v>1.5E-3</v>
      </c>
      <c r="C6" s="3"/>
      <c r="G6" s="10"/>
      <c r="H6" s="9">
        <f>B6</f>
        <v>1.5E-3</v>
      </c>
      <c r="I6" s="3"/>
      <c r="J6" s="3"/>
      <c r="K6" s="3"/>
      <c r="L6" s="3"/>
      <c r="M6" s="10"/>
      <c r="N6" s="9">
        <f>H6</f>
        <v>1.5E-3</v>
      </c>
      <c r="O6" s="3"/>
      <c r="P6" s="3"/>
      <c r="Q6" s="3"/>
      <c r="R6" s="3"/>
      <c r="S6" s="10"/>
      <c r="T6" s="9">
        <f>N6</f>
        <v>1.5E-3</v>
      </c>
      <c r="U6" s="3"/>
      <c r="V6" s="3"/>
      <c r="W6" s="3"/>
      <c r="X6" s="3"/>
      <c r="Y6" s="10"/>
      <c r="Z6" s="9">
        <f>T6</f>
        <v>1.5E-3</v>
      </c>
      <c r="AA6" s="3"/>
      <c r="AB6" s="3"/>
      <c r="AC6" s="3"/>
      <c r="AD6" s="3"/>
      <c r="AE6" s="10"/>
    </row>
    <row r="7" spans="1:31" x14ac:dyDescent="0.2">
      <c r="B7" s="9"/>
      <c r="C7" s="3"/>
      <c r="G7" s="10"/>
      <c r="H7" s="9"/>
      <c r="I7" s="3"/>
      <c r="J7" s="3"/>
      <c r="K7" s="3"/>
      <c r="L7" s="3"/>
      <c r="M7" s="10"/>
      <c r="N7" s="9"/>
      <c r="O7" s="3"/>
      <c r="P7" s="3"/>
      <c r="Q7" s="3"/>
      <c r="R7" s="3"/>
      <c r="S7" s="10"/>
      <c r="T7" s="9"/>
      <c r="U7" s="3"/>
      <c r="V7" s="3"/>
      <c r="W7" s="3"/>
      <c r="X7" s="3"/>
      <c r="Y7" s="10"/>
      <c r="Z7" s="9"/>
      <c r="AA7" s="3"/>
      <c r="AB7" s="3"/>
      <c r="AC7" s="3"/>
      <c r="AD7" s="3"/>
      <c r="AE7" s="10"/>
    </row>
    <row r="8" spans="1:31" x14ac:dyDescent="0.2">
      <c r="A8" s="1"/>
      <c r="B8" s="11" t="s">
        <v>5</v>
      </c>
      <c r="C8" s="3"/>
      <c r="G8" s="10"/>
      <c r="H8" s="11" t="s">
        <v>5</v>
      </c>
      <c r="I8" s="3"/>
      <c r="J8" s="3"/>
      <c r="K8" s="3"/>
      <c r="L8" s="3"/>
      <c r="M8" s="10"/>
      <c r="N8" s="11" t="s">
        <v>5</v>
      </c>
      <c r="O8" s="3"/>
      <c r="P8" s="3"/>
      <c r="Q8" s="3"/>
      <c r="R8" s="3"/>
      <c r="S8" s="10"/>
      <c r="T8" s="11" t="s">
        <v>5</v>
      </c>
      <c r="U8" s="3"/>
      <c r="V8" s="3"/>
      <c r="W8" s="3"/>
      <c r="X8" s="3"/>
      <c r="Y8" s="10"/>
      <c r="Z8" s="11" t="s">
        <v>5</v>
      </c>
      <c r="AA8" s="3"/>
      <c r="AB8" s="3"/>
      <c r="AC8" s="3"/>
      <c r="AD8" s="3"/>
      <c r="AE8" s="10"/>
    </row>
    <row r="9" spans="1:31" x14ac:dyDescent="0.2">
      <c r="B9" s="11" t="s">
        <v>240</v>
      </c>
      <c r="C9" s="3"/>
      <c r="G9" s="10"/>
      <c r="H9" s="11" t="s">
        <v>240</v>
      </c>
      <c r="I9" s="3"/>
      <c r="J9" s="3"/>
      <c r="K9" s="3"/>
      <c r="L9" s="3"/>
      <c r="M9" s="10"/>
      <c r="N9" s="11" t="s">
        <v>240</v>
      </c>
      <c r="O9" s="3"/>
      <c r="P9" s="3"/>
      <c r="Q9" s="3"/>
      <c r="R9" s="3"/>
      <c r="S9" s="10"/>
      <c r="T9" s="11" t="s">
        <v>240</v>
      </c>
      <c r="U9" s="3"/>
      <c r="V9" s="3"/>
      <c r="W9" s="3"/>
      <c r="X9" s="3"/>
      <c r="Y9" s="10"/>
      <c r="Z9" s="11" t="s">
        <v>240</v>
      </c>
      <c r="AA9" s="3"/>
      <c r="AB9" s="3"/>
      <c r="AC9" s="3"/>
      <c r="AD9" s="3"/>
      <c r="AE9" s="10"/>
    </row>
    <row r="10" spans="1:31" x14ac:dyDescent="0.2">
      <c r="B10" s="12"/>
      <c r="C10" s="3"/>
      <c r="E10" s="13" t="s">
        <v>6</v>
      </c>
      <c r="G10" s="14" t="s">
        <v>6</v>
      </c>
      <c r="H10" s="12"/>
      <c r="I10" s="3"/>
      <c r="J10" s="3"/>
      <c r="K10" s="13" t="s">
        <v>6</v>
      </c>
      <c r="L10" s="3"/>
      <c r="M10" s="14" t="s">
        <v>6</v>
      </c>
      <c r="N10" s="12"/>
      <c r="O10" s="3"/>
      <c r="P10" s="3"/>
      <c r="Q10" s="13" t="s">
        <v>6</v>
      </c>
      <c r="R10" s="3"/>
      <c r="S10" s="14" t="s">
        <v>6</v>
      </c>
      <c r="T10" s="12"/>
      <c r="U10" s="3"/>
      <c r="V10" s="3"/>
      <c r="W10" s="13" t="s">
        <v>6</v>
      </c>
      <c r="X10" s="3"/>
      <c r="Y10" s="14" t="s">
        <v>6</v>
      </c>
      <c r="Z10" s="12"/>
      <c r="AA10" s="3"/>
      <c r="AB10" s="3"/>
      <c r="AC10" s="13" t="s">
        <v>6</v>
      </c>
      <c r="AD10" s="3"/>
      <c r="AE10" s="14" t="s">
        <v>6</v>
      </c>
    </row>
    <row r="11" spans="1:31" x14ac:dyDescent="0.2">
      <c r="A11" s="4" t="s">
        <v>7</v>
      </c>
      <c r="B11" s="46">
        <f>'Degree Day Report - EMM'!$AG$17</f>
        <v>1116</v>
      </c>
      <c r="C11" s="15"/>
      <c r="D11" s="16"/>
      <c r="E11" s="13" t="s">
        <v>8</v>
      </c>
      <c r="F11" s="16"/>
      <c r="G11" s="14" t="s">
        <v>8</v>
      </c>
      <c r="H11" s="17">
        <f>B11</f>
        <v>1116</v>
      </c>
      <c r="I11" s="15"/>
      <c r="J11" s="16"/>
      <c r="K11" s="13" t="s">
        <v>8</v>
      </c>
      <c r="L11" s="16"/>
      <c r="M11" s="14" t="s">
        <v>8</v>
      </c>
      <c r="N11" s="17">
        <f>H11</f>
        <v>1116</v>
      </c>
      <c r="O11" s="15"/>
      <c r="P11" s="16"/>
      <c r="Q11" s="13" t="s">
        <v>8</v>
      </c>
      <c r="R11" s="16"/>
      <c r="S11" s="14" t="s">
        <v>8</v>
      </c>
      <c r="T11" s="17">
        <f>N11</f>
        <v>1116</v>
      </c>
      <c r="U11" s="15"/>
      <c r="V11" s="16"/>
      <c r="W11" s="13" t="s">
        <v>8</v>
      </c>
      <c r="X11" s="16"/>
      <c r="Y11" s="14" t="s">
        <v>8</v>
      </c>
      <c r="Z11" s="17">
        <f>T11</f>
        <v>1116</v>
      </c>
      <c r="AA11" s="15"/>
      <c r="AB11" s="16"/>
      <c r="AC11" s="13" t="s">
        <v>8</v>
      </c>
      <c r="AD11" s="16"/>
      <c r="AE11" s="14" t="s">
        <v>8</v>
      </c>
    </row>
    <row r="12" spans="1:31" x14ac:dyDescent="0.2">
      <c r="B12" s="18"/>
      <c r="C12" s="16"/>
      <c r="D12" s="16"/>
      <c r="E12" s="207">
        <v>2023</v>
      </c>
      <c r="F12" s="19"/>
      <c r="G12" s="20">
        <f>E12</f>
        <v>2023</v>
      </c>
      <c r="H12" s="18"/>
      <c r="I12" s="16"/>
      <c r="J12" s="16"/>
      <c r="K12" s="19">
        <f>E12+1</f>
        <v>2024</v>
      </c>
      <c r="L12" s="19"/>
      <c r="M12" s="20">
        <f>K12</f>
        <v>2024</v>
      </c>
      <c r="N12" s="18"/>
      <c r="O12" s="16"/>
      <c r="P12" s="16"/>
      <c r="Q12" s="19">
        <f>K12+1</f>
        <v>2025</v>
      </c>
      <c r="R12" s="19"/>
      <c r="S12" s="20">
        <f>Q12</f>
        <v>2025</v>
      </c>
      <c r="T12" s="18"/>
      <c r="U12" s="16"/>
      <c r="V12" s="16"/>
      <c r="W12" s="19">
        <f>Q12+1</f>
        <v>2026</v>
      </c>
      <c r="X12" s="19"/>
      <c r="Y12" s="20">
        <f>W12</f>
        <v>2026</v>
      </c>
      <c r="Z12" s="18"/>
      <c r="AA12" s="16"/>
      <c r="AB12" s="16"/>
      <c r="AC12" s="19">
        <f>W12+1</f>
        <v>2027</v>
      </c>
      <c r="AD12" s="19"/>
      <c r="AE12" s="20">
        <f>AC12</f>
        <v>2027</v>
      </c>
    </row>
    <row r="13" spans="1:31" x14ac:dyDescent="0.2">
      <c r="B13" s="12"/>
      <c r="C13" s="19"/>
      <c r="D13" s="19"/>
      <c r="E13" s="13">
        <v>62</v>
      </c>
      <c r="F13" s="168"/>
      <c r="G13" s="14">
        <v>74</v>
      </c>
      <c r="H13" s="12"/>
      <c r="I13" s="19"/>
      <c r="J13" s="19"/>
      <c r="K13" s="13">
        <f>E13</f>
        <v>62</v>
      </c>
      <c r="L13" s="13"/>
      <c r="M13" s="14">
        <f>G13</f>
        <v>74</v>
      </c>
      <c r="N13" s="12"/>
      <c r="O13" s="19"/>
      <c r="P13" s="19"/>
      <c r="Q13" s="13">
        <f>K13</f>
        <v>62</v>
      </c>
      <c r="R13" s="13"/>
      <c r="S13" s="14">
        <f>M13</f>
        <v>74</v>
      </c>
      <c r="T13" s="12"/>
      <c r="U13" s="19"/>
      <c r="V13" s="19"/>
      <c r="W13" s="13">
        <f>Q13</f>
        <v>62</v>
      </c>
      <c r="X13" s="13"/>
      <c r="Y13" s="14">
        <f>S13</f>
        <v>74</v>
      </c>
      <c r="Z13" s="12"/>
      <c r="AA13" s="19"/>
      <c r="AB13" s="19"/>
      <c r="AC13" s="47">
        <f>W13</f>
        <v>62</v>
      </c>
      <c r="AD13" s="19"/>
      <c r="AE13" s="48">
        <f>Y13</f>
        <v>74</v>
      </c>
    </row>
    <row r="14" spans="1:31" ht="13.5" thickBot="1" x14ac:dyDescent="0.25">
      <c r="A14" s="21" t="s">
        <v>9</v>
      </c>
      <c r="B14" s="204">
        <v>44927</v>
      </c>
      <c r="C14" s="203">
        <v>45108</v>
      </c>
      <c r="D14" s="203">
        <v>45139</v>
      </c>
      <c r="E14" s="19" t="s">
        <v>10</v>
      </c>
      <c r="F14" s="19"/>
      <c r="G14" s="20" t="s">
        <v>10</v>
      </c>
      <c r="H14" s="205">
        <f>B14+366</f>
        <v>45293</v>
      </c>
      <c r="I14" s="206">
        <f>C14+375</f>
        <v>45483</v>
      </c>
      <c r="J14" s="206">
        <f>D14+375</f>
        <v>45514</v>
      </c>
      <c r="K14" s="19" t="s">
        <v>10</v>
      </c>
      <c r="L14" s="19"/>
      <c r="M14" s="20" t="s">
        <v>10</v>
      </c>
      <c r="N14" s="205">
        <f>H14+375</f>
        <v>45668</v>
      </c>
      <c r="O14" s="206">
        <f t="shared" ref="O14:P14" si="0">I14+365</f>
        <v>45848</v>
      </c>
      <c r="P14" s="206">
        <f t="shared" si="0"/>
        <v>45879</v>
      </c>
      <c r="Q14" s="19" t="s">
        <v>10</v>
      </c>
      <c r="R14" s="19"/>
      <c r="S14" s="20" t="s">
        <v>10</v>
      </c>
      <c r="T14" s="205">
        <f>N14+366</f>
        <v>46034</v>
      </c>
      <c r="U14" s="206">
        <f>O14+366</f>
        <v>46214</v>
      </c>
      <c r="V14" s="206">
        <f>P14+366</f>
        <v>46245</v>
      </c>
      <c r="W14" s="19" t="s">
        <v>10</v>
      </c>
      <c r="X14" s="19"/>
      <c r="Y14" s="20" t="s">
        <v>10</v>
      </c>
      <c r="Z14" s="205">
        <f>T14+365</f>
        <v>46399</v>
      </c>
      <c r="AA14" s="206">
        <f>U14+365</f>
        <v>46579</v>
      </c>
      <c r="AB14" s="206">
        <f>V14+365</f>
        <v>46610</v>
      </c>
      <c r="AC14" s="19" t="s">
        <v>10</v>
      </c>
      <c r="AD14" s="19"/>
      <c r="AE14" s="20" t="s">
        <v>10</v>
      </c>
    </row>
    <row r="15" spans="1:31" x14ac:dyDescent="0.2">
      <c r="A15" s="24"/>
      <c r="B15" s="22"/>
      <c r="C15" s="23"/>
      <c r="D15" s="23"/>
      <c r="E15" s="23"/>
      <c r="F15" s="23"/>
      <c r="G15" s="10"/>
      <c r="H15" s="22"/>
      <c r="I15" s="23"/>
      <c r="J15" s="23"/>
      <c r="K15" s="23"/>
      <c r="L15" s="23"/>
      <c r="M15" s="10"/>
      <c r="N15" s="22"/>
      <c r="O15" s="23"/>
      <c r="P15" s="23"/>
      <c r="Q15" s="23"/>
      <c r="R15" s="23"/>
      <c r="S15" s="10"/>
      <c r="T15" s="22"/>
      <c r="U15" s="23"/>
      <c r="V15" s="23"/>
      <c r="W15" s="23"/>
      <c r="X15" s="23"/>
      <c r="Y15" s="10"/>
      <c r="Z15" s="22"/>
      <c r="AA15" s="23"/>
      <c r="AB15" s="23"/>
      <c r="AC15" s="23"/>
      <c r="AD15" s="23"/>
      <c r="AE15" s="10"/>
    </row>
    <row r="16" spans="1:31" x14ac:dyDescent="0.2">
      <c r="A16" s="25" t="s">
        <v>11</v>
      </c>
      <c r="B16" s="209">
        <v>3475214.1191500002</v>
      </c>
      <c r="C16" s="210">
        <v>323058.69</v>
      </c>
      <c r="D16" s="210">
        <v>323058.69</v>
      </c>
      <c r="E16" s="28">
        <f>ROUND(((B16-((C16+D16)/62)*31)/$B$11*$E$13)+(C16+D16)/62,0)</f>
        <v>185541</v>
      </c>
      <c r="F16" s="28"/>
      <c r="G16" s="29">
        <f>ROUND(((B16-((C16+D16)/62)*31)/$B$11*$G$13)+(C16+D16)/62,0)</f>
        <v>219435</v>
      </c>
      <c r="H16" s="209">
        <v>3534544.6045491444</v>
      </c>
      <c r="I16" s="210">
        <v>328574.09947779059</v>
      </c>
      <c r="J16" s="210">
        <v>328574.09947779059</v>
      </c>
      <c r="K16" s="28">
        <f>ROUND(((H16-((I16+J16)/62)*31)/$B$11*$E$13)+(I16+J16)/62,0)</f>
        <v>188709</v>
      </c>
      <c r="L16" s="28"/>
      <c r="M16" s="29">
        <f>ROUND(((H16-((I16+J16)/62)*31)/$B$11*$G$13)+(I16+J16)/62,0)</f>
        <v>223181</v>
      </c>
      <c r="N16" s="209">
        <v>3551553.1339099999</v>
      </c>
      <c r="O16" s="210">
        <v>330155.22599999997</v>
      </c>
      <c r="P16" s="210">
        <v>330155.22599999997</v>
      </c>
      <c r="Q16" s="28">
        <f>ROUND(((N16-((O16+P16)/62)*31)/$B$11*$E$13)+(O16+P16)/62,0)</f>
        <v>189617</v>
      </c>
      <c r="R16" s="28"/>
      <c r="S16" s="29">
        <f>ROUND(((N16-((O16+P16)/62)*31)/$B$11*$G$13)+(O16+P16)/62,0)</f>
        <v>224255</v>
      </c>
      <c r="T16" s="209">
        <v>3589527.8495100001</v>
      </c>
      <c r="U16" s="210">
        <v>333685.386</v>
      </c>
      <c r="V16" s="210">
        <v>333685.386</v>
      </c>
      <c r="W16" s="28">
        <f>ROUND(((T16-((U16+V16)/62)*31)/$B$11*$E$13)+(U16+V16)/62,0)</f>
        <v>191644</v>
      </c>
      <c r="X16" s="28"/>
      <c r="Y16" s="29">
        <f>ROUND(((T16-((U16+V16)/62)*31)/$B$11*$G$13)+(U16+V16)/62,0)</f>
        <v>226653</v>
      </c>
      <c r="Z16" s="209">
        <v>3628760.19196</v>
      </c>
      <c r="AA16" s="210">
        <v>337332.45599999995</v>
      </c>
      <c r="AB16" s="210">
        <v>337332.45599999995</v>
      </c>
      <c r="AC16" s="28">
        <f>ROUND(((Z16-((AA16+AB16)/62)*31)/$B$11*$E$13)+(AA16+AB16)/62,0)</f>
        <v>193739</v>
      </c>
      <c r="AD16" s="28"/>
      <c r="AE16" s="29">
        <f>ROUND(((Z16-((AA16+AB16)/62)*31)/$B$11*$G$13)+(AA16+AB16)/62,0)</f>
        <v>229130</v>
      </c>
    </row>
    <row r="17" spans="1:32" x14ac:dyDescent="0.2">
      <c r="A17" s="25" t="s">
        <v>12</v>
      </c>
      <c r="B17" s="209">
        <v>572166.00034999999</v>
      </c>
      <c r="C17" s="210">
        <v>53189.009999999995</v>
      </c>
      <c r="D17" s="210">
        <v>53189.009999999995</v>
      </c>
      <c r="E17" s="28">
        <f>ROUND(((B17-((C17+D17)/62)*31)/$B$11*$E$13)+(C17+D17)/62,0)</f>
        <v>30548</v>
      </c>
      <c r="F17" s="28"/>
      <c r="G17" s="29">
        <f>ROUND(((B17-((C17+D17)/62)*31)/$B$11*$G$13)+(C17+D17)/62,0)</f>
        <v>36128</v>
      </c>
      <c r="H17" s="209">
        <v>578598.26688681671</v>
      </c>
      <c r="I17" s="210">
        <v>53786.958652908637</v>
      </c>
      <c r="J17" s="210">
        <v>53786.958652908637</v>
      </c>
      <c r="K17" s="28">
        <f>ROUND(((H17-((I17+J17)/62)*31)/$B$11*$E$13)+(I17+J17)/62,0)</f>
        <v>30891</v>
      </c>
      <c r="L17" s="28"/>
      <c r="M17" s="29">
        <f>ROUND(((H17-((I17+J17)/62)*31)/$B$11*$G$13)+(I17+J17)/62,0)</f>
        <v>36534</v>
      </c>
      <c r="N17" s="209">
        <v>578075.97520999995</v>
      </c>
      <c r="O17" s="210">
        <v>53738.405999999995</v>
      </c>
      <c r="P17" s="210">
        <v>53738.405999999995</v>
      </c>
      <c r="Q17" s="28">
        <f>ROUND(((N17-((O17+P17)/62)*31)/$B$11*$E$13)+(O17+P17)/62,0)</f>
        <v>30863</v>
      </c>
      <c r="R17" s="28"/>
      <c r="S17" s="29">
        <f>ROUND(((N17-((O17+P17)/62)*31)/$B$11*$G$13)+(O17+P17)/62,0)</f>
        <v>36501</v>
      </c>
      <c r="T17" s="209">
        <v>581010.82511999994</v>
      </c>
      <c r="U17" s="210">
        <v>54011.231999999996</v>
      </c>
      <c r="V17" s="210">
        <v>54011.231999999996</v>
      </c>
      <c r="W17" s="28">
        <f>ROUND(((T17-((U17+V17)/62)*31)/$B$11*$E$13)+(U17+V17)/62,0)</f>
        <v>31020</v>
      </c>
      <c r="X17" s="28"/>
      <c r="Y17" s="29">
        <f>ROUND(((T17-((U17+V17)/62)*31)/$B$11*$G$13)+(U17+V17)/62,0)</f>
        <v>36687</v>
      </c>
      <c r="Z17" s="209">
        <v>583984.78828999994</v>
      </c>
      <c r="AA17" s="210">
        <v>54287.693999999996</v>
      </c>
      <c r="AB17" s="210">
        <v>54287.693999999996</v>
      </c>
      <c r="AC17" s="28">
        <f>ROUND(((Z17-((AA17+AB17)/62)*31)/$B$11*$E$13)+(AA17+AB17)/62,0)</f>
        <v>31179</v>
      </c>
      <c r="AD17" s="28"/>
      <c r="AE17" s="29">
        <f>ROUND(((Z17-((AA17+AB17)/62)*31)/$B$11*$G$13)+(AA17+AB17)/62,0)</f>
        <v>36874</v>
      </c>
    </row>
    <row r="18" spans="1:32" x14ac:dyDescent="0.2">
      <c r="A18" s="25" t="s">
        <v>94</v>
      </c>
      <c r="B18" s="209">
        <v>45971.828229999999</v>
      </c>
      <c r="C18" s="211"/>
      <c r="D18" s="211"/>
      <c r="E18" s="30">
        <f>ROUND(B18/21,0)</f>
        <v>2189</v>
      </c>
      <c r="F18" s="30"/>
      <c r="G18" s="31">
        <f>ROUND(B18/21,0)</f>
        <v>2189</v>
      </c>
      <c r="H18" s="209">
        <v>46426.809232266285</v>
      </c>
      <c r="I18" s="211"/>
      <c r="J18" s="211"/>
      <c r="K18" s="30">
        <f>ROUND(H18/21,0)</f>
        <v>2211</v>
      </c>
      <c r="L18" s="30"/>
      <c r="M18" s="31">
        <f>ROUND(H18/21,0)</f>
        <v>2211</v>
      </c>
      <c r="N18" s="209">
        <v>46246.782829999996</v>
      </c>
      <c r="O18" s="211"/>
      <c r="P18" s="211"/>
      <c r="Q18" s="30">
        <f>ROUND(N18/21,0)</f>
        <v>2202</v>
      </c>
      <c r="R18" s="30"/>
      <c r="S18" s="31">
        <f>ROUND(N18/21,0)</f>
        <v>2202</v>
      </c>
      <c r="T18" s="209">
        <v>46438.282899999998</v>
      </c>
      <c r="U18" s="211"/>
      <c r="V18" s="211"/>
      <c r="W18" s="30">
        <f>ROUND(T18/21,0)</f>
        <v>2211</v>
      </c>
      <c r="X18" s="30"/>
      <c r="Y18" s="31">
        <f>ROUND(T18/21,0)</f>
        <v>2211</v>
      </c>
      <c r="Z18" s="209">
        <v>46546.715700000001</v>
      </c>
      <c r="AA18" s="211"/>
      <c r="AB18" s="211"/>
      <c r="AC18" s="30">
        <f>ROUND(Z18/21,0)</f>
        <v>2217</v>
      </c>
      <c r="AD18" s="30"/>
      <c r="AE18" s="31">
        <f>ROUND(Z18/21,0)</f>
        <v>2217</v>
      </c>
    </row>
    <row r="19" spans="1:32" x14ac:dyDescent="0.2">
      <c r="A19" s="25" t="s">
        <v>13</v>
      </c>
      <c r="B19" s="209">
        <v>46095.945059999998</v>
      </c>
      <c r="C19" s="210">
        <v>4285.116</v>
      </c>
      <c r="D19" s="210">
        <v>4285.116</v>
      </c>
      <c r="E19" s="28">
        <f>ROUND(((B19-((C19+D19)/62)*31)/$B$11*$E$13)+(C19+D19)/62,0)</f>
        <v>2461</v>
      </c>
      <c r="F19" s="28"/>
      <c r="G19" s="29">
        <f>ROUND(((B19-((C19+D19)/62)*31)/$B$11*$G$13)+(C19+D19)/62,0)</f>
        <v>2911</v>
      </c>
      <c r="H19" s="209">
        <v>45367.744072407608</v>
      </c>
      <c r="I19" s="210">
        <v>4217.4218525194283</v>
      </c>
      <c r="J19" s="210">
        <v>4217.4218525194283</v>
      </c>
      <c r="K19" s="28">
        <f>ROUND(((H19-((I19+J19)/62)*31)/$B$11*$E$13)+(I19+J19)/62,0)</f>
        <v>2422</v>
      </c>
      <c r="L19" s="28"/>
      <c r="M19" s="29">
        <f>ROUND(((H19-((I19+J19)/62)*31)/$B$11*$G$13)+(I19+J19)/62,0)</f>
        <v>2865</v>
      </c>
      <c r="N19" s="209">
        <v>44058.570200000002</v>
      </c>
      <c r="O19" s="210">
        <v>4095.72</v>
      </c>
      <c r="P19" s="210">
        <v>4095.72</v>
      </c>
      <c r="Q19" s="28">
        <f>ROUND(((N19-((O19+P19)/62)*31)/$B$11*$E$13)+(O19+P19)/62,0)</f>
        <v>2352</v>
      </c>
      <c r="R19" s="28"/>
      <c r="S19" s="29">
        <f>ROUND(((N19-((O19+P19)/62)*31)/$B$11*$G$13)+(O19+P19)/62,0)</f>
        <v>2782</v>
      </c>
      <c r="T19" s="209">
        <v>42901.630949999999</v>
      </c>
      <c r="U19" s="210">
        <v>3988.1699999999996</v>
      </c>
      <c r="V19" s="210">
        <v>3988.1699999999996</v>
      </c>
      <c r="W19" s="28">
        <f>ROUND(((T19-((U19+V19)/62)*31)/$B$11*$E$13)+(U19+V19)/62,0)</f>
        <v>2291</v>
      </c>
      <c r="X19" s="28"/>
      <c r="Y19" s="29">
        <f>ROUND(((T19-((U19+V19)/62)*31)/$B$11*$G$13)+(U19+V19)/62,0)</f>
        <v>2709</v>
      </c>
      <c r="Z19" s="209">
        <v>41935.029990000003</v>
      </c>
      <c r="AA19" s="210">
        <v>3898.3139999999999</v>
      </c>
      <c r="AB19" s="210">
        <v>3898.3139999999999</v>
      </c>
      <c r="AC19" s="28">
        <f>ROUND(((Z19-((AA19+AB19)/62)*31)/$B$11*$E$13)+(AA19+AB19)/62,0)</f>
        <v>2239</v>
      </c>
      <c r="AD19" s="28"/>
      <c r="AE19" s="29">
        <f>ROUND(((Z19-((AA19+AB19)/62)*31)/$B$11*$G$13)+(AA19+AB19)/62,0)</f>
        <v>2648</v>
      </c>
    </row>
    <row r="20" spans="1:32" ht="13.5" thickBot="1" x14ac:dyDescent="0.25">
      <c r="A20" s="33" t="s">
        <v>14</v>
      </c>
      <c r="B20" s="212">
        <v>1720</v>
      </c>
      <c r="C20" s="213"/>
      <c r="D20" s="34"/>
      <c r="E20" s="34">
        <f>ROUND(B20/31,0)</f>
        <v>55</v>
      </c>
      <c r="F20" s="34"/>
      <c r="G20" s="35">
        <f>ROUND(B20/31,0)</f>
        <v>55</v>
      </c>
      <c r="H20" s="212">
        <v>1720</v>
      </c>
      <c r="I20" s="213"/>
      <c r="J20" s="213"/>
      <c r="K20" s="34">
        <f>ROUND(H20/31,0)</f>
        <v>55</v>
      </c>
      <c r="L20" s="34"/>
      <c r="M20" s="35">
        <f>ROUND(H20/31,0)</f>
        <v>55</v>
      </c>
      <c r="N20" s="212">
        <v>1720</v>
      </c>
      <c r="O20" s="213"/>
      <c r="P20" s="213"/>
      <c r="Q20" s="34">
        <f>ROUND(N20/31,0)</f>
        <v>55</v>
      </c>
      <c r="R20" s="34"/>
      <c r="S20" s="35">
        <f>ROUND(N20/31,0)</f>
        <v>55</v>
      </c>
      <c r="T20" s="212">
        <v>1720</v>
      </c>
      <c r="U20" s="213"/>
      <c r="V20" s="213"/>
      <c r="W20" s="34">
        <f>ROUND(T20/31,0)</f>
        <v>55</v>
      </c>
      <c r="X20" s="34"/>
      <c r="Y20" s="35">
        <f>ROUND(T20/31,0)</f>
        <v>55</v>
      </c>
      <c r="Z20" s="212">
        <v>1720</v>
      </c>
      <c r="AA20" s="213"/>
      <c r="AB20" s="213"/>
      <c r="AC20" s="34">
        <f>ROUND(Z20/31,0)</f>
        <v>55</v>
      </c>
      <c r="AD20" s="34"/>
      <c r="AE20" s="35">
        <f>ROUND(Z20/31,0)</f>
        <v>55</v>
      </c>
    </row>
    <row r="21" spans="1:32" x14ac:dyDescent="0.2">
      <c r="A21" s="24" t="s">
        <v>15</v>
      </c>
      <c r="B21" s="26">
        <f>SUM(B16:B20)</f>
        <v>4141167.89279</v>
      </c>
      <c r="C21" s="30"/>
      <c r="D21" s="30"/>
      <c r="E21" s="27">
        <f>SUM(E16:E20)</f>
        <v>220794</v>
      </c>
      <c r="F21" s="30"/>
      <c r="G21" s="32">
        <f>SUM(G16:G20)</f>
        <v>260718</v>
      </c>
      <c r="H21" s="26">
        <f>SUM(H16:H20)</f>
        <v>4206657.4247406349</v>
      </c>
      <c r="I21" s="30"/>
      <c r="J21" s="30"/>
      <c r="K21" s="27">
        <f>SUM(K16:K20)</f>
        <v>224288</v>
      </c>
      <c r="L21" s="30"/>
      <c r="M21" s="32">
        <f>SUM(M16:M20)</f>
        <v>264846</v>
      </c>
      <c r="N21" s="26">
        <f>SUM(N16:N20)</f>
        <v>4221654.46215</v>
      </c>
      <c r="O21" s="30"/>
      <c r="P21" s="30"/>
      <c r="Q21" s="27">
        <f>SUM(Q16:Q20)</f>
        <v>225089</v>
      </c>
      <c r="R21" s="30"/>
      <c r="S21" s="32">
        <f>SUM(S16:S20)</f>
        <v>265795</v>
      </c>
      <c r="T21" s="26">
        <f>SUM(T16:T20)</f>
        <v>4261598.5884800004</v>
      </c>
      <c r="U21" s="30"/>
      <c r="V21" s="30"/>
      <c r="W21" s="27">
        <f>SUM(W16:W20)</f>
        <v>227221</v>
      </c>
      <c r="X21" s="30"/>
      <c r="Y21" s="32">
        <f>SUM(Y16:Y20)</f>
        <v>268315</v>
      </c>
      <c r="Z21" s="26">
        <f>SUM(Z16:Z20)</f>
        <v>4302946.7259399993</v>
      </c>
      <c r="AA21" s="30"/>
      <c r="AB21" s="30"/>
      <c r="AC21" s="27">
        <f>SUM(AC16:AC20)</f>
        <v>229429</v>
      </c>
      <c r="AD21" s="30"/>
      <c r="AE21" s="32">
        <f>SUM(AE16:AE20)</f>
        <v>270924</v>
      </c>
    </row>
    <row r="22" spans="1:32" ht="13.5" thickBot="1" x14ac:dyDescent="0.25">
      <c r="A22" s="21" t="s">
        <v>16</v>
      </c>
      <c r="B22" s="36">
        <f>ROUND(B21/((1-$B$6))-B21,0)</f>
        <v>6221</v>
      </c>
      <c r="C22" s="37"/>
      <c r="D22" s="37"/>
      <c r="E22" s="38">
        <f>ROUND(E21/((1-$B$6))-E21,0)</f>
        <v>332</v>
      </c>
      <c r="F22" s="37"/>
      <c r="G22" s="39">
        <f>ROUND(G21/((1-$B$6))-G21,0)</f>
        <v>392</v>
      </c>
      <c r="H22" s="36">
        <f>ROUND(H21/((1-$B$6))-H21,0)</f>
        <v>6319</v>
      </c>
      <c r="I22" s="37"/>
      <c r="J22" s="37"/>
      <c r="K22" s="38">
        <f>ROUND(K21/((1-$B$6))-K21,0)</f>
        <v>337</v>
      </c>
      <c r="L22" s="37"/>
      <c r="M22" s="39">
        <f>ROUND(M21/((1-$B$6))-M21,0)</f>
        <v>398</v>
      </c>
      <c r="N22" s="36">
        <f>ROUND(N21/((1-$B$6))-N21,0)</f>
        <v>6342</v>
      </c>
      <c r="O22" s="37"/>
      <c r="P22" s="37"/>
      <c r="Q22" s="38">
        <f>ROUND(Q21/((1-$B$6))-Q21,0)</f>
        <v>338</v>
      </c>
      <c r="R22" s="37"/>
      <c r="S22" s="39">
        <f>ROUND(S21/((1-$B$6))-S21,0)</f>
        <v>399</v>
      </c>
      <c r="T22" s="36">
        <f>ROUND(T21/((1-$B$6))-T21,0)</f>
        <v>6402</v>
      </c>
      <c r="U22" s="37"/>
      <c r="V22" s="37"/>
      <c r="W22" s="38">
        <f>ROUND(W21/((1-$B$6))-W21,0)</f>
        <v>341</v>
      </c>
      <c r="X22" s="37"/>
      <c r="Y22" s="39">
        <f>ROUND(Y21/((1-$B$6))-Y21,0)</f>
        <v>403</v>
      </c>
      <c r="Z22" s="36">
        <f>ROUND(Z21/((1-$B$6))-Z21,0)</f>
        <v>6464</v>
      </c>
      <c r="AA22" s="37"/>
      <c r="AB22" s="37"/>
      <c r="AC22" s="38">
        <f>ROUND(AC21/((1-$B$6))-AC21,0)</f>
        <v>345</v>
      </c>
      <c r="AD22" s="37"/>
      <c r="AE22" s="39">
        <f>ROUND(AE21/((1-$B$6))-AE21,0)</f>
        <v>407</v>
      </c>
    </row>
    <row r="23" spans="1:32" x14ac:dyDescent="0.2">
      <c r="A23" s="24" t="s">
        <v>17</v>
      </c>
      <c r="B23" s="40">
        <f>SUM(B21:B22)</f>
        <v>4147388.89279</v>
      </c>
      <c r="C23" s="41"/>
      <c r="D23" s="41"/>
      <c r="E23" s="42">
        <f>SUM(E21:E22)</f>
        <v>221126</v>
      </c>
      <c r="F23" s="41"/>
      <c r="G23" s="43">
        <f>SUM(G21:G22)</f>
        <v>261110</v>
      </c>
      <c r="H23" s="40">
        <f>SUM(H21:H22)</f>
        <v>4212976.4247406349</v>
      </c>
      <c r="I23" s="41"/>
      <c r="J23" s="41"/>
      <c r="K23" s="42">
        <f>SUM(K21:K22)</f>
        <v>224625</v>
      </c>
      <c r="L23" s="41"/>
      <c r="M23" s="43">
        <f>SUM(M21:M22)</f>
        <v>265244</v>
      </c>
      <c r="N23" s="40">
        <f>SUM(N21:N22)</f>
        <v>4227996.46215</v>
      </c>
      <c r="O23" s="41"/>
      <c r="P23" s="41"/>
      <c r="Q23" s="42">
        <f>SUM(Q21:Q22)</f>
        <v>225427</v>
      </c>
      <c r="R23" s="41"/>
      <c r="S23" s="43">
        <f>SUM(S21:S22)</f>
        <v>266194</v>
      </c>
      <c r="T23" s="40">
        <f>SUM(T21:T22)</f>
        <v>4268000.5884800004</v>
      </c>
      <c r="U23" s="41"/>
      <c r="V23" s="41"/>
      <c r="W23" s="42">
        <f>SUM(W21:W22)</f>
        <v>227562</v>
      </c>
      <c r="X23" s="41"/>
      <c r="Y23" s="43">
        <f>SUM(Y21:Y22)</f>
        <v>268718</v>
      </c>
      <c r="Z23" s="40">
        <f>SUM(Z21:Z22)</f>
        <v>4309410.7259399993</v>
      </c>
      <c r="AA23" s="41"/>
      <c r="AB23" s="41"/>
      <c r="AC23" s="42">
        <f>SUM(AC21:AC22)</f>
        <v>229774</v>
      </c>
      <c r="AD23" s="41"/>
      <c r="AE23" s="43">
        <f>SUM(AE21:AE22)</f>
        <v>271331</v>
      </c>
    </row>
    <row r="24" spans="1:32" x14ac:dyDescent="0.2">
      <c r="A24" s="24"/>
      <c r="B24" s="30"/>
      <c r="C24" s="3"/>
      <c r="E24" s="30"/>
      <c r="G24" s="30"/>
      <c r="H24" s="30"/>
      <c r="I24" s="3"/>
      <c r="J24" s="3"/>
      <c r="K24" s="30"/>
      <c r="L24" s="3"/>
      <c r="M24" s="30"/>
      <c r="N24" s="30"/>
      <c r="O24" s="3"/>
      <c r="P24" s="3"/>
      <c r="Q24" s="30"/>
      <c r="R24" s="3"/>
      <c r="S24" s="30"/>
      <c r="T24" s="30"/>
      <c r="U24" s="3"/>
      <c r="V24" s="3"/>
      <c r="W24" s="30"/>
      <c r="X24" s="3"/>
      <c r="Y24" s="30"/>
      <c r="Z24" s="30"/>
      <c r="AA24" s="3"/>
      <c r="AB24" s="3"/>
      <c r="AC24" s="30"/>
      <c r="AD24" s="3"/>
      <c r="AE24" s="30"/>
    </row>
    <row r="25" spans="1:32" x14ac:dyDescent="0.2">
      <c r="A25" s="24"/>
      <c r="B25" s="30"/>
      <c r="C25" s="3"/>
      <c r="E25" s="30"/>
      <c r="G25" s="30"/>
      <c r="H25" s="30"/>
      <c r="I25" s="3"/>
      <c r="J25" s="3"/>
      <c r="K25" s="30"/>
      <c r="L25" s="3"/>
      <c r="M25" s="30"/>
      <c r="N25" s="30"/>
      <c r="O25" s="3"/>
      <c r="P25" s="3"/>
      <c r="Q25" s="30"/>
      <c r="R25" s="3"/>
      <c r="S25" s="30"/>
      <c r="T25" s="30"/>
      <c r="U25" s="3"/>
      <c r="V25" s="3"/>
      <c r="W25" s="30"/>
      <c r="X25" s="3"/>
      <c r="Y25" s="30"/>
      <c r="Z25" s="30"/>
      <c r="AA25" s="3"/>
      <c r="AB25" s="3"/>
      <c r="AC25" s="30"/>
      <c r="AD25" s="3"/>
      <c r="AE25" s="30"/>
    </row>
    <row r="26" spans="1:32" ht="13.5" thickBot="1" x14ac:dyDescent="0.25">
      <c r="A26" s="24"/>
      <c r="B26" s="30"/>
      <c r="C26" s="3"/>
      <c r="E26" s="30"/>
      <c r="G26" s="30"/>
      <c r="H26" s="30"/>
      <c r="I26" s="3"/>
      <c r="J26" s="3"/>
      <c r="K26" s="30"/>
      <c r="L26" s="3"/>
      <c r="M26" s="30"/>
      <c r="N26" s="30"/>
      <c r="O26" s="3"/>
      <c r="P26" s="3"/>
      <c r="Q26" s="30"/>
      <c r="R26" s="3"/>
      <c r="S26" s="30"/>
      <c r="T26" s="30"/>
      <c r="U26" s="3"/>
      <c r="V26" s="3"/>
      <c r="W26" s="30"/>
      <c r="X26" s="3"/>
      <c r="Y26" s="30"/>
      <c r="Z26" s="30"/>
      <c r="AA26" s="3"/>
      <c r="AB26" s="3"/>
      <c r="AC26" s="30"/>
      <c r="AD26" s="3"/>
      <c r="AE26" s="30"/>
    </row>
    <row r="27" spans="1:32" x14ac:dyDescent="0.2">
      <c r="A27" s="25"/>
      <c r="B27" s="351" t="s">
        <v>264</v>
      </c>
      <c r="C27" s="352"/>
      <c r="D27" s="352"/>
      <c r="E27" s="352"/>
      <c r="F27" s="352"/>
      <c r="G27" s="353"/>
      <c r="H27" s="351" t="s">
        <v>265</v>
      </c>
      <c r="I27" s="352"/>
      <c r="J27" s="352"/>
      <c r="K27" s="352"/>
      <c r="L27" s="352"/>
      <c r="M27" s="353"/>
      <c r="N27" s="351" t="s">
        <v>266</v>
      </c>
      <c r="O27" s="352"/>
      <c r="P27" s="352"/>
      <c r="Q27" s="352"/>
      <c r="R27" s="352"/>
      <c r="S27" s="353"/>
      <c r="T27" s="351" t="s">
        <v>267</v>
      </c>
      <c r="U27" s="352"/>
      <c r="V27" s="352"/>
      <c r="W27" s="352"/>
      <c r="X27" s="352"/>
      <c r="Y27" s="353"/>
      <c r="Z27" s="351" t="s">
        <v>268</v>
      </c>
      <c r="AA27" s="352"/>
      <c r="AB27" s="352"/>
      <c r="AC27" s="352"/>
      <c r="AD27" s="352"/>
      <c r="AE27" s="353"/>
    </row>
    <row r="28" spans="1:32" ht="13.5" thickBot="1" x14ac:dyDescent="0.25">
      <c r="A28" s="248" t="s">
        <v>11</v>
      </c>
      <c r="B28" s="264">
        <f t="shared" ref="B28:AE28" si="1">IF(B14=0,"",B14)</f>
        <v>44927</v>
      </c>
      <c r="C28" s="259">
        <f t="shared" si="1"/>
        <v>45108</v>
      </c>
      <c r="D28" s="259">
        <f t="shared" si="1"/>
        <v>45139</v>
      </c>
      <c r="E28" s="259" t="str">
        <f t="shared" si="1"/>
        <v>DEG DAYS</v>
      </c>
      <c r="F28" s="259" t="str">
        <f t="shared" si="1"/>
        <v/>
      </c>
      <c r="G28" s="265" t="str">
        <f t="shared" si="1"/>
        <v>DEG DAYS</v>
      </c>
      <c r="H28" s="264">
        <f t="shared" si="1"/>
        <v>45293</v>
      </c>
      <c r="I28" s="259">
        <f t="shared" si="1"/>
        <v>45483</v>
      </c>
      <c r="J28" s="259">
        <f t="shared" si="1"/>
        <v>45514</v>
      </c>
      <c r="K28" s="259" t="str">
        <f t="shared" si="1"/>
        <v>DEG DAYS</v>
      </c>
      <c r="L28" s="259" t="str">
        <f t="shared" si="1"/>
        <v/>
      </c>
      <c r="M28" s="265" t="str">
        <f t="shared" si="1"/>
        <v>DEG DAYS</v>
      </c>
      <c r="N28" s="264">
        <f t="shared" si="1"/>
        <v>45668</v>
      </c>
      <c r="O28" s="259">
        <f t="shared" si="1"/>
        <v>45848</v>
      </c>
      <c r="P28" s="259">
        <f t="shared" si="1"/>
        <v>45879</v>
      </c>
      <c r="Q28" s="259" t="str">
        <f t="shared" si="1"/>
        <v>DEG DAYS</v>
      </c>
      <c r="R28" s="259" t="str">
        <f t="shared" si="1"/>
        <v/>
      </c>
      <c r="S28" s="265" t="str">
        <f t="shared" si="1"/>
        <v>DEG DAYS</v>
      </c>
      <c r="T28" s="264">
        <f t="shared" si="1"/>
        <v>46034</v>
      </c>
      <c r="U28" s="259">
        <f t="shared" si="1"/>
        <v>46214</v>
      </c>
      <c r="V28" s="259">
        <f t="shared" si="1"/>
        <v>46245</v>
      </c>
      <c r="W28" s="259" t="str">
        <f t="shared" si="1"/>
        <v>DEG DAYS</v>
      </c>
      <c r="X28" s="259" t="str">
        <f t="shared" si="1"/>
        <v/>
      </c>
      <c r="Y28" s="265" t="str">
        <f t="shared" si="1"/>
        <v>DEG DAYS</v>
      </c>
      <c r="Z28" s="264">
        <f t="shared" si="1"/>
        <v>46399</v>
      </c>
      <c r="AA28" s="259">
        <f t="shared" si="1"/>
        <v>46579</v>
      </c>
      <c r="AB28" s="259">
        <f t="shared" si="1"/>
        <v>46610</v>
      </c>
      <c r="AC28" s="259" t="str">
        <f t="shared" si="1"/>
        <v>DEG DAYS</v>
      </c>
      <c r="AD28" s="259" t="str">
        <f t="shared" si="1"/>
        <v/>
      </c>
      <c r="AE28" s="265" t="str">
        <f t="shared" si="1"/>
        <v>DEG DAYS</v>
      </c>
    </row>
    <row r="29" spans="1:32" x14ac:dyDescent="0.2">
      <c r="A29" s="121" t="s">
        <v>246</v>
      </c>
      <c r="B29" s="266">
        <v>3326467.5531500001</v>
      </c>
      <c r="C29" s="211">
        <v>309231.08999999997</v>
      </c>
      <c r="D29" s="211">
        <v>309231.08999999997</v>
      </c>
      <c r="E29" s="249">
        <f>ROUND(((B29-((C29+D29)/62)*31)/$B$11*$E$13)+(C29+D29)/62,0)</f>
        <v>177599</v>
      </c>
      <c r="G29" s="267">
        <f>ROUND(((B29-((C29+D29)/62)*31)/$B$11*$G$13)+(C29+D29)/62,0)</f>
        <v>210043</v>
      </c>
      <c r="H29" s="266">
        <v>3387811.9388965559</v>
      </c>
      <c r="I29" s="211">
        <v>314933.71326828492</v>
      </c>
      <c r="J29" s="211">
        <v>314933.71326828492</v>
      </c>
      <c r="K29" s="249">
        <f>ROUND(((H29-((I29+J29)/62)*31)/$H$11*$K$13)+(I29+J29)/62,0)</f>
        <v>180875</v>
      </c>
      <c r="L29" s="3"/>
      <c r="M29" s="267">
        <f>ROUND(((H29-((I29+J29)/62)*31)/$H$11*$M$13)+(I29+J29)/62,0)</f>
        <v>213916</v>
      </c>
      <c r="N29" s="266">
        <v>3408581.77629</v>
      </c>
      <c r="O29" s="211">
        <v>316864.49399999995</v>
      </c>
      <c r="P29" s="211">
        <v>316864.49399999995</v>
      </c>
      <c r="Q29" s="249">
        <f>ROUND(((N29-((O29+P29)/62)*31)/$B$11*$E$13)+(O29+P29)/62,0)</f>
        <v>181984</v>
      </c>
      <c r="R29" s="3"/>
      <c r="S29" s="267">
        <f>ROUND(((N29-((O29+P29)/62)*31)/$B$11*$G$13)+(O29+P29)/62,0)</f>
        <v>215228</v>
      </c>
      <c r="T29" s="288">
        <v>3449467.9125700002</v>
      </c>
      <c r="U29" s="263">
        <v>320665.30199999997</v>
      </c>
      <c r="V29" s="263">
        <v>320665.30199999997</v>
      </c>
      <c r="W29" s="249">
        <f>ROUND(((T29-((U29+V29)/62)*31)/$B$11*$E$13)+(U29+V29)/62,0)</f>
        <v>184166</v>
      </c>
      <c r="X29" s="3"/>
      <c r="Y29" s="267">
        <f>ROUND(((T29-((U29+V29)/62)*31)/$B$11*$G$13)+(U29+V29)/62,0)</f>
        <v>217809</v>
      </c>
      <c r="Z29" s="288">
        <v>3491609.3521400001</v>
      </c>
      <c r="AA29" s="263">
        <v>324582.804</v>
      </c>
      <c r="AB29" s="263">
        <v>324582.804</v>
      </c>
      <c r="AC29" s="249">
        <f>ROUND(((Z29-((AA29+AB29)/62)*31)/$B$11*$E$13)+(AA29+AB29)/62,0)</f>
        <v>186416</v>
      </c>
      <c r="AD29" s="3"/>
      <c r="AE29" s="267">
        <f>ROUND(((Z29-((AA29+AB29)/62)*31)/$B$11*$G$13)+(AA29+AB29)/62,0)</f>
        <v>220470</v>
      </c>
      <c r="AF29" s="326" t="s">
        <v>282</v>
      </c>
    </row>
    <row r="30" spans="1:32" x14ac:dyDescent="0.2">
      <c r="A30" s="146" t="s">
        <v>247</v>
      </c>
      <c r="B30" s="268">
        <v>148746.56599999999</v>
      </c>
      <c r="C30" s="250">
        <v>13827.599999999999</v>
      </c>
      <c r="D30" s="250">
        <v>13827.599999999999</v>
      </c>
      <c r="E30" s="251">
        <f>ROUND(((B30-((C30+D30)/62)*31)/$B$11*$E$13)+(C30+D30)/62,0)</f>
        <v>7942</v>
      </c>
      <c r="F30" s="41"/>
      <c r="G30" s="269">
        <f t="shared" ref="G30:G31" si="2">ROUND(((B30-((C30+D30)/62)*31)/$B$11*$G$13)+(C30+D30)/62,0)</f>
        <v>9392</v>
      </c>
      <c r="H30" s="268">
        <v>146732.66565258842</v>
      </c>
      <c r="I30" s="250">
        <v>13640.386209505714</v>
      </c>
      <c r="J30" s="250">
        <v>13640.386209505714</v>
      </c>
      <c r="K30" s="251">
        <f>ROUND(((H30-((I30+J30)/62)*31)/$H$11*$K$13)+(I30+J30)/62,0)</f>
        <v>7834</v>
      </c>
      <c r="L30" s="41"/>
      <c r="M30" s="269">
        <f>ROUND(((H30-((I30+J30)/62)*31)/$H$11*$M$13)+(I30+J30)/62,0)</f>
        <v>9265</v>
      </c>
      <c r="N30" s="268">
        <v>142971.35762</v>
      </c>
      <c r="O30" s="250">
        <v>13290.731999999998</v>
      </c>
      <c r="P30" s="250">
        <v>13290.731999999998</v>
      </c>
      <c r="Q30" s="251">
        <f>ROUND(((N30-((O30+P30)/62)*31)/$B$11*$E$13)+(O30+P30)/62,0)</f>
        <v>7633</v>
      </c>
      <c r="R30" s="41"/>
      <c r="S30" s="269">
        <f t="shared" ref="S30:S31" si="3">ROUND(((N30-((O30+P30)/62)*31)/$B$11*$G$13)+(O30+P30)/62,0)</f>
        <v>9028</v>
      </c>
      <c r="T30" s="268">
        <v>140059.93693999999</v>
      </c>
      <c r="U30" s="250">
        <v>13020.083999999999</v>
      </c>
      <c r="V30" s="250">
        <v>13020.083999999999</v>
      </c>
      <c r="W30" s="251">
        <f>ROUND(((T30-((U30+V30)/62)*31)/$B$11*$E$13)+(U30+V30)/62,0)</f>
        <v>7478</v>
      </c>
      <c r="X30" s="41"/>
      <c r="Y30" s="269">
        <f t="shared" ref="Y30:Y31" si="4">ROUND(((T30-((U30+V30)/62)*31)/$B$11*$G$13)+(U30+V30)/62,0)</f>
        <v>8844</v>
      </c>
      <c r="Z30" s="268">
        <v>137150.83981999999</v>
      </c>
      <c r="AA30" s="250">
        <v>12749.651999999998</v>
      </c>
      <c r="AB30" s="250">
        <v>12749.651999999998</v>
      </c>
      <c r="AC30" s="251">
        <f>ROUND(((Z30-((AA30+AB30)/62)*31)/$B$11*$E$13)+(AA30+AB30)/62,0)</f>
        <v>7322</v>
      </c>
      <c r="AD30" s="41"/>
      <c r="AE30" s="269">
        <f t="shared" ref="AE30:AE31" si="5">ROUND(((Z30-((AA30+AB30)/62)*31)/$B$11*$G$13)+(AA30+AB30)/62,0)</f>
        <v>8660</v>
      </c>
      <c r="AF30" s="326" t="s">
        <v>285</v>
      </c>
    </row>
    <row r="31" spans="1:32" x14ac:dyDescent="0.2">
      <c r="A31" s="121" t="s">
        <v>194</v>
      </c>
      <c r="B31" s="270">
        <f>SUM(B29:B30)</f>
        <v>3475214.1191500002</v>
      </c>
      <c r="C31" s="30">
        <f>SUM(C29:C30)</f>
        <v>323058.68999999994</v>
      </c>
      <c r="D31" s="30">
        <f>SUM(D29:D30)</f>
        <v>323058.68999999994</v>
      </c>
      <c r="E31" s="249">
        <f>ROUND(((B31-((C31+D31)/62)*31)/$B$11*$E$13)+(C31+D31)/62,0)</f>
        <v>185541</v>
      </c>
      <c r="G31" s="267">
        <f t="shared" si="2"/>
        <v>219435</v>
      </c>
      <c r="H31" s="270">
        <f>SUM(H29:H30)</f>
        <v>3534544.6045491444</v>
      </c>
      <c r="I31" s="30">
        <f>SUM(I29:I30)</f>
        <v>328574.09947779065</v>
      </c>
      <c r="J31" s="30">
        <f>SUM(J29:J30)</f>
        <v>328574.09947779065</v>
      </c>
      <c r="K31" s="249">
        <f>ROUND(((H31-((I31+J31)/62)*31)/$H$11*$K$13)+(I31+J31)/62,0)</f>
        <v>188709</v>
      </c>
      <c r="L31" s="3"/>
      <c r="M31" s="267">
        <f>ROUND(((H31-((I31+J31)/62)*31)/$H$11*$M$13)+(I31+J31)/62,0)</f>
        <v>223181</v>
      </c>
      <c r="N31" s="270">
        <f>SUM(N29:N30)</f>
        <v>3551553.1339099999</v>
      </c>
      <c r="O31" s="30">
        <f>SUM(O29:O30)</f>
        <v>330155.22599999997</v>
      </c>
      <c r="P31" s="30">
        <f>SUM(P29:P30)</f>
        <v>330155.22599999997</v>
      </c>
      <c r="Q31" s="249">
        <f>ROUND(((N31-((O31+P31)/62)*31)/$B$11*$E$13)+(O31+P31)/62,0)</f>
        <v>189617</v>
      </c>
      <c r="R31" s="3"/>
      <c r="S31" s="267">
        <f t="shared" si="3"/>
        <v>224255</v>
      </c>
      <c r="T31" s="270">
        <f>SUM(T29:T30)</f>
        <v>3589527.8495100001</v>
      </c>
      <c r="U31" s="30">
        <f>SUM(U29:U30)</f>
        <v>333685.38599999994</v>
      </c>
      <c r="V31" s="30">
        <f>SUM(V29:V30)</f>
        <v>333685.38599999994</v>
      </c>
      <c r="W31" s="249">
        <f>ROUND(((T31-((U31+V31)/62)*31)/$B$11*$E$13)+(U31+V31)/62,0)</f>
        <v>191644</v>
      </c>
      <c r="X31" s="3"/>
      <c r="Y31" s="267">
        <f t="shared" si="4"/>
        <v>226653</v>
      </c>
      <c r="Z31" s="270">
        <f>SUM(Z29:Z30)</f>
        <v>3628760.19196</v>
      </c>
      <c r="AA31" s="30">
        <f>SUM(AA29:AA30)</f>
        <v>337332.45600000001</v>
      </c>
      <c r="AB31" s="30">
        <f>SUM(AB29:AB30)</f>
        <v>337332.45600000001</v>
      </c>
      <c r="AC31" s="249">
        <f>ROUND(((Z31-((AA31+AB31)/62)*31)/$B$11*$E$13)+(AA31+AB31)/62,0)</f>
        <v>193739</v>
      </c>
      <c r="AD31" s="3"/>
      <c r="AE31" s="267">
        <f t="shared" si="5"/>
        <v>229130</v>
      </c>
    </row>
    <row r="32" spans="1:32" ht="13.5" thickBot="1" x14ac:dyDescent="0.25">
      <c r="A32" s="121" t="s">
        <v>254</v>
      </c>
      <c r="B32" s="270">
        <f>ROUND(B31/((1-$B$6))-B31,0)</f>
        <v>5221</v>
      </c>
      <c r="C32" s="30"/>
      <c r="D32" s="30"/>
      <c r="E32" s="30">
        <f>ROUND(E31/((1-$B$6))-E31,0)</f>
        <v>279</v>
      </c>
      <c r="G32" s="271">
        <f>ROUND(G31/((1-$B$6))-G31,0)</f>
        <v>330</v>
      </c>
      <c r="H32" s="270">
        <f>ROUND(H31/((1-$B$6))-H31,0)</f>
        <v>5310</v>
      </c>
      <c r="I32" s="30"/>
      <c r="J32" s="30"/>
      <c r="K32" s="30">
        <f>ROUND(K31/((1-$B$6))-K31,0)</f>
        <v>283</v>
      </c>
      <c r="L32" s="3"/>
      <c r="M32" s="271">
        <f>ROUND(M31/((1-$B$6))-M31,0)</f>
        <v>335</v>
      </c>
      <c r="N32" s="270">
        <f>ROUND(N31/((1-$B$6))-N31,0)</f>
        <v>5335</v>
      </c>
      <c r="O32" s="30"/>
      <c r="P32" s="30"/>
      <c r="Q32" s="30">
        <f>ROUND(Q31/((1-$B$6))-Q31,0)</f>
        <v>285</v>
      </c>
      <c r="R32" s="3"/>
      <c r="S32" s="271">
        <f>ROUND(S31/((1-$B$6))-S31,0)</f>
        <v>337</v>
      </c>
      <c r="T32" s="270">
        <f>ROUND(T31/((1-$B$6))-T31,0)</f>
        <v>5392</v>
      </c>
      <c r="U32" s="30"/>
      <c r="V32" s="30"/>
      <c r="W32" s="30">
        <f>ROUND(W31/((1-$B$6))-W31,0)</f>
        <v>288</v>
      </c>
      <c r="X32" s="3"/>
      <c r="Y32" s="271">
        <f>ROUND(Y31/((1-$B$6))-Y31,0)</f>
        <v>340</v>
      </c>
      <c r="Z32" s="270">
        <f>ROUND(Z31/((1-$B$6))-Z31,0)</f>
        <v>5451</v>
      </c>
      <c r="AA32" s="30"/>
      <c r="AB32" s="30"/>
      <c r="AC32" s="30">
        <f>ROUND(AC31/((1-$B$6))-AC31,0)</f>
        <v>291</v>
      </c>
      <c r="AD32" s="3"/>
      <c r="AE32" s="271">
        <f>ROUND(AE31/((1-$B$6))-AE31,0)</f>
        <v>344</v>
      </c>
    </row>
    <row r="33" spans="1:32" ht="13.5" thickBot="1" x14ac:dyDescent="0.25">
      <c r="A33" s="255" t="s">
        <v>255</v>
      </c>
      <c r="B33" s="292">
        <f>SUM(B31:B32)</f>
        <v>3480435.1191500002</v>
      </c>
      <c r="C33" s="293"/>
      <c r="D33" s="293"/>
      <c r="E33" s="293">
        <f>SUM(E31:E32)</f>
        <v>185820</v>
      </c>
      <c r="F33" s="294"/>
      <c r="G33" s="295">
        <f>SUM(G31:G32)</f>
        <v>219765</v>
      </c>
      <c r="H33" s="292">
        <f>SUM(H31:H32)</f>
        <v>3539854.6045491444</v>
      </c>
      <c r="I33" s="293"/>
      <c r="J33" s="293"/>
      <c r="K33" s="293">
        <f>SUM(K31:K32)</f>
        <v>188992</v>
      </c>
      <c r="L33" s="294"/>
      <c r="M33" s="295">
        <f>SUM(M31:M32)</f>
        <v>223516</v>
      </c>
      <c r="N33" s="292">
        <f>SUM(N31:N32)</f>
        <v>3556888.1339099999</v>
      </c>
      <c r="O33" s="293"/>
      <c r="P33" s="293"/>
      <c r="Q33" s="293">
        <f>SUM(Q31:Q32)</f>
        <v>189902</v>
      </c>
      <c r="R33" s="294"/>
      <c r="S33" s="295">
        <f>SUM(S31:S32)</f>
        <v>224592</v>
      </c>
      <c r="T33" s="292">
        <f>SUM(T31:T32)</f>
        <v>3594919.8495100001</v>
      </c>
      <c r="U33" s="293"/>
      <c r="V33" s="293"/>
      <c r="W33" s="293">
        <f>SUM(W31:W32)</f>
        <v>191932</v>
      </c>
      <c r="X33" s="294"/>
      <c r="Y33" s="295">
        <f>SUM(Y31:Y32)</f>
        <v>226993</v>
      </c>
      <c r="Z33" s="292">
        <f>SUM(Z31:Z32)</f>
        <v>3634211.19196</v>
      </c>
      <c r="AA33" s="293"/>
      <c r="AB33" s="293"/>
      <c r="AC33" s="293">
        <f>SUM(AC31:AC32)</f>
        <v>194030</v>
      </c>
      <c r="AD33" s="294"/>
      <c r="AE33" s="295">
        <f>SUM(AE31:AE32)</f>
        <v>229474</v>
      </c>
    </row>
    <row r="34" spans="1:32" x14ac:dyDescent="0.2">
      <c r="A34" s="121"/>
      <c r="B34" s="299"/>
      <c r="C34" s="294"/>
      <c r="D34" s="294"/>
      <c r="E34" s="294"/>
      <c r="F34" s="294"/>
      <c r="G34" s="294"/>
      <c r="H34" s="299"/>
      <c r="I34" s="294"/>
      <c r="J34" s="294"/>
      <c r="K34" s="294"/>
      <c r="L34" s="294"/>
      <c r="M34" s="294"/>
      <c r="N34" s="299"/>
      <c r="O34" s="294"/>
      <c r="P34" s="294"/>
      <c r="Q34" s="294"/>
      <c r="R34" s="294"/>
      <c r="S34" s="294"/>
      <c r="T34" s="299"/>
      <c r="U34" s="294"/>
      <c r="V34" s="294"/>
      <c r="W34" s="294"/>
      <c r="X34" s="294"/>
      <c r="Y34" s="294"/>
      <c r="Z34" s="299"/>
      <c r="AA34" s="294"/>
      <c r="AB34" s="294"/>
      <c r="AC34" s="294"/>
      <c r="AD34" s="294"/>
      <c r="AE34" s="300"/>
    </row>
    <row r="35" spans="1:32" x14ac:dyDescent="0.2">
      <c r="A35" s="247" t="s">
        <v>12</v>
      </c>
      <c r="B35" s="273"/>
      <c r="C35" s="3"/>
      <c r="G35" s="3"/>
      <c r="H35" s="273"/>
      <c r="I35" s="3"/>
      <c r="J35" s="3"/>
      <c r="K35" s="3"/>
      <c r="L35" s="3"/>
      <c r="M35" s="3"/>
      <c r="N35" s="273"/>
      <c r="O35" s="3"/>
      <c r="P35" s="3"/>
      <c r="Q35" s="3"/>
      <c r="R35" s="3"/>
      <c r="S35" s="3"/>
      <c r="T35" s="273"/>
      <c r="U35" s="3"/>
      <c r="V35" s="3"/>
      <c r="W35" s="3"/>
      <c r="X35" s="3"/>
      <c r="Y35" s="3"/>
      <c r="Z35" s="273"/>
      <c r="AA35" s="3"/>
      <c r="AB35" s="3"/>
      <c r="AC35" s="3"/>
      <c r="AD35" s="3"/>
      <c r="AE35" s="274"/>
    </row>
    <row r="36" spans="1:32" x14ac:dyDescent="0.2">
      <c r="A36" s="121" t="s">
        <v>232</v>
      </c>
      <c r="B36" s="275">
        <v>2132.4471899999999</v>
      </c>
      <c r="C36" s="254">
        <v>198.23399999999998</v>
      </c>
      <c r="D36" s="254">
        <v>198.23399999999998</v>
      </c>
      <c r="E36" s="249">
        <f>ROUND(((B36-((C36+D36)/62)*31)/$B$11*$E$13)+(C36+D36)/62,0)</f>
        <v>114</v>
      </c>
      <c r="F36" s="249"/>
      <c r="G36" s="249">
        <f>ROUND(((B36-((C36+D36)/62)*31)/$B$11*$G$13)+(C36+D36)/62,0)</f>
        <v>135</v>
      </c>
      <c r="H36" s="266">
        <v>2452.1050477166759</v>
      </c>
      <c r="I36" s="211">
        <v>227.94965066828573</v>
      </c>
      <c r="J36" s="211">
        <v>227.94965066828573</v>
      </c>
      <c r="K36" s="249">
        <f>ROUND(((H36-((I36+J36)/62)*31)/$H$11*$K$13)+(I36+J36)/62,0)</f>
        <v>131</v>
      </c>
      <c r="L36" s="249"/>
      <c r="M36" s="249">
        <f>ROUND(((H36-((I36+J36)/62)*31)/$H$11*$M$13)+(I36+J36)/62,0)</f>
        <v>155</v>
      </c>
      <c r="N36" s="266">
        <v>2753.8058599999999</v>
      </c>
      <c r="O36" s="211">
        <v>255.99599999999998</v>
      </c>
      <c r="P36" s="211">
        <v>255.99599999999998</v>
      </c>
      <c r="Q36" s="249">
        <f>ROUND(((N36-((O36+P36)/62)*31)/$B$11*$E$13)+(O36+P36)/62,0)</f>
        <v>147</v>
      </c>
      <c r="R36" s="249"/>
      <c r="S36" s="249">
        <f>ROUND(((N36-((O36+P36)/62)*31)/$B$11*$G$13)+(O36+P36)/62,0)</f>
        <v>174</v>
      </c>
      <c r="T36" s="266">
        <v>3074.2635099999998</v>
      </c>
      <c r="U36" s="211">
        <v>285.786</v>
      </c>
      <c r="V36" s="211">
        <v>285.786</v>
      </c>
      <c r="W36" s="249">
        <f>ROUND(((T36-((U36+V36)/62)*31)/$B$11*$E$13)+(U36+V36)/62,0)</f>
        <v>164</v>
      </c>
      <c r="X36" s="249"/>
      <c r="Y36" s="249">
        <f>ROUND(((T36-((U36+V36)/62)*31)/$B$11*$G$13)+(U36+V36)/62,0)</f>
        <v>194</v>
      </c>
      <c r="Z36" s="266">
        <v>3422.4102499999999</v>
      </c>
      <c r="AA36" s="211">
        <v>318.14999999999998</v>
      </c>
      <c r="AB36" s="211">
        <v>318.14999999999998</v>
      </c>
      <c r="AC36" s="249">
        <f>ROUND(((Z36-((AA36+AB36)/62)*31)/$B$11*$E$13)+(AA36+AB36)/62,0)</f>
        <v>183</v>
      </c>
      <c r="AD36" s="249"/>
      <c r="AE36" s="267">
        <f>ROUND(((Z36-((AA36+AB36)/62)*31)/$B$11*$G$13)+(AA36+AB36)/62,0)</f>
        <v>216</v>
      </c>
      <c r="AF36" s="2" t="s">
        <v>282</v>
      </c>
    </row>
    <row r="37" spans="1:32" x14ac:dyDescent="0.2">
      <c r="A37" s="121" t="s">
        <v>248</v>
      </c>
      <c r="B37" s="275">
        <v>175263.80723999999</v>
      </c>
      <c r="C37" s="254">
        <v>16292.663999999999</v>
      </c>
      <c r="D37" s="254">
        <v>16292.663999999999</v>
      </c>
      <c r="E37" s="249">
        <f>ROUND(((B37-((C37+D37)/62)*31)/$B$11*$E$13)+(C37+D37)/62,0)</f>
        <v>9357</v>
      </c>
      <c r="F37" s="249"/>
      <c r="G37" s="249">
        <f t="shared" ref="G37:G40" si="6">ROUND(((B37-((C37+D37)/62)*31)/$B$11*$G$13)+(C37+D37)/62,0)</f>
        <v>11067</v>
      </c>
      <c r="H37" s="266">
        <v>177501.62351174577</v>
      </c>
      <c r="I37" s="211">
        <v>16500.693194295429</v>
      </c>
      <c r="J37" s="211">
        <v>16500.693194295429</v>
      </c>
      <c r="K37" s="249">
        <f>ROUND(((H37-((I37+J37)/62)*31)/$H$11*$K$13)+(I37+J37)/62,0)</f>
        <v>9477</v>
      </c>
      <c r="L37" s="249"/>
      <c r="M37" s="249">
        <f>ROUND(((H37-((I37+J37)/62)*31)/$H$11*$M$13)+(I37+J37)/62,0)</f>
        <v>11208</v>
      </c>
      <c r="N37" s="266">
        <v>177353.07493999999</v>
      </c>
      <c r="O37" s="211">
        <v>16486.883999999998</v>
      </c>
      <c r="P37" s="211">
        <v>16486.883999999998</v>
      </c>
      <c r="Q37" s="249">
        <f t="shared" ref="Q37:Q41" si="7">ROUND(((N37-((O37+P37)/62)*31)/$B$11*$E$13)+(O37+P37)/62,0)</f>
        <v>9469</v>
      </c>
      <c r="R37" s="249"/>
      <c r="S37" s="249">
        <f t="shared" ref="S37:S41" si="8">ROUND(((N37-((O37+P37)/62)*31)/$B$11*$G$13)+(O37+P37)/62,0)</f>
        <v>11199</v>
      </c>
      <c r="T37" s="266">
        <v>178399.25782999999</v>
      </c>
      <c r="U37" s="211">
        <v>16584.137999999999</v>
      </c>
      <c r="V37" s="211">
        <v>16584.137999999999</v>
      </c>
      <c r="W37" s="249">
        <f t="shared" ref="W37:W41" si="9">ROUND(((T37-((U37+V37)/62)*31)/$B$11*$E$13)+(U37+V37)/62,0)</f>
        <v>9525</v>
      </c>
      <c r="X37" s="249"/>
      <c r="Y37" s="249">
        <f t="shared" ref="Y37:Y41" si="10">ROUND(((T37-((U37+V37)/62)*31)/$B$11*$G$13)+(U37+V37)/62,0)</f>
        <v>11265</v>
      </c>
      <c r="Z37" s="266">
        <v>179451.44325000001</v>
      </c>
      <c r="AA37" s="211">
        <v>16681.949999999997</v>
      </c>
      <c r="AB37" s="211">
        <v>16681.949999999997</v>
      </c>
      <c r="AC37" s="249">
        <f t="shared" ref="AC37:AC41" si="11">ROUND(((Z37-((AA37+AB37)/62)*31)/$B$11*$E$13)+(AA37+AB37)/62,0)</f>
        <v>9581</v>
      </c>
      <c r="AD37" s="249"/>
      <c r="AE37" s="267">
        <f t="shared" ref="AE37:AE41" si="12">ROUND(((Z37-((AA37+AB37)/62)*31)/$B$11*$G$13)+(AA37+AB37)/62,0)</f>
        <v>11331</v>
      </c>
      <c r="AF37" s="2" t="s">
        <v>291</v>
      </c>
    </row>
    <row r="38" spans="1:32" x14ac:dyDescent="0.2">
      <c r="A38" s="121" t="s">
        <v>249</v>
      </c>
      <c r="B38" s="275">
        <v>239663.98345999999</v>
      </c>
      <c r="C38" s="254">
        <v>22279.356</v>
      </c>
      <c r="D38" s="254">
        <v>22279.356</v>
      </c>
      <c r="E38" s="249">
        <f t="shared" ref="E38:E39" si="13">ROUND(((B38-((C38+D38)/62)*31)/$B$11*$E$13)+(C38+D38)/62,0)</f>
        <v>12796</v>
      </c>
      <c r="F38" s="249"/>
      <c r="G38" s="249">
        <f t="shared" si="6"/>
        <v>15133</v>
      </c>
      <c r="H38" s="266">
        <v>242644.52372874808</v>
      </c>
      <c r="I38" s="211">
        <v>22556.429412371355</v>
      </c>
      <c r="J38" s="211">
        <v>22556.429412371355</v>
      </c>
      <c r="K38" s="249">
        <f>ROUND(((H38-((I38+J38)/62)*31)/$H$11*$K$13)+(I38+J38)/62,0)</f>
        <v>12955</v>
      </c>
      <c r="L38" s="249"/>
      <c r="M38" s="249">
        <f>ROUND(((H38-((I38+J38)/62)*31)/$H$11*$M$13)+(I38+J38)/62,0)</f>
        <v>15321</v>
      </c>
      <c r="N38" s="266">
        <v>242681.12612</v>
      </c>
      <c r="O38" s="211">
        <v>22559.831999999999</v>
      </c>
      <c r="P38" s="211">
        <v>22559.831999999999</v>
      </c>
      <c r="Q38" s="249">
        <f t="shared" si="7"/>
        <v>12957</v>
      </c>
      <c r="R38" s="249"/>
      <c r="S38" s="249">
        <f t="shared" si="8"/>
        <v>15324</v>
      </c>
      <c r="T38" s="266">
        <v>244209.83497</v>
      </c>
      <c r="U38" s="211">
        <v>22701.941999999999</v>
      </c>
      <c r="V38" s="211">
        <v>22701.941999999999</v>
      </c>
      <c r="W38" s="249">
        <f t="shared" si="9"/>
        <v>13038</v>
      </c>
      <c r="X38" s="249"/>
      <c r="Y38" s="249">
        <f t="shared" si="10"/>
        <v>15420</v>
      </c>
      <c r="Z38" s="266">
        <v>245724.02156999998</v>
      </c>
      <c r="AA38" s="211">
        <v>22842.701999999997</v>
      </c>
      <c r="AB38" s="211">
        <v>22842.701999999997</v>
      </c>
      <c r="AC38" s="249">
        <f t="shared" si="11"/>
        <v>13119</v>
      </c>
      <c r="AD38" s="249"/>
      <c r="AE38" s="267">
        <f t="shared" si="12"/>
        <v>15516</v>
      </c>
      <c r="AF38" s="2" t="s">
        <v>298</v>
      </c>
    </row>
    <row r="39" spans="1:32" x14ac:dyDescent="0.2">
      <c r="A39" s="113" t="s">
        <v>97</v>
      </c>
      <c r="B39" s="275">
        <f>B71-B40</f>
        <v>144839.76246</v>
      </c>
      <c r="C39" s="254">
        <f t="shared" ref="C39:D39" si="14">C71-C40</f>
        <v>4152.7559999999994</v>
      </c>
      <c r="D39" s="254">
        <f t="shared" si="14"/>
        <v>4152.7559999999994</v>
      </c>
      <c r="E39" s="249">
        <f t="shared" si="13"/>
        <v>7950</v>
      </c>
      <c r="F39" s="249"/>
      <c r="G39" s="249">
        <f t="shared" si="6"/>
        <v>9463</v>
      </c>
      <c r="H39" s="275">
        <f>H71-H40</f>
        <v>145734.01459860615</v>
      </c>
      <c r="I39" s="254">
        <f t="shared" ref="I39" si="15">I71-I40</f>
        <v>4235.8863955735706</v>
      </c>
      <c r="J39" s="254">
        <f t="shared" ref="J39" si="16">J71-J40</f>
        <v>4235.8863955735706</v>
      </c>
      <c r="K39" s="249">
        <f>ROUND(((H39-((I39+J39)/62)*31)/$H$11*$K$13)+(I39+J39)/62,0)</f>
        <v>7998</v>
      </c>
      <c r="L39" s="249"/>
      <c r="M39" s="249">
        <f>ROUND(((H39-((I39+J39)/62)*31)/$H$11*$M$13)+(I39+J39)/62,0)</f>
        <v>9519</v>
      </c>
      <c r="N39" s="275">
        <f>N71-N40</f>
        <v>145021.96828999999</v>
      </c>
      <c r="O39" s="254">
        <f t="shared" ref="O39" si="17">O71-O40</f>
        <v>4169.6939999999995</v>
      </c>
      <c r="P39" s="254">
        <f t="shared" ref="P39" si="18">P71-P40</f>
        <v>4169.6939999999995</v>
      </c>
      <c r="Q39" s="249">
        <f t="shared" si="7"/>
        <v>7960</v>
      </c>
      <c r="R39" s="249"/>
      <c r="S39" s="249">
        <f t="shared" si="8"/>
        <v>9474</v>
      </c>
      <c r="T39" s="275">
        <f>T71-T40</f>
        <v>145061.46880999999</v>
      </c>
      <c r="U39" s="254">
        <f t="shared" ref="U39" si="19">U71-U40</f>
        <v>4173.3659999999982</v>
      </c>
      <c r="V39" s="254">
        <f t="shared" ref="V39" si="20">V71-V40</f>
        <v>4173.3659999999982</v>
      </c>
      <c r="W39" s="249">
        <f t="shared" si="9"/>
        <v>7962</v>
      </c>
      <c r="X39" s="249"/>
      <c r="Y39" s="249">
        <f t="shared" si="10"/>
        <v>9477</v>
      </c>
      <c r="Z39" s="275">
        <f>Z71-Z40</f>
        <v>145120.91321999999</v>
      </c>
      <c r="AA39" s="254">
        <f t="shared" ref="AA39" si="21">AA71-AA40</f>
        <v>4178.891999999998</v>
      </c>
      <c r="AB39" s="254">
        <f t="shared" ref="AB39" si="22">AB71-AB40</f>
        <v>4178.891999999998</v>
      </c>
      <c r="AC39" s="249">
        <f t="shared" si="11"/>
        <v>7965</v>
      </c>
      <c r="AD39" s="249"/>
      <c r="AE39" s="267">
        <f t="shared" si="12"/>
        <v>9480</v>
      </c>
      <c r="AF39" s="2" t="s">
        <v>305</v>
      </c>
    </row>
    <row r="40" spans="1:32" s="41" customFormat="1" x14ac:dyDescent="0.2">
      <c r="A40" s="122" t="s">
        <v>270</v>
      </c>
      <c r="B40" s="301">
        <v>10266</v>
      </c>
      <c r="C40" s="302">
        <v>10266</v>
      </c>
      <c r="D40" s="302">
        <v>10266</v>
      </c>
      <c r="E40" s="251">
        <f>ROUND(((B40-((C40+D40)/62)*31)/$B$11*$E$13)+(C40+D40)/62,0)</f>
        <v>331</v>
      </c>
      <c r="F40" s="251"/>
      <c r="G40" s="251">
        <f t="shared" si="6"/>
        <v>331</v>
      </c>
      <c r="H40" s="301">
        <v>10266</v>
      </c>
      <c r="I40" s="302">
        <v>10266</v>
      </c>
      <c r="J40" s="302">
        <v>10266</v>
      </c>
      <c r="K40" s="251">
        <f t="shared" ref="K40" si="23">ROUND(((H40-((I40+J40)/62)*31)/$B$11*$E$13)+(I40+J40)/62,0)</f>
        <v>331</v>
      </c>
      <c r="L40" s="251"/>
      <c r="M40" s="251">
        <f t="shared" ref="M40" si="24">ROUND(((H40-((I40+J40)/62)*31)/$B$11*$G$13)+(I40+J40)/62,0)</f>
        <v>331</v>
      </c>
      <c r="N40" s="301">
        <v>10266</v>
      </c>
      <c r="O40" s="302">
        <v>10266</v>
      </c>
      <c r="P40" s="302">
        <v>10266</v>
      </c>
      <c r="Q40" s="251">
        <f t="shared" si="7"/>
        <v>331</v>
      </c>
      <c r="R40" s="251"/>
      <c r="S40" s="251">
        <f t="shared" si="8"/>
        <v>331</v>
      </c>
      <c r="T40" s="301">
        <v>10266</v>
      </c>
      <c r="U40" s="302">
        <v>10266</v>
      </c>
      <c r="V40" s="302">
        <v>10266</v>
      </c>
      <c r="W40" s="251">
        <f t="shared" si="9"/>
        <v>331</v>
      </c>
      <c r="X40" s="251"/>
      <c r="Y40" s="251">
        <f t="shared" si="10"/>
        <v>331</v>
      </c>
      <c r="Z40" s="301">
        <v>10266</v>
      </c>
      <c r="AA40" s="302">
        <v>10266</v>
      </c>
      <c r="AB40" s="302">
        <v>10266</v>
      </c>
      <c r="AC40" s="251">
        <f t="shared" si="11"/>
        <v>331</v>
      </c>
      <c r="AD40" s="251"/>
      <c r="AE40" s="269">
        <f t="shared" si="12"/>
        <v>331</v>
      </c>
      <c r="AF40" s="2" t="s">
        <v>320</v>
      </c>
    </row>
    <row r="41" spans="1:32" x14ac:dyDescent="0.2">
      <c r="A41" s="121" t="s">
        <v>197</v>
      </c>
      <c r="B41" s="277">
        <f>SUM(B36:B40)</f>
        <v>572166.00034999999</v>
      </c>
      <c r="C41" s="249">
        <f>SUM(C36:C40)</f>
        <v>53189.01</v>
      </c>
      <c r="D41" s="249">
        <f>SUM(D36:D40)</f>
        <v>53189.01</v>
      </c>
      <c r="E41" s="249">
        <f>ROUND(((B41-((C41+D41)/62)*31)/$B$11*$E$13)+(C41+D41)/62,0)</f>
        <v>30548</v>
      </c>
      <c r="F41" s="249"/>
      <c r="G41" s="249">
        <f>ROUND(((B41-((C41+D41)/62)*31)/$B$11*$G$13)+(C41+D41)/62,0)</f>
        <v>36128</v>
      </c>
      <c r="H41" s="277">
        <f>SUM(H36:H40)</f>
        <v>578598.26688681671</v>
      </c>
      <c r="I41" s="249">
        <f>SUM(I36:I40)</f>
        <v>53786.958652908637</v>
      </c>
      <c r="J41" s="249">
        <f>SUM(J36:J40)</f>
        <v>53786.958652908637</v>
      </c>
      <c r="K41" s="249">
        <f>ROUND(((H41-((I41+J41)/62)*31)/$H$11*$K$13)+(I41+J41)/62,0)</f>
        <v>30891</v>
      </c>
      <c r="L41" s="249"/>
      <c r="M41" s="249">
        <f>ROUND(((H41-((I41+J41)/62)*31)/$H$11*$M$13)+(I41+J41)/62,0)</f>
        <v>36534</v>
      </c>
      <c r="N41" s="277">
        <f>SUM(N36:N40)</f>
        <v>578075.97520999995</v>
      </c>
      <c r="O41" s="249">
        <f>SUM(O36:O40)</f>
        <v>53738.406000000003</v>
      </c>
      <c r="P41" s="249">
        <f>SUM(P36:P40)</f>
        <v>53738.406000000003</v>
      </c>
      <c r="Q41" s="249">
        <f t="shared" si="7"/>
        <v>30863</v>
      </c>
      <c r="R41" s="249"/>
      <c r="S41" s="249">
        <f t="shared" si="8"/>
        <v>36501</v>
      </c>
      <c r="T41" s="277">
        <f>SUM(T36:T40)</f>
        <v>581010.82511999994</v>
      </c>
      <c r="U41" s="249">
        <f>SUM(U36:U40)</f>
        <v>54011.231999999989</v>
      </c>
      <c r="V41" s="249">
        <f>SUM(V36:V40)</f>
        <v>54011.231999999989</v>
      </c>
      <c r="W41" s="249">
        <f t="shared" si="9"/>
        <v>31020</v>
      </c>
      <c r="X41" s="249"/>
      <c r="Y41" s="249">
        <f t="shared" si="10"/>
        <v>36687</v>
      </c>
      <c r="Z41" s="277">
        <f>SUM(Z36:Z40)</f>
        <v>583984.78828999994</v>
      </c>
      <c r="AA41" s="249">
        <f>SUM(AA36:AA40)</f>
        <v>54287.693999999996</v>
      </c>
      <c r="AB41" s="249">
        <f>SUM(AB36:AB40)</f>
        <v>54287.693999999996</v>
      </c>
      <c r="AC41" s="249">
        <f t="shared" si="11"/>
        <v>31179</v>
      </c>
      <c r="AD41" s="249"/>
      <c r="AE41" s="267">
        <f t="shared" si="12"/>
        <v>36874</v>
      </c>
    </row>
    <row r="42" spans="1:32" ht="13.5" thickBot="1" x14ac:dyDescent="0.25">
      <c r="A42" s="121" t="s">
        <v>256</v>
      </c>
      <c r="B42" s="296">
        <f>ROUND(B41/((1-$B$6))-B41,0)-1</f>
        <v>859</v>
      </c>
      <c r="C42" s="297"/>
      <c r="D42" s="297"/>
      <c r="E42" s="38">
        <f>ROUND(E41/((1-$B$6))-E41,0)</f>
        <v>46</v>
      </c>
      <c r="F42" s="297"/>
      <c r="G42" s="38">
        <f>ROUND(G41/((1-$B$6))-G41,0)+1</f>
        <v>55</v>
      </c>
      <c r="H42" s="296">
        <f>ROUND(H41/((1-$B$6))-H41,0)-1</f>
        <v>868</v>
      </c>
      <c r="I42" s="297"/>
      <c r="J42" s="297"/>
      <c r="K42" s="38">
        <f>ROUND(K41/((1-$B$6))-K41,0)+1</f>
        <v>47</v>
      </c>
      <c r="L42" s="297"/>
      <c r="M42" s="38">
        <f>ROUND(M41/((1-$B$6))-M41,0)+1</f>
        <v>56</v>
      </c>
      <c r="N42" s="296">
        <f>ROUND(N41/((1-$B$6))-N41,0)+1</f>
        <v>869</v>
      </c>
      <c r="O42" s="297"/>
      <c r="P42" s="297"/>
      <c r="Q42" s="38">
        <f>ROUND(Q41/((1-$B$6))-Q41,0)</f>
        <v>46</v>
      </c>
      <c r="R42" s="297"/>
      <c r="S42" s="38">
        <f>ROUND(S41/((1-$B$6))-S41,0)</f>
        <v>55</v>
      </c>
      <c r="T42" s="296">
        <f>ROUND(T41/((1-$B$6))-T41,0)</f>
        <v>873</v>
      </c>
      <c r="U42" s="297"/>
      <c r="V42" s="297"/>
      <c r="W42" s="38">
        <f>ROUND(W41/((1-$B$6))-W41,0)</f>
        <v>47</v>
      </c>
      <c r="X42" s="297"/>
      <c r="Y42" s="38">
        <f>ROUND(Y41/((1-$B$6))-Y41,0)+1</f>
        <v>56</v>
      </c>
      <c r="Z42" s="296">
        <f>ROUND(Z41/((1-$B$6))-Z41,0)</f>
        <v>877</v>
      </c>
      <c r="AA42" s="297"/>
      <c r="AB42" s="297"/>
      <c r="AC42" s="38">
        <f>ROUND(AC41/((1-$B$6))-AC41,0)+1</f>
        <v>48</v>
      </c>
      <c r="AD42" s="297"/>
      <c r="AE42" s="298">
        <f>ROUND(AE41/((1-$B$6))-AE41,0)+1</f>
        <v>56</v>
      </c>
    </row>
    <row r="43" spans="1:32" ht="13.5" thickBot="1" x14ac:dyDescent="0.25">
      <c r="A43" s="255" t="s">
        <v>257</v>
      </c>
      <c r="B43" s="296">
        <f>SUM(B41:B42)</f>
        <v>573025.00034999999</v>
      </c>
      <c r="C43" s="297"/>
      <c r="D43" s="297"/>
      <c r="E43" s="38">
        <f>SUM(E41:E42)</f>
        <v>30594</v>
      </c>
      <c r="F43" s="297"/>
      <c r="G43" s="298">
        <f>SUM(G41:G42)</f>
        <v>36183</v>
      </c>
      <c r="H43" s="296">
        <f>SUM(H41:H42)</f>
        <v>579466.26688681671</v>
      </c>
      <c r="I43" s="297"/>
      <c r="J43" s="297"/>
      <c r="K43" s="38">
        <f>SUM(K41:K42)</f>
        <v>30938</v>
      </c>
      <c r="L43" s="297"/>
      <c r="M43" s="298">
        <f>SUM(M41:M42)</f>
        <v>36590</v>
      </c>
      <c r="N43" s="296">
        <f>SUM(N41:N42)</f>
        <v>578944.97520999995</v>
      </c>
      <c r="O43" s="297"/>
      <c r="P43" s="297"/>
      <c r="Q43" s="38">
        <f>SUM(Q41:Q42)</f>
        <v>30909</v>
      </c>
      <c r="R43" s="297"/>
      <c r="S43" s="298">
        <f>SUM(S41:S42)</f>
        <v>36556</v>
      </c>
      <c r="T43" s="296">
        <f>SUM(T41:T42)</f>
        <v>581883.82511999994</v>
      </c>
      <c r="U43" s="297"/>
      <c r="V43" s="297"/>
      <c r="W43" s="38">
        <f>SUM(W41:W42)</f>
        <v>31067</v>
      </c>
      <c r="X43" s="297"/>
      <c r="Y43" s="298">
        <f>SUM(Y41:Y42)</f>
        <v>36743</v>
      </c>
      <c r="Z43" s="296">
        <f>SUM(Z41:Z42)</f>
        <v>584861.78828999994</v>
      </c>
      <c r="AA43" s="297"/>
      <c r="AB43" s="297"/>
      <c r="AC43" s="38">
        <f>SUM(AC41:AC42)</f>
        <v>31227</v>
      </c>
      <c r="AD43" s="297"/>
      <c r="AE43" s="298">
        <f>SUM(AE41:AE42)</f>
        <v>36930</v>
      </c>
    </row>
    <row r="44" spans="1:32" x14ac:dyDescent="0.2">
      <c r="A44" s="121"/>
      <c r="B44" s="273"/>
      <c r="C44" s="3"/>
      <c r="G44" s="274"/>
      <c r="H44" s="273"/>
      <c r="I44" s="3"/>
      <c r="J44" s="3"/>
      <c r="K44" s="3"/>
      <c r="L44" s="3"/>
      <c r="M44" s="274"/>
      <c r="N44" s="273"/>
      <c r="O44" s="3"/>
      <c r="P44" s="3"/>
      <c r="Q44" s="3"/>
      <c r="R44" s="3"/>
      <c r="S44" s="274"/>
      <c r="T44" s="273"/>
      <c r="U44" s="3"/>
      <c r="V44" s="3"/>
      <c r="W44" s="3"/>
      <c r="X44" s="3"/>
      <c r="Y44" s="274"/>
      <c r="Z44" s="273"/>
      <c r="AA44" s="3"/>
      <c r="AB44" s="3"/>
      <c r="AC44" s="3"/>
      <c r="AD44" s="3"/>
      <c r="AE44" s="274"/>
    </row>
    <row r="45" spans="1:32" x14ac:dyDescent="0.2">
      <c r="A45" s="247" t="s">
        <v>94</v>
      </c>
      <c r="B45" s="273"/>
      <c r="C45" s="3"/>
      <c r="G45" s="274"/>
      <c r="H45" s="273"/>
      <c r="I45" s="3"/>
      <c r="J45" s="3"/>
      <c r="K45" s="3"/>
      <c r="L45" s="3"/>
      <c r="M45" s="274"/>
      <c r="N45" s="273"/>
      <c r="O45" s="3"/>
      <c r="P45" s="3"/>
      <c r="Q45" s="3"/>
      <c r="R45" s="3"/>
      <c r="S45" s="274"/>
      <c r="T45" s="273"/>
      <c r="U45" s="3"/>
      <c r="V45" s="3"/>
      <c r="W45" s="3"/>
      <c r="X45" s="3"/>
      <c r="Y45" s="274"/>
      <c r="Z45" s="273"/>
      <c r="AA45" s="3"/>
      <c r="AB45" s="3"/>
      <c r="AC45" s="3"/>
      <c r="AD45" s="3"/>
      <c r="AE45" s="274"/>
    </row>
    <row r="46" spans="1:32" x14ac:dyDescent="0.2">
      <c r="A46" s="121" t="s">
        <v>232</v>
      </c>
      <c r="B46" s="275">
        <v>30.399909999999998</v>
      </c>
      <c r="C46" s="254"/>
      <c r="D46" s="254"/>
      <c r="E46" s="249">
        <f>ROUND(B46/21,0)</f>
        <v>1</v>
      </c>
      <c r="F46" s="249"/>
      <c r="G46" s="267">
        <f>ROUND(B46/21,0)</f>
        <v>1</v>
      </c>
      <c r="H46" s="286">
        <v>30.621763121539999</v>
      </c>
      <c r="I46" s="3"/>
      <c r="J46" s="3"/>
      <c r="K46" s="249">
        <f>ROUND(H46/21,0)</f>
        <v>1</v>
      </c>
      <c r="L46" s="249"/>
      <c r="M46" s="267">
        <f>ROUND(H46/21,0)</f>
        <v>1</v>
      </c>
      <c r="N46" s="286">
        <v>30.399909999999998</v>
      </c>
      <c r="O46" s="3"/>
      <c r="P46" s="3"/>
      <c r="Q46" s="249">
        <f>ROUND(N46/21,0)</f>
        <v>1</v>
      </c>
      <c r="R46" s="249"/>
      <c r="S46" s="267">
        <f>ROUND(N46/21,0)</f>
        <v>1</v>
      </c>
      <c r="T46" s="286">
        <v>30.399909999999998</v>
      </c>
      <c r="U46" s="3"/>
      <c r="V46" s="3"/>
      <c r="W46" s="249">
        <f>ROUND(T46/21,0)</f>
        <v>1</v>
      </c>
      <c r="X46" s="249"/>
      <c r="Y46" s="267">
        <f>ROUND(T46/21,0)</f>
        <v>1</v>
      </c>
      <c r="Z46" s="286">
        <v>30.399909999999998</v>
      </c>
      <c r="AA46" s="3"/>
      <c r="AB46" s="3"/>
      <c r="AC46" s="249">
        <f>ROUND(Z46/21,0)</f>
        <v>1</v>
      </c>
      <c r="AD46" s="249"/>
      <c r="AE46" s="267">
        <f>ROUND(Z46/21,0)</f>
        <v>1</v>
      </c>
      <c r="AF46" s="2" t="s">
        <v>282</v>
      </c>
    </row>
    <row r="47" spans="1:32" x14ac:dyDescent="0.2">
      <c r="A47" s="121" t="s">
        <v>250</v>
      </c>
      <c r="B47" s="275">
        <v>10072.632599999999</v>
      </c>
      <c r="C47" s="254"/>
      <c r="D47" s="254"/>
      <c r="E47" s="249">
        <f t="shared" ref="E47:E49" si="25">ROUND(B47/21,0)</f>
        <v>480</v>
      </c>
      <c r="F47" s="249"/>
      <c r="G47" s="267">
        <f t="shared" ref="G47:G49" si="26">ROUND(B47/21,0)</f>
        <v>480</v>
      </c>
      <c r="H47" s="286">
        <v>9951.5627573912971</v>
      </c>
      <c r="I47" s="3"/>
      <c r="J47" s="3"/>
      <c r="K47" s="249">
        <f>ROUND(H47/21,0)</f>
        <v>474</v>
      </c>
      <c r="L47" s="249"/>
      <c r="M47" s="267">
        <f>ROUND(H47/21,0)</f>
        <v>474</v>
      </c>
      <c r="N47" s="286">
        <v>9689.8260900000005</v>
      </c>
      <c r="O47" s="3"/>
      <c r="P47" s="3"/>
      <c r="Q47" s="249">
        <f t="shared" ref="Q47:Q48" si="27">ROUND(N47/21,0)</f>
        <v>461</v>
      </c>
      <c r="R47" s="249"/>
      <c r="S47" s="267">
        <f t="shared" ref="S47:S48" si="28">ROUND(N47/21,0)</f>
        <v>461</v>
      </c>
      <c r="T47" s="286">
        <v>9521.7552500000002</v>
      </c>
      <c r="U47" s="3"/>
      <c r="V47" s="3"/>
      <c r="W47" s="249">
        <f t="shared" ref="W47:W48" si="29">ROUND(T47/21,0)</f>
        <v>453</v>
      </c>
      <c r="X47" s="249"/>
      <c r="Y47" s="267">
        <f t="shared" ref="Y47:Y48" si="30">ROUND(T47/21,0)</f>
        <v>453</v>
      </c>
      <c r="Z47" s="286">
        <v>9348.4563999999991</v>
      </c>
      <c r="AA47" s="3"/>
      <c r="AB47" s="3"/>
      <c r="AC47" s="249">
        <f t="shared" ref="AC47:AC48" si="31">ROUND(Z47/21,0)</f>
        <v>445</v>
      </c>
      <c r="AD47" s="249"/>
      <c r="AE47" s="267">
        <f t="shared" ref="AE47:AE48" si="32">ROUND(Z47/21,0)</f>
        <v>445</v>
      </c>
      <c r="AF47" s="2" t="s">
        <v>328</v>
      </c>
    </row>
    <row r="48" spans="1:32" x14ac:dyDescent="0.2">
      <c r="A48" s="122" t="s">
        <v>126</v>
      </c>
      <c r="B48" s="276">
        <v>35868.795720000002</v>
      </c>
      <c r="C48" s="252"/>
      <c r="D48" s="252"/>
      <c r="E48" s="251">
        <f t="shared" si="25"/>
        <v>1708</v>
      </c>
      <c r="F48" s="251"/>
      <c r="G48" s="269">
        <f t="shared" si="26"/>
        <v>1708</v>
      </c>
      <c r="H48" s="287">
        <v>36444.624711753444</v>
      </c>
      <c r="I48" s="41"/>
      <c r="J48" s="41"/>
      <c r="K48" s="251">
        <f>ROUND(H48/21,0)</f>
        <v>1735</v>
      </c>
      <c r="L48" s="251"/>
      <c r="M48" s="269">
        <f>ROUND(H48/21,0)</f>
        <v>1735</v>
      </c>
      <c r="N48" s="287">
        <v>36526.556830000001</v>
      </c>
      <c r="O48" s="41"/>
      <c r="P48" s="41"/>
      <c r="Q48" s="251">
        <f t="shared" si="27"/>
        <v>1739</v>
      </c>
      <c r="R48" s="251"/>
      <c r="S48" s="269">
        <f t="shared" si="28"/>
        <v>1739</v>
      </c>
      <c r="T48" s="287">
        <v>36886.127739999996</v>
      </c>
      <c r="U48" s="41"/>
      <c r="V48" s="41"/>
      <c r="W48" s="251">
        <f t="shared" si="29"/>
        <v>1756</v>
      </c>
      <c r="X48" s="251"/>
      <c r="Y48" s="269">
        <f t="shared" si="30"/>
        <v>1756</v>
      </c>
      <c r="Z48" s="287">
        <v>37167.859389999998</v>
      </c>
      <c r="AA48" s="41"/>
      <c r="AB48" s="41"/>
      <c r="AC48" s="251">
        <f t="shared" si="31"/>
        <v>1770</v>
      </c>
      <c r="AD48" s="251"/>
      <c r="AE48" s="269">
        <f t="shared" si="32"/>
        <v>1770</v>
      </c>
      <c r="AF48" s="2" t="s">
        <v>334</v>
      </c>
    </row>
    <row r="49" spans="1:32" x14ac:dyDescent="0.2">
      <c r="A49" s="121" t="s">
        <v>200</v>
      </c>
      <c r="B49" s="277">
        <f>SUM(B46:B48)</f>
        <v>45971.828229999999</v>
      </c>
      <c r="C49" s="249"/>
      <c r="D49" s="249"/>
      <c r="E49" s="249">
        <f t="shared" si="25"/>
        <v>2189</v>
      </c>
      <c r="F49" s="249"/>
      <c r="G49" s="267">
        <f t="shared" si="26"/>
        <v>2189</v>
      </c>
      <c r="H49" s="277">
        <f>SUM(H46:H48)</f>
        <v>46426.809232266285</v>
      </c>
      <c r="I49" s="249"/>
      <c r="J49" s="249"/>
      <c r="K49" s="249">
        <f>ROUND(H49/21,0)</f>
        <v>2211</v>
      </c>
      <c r="L49" s="249"/>
      <c r="M49" s="267">
        <f>ROUND(H49/21,0)</f>
        <v>2211</v>
      </c>
      <c r="N49" s="277">
        <f>SUM(N46:N48)</f>
        <v>46246.782830000004</v>
      </c>
      <c r="O49" s="249"/>
      <c r="P49" s="249"/>
      <c r="Q49" s="249">
        <f>ROUND(N49/21,0)</f>
        <v>2202</v>
      </c>
      <c r="R49" s="249"/>
      <c r="S49" s="267">
        <f>ROUND(N49/21,0)</f>
        <v>2202</v>
      </c>
      <c r="T49" s="277">
        <f>SUM(T46:T48)</f>
        <v>46438.282899999998</v>
      </c>
      <c r="U49" s="249"/>
      <c r="V49" s="249"/>
      <c r="W49" s="249">
        <f>ROUND(T49/21,0)</f>
        <v>2211</v>
      </c>
      <c r="X49" s="249"/>
      <c r="Y49" s="267">
        <f>ROUND(T49/21,0)</f>
        <v>2211</v>
      </c>
      <c r="Z49" s="277">
        <f>SUM(Z46:Z48)</f>
        <v>46546.715700000001</v>
      </c>
      <c r="AA49" s="249"/>
      <c r="AB49" s="249"/>
      <c r="AC49" s="249">
        <f>ROUND(Z49/21,0)</f>
        <v>2217</v>
      </c>
      <c r="AD49" s="249"/>
      <c r="AE49" s="267">
        <f>ROUND(Z49/21,0)</f>
        <v>2217</v>
      </c>
    </row>
    <row r="50" spans="1:32" ht="13.5" thickBot="1" x14ac:dyDescent="0.25">
      <c r="A50" s="121" t="s">
        <v>258</v>
      </c>
      <c r="B50" s="270">
        <f>ROUND(B49/((1-$B$6))-B49,0)</f>
        <v>69</v>
      </c>
      <c r="C50" s="249"/>
      <c r="D50" s="249"/>
      <c r="E50" s="30">
        <f>ROUND(E49/((1-$B$6))-E49,0)</f>
        <v>3</v>
      </c>
      <c r="F50" s="249"/>
      <c r="G50" s="271">
        <f>ROUND(G49/((1-$B$6))-G49,0)</f>
        <v>3</v>
      </c>
      <c r="H50" s="270">
        <f>ROUND(H49/((1-$B$6))-H49,0)</f>
        <v>70</v>
      </c>
      <c r="I50" s="249"/>
      <c r="J50" s="249"/>
      <c r="K50" s="30">
        <f>ROUND(K49/((1-$B$6))-K49,0)</f>
        <v>3</v>
      </c>
      <c r="L50" s="249"/>
      <c r="M50" s="271">
        <f>ROUND(M49/((1-$B$6))-M49,0)</f>
        <v>3</v>
      </c>
      <c r="N50" s="270">
        <f>ROUND(N49/((1-$B$6))-N49,0)</f>
        <v>69</v>
      </c>
      <c r="O50" s="249"/>
      <c r="P50" s="249"/>
      <c r="Q50" s="30">
        <f>ROUND(Q49/((1-$B$6))-Q49,0)</f>
        <v>3</v>
      </c>
      <c r="R50" s="249"/>
      <c r="S50" s="271">
        <f>ROUND(S49/((1-$B$6))-S49,0)</f>
        <v>3</v>
      </c>
      <c r="T50" s="270">
        <f>ROUND(T49/((1-$B$6))-T49,0)</f>
        <v>70</v>
      </c>
      <c r="U50" s="249"/>
      <c r="V50" s="249"/>
      <c r="W50" s="30">
        <f>ROUND(W49/((1-$B$6))-W49,0)</f>
        <v>3</v>
      </c>
      <c r="X50" s="249"/>
      <c r="Y50" s="271">
        <f>ROUND(Y49/((1-$B$6))-Y49,0)</f>
        <v>3</v>
      </c>
      <c r="Z50" s="270">
        <f>ROUND(Z49/((1-$B$6))-Z49,0)</f>
        <v>70</v>
      </c>
      <c r="AA50" s="249"/>
      <c r="AB50" s="249"/>
      <c r="AC50" s="30">
        <f>ROUND(AC49/((1-$B$6))-AC49,0)</f>
        <v>3</v>
      </c>
      <c r="AD50" s="249"/>
      <c r="AE50" s="271">
        <f>ROUND(AE49/((1-$B$6))-AE49,0)</f>
        <v>3</v>
      </c>
    </row>
    <row r="51" spans="1:32" ht="13.5" thickBot="1" x14ac:dyDescent="0.25">
      <c r="A51" s="255" t="s">
        <v>259</v>
      </c>
      <c r="B51" s="272">
        <f>SUM(B49:B50)</f>
        <v>46040.828229999999</v>
      </c>
      <c r="C51" s="257"/>
      <c r="D51" s="257"/>
      <c r="E51" s="256">
        <f>SUM(E49:E50)</f>
        <v>2192</v>
      </c>
      <c r="F51" s="257"/>
      <c r="G51" s="260">
        <f>SUM(G49:G50)</f>
        <v>2192</v>
      </c>
      <c r="H51" s="272">
        <f>SUM(H49:H50)</f>
        <v>46496.809232266285</v>
      </c>
      <c r="I51" s="257"/>
      <c r="J51" s="257"/>
      <c r="K51" s="256">
        <f>SUM(K49:K50)</f>
        <v>2214</v>
      </c>
      <c r="L51" s="257"/>
      <c r="M51" s="260">
        <f>SUM(M49:M50)</f>
        <v>2214</v>
      </c>
      <c r="N51" s="272">
        <f>SUM(N49:N50)</f>
        <v>46315.782830000004</v>
      </c>
      <c r="O51" s="257"/>
      <c r="P51" s="257"/>
      <c r="Q51" s="256">
        <f>SUM(Q49:Q50)</f>
        <v>2205</v>
      </c>
      <c r="R51" s="257"/>
      <c r="S51" s="260">
        <f>SUM(S49:S50)</f>
        <v>2205</v>
      </c>
      <c r="T51" s="272">
        <f>SUM(T49:T50)</f>
        <v>46508.282899999998</v>
      </c>
      <c r="U51" s="257"/>
      <c r="V51" s="257"/>
      <c r="W51" s="256">
        <f>SUM(W49:W50)</f>
        <v>2214</v>
      </c>
      <c r="X51" s="257"/>
      <c r="Y51" s="260">
        <f>SUM(Y49:Y50)</f>
        <v>2214</v>
      </c>
      <c r="Z51" s="272">
        <f>SUM(Z49:Z50)</f>
        <v>46616.715700000001</v>
      </c>
      <c r="AA51" s="257"/>
      <c r="AB51" s="257"/>
      <c r="AC51" s="256">
        <f>SUM(AC49:AC50)</f>
        <v>2220</v>
      </c>
      <c r="AD51" s="257"/>
      <c r="AE51" s="260">
        <f>SUM(AE49:AE50)</f>
        <v>2220</v>
      </c>
    </row>
    <row r="52" spans="1:32" x14ac:dyDescent="0.2">
      <c r="A52" s="121"/>
      <c r="B52" s="273"/>
      <c r="C52" s="3"/>
      <c r="G52" s="274"/>
      <c r="H52" s="273"/>
      <c r="I52" s="3"/>
      <c r="J52" s="3"/>
      <c r="K52" s="3"/>
      <c r="L52" s="3"/>
      <c r="M52" s="274"/>
      <c r="N52" s="273"/>
      <c r="O52" s="3"/>
      <c r="P52" s="3"/>
      <c r="Q52" s="3"/>
      <c r="R52" s="3"/>
      <c r="S52" s="274"/>
      <c r="T52" s="273"/>
      <c r="U52" s="3"/>
      <c r="V52" s="3"/>
      <c r="W52" s="3"/>
      <c r="X52" s="3"/>
      <c r="Y52" s="274"/>
      <c r="Z52" s="273"/>
      <c r="AA52" s="3"/>
      <c r="AB52" s="3"/>
      <c r="AC52" s="3"/>
      <c r="AD52" s="3"/>
      <c r="AE52" s="274"/>
    </row>
    <row r="53" spans="1:32" x14ac:dyDescent="0.2">
      <c r="A53" s="247" t="s">
        <v>13</v>
      </c>
      <c r="B53" s="273"/>
      <c r="C53" s="3"/>
      <c r="G53" s="274"/>
      <c r="H53" s="273"/>
      <c r="I53" s="3"/>
      <c r="J53" s="3"/>
      <c r="K53" s="3"/>
      <c r="L53" s="3"/>
      <c r="M53" s="274"/>
      <c r="N53" s="273"/>
      <c r="O53" s="3"/>
      <c r="P53" s="3"/>
      <c r="Q53" s="3"/>
      <c r="R53" s="3"/>
      <c r="S53" s="274"/>
      <c r="T53" s="273"/>
      <c r="U53" s="3"/>
      <c r="V53" s="3"/>
      <c r="W53" s="3"/>
      <c r="X53" s="3"/>
      <c r="Y53" s="274"/>
      <c r="Z53" s="273"/>
      <c r="AA53" s="3"/>
      <c r="AB53" s="3"/>
      <c r="AC53" s="3"/>
      <c r="AD53" s="3"/>
      <c r="AE53" s="274"/>
    </row>
    <row r="54" spans="1:32" x14ac:dyDescent="0.2">
      <c r="A54" s="121" t="s">
        <v>232</v>
      </c>
      <c r="B54" s="266">
        <v>33.304360000000003</v>
      </c>
      <c r="C54" s="211">
        <v>3.0959999999999996</v>
      </c>
      <c r="D54" s="211">
        <v>3.0959999999999996</v>
      </c>
      <c r="E54" s="3">
        <f>ROUND(((B54-((C54+D54)/62)*31)/$B$11*$E$13)+(C54+D54)/62,0)</f>
        <v>2</v>
      </c>
      <c r="G54" s="274">
        <f>ROUND(((B54-((C54+D54)/62)*31)/$B$11*$G$13)+(C54+D54)/62,0)</f>
        <v>2</v>
      </c>
      <c r="H54" s="266">
        <v>33.491215066099279</v>
      </c>
      <c r="I54" s="211">
        <v>3.1133701967142851</v>
      </c>
      <c r="J54" s="211">
        <v>3.1133701967142851</v>
      </c>
      <c r="K54" s="3">
        <f>ROUND(((H54-((I54+J54)/62)*31)/$H$11*$K$13)+(I54+J54)/62,0)</f>
        <v>2</v>
      </c>
      <c r="L54" s="3"/>
      <c r="M54" s="274">
        <f>ROUND(((H54-((I54+J54)/62)*31)/$H$11*$M$13)+(I54+J54)/62,0)</f>
        <v>2</v>
      </c>
      <c r="N54" s="266">
        <v>33.304360000000003</v>
      </c>
      <c r="O54" s="211">
        <v>3.0959999999999996</v>
      </c>
      <c r="P54" s="211">
        <v>3.0959999999999996</v>
      </c>
      <c r="Q54" s="3">
        <f>ROUND(((N54-((O54+P54)/62)*31)/$B$11*$E$13)+(O54+P54)/62,0)</f>
        <v>2</v>
      </c>
      <c r="R54" s="3"/>
      <c r="S54" s="274">
        <f>ROUND(((N54-((O54+P54)/62)*31)/$B$11*$G$13)+(O54+P54)/62,0)</f>
        <v>2</v>
      </c>
      <c r="T54" s="266">
        <v>33.304360000000003</v>
      </c>
      <c r="U54" s="211">
        <v>3.0959999999999996</v>
      </c>
      <c r="V54" s="211">
        <v>3.0959999999999996</v>
      </c>
      <c r="W54" s="3">
        <f>ROUND(((T54-((U54+V54)/62)*31)/$B$11*$E$13)+(U54+V54)/62,0)</f>
        <v>2</v>
      </c>
      <c r="X54" s="3"/>
      <c r="Y54" s="274">
        <f>ROUND(((T54-((U54+V54)/62)*31)/$B$11*$G$13)+(U54+V54)/62,0)</f>
        <v>2</v>
      </c>
      <c r="Z54" s="266">
        <v>33.304360000000003</v>
      </c>
      <c r="AA54" s="211">
        <v>3.0959999999999996</v>
      </c>
      <c r="AB54" s="211">
        <v>3.0959999999999996</v>
      </c>
      <c r="AC54" s="3">
        <f>ROUND(((Z54-((AA54+AB54)/62)*31)/$B$11*$E$13)+(AA54+AB54)/62,0)</f>
        <v>2</v>
      </c>
      <c r="AD54" s="3"/>
      <c r="AE54" s="274">
        <f>ROUND(((Z54-((AA54+AB54)/62)*31)/$B$11*$G$13)+(AA54+AB54)/62,0)</f>
        <v>2</v>
      </c>
      <c r="AF54" s="2" t="s">
        <v>282</v>
      </c>
    </row>
    <row r="55" spans="1:32" x14ac:dyDescent="0.2">
      <c r="A55" s="121" t="s">
        <v>251</v>
      </c>
      <c r="B55" s="266">
        <v>8813.8439699999999</v>
      </c>
      <c r="C55" s="211">
        <v>819.34199999999998</v>
      </c>
      <c r="D55" s="211">
        <v>819.34199999999998</v>
      </c>
      <c r="E55" s="3">
        <f t="shared" ref="E55:E58" si="33">ROUND(((B55-((C55+D55)/62)*31)/$B$11*$E$13)+(C55+D55)/62,0)</f>
        <v>471</v>
      </c>
      <c r="G55" s="274">
        <f t="shared" ref="G55:G58" si="34">ROUND(((B55-((C55+D55)/62)*31)/$B$11*$G$13)+(C55+D55)/62,0)</f>
        <v>557</v>
      </c>
      <c r="H55" s="266">
        <v>8766.5790390756192</v>
      </c>
      <c r="I55" s="211">
        <v>814.94821413707132</v>
      </c>
      <c r="J55" s="211">
        <v>814.94821413707132</v>
      </c>
      <c r="K55" s="3">
        <f>ROUND(((H55-((I55+J55)/62)*31)/$H$11*$K$13)+(I55+J55)/62,0)</f>
        <v>468</v>
      </c>
      <c r="L55" s="3"/>
      <c r="M55" s="274">
        <f>ROUND(((H55-((I55+J55)/62)*31)/$H$11*$M$13)+(I55+J55)/62,0)</f>
        <v>554</v>
      </c>
      <c r="N55" s="266">
        <v>8598.9146700000001</v>
      </c>
      <c r="O55" s="211">
        <v>799.36199999999997</v>
      </c>
      <c r="P55" s="211">
        <v>799.36199999999997</v>
      </c>
      <c r="Q55" s="3">
        <f t="shared" ref="Q55:Q57" si="35">ROUND(((N55-((O55+P55)/62)*31)/$B$11*$E$13)+(O55+P55)/62,0)</f>
        <v>459</v>
      </c>
      <c r="R55" s="3"/>
      <c r="S55" s="274">
        <f t="shared" ref="S55:S57" si="36">ROUND(((N55-((O55+P55)/62)*31)/$B$11*$G$13)+(O55+P55)/62,0)</f>
        <v>543</v>
      </c>
      <c r="T55" s="266">
        <v>8497.2589200000002</v>
      </c>
      <c r="U55" s="211">
        <v>789.91199999999992</v>
      </c>
      <c r="V55" s="211">
        <v>789.91199999999992</v>
      </c>
      <c r="W55" s="3">
        <f t="shared" ref="W55:W57" si="37">ROUND(((T55-((U55+V55)/62)*31)/$B$11*$E$13)+(U55+V55)/62,0)</f>
        <v>454</v>
      </c>
      <c r="X55" s="3"/>
      <c r="Y55" s="274">
        <f t="shared" ref="Y55:Y57" si="38">ROUND(((T55-((U55+V55)/62)*31)/$B$11*$G$13)+(U55+V55)/62,0)</f>
        <v>537</v>
      </c>
      <c r="Z55" s="266">
        <v>8388.2452300000004</v>
      </c>
      <c r="AA55" s="211">
        <v>779.77799999999991</v>
      </c>
      <c r="AB55" s="211">
        <v>779.77799999999991</v>
      </c>
      <c r="AC55" s="3">
        <f t="shared" ref="AC55:AC57" si="39">ROUND(((Z55-((AA55+AB55)/62)*31)/$B$11*$E$13)+(AA55+AB55)/62,0)</f>
        <v>448</v>
      </c>
      <c r="AD55" s="3"/>
      <c r="AE55" s="274">
        <f t="shared" ref="AE55:AE57" si="40">ROUND(((Z55-((AA55+AB55)/62)*31)/$B$11*$G$13)+(AA55+AB55)/62,0)</f>
        <v>530</v>
      </c>
      <c r="AF55" s="2" t="s">
        <v>291</v>
      </c>
    </row>
    <row r="56" spans="1:32" x14ac:dyDescent="0.2">
      <c r="A56" s="121" t="s">
        <v>252</v>
      </c>
      <c r="B56" s="266">
        <v>16700.974760000001</v>
      </c>
      <c r="C56" s="211">
        <v>1552.5359999999998</v>
      </c>
      <c r="D56" s="211">
        <v>1552.5359999999998</v>
      </c>
      <c r="E56" s="3">
        <f t="shared" si="33"/>
        <v>892</v>
      </c>
      <c r="G56" s="274">
        <f t="shared" si="34"/>
        <v>1055</v>
      </c>
      <c r="H56" s="266">
        <v>16482.42266709738</v>
      </c>
      <c r="I56" s="211">
        <v>1532.2192222680001</v>
      </c>
      <c r="J56" s="211">
        <v>1532.2192222680001</v>
      </c>
      <c r="K56" s="3">
        <f>ROUND(((H56-((I56+J56)/62)*31)/$H$11*$K$13)+(I56+J56)/62,0)</f>
        <v>880</v>
      </c>
      <c r="L56" s="3"/>
      <c r="M56" s="274">
        <f>ROUND(((H56-((I56+J56)/62)*31)/$H$11*$M$13)+(I56+J56)/62,0)</f>
        <v>1041</v>
      </c>
      <c r="N56" s="266">
        <v>16027.916879999999</v>
      </c>
      <c r="O56" s="211">
        <v>1489.9679999999998</v>
      </c>
      <c r="P56" s="211">
        <v>1489.9679999999998</v>
      </c>
      <c r="Q56" s="3">
        <f t="shared" si="35"/>
        <v>856</v>
      </c>
      <c r="R56" s="3"/>
      <c r="S56" s="274">
        <f t="shared" si="36"/>
        <v>1012</v>
      </c>
      <c r="T56" s="266">
        <v>15670.28227</v>
      </c>
      <c r="U56" s="211">
        <v>1456.722</v>
      </c>
      <c r="V56" s="211">
        <v>1456.722</v>
      </c>
      <c r="W56" s="3">
        <f t="shared" si="37"/>
        <v>837</v>
      </c>
      <c r="X56" s="3"/>
      <c r="Y56" s="274">
        <f t="shared" si="38"/>
        <v>989</v>
      </c>
      <c r="Z56" s="266">
        <v>15334.334219999999</v>
      </c>
      <c r="AA56" s="211">
        <v>1425.492</v>
      </c>
      <c r="AB56" s="211">
        <v>1425.492</v>
      </c>
      <c r="AC56" s="3">
        <f t="shared" si="39"/>
        <v>819</v>
      </c>
      <c r="AD56" s="3"/>
      <c r="AE56" s="274">
        <f t="shared" si="40"/>
        <v>968</v>
      </c>
      <c r="AF56" s="2" t="s">
        <v>298</v>
      </c>
    </row>
    <row r="57" spans="1:32" x14ac:dyDescent="0.2">
      <c r="A57" s="122" t="s">
        <v>147</v>
      </c>
      <c r="B57" s="268">
        <v>20547.821970000001</v>
      </c>
      <c r="C57" s="250">
        <v>1910.1419999999998</v>
      </c>
      <c r="D57" s="250">
        <v>1910.1419999999998</v>
      </c>
      <c r="E57" s="41">
        <f t="shared" si="33"/>
        <v>1097</v>
      </c>
      <c r="F57" s="41"/>
      <c r="G57" s="278">
        <f t="shared" si="34"/>
        <v>1297</v>
      </c>
      <c r="H57" s="268">
        <v>20085.251151168512</v>
      </c>
      <c r="I57" s="250">
        <v>1867.1410459176429</v>
      </c>
      <c r="J57" s="250">
        <v>1867.1410459176429</v>
      </c>
      <c r="K57" s="41">
        <f>ROUND(((H57-((I57+J57)/62)*31)/$H$11*$K$13)+(I57+J57)/62,0)</f>
        <v>1072</v>
      </c>
      <c r="L57" s="41"/>
      <c r="M57" s="278">
        <f>ROUND(((H57-((I57+J57)/62)*31)/$H$11*$M$13)+(I57+J57)/62,0)</f>
        <v>1268</v>
      </c>
      <c r="N57" s="268">
        <v>19398.434290000001</v>
      </c>
      <c r="O57" s="250">
        <v>1803.2939999999999</v>
      </c>
      <c r="P57" s="250">
        <v>1803.2939999999999</v>
      </c>
      <c r="Q57" s="41">
        <f t="shared" si="35"/>
        <v>1036</v>
      </c>
      <c r="R57" s="41"/>
      <c r="S57" s="278">
        <f t="shared" si="36"/>
        <v>1225</v>
      </c>
      <c r="T57" s="268">
        <v>18700.785400000001</v>
      </c>
      <c r="U57" s="250">
        <v>1738.4399999999998</v>
      </c>
      <c r="V57" s="250">
        <v>1738.4399999999998</v>
      </c>
      <c r="W57" s="41">
        <f t="shared" si="37"/>
        <v>998</v>
      </c>
      <c r="X57" s="41"/>
      <c r="Y57" s="278">
        <f t="shared" si="38"/>
        <v>1181</v>
      </c>
      <c r="Z57" s="268">
        <v>18179.14618</v>
      </c>
      <c r="AA57" s="250">
        <v>1689.9479999999999</v>
      </c>
      <c r="AB57" s="250">
        <v>1689.9479999999999</v>
      </c>
      <c r="AC57" s="41">
        <f t="shared" si="39"/>
        <v>971</v>
      </c>
      <c r="AD57" s="41"/>
      <c r="AE57" s="278">
        <f t="shared" si="40"/>
        <v>1148</v>
      </c>
      <c r="AF57" s="2" t="s">
        <v>305</v>
      </c>
    </row>
    <row r="58" spans="1:32" x14ac:dyDescent="0.2">
      <c r="A58" s="121" t="s">
        <v>204</v>
      </c>
      <c r="B58" s="270">
        <f>SUM(B54:B57)</f>
        <v>46095.945059999998</v>
      </c>
      <c r="C58" s="30">
        <f t="shared" ref="C58:D58" si="41">SUM(C54:C57)</f>
        <v>4285.116</v>
      </c>
      <c r="D58" s="30">
        <f t="shared" si="41"/>
        <v>4285.116</v>
      </c>
      <c r="E58" s="3">
        <f t="shared" si="33"/>
        <v>2461</v>
      </c>
      <c r="G58" s="274">
        <f t="shared" si="34"/>
        <v>2911</v>
      </c>
      <c r="H58" s="270">
        <f>SUM(H54:H57)</f>
        <v>45367.744072407615</v>
      </c>
      <c r="I58" s="30">
        <f t="shared" ref="I58" si="42">SUM(I54:I57)</f>
        <v>4217.4218525194283</v>
      </c>
      <c r="J58" s="30">
        <f t="shared" ref="J58" si="43">SUM(J54:J57)</f>
        <v>4217.4218525194283</v>
      </c>
      <c r="K58" s="3">
        <f>ROUND(((H58-((I58+J58)/62)*31)/$H$11*$K$13)+(I58+J58)/62,0)</f>
        <v>2422</v>
      </c>
      <c r="L58" s="3"/>
      <c r="M58" s="274">
        <f>ROUND(((H58-((I58+J58)/62)*31)/$H$11*$M$13)+(I58+J58)/62,0)</f>
        <v>2865</v>
      </c>
      <c r="N58" s="270">
        <f>SUM(N54:N57)</f>
        <v>44058.570200000002</v>
      </c>
      <c r="O58" s="30">
        <f t="shared" ref="O58" si="44">SUM(O54:O57)</f>
        <v>4095.72</v>
      </c>
      <c r="P58" s="30">
        <f t="shared" ref="P58" si="45">SUM(P54:P57)</f>
        <v>4095.72</v>
      </c>
      <c r="Q58" s="3">
        <f>ROUND(((N58-((O58+P58)/62)*31)/$H$11*$K$13)+(O58+P58)/62,0)</f>
        <v>2352</v>
      </c>
      <c r="R58" s="3"/>
      <c r="S58" s="274">
        <f>ROUND(((N58-((O58+P58)/62)*31)/$H$11*$M$13)+(O58+P58)/62,0)</f>
        <v>2782</v>
      </c>
      <c r="T58" s="270">
        <f>SUM(T54:T57)</f>
        <v>42901.630949999999</v>
      </c>
      <c r="U58" s="30">
        <f t="shared" ref="U58" si="46">SUM(U54:U57)</f>
        <v>3988.17</v>
      </c>
      <c r="V58" s="30">
        <f t="shared" ref="V58" si="47">SUM(V54:V57)</f>
        <v>3988.17</v>
      </c>
      <c r="W58" s="3">
        <f>ROUND(((T58-((U58+V58)/62)*31)/$H$11*$K$13)+(U58+V58)/62,0)</f>
        <v>2291</v>
      </c>
      <c r="X58" s="3"/>
      <c r="Y58" s="274">
        <f>ROUND(((T58-((U58+V58)/62)*31)/$H$11*$M$13)+(U58+V58)/62,0)</f>
        <v>2709</v>
      </c>
      <c r="Z58" s="270">
        <f>SUM(Z54:Z57)</f>
        <v>41935.029989999995</v>
      </c>
      <c r="AA58" s="30">
        <f t="shared" ref="AA58" si="48">SUM(AA54:AA57)</f>
        <v>3898.3139999999999</v>
      </c>
      <c r="AB58" s="30">
        <f t="shared" ref="AB58" si="49">SUM(AB54:AB57)</f>
        <v>3898.3139999999999</v>
      </c>
      <c r="AC58" s="3">
        <f>ROUND(((Z58-((AA58+AB58)/62)*31)/$H$11*$K$13)+(AA58+AB58)/62,0)</f>
        <v>2239</v>
      </c>
      <c r="AD58" s="3"/>
      <c r="AE58" s="274">
        <f>ROUND(((Z58-((AA58+AB58)/62)*31)/$H$11*$M$13)+(AA58+AB58)/62,0)</f>
        <v>2648</v>
      </c>
    </row>
    <row r="59" spans="1:32" ht="13.5" thickBot="1" x14ac:dyDescent="0.25">
      <c r="A59" s="121" t="s">
        <v>260</v>
      </c>
      <c r="B59" s="270">
        <f>ROUND(B58/((1-$B$6))-B58,0)</f>
        <v>69</v>
      </c>
      <c r="C59" s="30"/>
      <c r="D59" s="30"/>
      <c r="E59" s="30">
        <f>ROUND(E58/((1-$B$6))-E58,0)</f>
        <v>4</v>
      </c>
      <c r="G59" s="271">
        <f>ROUND(G58/((1-$B$6))-G58,0)</f>
        <v>4</v>
      </c>
      <c r="H59" s="270">
        <f>ROUND(H58/((1-$B$6))-H58,0)</f>
        <v>68</v>
      </c>
      <c r="I59" s="30"/>
      <c r="J59" s="30"/>
      <c r="K59" s="30">
        <f>ROUND(K58/((1-$B$6))-K58,0)</f>
        <v>4</v>
      </c>
      <c r="L59" s="3"/>
      <c r="M59" s="271">
        <f>ROUND(M58/((1-$B$6))-M58,0)</f>
        <v>4</v>
      </c>
      <c r="N59" s="270">
        <f>ROUND(N58/((1-$B$6))-N58,0)</f>
        <v>66</v>
      </c>
      <c r="O59" s="30"/>
      <c r="P59" s="30"/>
      <c r="Q59" s="30">
        <f>ROUND(Q58/((1-$B$6))-Q58,0)</f>
        <v>4</v>
      </c>
      <c r="R59" s="3"/>
      <c r="S59" s="271">
        <f>ROUND(S58/((1-$B$6))-S58,0)</f>
        <v>4</v>
      </c>
      <c r="T59" s="270">
        <f>ROUND(T58/((1-$B$6))-T58,0)</f>
        <v>64</v>
      </c>
      <c r="U59" s="30"/>
      <c r="V59" s="30"/>
      <c r="W59" s="30">
        <f>ROUND(W58/((1-$B$6))-W58,0)</f>
        <v>3</v>
      </c>
      <c r="X59" s="3"/>
      <c r="Y59" s="271">
        <f>ROUND(Y58/((1-$B$6))-Y58,0)</f>
        <v>4</v>
      </c>
      <c r="Z59" s="270">
        <f>ROUND(Z58/((1-$B$6))-Z58,0)</f>
        <v>63</v>
      </c>
      <c r="AA59" s="30"/>
      <c r="AB59" s="30"/>
      <c r="AC59" s="30">
        <f>ROUND(AC58/((1-$B$6))-AC58,0)</f>
        <v>3</v>
      </c>
      <c r="AD59" s="3"/>
      <c r="AE59" s="271">
        <f>ROUND(AE58/((1-$B$6))-AE58,0)</f>
        <v>4</v>
      </c>
    </row>
    <row r="60" spans="1:32" ht="13.5" thickBot="1" x14ac:dyDescent="0.25">
      <c r="A60" s="255" t="s">
        <v>261</v>
      </c>
      <c r="B60" s="272">
        <f>SUM(B58:B59)</f>
        <v>46164.945059999998</v>
      </c>
      <c r="C60" s="256"/>
      <c r="D60" s="256"/>
      <c r="E60" s="256">
        <f>SUM(E58:E59)</f>
        <v>2465</v>
      </c>
      <c r="F60" s="258"/>
      <c r="G60" s="260">
        <f>SUM(G58:G59)</f>
        <v>2915</v>
      </c>
      <c r="H60" s="272">
        <f>SUM(H58:H59)</f>
        <v>45435.744072407615</v>
      </c>
      <c r="I60" s="256"/>
      <c r="J60" s="256"/>
      <c r="K60" s="256">
        <f>SUM(K58:K59)</f>
        <v>2426</v>
      </c>
      <c r="L60" s="258"/>
      <c r="M60" s="260">
        <f>SUM(M58:M59)</f>
        <v>2869</v>
      </c>
      <c r="N60" s="272">
        <f>SUM(N58:N59)</f>
        <v>44124.570200000002</v>
      </c>
      <c r="O60" s="256"/>
      <c r="P60" s="256"/>
      <c r="Q60" s="256">
        <f>SUM(Q58:Q59)</f>
        <v>2356</v>
      </c>
      <c r="R60" s="258"/>
      <c r="S60" s="260">
        <f>SUM(S58:S59)</f>
        <v>2786</v>
      </c>
      <c r="T60" s="272">
        <f>SUM(T58:T59)</f>
        <v>42965.630949999999</v>
      </c>
      <c r="U60" s="256"/>
      <c r="V60" s="256"/>
      <c r="W60" s="256">
        <f>SUM(W58:W59)</f>
        <v>2294</v>
      </c>
      <c r="X60" s="258"/>
      <c r="Y60" s="260">
        <f>SUM(Y58:Y59)</f>
        <v>2713</v>
      </c>
      <c r="Z60" s="272">
        <f>SUM(Z58:Z59)</f>
        <v>41998.029989999995</v>
      </c>
      <c r="AA60" s="256"/>
      <c r="AB60" s="256"/>
      <c r="AC60" s="256">
        <f>SUM(AC58:AC59)</f>
        <v>2242</v>
      </c>
      <c r="AD60" s="258"/>
      <c r="AE60" s="260">
        <f>SUM(AE58:AE59)</f>
        <v>2652</v>
      </c>
    </row>
    <row r="61" spans="1:32" x14ac:dyDescent="0.2">
      <c r="A61" s="121"/>
      <c r="B61" s="273"/>
      <c r="C61" s="3"/>
      <c r="G61" s="274"/>
      <c r="H61" s="273"/>
      <c r="I61" s="3"/>
      <c r="J61" s="3"/>
      <c r="K61" s="3"/>
      <c r="L61" s="3"/>
      <c r="M61" s="274"/>
      <c r="N61" s="273"/>
      <c r="O61" s="3"/>
      <c r="P61" s="3"/>
      <c r="Q61" s="3"/>
      <c r="R61" s="3"/>
      <c r="S61" s="274"/>
      <c r="T61" s="273"/>
      <c r="U61" s="3"/>
      <c r="V61" s="3"/>
      <c r="W61" s="3"/>
      <c r="X61" s="3"/>
      <c r="Y61" s="274"/>
      <c r="Z61" s="273"/>
      <c r="AA61" s="3"/>
      <c r="AB61" s="3"/>
      <c r="AC61" s="3"/>
      <c r="AD61" s="3"/>
      <c r="AE61" s="274"/>
    </row>
    <row r="62" spans="1:32" x14ac:dyDescent="0.2">
      <c r="A62" s="122" t="s">
        <v>14</v>
      </c>
      <c r="B62" s="268">
        <v>1720</v>
      </c>
      <c r="C62" s="42"/>
      <c r="D62" s="42"/>
      <c r="E62" s="41">
        <f>ROUND(B62/31,0)</f>
        <v>55</v>
      </c>
      <c r="F62" s="41"/>
      <c r="G62" s="278">
        <f>ROUND(B62/31,0)</f>
        <v>55</v>
      </c>
      <c r="H62" s="268">
        <v>1720</v>
      </c>
      <c r="I62" s="41"/>
      <c r="J62" s="41"/>
      <c r="K62" s="41">
        <f>ROUND(H62/31,0)</f>
        <v>55</v>
      </c>
      <c r="L62" s="41"/>
      <c r="M62" s="278">
        <f>ROUND(H62/31,0)</f>
        <v>55</v>
      </c>
      <c r="N62" s="268">
        <v>1720</v>
      </c>
      <c r="O62" s="41"/>
      <c r="P62" s="41"/>
      <c r="Q62" s="41">
        <f>ROUND(N62/31,0)</f>
        <v>55</v>
      </c>
      <c r="R62" s="41"/>
      <c r="S62" s="278">
        <f>ROUND(N62/31,0)</f>
        <v>55</v>
      </c>
      <c r="T62" s="268">
        <v>1720</v>
      </c>
      <c r="U62" s="41"/>
      <c r="V62" s="41"/>
      <c r="W62" s="41">
        <f>ROUND(T62/31,0)</f>
        <v>55</v>
      </c>
      <c r="X62" s="41"/>
      <c r="Y62" s="278">
        <f>ROUND(T62/31,0)</f>
        <v>55</v>
      </c>
      <c r="Z62" s="268">
        <v>1720</v>
      </c>
      <c r="AA62" s="41"/>
      <c r="AB62" s="41"/>
      <c r="AC62" s="41">
        <f>ROUND(Z62/31,0)</f>
        <v>55</v>
      </c>
      <c r="AD62" s="41"/>
      <c r="AE62" s="278">
        <f>ROUND(Z62/31,0)</f>
        <v>55</v>
      </c>
    </row>
    <row r="63" spans="1:32" ht="13.5" thickBot="1" x14ac:dyDescent="0.25">
      <c r="A63" s="121" t="s">
        <v>262</v>
      </c>
      <c r="B63" s="270">
        <f>ROUND(B62/((1-$B$6))-B62,0)</f>
        <v>3</v>
      </c>
      <c r="C63" s="30"/>
      <c r="D63" s="30"/>
      <c r="E63" s="30">
        <f>ROUND(E62/((1-$B$6))-E62,0)</f>
        <v>0</v>
      </c>
      <c r="G63" s="271">
        <f>ROUND(G62/((1-$B$6))-G62,0)</f>
        <v>0</v>
      </c>
      <c r="H63" s="270">
        <f>ROUND(H62/((1-$B$6))-H62,0)</f>
        <v>3</v>
      </c>
      <c r="I63" s="30"/>
      <c r="J63" s="30"/>
      <c r="K63" s="30">
        <f>ROUND(K62/((1-$B$6))-K62,0)</f>
        <v>0</v>
      </c>
      <c r="L63" s="3"/>
      <c r="M63" s="271">
        <f>ROUND(M62/((1-$B$6))-M62,0)</f>
        <v>0</v>
      </c>
      <c r="N63" s="270">
        <f>ROUND(N62/((1-$B$6))-N62,0)</f>
        <v>3</v>
      </c>
      <c r="O63" s="30"/>
      <c r="P63" s="30"/>
      <c r="Q63" s="30">
        <f>ROUND(Q62/((1-$B$6))-Q62,0)</f>
        <v>0</v>
      </c>
      <c r="R63" s="3"/>
      <c r="S63" s="271">
        <f>ROUND(S62/((1-$B$6))-S62,0)</f>
        <v>0</v>
      </c>
      <c r="T63" s="270">
        <f>ROUND(T62/((1-$B$6))-T62,0)</f>
        <v>3</v>
      </c>
      <c r="U63" s="30"/>
      <c r="V63" s="30"/>
      <c r="W63" s="30">
        <f>ROUND(W62/((1-$B$6))-W62,0)</f>
        <v>0</v>
      </c>
      <c r="X63" s="3"/>
      <c r="Y63" s="271">
        <f>ROUND(Y62/((1-$B$6))-Y62,0)</f>
        <v>0</v>
      </c>
      <c r="Z63" s="270">
        <f>ROUND(Z62/((1-$B$6))-Z62,0)</f>
        <v>3</v>
      </c>
      <c r="AA63" s="30"/>
      <c r="AB63" s="30"/>
      <c r="AC63" s="30">
        <f>ROUND(AC62/((1-$B$6))-AC62,0)</f>
        <v>0</v>
      </c>
      <c r="AD63" s="3"/>
      <c r="AE63" s="271">
        <f>ROUND(AE62/((1-$B$6))-AE62,0)</f>
        <v>0</v>
      </c>
    </row>
    <row r="64" spans="1:32" ht="13.5" thickBot="1" x14ac:dyDescent="0.25">
      <c r="A64" s="255" t="s">
        <v>263</v>
      </c>
      <c r="B64" s="272">
        <f>SUM(B62:B63)</f>
        <v>1723</v>
      </c>
      <c r="C64" s="256"/>
      <c r="D64" s="256"/>
      <c r="E64" s="256">
        <f>SUM(E62:E63)</f>
        <v>55</v>
      </c>
      <c r="F64" s="258"/>
      <c r="G64" s="260">
        <f>SUM(G62:G63)</f>
        <v>55</v>
      </c>
      <c r="H64" s="272">
        <f>SUM(H62:H63)</f>
        <v>1723</v>
      </c>
      <c r="I64" s="256"/>
      <c r="J64" s="256"/>
      <c r="K64" s="256">
        <f>SUM(K62:K63)</f>
        <v>55</v>
      </c>
      <c r="L64" s="258"/>
      <c r="M64" s="260">
        <f>SUM(M62:M63)</f>
        <v>55</v>
      </c>
      <c r="N64" s="272">
        <f>SUM(N62:N63)</f>
        <v>1723</v>
      </c>
      <c r="O64" s="256"/>
      <c r="P64" s="256"/>
      <c r="Q64" s="256">
        <f>SUM(Q62:Q63)</f>
        <v>55</v>
      </c>
      <c r="R64" s="258"/>
      <c r="S64" s="260">
        <f>SUM(S62:S63)</f>
        <v>55</v>
      </c>
      <c r="T64" s="272">
        <f>SUM(T62:T63)</f>
        <v>1723</v>
      </c>
      <c r="U64" s="256"/>
      <c r="V64" s="256"/>
      <c r="W64" s="256">
        <f>SUM(W62:W63)</f>
        <v>55</v>
      </c>
      <c r="X64" s="258"/>
      <c r="Y64" s="260">
        <f>SUM(Y62:Y63)</f>
        <v>55</v>
      </c>
      <c r="Z64" s="272">
        <f>SUM(Z62:Z63)</f>
        <v>1723</v>
      </c>
      <c r="AA64" s="256"/>
      <c r="AB64" s="256"/>
      <c r="AC64" s="256">
        <f>SUM(AC62:AC63)</f>
        <v>55</v>
      </c>
      <c r="AD64" s="258"/>
      <c r="AE64" s="260">
        <f>SUM(AE62:AE63)</f>
        <v>55</v>
      </c>
    </row>
    <row r="65" spans="1:32" x14ac:dyDescent="0.2">
      <c r="A65" s="121"/>
      <c r="B65" s="273"/>
      <c r="C65" s="3"/>
      <c r="G65" s="274"/>
      <c r="H65" s="273"/>
      <c r="I65" s="3"/>
      <c r="J65" s="3"/>
      <c r="K65" s="3"/>
      <c r="L65" s="3"/>
      <c r="M65" s="274"/>
      <c r="N65" s="273"/>
      <c r="O65" s="3"/>
      <c r="P65" s="3"/>
      <c r="Q65" s="3"/>
      <c r="R65" s="3"/>
      <c r="S65" s="274"/>
      <c r="T65" s="273"/>
      <c r="U65" s="3"/>
      <c r="V65" s="3"/>
      <c r="W65" s="3"/>
      <c r="X65" s="3"/>
      <c r="Y65" s="274"/>
      <c r="Z65" s="273"/>
      <c r="AA65" s="3"/>
      <c r="AB65" s="3"/>
      <c r="AC65" s="3"/>
      <c r="AD65" s="3"/>
      <c r="AE65" s="274"/>
    </row>
    <row r="66" spans="1:32" x14ac:dyDescent="0.2">
      <c r="A66" s="121" t="s">
        <v>9</v>
      </c>
      <c r="B66" s="279">
        <f>B31+B41+B49+B58+B62</f>
        <v>4141167.89279</v>
      </c>
      <c r="C66" s="261"/>
      <c r="D66" s="261"/>
      <c r="E66" s="261">
        <f>E31+E41+E49+E58+E62</f>
        <v>220794</v>
      </c>
      <c r="F66" s="261"/>
      <c r="G66" s="280">
        <f t="shared" ref="G66:H68" si="50">G31+G41+G49+G58+G62</f>
        <v>260718</v>
      </c>
      <c r="H66" s="279">
        <f t="shared" si="50"/>
        <v>4206657.4247406349</v>
      </c>
      <c r="I66" s="261"/>
      <c r="J66" s="261"/>
      <c r="K66" s="261">
        <f>K31+K41+K49+K58+K62</f>
        <v>224288</v>
      </c>
      <c r="L66" s="261"/>
      <c r="M66" s="280">
        <f t="shared" ref="M66:N68" si="51">M31+M41+M49+M58+M62</f>
        <v>264846</v>
      </c>
      <c r="N66" s="279">
        <f t="shared" si="51"/>
        <v>4221654.46215</v>
      </c>
      <c r="O66" s="261"/>
      <c r="P66" s="261"/>
      <c r="Q66" s="261">
        <f>Q31+Q41+Q49+Q58+Q62</f>
        <v>225089</v>
      </c>
      <c r="R66" s="261"/>
      <c r="S66" s="280">
        <f t="shared" ref="S66:T68" si="52">S31+S41+S49+S58+S62</f>
        <v>265795</v>
      </c>
      <c r="T66" s="279">
        <f t="shared" si="52"/>
        <v>4261598.5884800004</v>
      </c>
      <c r="U66" s="261"/>
      <c r="V66" s="261"/>
      <c r="W66" s="261">
        <f>W31+W41+W49+W58+W62</f>
        <v>227221</v>
      </c>
      <c r="X66" s="261"/>
      <c r="Y66" s="280">
        <f t="shared" ref="Y66:Z68" si="53">Y31+Y41+Y49+Y58+Y62</f>
        <v>268315</v>
      </c>
      <c r="Z66" s="279">
        <f t="shared" si="53"/>
        <v>4302946.7259399993</v>
      </c>
      <c r="AA66" s="261"/>
      <c r="AB66" s="261"/>
      <c r="AC66" s="261">
        <f>AC31+AC41+AC49+AC58+AC62</f>
        <v>229429</v>
      </c>
      <c r="AD66" s="261"/>
      <c r="AE66" s="280">
        <f>AE31+AE41+AE49+AE58+AE62</f>
        <v>270924</v>
      </c>
    </row>
    <row r="67" spans="1:32" x14ac:dyDescent="0.2">
      <c r="A67" s="146" t="s">
        <v>167</v>
      </c>
      <c r="B67" s="281">
        <f>B32+B42+B50+B59+B63</f>
        <v>6221</v>
      </c>
      <c r="C67" s="262"/>
      <c r="D67" s="262"/>
      <c r="E67" s="262">
        <f>E32+E42+E50+E59+E63</f>
        <v>332</v>
      </c>
      <c r="F67" s="262"/>
      <c r="G67" s="282">
        <f t="shared" si="50"/>
        <v>392</v>
      </c>
      <c r="H67" s="281">
        <f t="shared" si="50"/>
        <v>6319</v>
      </c>
      <c r="I67" s="262"/>
      <c r="J67" s="262"/>
      <c r="K67" s="262">
        <f>K32+K42+K50+K59+K63</f>
        <v>337</v>
      </c>
      <c r="L67" s="262"/>
      <c r="M67" s="282">
        <f t="shared" si="51"/>
        <v>398</v>
      </c>
      <c r="N67" s="281">
        <f t="shared" si="51"/>
        <v>6342</v>
      </c>
      <c r="O67" s="262"/>
      <c r="P67" s="262"/>
      <c r="Q67" s="262">
        <f>Q32+Q42+Q50+Q59+Q63</f>
        <v>338</v>
      </c>
      <c r="R67" s="262"/>
      <c r="S67" s="282">
        <f t="shared" si="52"/>
        <v>399</v>
      </c>
      <c r="T67" s="281">
        <f t="shared" si="52"/>
        <v>6402</v>
      </c>
      <c r="U67" s="262"/>
      <c r="V67" s="262"/>
      <c r="W67" s="262">
        <f>W32+W42+W50+W59+W63</f>
        <v>341</v>
      </c>
      <c r="X67" s="262"/>
      <c r="Y67" s="282">
        <f t="shared" si="53"/>
        <v>403</v>
      </c>
      <c r="Z67" s="281">
        <f t="shared" si="53"/>
        <v>6464</v>
      </c>
      <c r="AA67" s="262"/>
      <c r="AB67" s="262"/>
      <c r="AC67" s="262">
        <f>AC32+AC42+AC50+AC59+AC63</f>
        <v>345</v>
      </c>
      <c r="AD67" s="262"/>
      <c r="AE67" s="282">
        <f>AE32+AE42+AE50+AE59+AE63</f>
        <v>407</v>
      </c>
    </row>
    <row r="68" spans="1:32" ht="13.5" thickBot="1" x14ac:dyDescent="0.25">
      <c r="A68" s="145" t="s">
        <v>253</v>
      </c>
      <c r="B68" s="283">
        <f>B33+B43+B51+B60+B64</f>
        <v>4147388.89279</v>
      </c>
      <c r="C68" s="284"/>
      <c r="D68" s="284"/>
      <c r="E68" s="284">
        <f>E33+E43+E51+E60+E64</f>
        <v>221126</v>
      </c>
      <c r="F68" s="284"/>
      <c r="G68" s="285">
        <f t="shared" si="50"/>
        <v>261110</v>
      </c>
      <c r="H68" s="283">
        <f t="shared" si="50"/>
        <v>4212976.4247406349</v>
      </c>
      <c r="I68" s="284"/>
      <c r="J68" s="284"/>
      <c r="K68" s="284">
        <f>K33+K43+K51+K60+K64</f>
        <v>224625</v>
      </c>
      <c r="L68" s="284"/>
      <c r="M68" s="285">
        <f t="shared" si="51"/>
        <v>265244</v>
      </c>
      <c r="N68" s="283">
        <f t="shared" si="51"/>
        <v>4227996.46215</v>
      </c>
      <c r="O68" s="284"/>
      <c r="P68" s="284"/>
      <c r="Q68" s="284">
        <f>Q33+Q43+Q51+Q60+Q64</f>
        <v>225427</v>
      </c>
      <c r="R68" s="284"/>
      <c r="S68" s="285">
        <f t="shared" si="52"/>
        <v>266194</v>
      </c>
      <c r="T68" s="283">
        <f t="shared" si="52"/>
        <v>4268000.5884800004</v>
      </c>
      <c r="U68" s="284"/>
      <c r="V68" s="284"/>
      <c r="W68" s="284">
        <f>W33+W43+W51+W60+W64</f>
        <v>227562</v>
      </c>
      <c r="X68" s="284"/>
      <c r="Y68" s="285">
        <f t="shared" si="53"/>
        <v>268718</v>
      </c>
      <c r="Z68" s="283">
        <f t="shared" si="53"/>
        <v>4309410.7259399993</v>
      </c>
      <c r="AA68" s="284"/>
      <c r="AB68" s="284"/>
      <c r="AC68" s="284">
        <f>AC33+AC43+AC51+AC60+AC64</f>
        <v>229774</v>
      </c>
      <c r="AD68" s="284"/>
      <c r="AE68" s="285">
        <f>AE33+AE43+AE51+AE60+AE64</f>
        <v>271331</v>
      </c>
    </row>
    <row r="69" spans="1:32" x14ac:dyDescent="0.2">
      <c r="A69" s="2" t="s">
        <v>269</v>
      </c>
      <c r="B69" s="289">
        <f>B68-B23</f>
        <v>0</v>
      </c>
      <c r="C69" s="253"/>
      <c r="D69" s="261"/>
      <c r="E69" s="289">
        <f>E68-E23</f>
        <v>0</v>
      </c>
      <c r="F69" s="261"/>
      <c r="G69" s="289">
        <f>G68-G23</f>
        <v>0</v>
      </c>
      <c r="H69" s="289">
        <f>H68-H23</f>
        <v>0</v>
      </c>
      <c r="I69" s="253"/>
      <c r="J69" s="261"/>
      <c r="K69" s="289">
        <f>K68-K23</f>
        <v>0</v>
      </c>
      <c r="L69" s="261"/>
      <c r="M69" s="289">
        <f>M68-M23</f>
        <v>0</v>
      </c>
      <c r="N69" s="289">
        <f>N68-N23</f>
        <v>0</v>
      </c>
      <c r="O69" s="253"/>
      <c r="P69" s="253"/>
      <c r="Q69" s="289">
        <f>Q68-Q23</f>
        <v>0</v>
      </c>
      <c r="R69" s="253"/>
      <c r="S69" s="289">
        <f>S68-S23</f>
        <v>0</v>
      </c>
      <c r="T69" s="289">
        <f>T68-T23</f>
        <v>0</v>
      </c>
      <c r="U69" s="253"/>
      <c r="V69" s="253"/>
      <c r="W69" s="289">
        <f>W68-W23</f>
        <v>0</v>
      </c>
      <c r="X69" s="253"/>
      <c r="Y69" s="289">
        <f>Y68-Y23</f>
        <v>0</v>
      </c>
      <c r="Z69" s="289">
        <f>Z68-Z23</f>
        <v>0</v>
      </c>
      <c r="AA69" s="253"/>
      <c r="AB69" s="253"/>
      <c r="AC69" s="289">
        <f>AC68-AC23</f>
        <v>0</v>
      </c>
      <c r="AD69" s="253"/>
      <c r="AE69" s="289">
        <f>AE68-AE23</f>
        <v>0</v>
      </c>
      <c r="AF69" s="327"/>
    </row>
    <row r="70" spans="1:32" x14ac:dyDescent="0.2">
      <c r="AF70" s="327"/>
    </row>
    <row r="71" spans="1:32" s="290" customFormat="1" x14ac:dyDescent="0.2">
      <c r="A71" s="290" t="s">
        <v>97</v>
      </c>
      <c r="B71" s="290">
        <v>155105.76246</v>
      </c>
      <c r="C71" s="290">
        <v>14418.755999999999</v>
      </c>
      <c r="D71" s="291">
        <v>14418.755999999999</v>
      </c>
      <c r="E71" s="291">
        <v>8281</v>
      </c>
      <c r="F71" s="291"/>
      <c r="G71" s="290">
        <v>9794</v>
      </c>
      <c r="H71" s="290">
        <v>156000.01459860615</v>
      </c>
      <c r="I71" s="290">
        <v>14501.886395573571</v>
      </c>
      <c r="J71" s="290">
        <v>14501.886395573571</v>
      </c>
      <c r="K71" s="290">
        <v>8329</v>
      </c>
      <c r="M71" s="290">
        <v>9850</v>
      </c>
      <c r="N71" s="290">
        <v>155287.96828999999</v>
      </c>
      <c r="O71" s="290">
        <v>14435.694</v>
      </c>
      <c r="P71" s="290">
        <v>14435.694</v>
      </c>
      <c r="Q71" s="290">
        <v>8291</v>
      </c>
      <c r="S71" s="290">
        <v>9805</v>
      </c>
      <c r="T71" s="290">
        <v>155327.46880999999</v>
      </c>
      <c r="U71" s="290">
        <v>14439.365999999998</v>
      </c>
      <c r="V71" s="290">
        <v>14439.365999999998</v>
      </c>
      <c r="W71" s="290">
        <v>8293</v>
      </c>
      <c r="Y71" s="290">
        <v>9808</v>
      </c>
      <c r="Z71" s="290">
        <v>155386.91321999999</v>
      </c>
      <c r="AA71" s="290">
        <v>14444.891999999998</v>
      </c>
      <c r="AB71" s="290">
        <v>14444.891999999998</v>
      </c>
      <c r="AC71" s="290">
        <v>8296</v>
      </c>
      <c r="AE71" s="290">
        <v>9812</v>
      </c>
      <c r="AF71" s="327"/>
    </row>
    <row r="72" spans="1:32" x14ac:dyDescent="0.2">
      <c r="AF72" s="327"/>
    </row>
    <row r="73" spans="1:32" x14ac:dyDescent="0.2">
      <c r="AF73" s="327"/>
    </row>
    <row r="74" spans="1:32" x14ac:dyDescent="0.2">
      <c r="AF74" s="327"/>
    </row>
    <row r="75" spans="1:32" x14ac:dyDescent="0.2">
      <c r="AF75" s="327"/>
    </row>
  </sheetData>
  <mergeCells count="5">
    <mergeCell ref="B27:G27"/>
    <mergeCell ref="H27:M27"/>
    <mergeCell ref="N27:S27"/>
    <mergeCell ref="T27:Y27"/>
    <mergeCell ref="Z27:AE27"/>
  </mergeCells>
  <phoneticPr fontId="22" type="noConversion"/>
  <printOptions horizontalCentered="1"/>
  <pageMargins left="0.35" right="0.35" top="1" bottom="0.35" header="0.5" footer="0.2"/>
  <pageSetup orientation="landscape" blackAndWhite="1" r:id="rId1"/>
  <headerFooter alignWithMargins="0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G41"/>
  <sheetViews>
    <sheetView topLeftCell="J1" zoomScale="80" zoomScaleNormal="80" workbookViewId="0">
      <selection activeCell="AF5" sqref="AF5:AF35"/>
    </sheetView>
  </sheetViews>
  <sheetFormatPr defaultColWidth="9.140625" defaultRowHeight="12.75" x14ac:dyDescent="0.2"/>
  <cols>
    <col min="1" max="1" width="44.140625" style="50" customWidth="1"/>
    <col min="2" max="2" width="12.7109375" style="50" customWidth="1"/>
    <col min="3" max="5" width="12.7109375" style="51" customWidth="1"/>
    <col min="6" max="6" width="14.7109375" style="51" customWidth="1"/>
    <col min="7" max="7" width="18.5703125" style="50" bestFit="1" customWidth="1"/>
    <col min="8" max="11" width="12.7109375" style="50" customWidth="1"/>
    <col min="12" max="12" width="14.7109375" style="50" customWidth="1"/>
    <col min="13" max="13" width="11.7109375" style="50" customWidth="1"/>
    <col min="14" max="17" width="12.7109375" style="50" customWidth="1"/>
    <col min="18" max="18" width="14.7109375" style="50" customWidth="1"/>
    <col min="19" max="19" width="11.7109375" style="50" customWidth="1"/>
    <col min="20" max="23" width="12.7109375" style="50" customWidth="1"/>
    <col min="24" max="24" width="14.7109375" style="50" customWidth="1"/>
    <col min="25" max="25" width="11.7109375" style="50" customWidth="1"/>
    <col min="26" max="29" width="12.7109375" style="50" customWidth="1"/>
    <col min="30" max="30" width="14.7109375" style="50" customWidth="1"/>
    <col min="31" max="31" width="11.7109375" style="50" customWidth="1"/>
    <col min="32" max="32" width="7" style="93" customWidth="1"/>
    <col min="33" max="33" width="26.85546875" style="50" bestFit="1" customWidth="1"/>
    <col min="34" max="16384" width="9.140625" style="50"/>
  </cols>
  <sheetData>
    <row r="1" spans="1:33" x14ac:dyDescent="0.2">
      <c r="A1" s="49" t="s">
        <v>0</v>
      </c>
      <c r="G1" s="52" t="str">
        <f>'Retail Sales Base Case'!G1</f>
        <v>2022 Master Estimate</v>
      </c>
    </row>
    <row r="2" spans="1:33" x14ac:dyDescent="0.2">
      <c r="A2" s="49" t="s">
        <v>18</v>
      </c>
      <c r="G2" s="5">
        <f ca="1">'Retail Sales Base Case'!G2</f>
        <v>44852.574980324076</v>
      </c>
    </row>
    <row r="3" spans="1:33" x14ac:dyDescent="0.2">
      <c r="A3" s="49" t="s">
        <v>1</v>
      </c>
    </row>
    <row r="4" spans="1:33" x14ac:dyDescent="0.2">
      <c r="A4" s="49" t="s">
        <v>2</v>
      </c>
    </row>
    <row r="5" spans="1:33" x14ac:dyDescent="0.2">
      <c r="A5" s="49" t="s">
        <v>3</v>
      </c>
      <c r="B5" s="53" t="str">
        <f>'Retail Sales Base Case'!B5</f>
        <v>FY 2023</v>
      </c>
      <c r="C5" s="54"/>
      <c r="D5" s="54"/>
      <c r="E5" s="54"/>
      <c r="F5" s="54"/>
      <c r="G5" s="55"/>
      <c r="H5" s="53" t="str">
        <f>'Retail Sales Base Case'!H5</f>
        <v>FY 2024</v>
      </c>
      <c r="I5" s="54"/>
      <c r="J5" s="54"/>
      <c r="K5" s="54"/>
      <c r="L5" s="54"/>
      <c r="M5" s="55"/>
      <c r="N5" s="53" t="str">
        <f>'Retail Sales Base Case'!N5</f>
        <v>FY 2025</v>
      </c>
      <c r="O5" s="54"/>
      <c r="P5" s="54"/>
      <c r="Q5" s="54"/>
      <c r="R5" s="54"/>
      <c r="S5" s="55"/>
      <c r="T5" s="53" t="str">
        <f>'Retail Sales Base Case'!T5</f>
        <v>FY 2026</v>
      </c>
      <c r="U5" s="54"/>
      <c r="V5" s="54"/>
      <c r="W5" s="54"/>
      <c r="X5" s="54"/>
      <c r="Y5" s="55"/>
      <c r="Z5" s="53" t="str">
        <f>'Retail Sales Base Case'!Z5</f>
        <v>FY 2027</v>
      </c>
      <c r="AA5" s="54"/>
      <c r="AB5" s="54"/>
      <c r="AC5" s="54"/>
      <c r="AD5" s="54"/>
      <c r="AE5" s="55"/>
    </row>
    <row r="6" spans="1:33" x14ac:dyDescent="0.2">
      <c r="A6" s="50" t="s">
        <v>4</v>
      </c>
      <c r="B6" s="94">
        <f>'Retail Sales Base Case'!B6</f>
        <v>1.5E-3</v>
      </c>
      <c r="C6" s="57"/>
      <c r="D6" s="57"/>
      <c r="E6" s="57"/>
      <c r="F6" s="57"/>
      <c r="G6" s="58"/>
      <c r="H6" s="56">
        <f>B6</f>
        <v>1.5E-3</v>
      </c>
      <c r="I6" s="57"/>
      <c r="J6" s="57"/>
      <c r="K6" s="57"/>
      <c r="L6" s="57"/>
      <c r="M6" s="58"/>
      <c r="N6" s="56">
        <f>H6</f>
        <v>1.5E-3</v>
      </c>
      <c r="O6" s="57"/>
      <c r="P6" s="57"/>
      <c r="Q6" s="57"/>
      <c r="R6" s="57"/>
      <c r="S6" s="58"/>
      <c r="T6" s="56">
        <f>N6</f>
        <v>1.5E-3</v>
      </c>
      <c r="U6" s="57"/>
      <c r="V6" s="57"/>
      <c r="W6" s="57"/>
      <c r="X6" s="57"/>
      <c r="Y6" s="58"/>
      <c r="Z6" s="56">
        <f>T6</f>
        <v>1.5E-3</v>
      </c>
      <c r="AA6" s="57"/>
      <c r="AB6" s="57"/>
      <c r="AC6" s="57"/>
      <c r="AD6" s="57"/>
      <c r="AE6" s="58"/>
    </row>
    <row r="7" spans="1:33" x14ac:dyDescent="0.2">
      <c r="A7" s="49"/>
      <c r="B7" s="59"/>
      <c r="G7" s="60"/>
      <c r="H7" s="59"/>
      <c r="I7" s="51"/>
      <c r="J7" s="51"/>
      <c r="K7" s="51"/>
      <c r="L7" s="51"/>
      <c r="M7" s="60"/>
      <c r="N7" s="59"/>
      <c r="O7" s="51"/>
      <c r="P7" s="51"/>
      <c r="Q7" s="51"/>
      <c r="R7" s="51"/>
      <c r="S7" s="60"/>
      <c r="T7" s="59"/>
      <c r="U7" s="51"/>
      <c r="V7" s="51"/>
      <c r="W7" s="51"/>
      <c r="X7" s="51"/>
      <c r="Y7" s="60"/>
      <c r="Z7" s="59"/>
      <c r="AA7" s="51"/>
      <c r="AB7" s="51"/>
      <c r="AC7" s="51"/>
      <c r="AD7" s="51"/>
      <c r="AE7" s="60"/>
    </row>
    <row r="8" spans="1:33" x14ac:dyDescent="0.2">
      <c r="B8" s="61" t="s">
        <v>5</v>
      </c>
      <c r="G8" s="60"/>
      <c r="H8" s="61" t="s">
        <v>5</v>
      </c>
      <c r="I8" s="51"/>
      <c r="J8" s="51"/>
      <c r="K8" s="51"/>
      <c r="L8" s="51"/>
      <c r="M8" s="60"/>
      <c r="N8" s="61" t="s">
        <v>5</v>
      </c>
      <c r="O8" s="51"/>
      <c r="P8" s="51"/>
      <c r="Q8" s="51"/>
      <c r="R8" s="51"/>
      <c r="S8" s="60"/>
      <c r="T8" s="61" t="s">
        <v>5</v>
      </c>
      <c r="U8" s="51"/>
      <c r="V8" s="51"/>
      <c r="W8" s="51"/>
      <c r="X8" s="51"/>
      <c r="Y8" s="60"/>
      <c r="Z8" s="61" t="s">
        <v>5</v>
      </c>
      <c r="AA8" s="51"/>
      <c r="AB8" s="51"/>
      <c r="AC8" s="51"/>
      <c r="AD8" s="51"/>
      <c r="AE8" s="60"/>
    </row>
    <row r="9" spans="1:33" x14ac:dyDescent="0.2">
      <c r="B9" s="11" t="s">
        <v>240</v>
      </c>
      <c r="E9" s="62" t="s">
        <v>6</v>
      </c>
      <c r="G9" s="63" t="s">
        <v>6</v>
      </c>
      <c r="H9" s="11" t="s">
        <v>240</v>
      </c>
      <c r="I9" s="51"/>
      <c r="J9" s="51"/>
      <c r="K9" s="62" t="s">
        <v>6</v>
      </c>
      <c r="L9" s="51"/>
      <c r="M9" s="63" t="s">
        <v>6</v>
      </c>
      <c r="N9" s="11" t="s">
        <v>240</v>
      </c>
      <c r="O9" s="51"/>
      <c r="P9" s="51"/>
      <c r="Q9" s="62" t="s">
        <v>6</v>
      </c>
      <c r="R9" s="51"/>
      <c r="S9" s="63" t="s">
        <v>6</v>
      </c>
      <c r="T9" s="11" t="s">
        <v>240</v>
      </c>
      <c r="U9" s="51"/>
      <c r="V9" s="51"/>
      <c r="W9" s="62" t="s">
        <v>6</v>
      </c>
      <c r="X9" s="51"/>
      <c r="Y9" s="63" t="s">
        <v>6</v>
      </c>
      <c r="Z9" s="11" t="s">
        <v>240</v>
      </c>
      <c r="AA9" s="51"/>
      <c r="AB9" s="51"/>
      <c r="AC9" s="62" t="s">
        <v>6</v>
      </c>
      <c r="AD9" s="51"/>
      <c r="AE9" s="63" t="s">
        <v>6</v>
      </c>
    </row>
    <row r="10" spans="1:33" x14ac:dyDescent="0.2">
      <c r="B10" s="59"/>
      <c r="E10" s="62" t="s">
        <v>8</v>
      </c>
      <c r="G10" s="63" t="s">
        <v>8</v>
      </c>
      <c r="H10" s="59"/>
      <c r="I10" s="51"/>
      <c r="J10" s="51"/>
      <c r="K10" s="62" t="s">
        <v>8</v>
      </c>
      <c r="L10" s="51"/>
      <c r="M10" s="63" t="s">
        <v>8</v>
      </c>
      <c r="N10" s="59"/>
      <c r="O10" s="51"/>
      <c r="P10" s="51"/>
      <c r="Q10" s="62" t="s">
        <v>8</v>
      </c>
      <c r="R10" s="51"/>
      <c r="S10" s="63" t="s">
        <v>8</v>
      </c>
      <c r="T10" s="59"/>
      <c r="U10" s="51"/>
      <c r="V10" s="51"/>
      <c r="W10" s="62" t="s">
        <v>8</v>
      </c>
      <c r="X10" s="51"/>
      <c r="Y10" s="63" t="s">
        <v>8</v>
      </c>
      <c r="Z10" s="59"/>
      <c r="AA10" s="51"/>
      <c r="AB10" s="51"/>
      <c r="AC10" s="62" t="s">
        <v>8</v>
      </c>
      <c r="AD10" s="51"/>
      <c r="AE10" s="63" t="s">
        <v>8</v>
      </c>
    </row>
    <row r="11" spans="1:33" x14ac:dyDescent="0.2">
      <c r="A11" s="52" t="s">
        <v>7</v>
      </c>
      <c r="B11" s="95">
        <f>'Retail Sales Base Case'!B11</f>
        <v>1116</v>
      </c>
      <c r="E11" s="66">
        <f>'Retail Sales Base Case'!E12</f>
        <v>2023</v>
      </c>
      <c r="G11" s="67">
        <f>'Retail Sales Base Case'!G12</f>
        <v>2023</v>
      </c>
      <c r="H11" s="96">
        <f>B11</f>
        <v>1116</v>
      </c>
      <c r="I11" s="51"/>
      <c r="J11" s="51"/>
      <c r="K11" s="66">
        <f>'Retail Sales Base Case'!K12</f>
        <v>2024</v>
      </c>
      <c r="L11" s="51"/>
      <c r="M11" s="67">
        <f>'Retail Sales Base Case'!M12</f>
        <v>2024</v>
      </c>
      <c r="N11" s="96">
        <f>H11</f>
        <v>1116</v>
      </c>
      <c r="O11" s="51"/>
      <c r="P11" s="51"/>
      <c r="Q11" s="66">
        <f>'Retail Sales Base Case'!Q12</f>
        <v>2025</v>
      </c>
      <c r="R11" s="51"/>
      <c r="S11" s="67">
        <f>'Retail Sales Base Case'!S12</f>
        <v>2025</v>
      </c>
      <c r="T11" s="96">
        <f>N11</f>
        <v>1116</v>
      </c>
      <c r="U11" s="51"/>
      <c r="V11" s="51"/>
      <c r="W11" s="66">
        <f>'Retail Sales Base Case'!W12</f>
        <v>2026</v>
      </c>
      <c r="X11" s="51"/>
      <c r="Y11" s="67">
        <f>'Retail Sales Base Case'!Y12</f>
        <v>2026</v>
      </c>
      <c r="Z11" s="96">
        <f>T11</f>
        <v>1116</v>
      </c>
      <c r="AA11" s="51"/>
      <c r="AB11" s="51"/>
      <c r="AC11" s="66">
        <f>'Retail Sales Base Case'!AC12</f>
        <v>2027</v>
      </c>
      <c r="AD11" s="51"/>
      <c r="AE11" s="67">
        <f>'Retail Sales Base Case'!AE12</f>
        <v>2027</v>
      </c>
    </row>
    <row r="12" spans="1:33" x14ac:dyDescent="0.2">
      <c r="B12" s="65"/>
      <c r="C12" s="66"/>
      <c r="D12" s="66"/>
      <c r="E12" s="167">
        <v>52</v>
      </c>
      <c r="F12" s="169" t="s">
        <v>217</v>
      </c>
      <c r="H12" s="65"/>
      <c r="I12" s="66"/>
      <c r="J12" s="66"/>
      <c r="K12" s="171">
        <f>E12</f>
        <v>52</v>
      </c>
      <c r="L12" s="169" t="s">
        <v>217</v>
      </c>
      <c r="N12" s="65"/>
      <c r="O12" s="66"/>
      <c r="P12" s="66"/>
      <c r="Q12" s="171">
        <f>K12</f>
        <v>52</v>
      </c>
      <c r="R12" s="169" t="s">
        <v>217</v>
      </c>
      <c r="T12" s="65"/>
      <c r="U12" s="66"/>
      <c r="V12" s="66"/>
      <c r="W12" s="171">
        <f>Q12</f>
        <v>52</v>
      </c>
      <c r="X12" s="169" t="s">
        <v>217</v>
      </c>
      <c r="Z12" s="65"/>
      <c r="AA12" s="66"/>
      <c r="AB12" s="66"/>
      <c r="AC12" s="171">
        <f>W12</f>
        <v>52</v>
      </c>
      <c r="AD12" s="169" t="s">
        <v>217</v>
      </c>
      <c r="AE12" s="60"/>
    </row>
    <row r="13" spans="1:33" x14ac:dyDescent="0.2">
      <c r="A13" s="50" t="s">
        <v>11</v>
      </c>
      <c r="B13" s="59"/>
      <c r="C13" s="66"/>
      <c r="D13" s="66"/>
      <c r="E13" s="62">
        <f>'Retail Sales Base Case'!E13</f>
        <v>62</v>
      </c>
      <c r="F13" s="170" t="s">
        <v>218</v>
      </c>
      <c r="G13" s="63">
        <f>'Retail Sales Base Case'!G13</f>
        <v>74</v>
      </c>
      <c r="H13" s="59"/>
      <c r="I13" s="66"/>
      <c r="J13" s="66"/>
      <c r="K13" s="62">
        <f>E13</f>
        <v>62</v>
      </c>
      <c r="L13" s="170" t="s">
        <v>218</v>
      </c>
      <c r="M13" s="63">
        <f>G13</f>
        <v>74</v>
      </c>
      <c r="N13" s="59"/>
      <c r="O13" s="66"/>
      <c r="P13" s="66"/>
      <c r="Q13" s="62">
        <f>K13</f>
        <v>62</v>
      </c>
      <c r="R13" s="170" t="s">
        <v>218</v>
      </c>
      <c r="S13" s="63">
        <f>M13</f>
        <v>74</v>
      </c>
      <c r="T13" s="59"/>
      <c r="U13" s="66"/>
      <c r="V13" s="66"/>
      <c r="W13" s="62">
        <f>Q13</f>
        <v>62</v>
      </c>
      <c r="X13" s="170" t="s">
        <v>218</v>
      </c>
      <c r="Y13" s="63">
        <f>S13</f>
        <v>74</v>
      </c>
      <c r="Z13" s="59"/>
      <c r="AA13" s="66"/>
      <c r="AB13" s="66"/>
      <c r="AC13" s="62">
        <f>W13</f>
        <v>62</v>
      </c>
      <c r="AD13" s="170" t="s">
        <v>218</v>
      </c>
      <c r="AE13" s="63">
        <f>Y13</f>
        <v>74</v>
      </c>
    </row>
    <row r="14" spans="1:33" s="92" customFormat="1" x14ac:dyDescent="0.2">
      <c r="A14" s="68" t="s">
        <v>76</v>
      </c>
      <c r="B14" s="228">
        <f>'Retail Sales Base Case'!B14</f>
        <v>44927</v>
      </c>
      <c r="C14" s="229">
        <f>'Retail Sales Base Case'!C14</f>
        <v>45108</v>
      </c>
      <c r="D14" s="229">
        <f>'Retail Sales Base Case'!D14</f>
        <v>45139</v>
      </c>
      <c r="E14" s="230" t="s">
        <v>10</v>
      </c>
      <c r="F14" s="230"/>
      <c r="G14" s="231" t="s">
        <v>10</v>
      </c>
      <c r="H14" s="228">
        <f>'Retail Sales Base Case'!H14</f>
        <v>45293</v>
      </c>
      <c r="I14" s="229">
        <f>'Retail Sales Base Case'!I14</f>
        <v>45483</v>
      </c>
      <c r="J14" s="229">
        <f>'Retail Sales Base Case'!J14</f>
        <v>45514</v>
      </c>
      <c r="K14" s="230" t="s">
        <v>10</v>
      </c>
      <c r="L14" s="230"/>
      <c r="M14" s="231" t="s">
        <v>10</v>
      </c>
      <c r="N14" s="228">
        <f>'Retail Sales Base Case'!N14</f>
        <v>45668</v>
      </c>
      <c r="O14" s="229">
        <f>'Retail Sales Base Case'!O14</f>
        <v>45848</v>
      </c>
      <c r="P14" s="229">
        <f>'Retail Sales Base Case'!P14</f>
        <v>45879</v>
      </c>
      <c r="Q14" s="230" t="s">
        <v>10</v>
      </c>
      <c r="R14" s="230"/>
      <c r="S14" s="231" t="s">
        <v>10</v>
      </c>
      <c r="T14" s="228">
        <f>'Retail Sales Base Case'!T14</f>
        <v>46034</v>
      </c>
      <c r="U14" s="229">
        <f>'Retail Sales Base Case'!U14</f>
        <v>46214</v>
      </c>
      <c r="V14" s="229">
        <f>'Retail Sales Base Case'!V14</f>
        <v>46245</v>
      </c>
      <c r="W14" s="230" t="s">
        <v>10</v>
      </c>
      <c r="X14" s="230"/>
      <c r="Y14" s="231" t="s">
        <v>10</v>
      </c>
      <c r="Z14" s="228">
        <f>'Retail Sales Base Case'!Z14</f>
        <v>46399</v>
      </c>
      <c r="AA14" s="229">
        <f>'Retail Sales Base Case'!AA14</f>
        <v>46579</v>
      </c>
      <c r="AB14" s="229">
        <f>'Retail Sales Base Case'!AB14</f>
        <v>46610</v>
      </c>
      <c r="AC14" s="230" t="s">
        <v>10</v>
      </c>
      <c r="AD14" s="230"/>
      <c r="AE14" s="231" t="s">
        <v>10</v>
      </c>
      <c r="AF14" s="330"/>
      <c r="AG14" s="328" t="s">
        <v>364</v>
      </c>
    </row>
    <row r="15" spans="1:33" x14ac:dyDescent="0.2">
      <c r="A15" s="71" t="s">
        <v>78</v>
      </c>
      <c r="B15" s="69"/>
      <c r="C15" s="70"/>
      <c r="D15" s="70"/>
      <c r="E15" s="70"/>
      <c r="F15" s="70"/>
      <c r="G15" s="60"/>
      <c r="H15" s="69"/>
      <c r="I15" s="70"/>
      <c r="J15" s="70"/>
      <c r="K15" s="70"/>
      <c r="L15" s="70"/>
      <c r="M15" s="60"/>
      <c r="N15" s="69"/>
      <c r="O15" s="70"/>
      <c r="P15" s="70"/>
      <c r="Q15" s="70"/>
      <c r="R15" s="70"/>
      <c r="S15" s="60"/>
      <c r="T15" s="69"/>
      <c r="U15" s="70"/>
      <c r="V15" s="70"/>
      <c r="W15" s="70"/>
      <c r="X15" s="70"/>
      <c r="Y15" s="60"/>
      <c r="Z15" s="69"/>
      <c r="AA15" s="70"/>
      <c r="AB15" s="70"/>
      <c r="AC15" s="70"/>
      <c r="AD15" s="70"/>
      <c r="AE15" s="60"/>
    </row>
    <row r="16" spans="1:33" x14ac:dyDescent="0.2">
      <c r="A16" s="72" t="s">
        <v>11</v>
      </c>
      <c r="B16" s="214">
        <v>19362.806369999998</v>
      </c>
      <c r="C16" s="215">
        <v>1799.982</v>
      </c>
      <c r="D16" s="215">
        <v>1799.982</v>
      </c>
      <c r="E16" s="75">
        <f>ROUND(((B16-((C16+D16)/62)*31)/$B$11*$E$12)+(C16+D16)/62,0)</f>
        <v>876</v>
      </c>
      <c r="F16" s="75"/>
      <c r="G16" s="76">
        <f>ROUND(((B16-((C16+D16)/62)*31)/$B$11*$G$13)+(C16+D16)/62,0)</f>
        <v>1223</v>
      </c>
      <c r="H16" s="214">
        <v>19897.840796710261</v>
      </c>
      <c r="I16" s="215">
        <v>1849.7192291524282</v>
      </c>
      <c r="J16" s="215">
        <v>1849.7192291524282</v>
      </c>
      <c r="K16" s="75">
        <f>ROUND(((H16-((I16+J16)/62)*31)/$B$11*$E$12)+(I16+J16)/62,0)</f>
        <v>901</v>
      </c>
      <c r="L16" s="75"/>
      <c r="M16" s="76">
        <f>ROUND(((H16-((I16+J16)/62)*31)/$B$11*$G$13)+(I16+J16)/62,0)</f>
        <v>1256</v>
      </c>
      <c r="N16" s="214">
        <v>20141.586230000001</v>
      </c>
      <c r="O16" s="215">
        <v>1872.3779999999999</v>
      </c>
      <c r="P16" s="215">
        <v>1872.3779999999999</v>
      </c>
      <c r="Q16" s="75">
        <f>ROUND(((N16-((O16+P16)/62)*31)/$B$11*$E$12)+(O16+P16)/62,0)</f>
        <v>912</v>
      </c>
      <c r="R16" s="75"/>
      <c r="S16" s="76">
        <f>ROUND(((N16-((O16+P16)/62)*31)/$B$11*$G$13)+(O16+P16)/62,0)</f>
        <v>1272</v>
      </c>
      <c r="T16" s="214">
        <v>20506.772410000001</v>
      </c>
      <c r="U16" s="215">
        <v>1906.3259999999998</v>
      </c>
      <c r="V16" s="215">
        <v>1906.3259999999998</v>
      </c>
      <c r="W16" s="75">
        <f>ROUND(((T16-((U16+V16)/62)*31)/$B$11*$E$12)+(U16+V16)/62,0)</f>
        <v>928</v>
      </c>
      <c r="X16" s="75"/>
      <c r="Y16" s="76">
        <f>ROUND(((T16-((U16+V16)/62)*31)/$B$11*$G$13)+(U16+V16)/62,0)</f>
        <v>1295</v>
      </c>
      <c r="Z16" s="214">
        <v>20808.447949999998</v>
      </c>
      <c r="AA16" s="215">
        <v>1934.37</v>
      </c>
      <c r="AB16" s="215">
        <v>1934.37</v>
      </c>
      <c r="AC16" s="75">
        <f>ROUND(((Z16-((AA16+AB16)/62)*31)/$B$11*$E$12)+(AA16+AB16)/62,0)</f>
        <v>942</v>
      </c>
      <c r="AD16" s="75"/>
      <c r="AE16" s="76">
        <f>ROUND(((Z16-((AA16+AB16)/62)*31)/$B$11*$G$13)+(AA16+AB16)/62,0)</f>
        <v>1314</v>
      </c>
      <c r="AG16" s="50" t="s">
        <v>287</v>
      </c>
    </row>
    <row r="17" spans="1:33" x14ac:dyDescent="0.2">
      <c r="A17" s="72" t="s">
        <v>79</v>
      </c>
      <c r="B17" s="214">
        <v>433.7312</v>
      </c>
      <c r="C17" s="215">
        <v>40.32</v>
      </c>
      <c r="D17" s="215">
        <v>40.32</v>
      </c>
      <c r="E17" s="75">
        <f>ROUND(((B17-((C17+D17)/62)*31)/$B$11*$E$12)+(C17+D17)/62,0)</f>
        <v>20</v>
      </c>
      <c r="F17" s="75"/>
      <c r="G17" s="76">
        <f>ROUND(((B17-((C17+D17)/62)*31)/$B$11*$G$13)+(C17+D17)/62,0)</f>
        <v>27</v>
      </c>
      <c r="H17" s="214">
        <v>488.11778126869285</v>
      </c>
      <c r="I17" s="215">
        <v>45.375820187142857</v>
      </c>
      <c r="J17" s="215">
        <v>45.375820187142857</v>
      </c>
      <c r="K17" s="75">
        <f>ROUND(((H17-((I17+J17)/62)*31)/$B$11*$E$12)+(I17+J17)/62,0)</f>
        <v>22</v>
      </c>
      <c r="L17" s="75"/>
      <c r="M17" s="76">
        <f t="shared" ref="M17:M18" si="0">ROUND(((H17-((I17+J17)/62)*31)/$B$11*$G$13)+(I17+J17)/62,0)</f>
        <v>31</v>
      </c>
      <c r="N17" s="214">
        <v>521.44559000000004</v>
      </c>
      <c r="O17" s="215">
        <v>48.473999999999997</v>
      </c>
      <c r="P17" s="215">
        <v>48.473999999999997</v>
      </c>
      <c r="Q17" s="75">
        <f>ROUND(((N17-((O17+P17)/62)*31)/$B$11*$E$12)+(O17+P17)/62,0)</f>
        <v>24</v>
      </c>
      <c r="R17" s="75"/>
      <c r="S17" s="76">
        <f t="shared" ref="S17:S18" si="1">ROUND(((N17-((O17+P17)/62)*31)/$B$11*$G$13)+(O17+P17)/62,0)</f>
        <v>33</v>
      </c>
      <c r="T17" s="214">
        <v>558.23528999999996</v>
      </c>
      <c r="U17" s="215">
        <v>51.893999999999998</v>
      </c>
      <c r="V17" s="215">
        <v>51.893999999999998</v>
      </c>
      <c r="W17" s="75">
        <f>ROUND(((T17-((U17+V17)/62)*31)/$B$11*$E$12)+(U17+V17)/62,0)</f>
        <v>25</v>
      </c>
      <c r="X17" s="75"/>
      <c r="Y17" s="76">
        <f t="shared" ref="Y17:Y18" si="2">ROUND(((T17-((U17+V17)/62)*31)/$B$11*$G$13)+(U17+V17)/62,0)</f>
        <v>35</v>
      </c>
      <c r="Z17" s="214">
        <v>607.9982</v>
      </c>
      <c r="AA17" s="215">
        <v>56.519999999999996</v>
      </c>
      <c r="AB17" s="215">
        <v>56.519999999999996</v>
      </c>
      <c r="AC17" s="75">
        <f>ROUND(((Z17-((AA17+AB17)/62)*31)/$B$11*$E$12)+(AA17+AB17)/62,0)</f>
        <v>28</v>
      </c>
      <c r="AD17" s="75"/>
      <c r="AE17" s="76">
        <f t="shared" ref="AE17:AE18" si="3">ROUND(((Z17-((AA17+AB17)/62)*31)/$B$11*$G$13)+(AA17+AB17)/62,0)</f>
        <v>38</v>
      </c>
      <c r="AG17" s="50" t="s">
        <v>356</v>
      </c>
    </row>
    <row r="18" spans="1:33" x14ac:dyDescent="0.2">
      <c r="A18" s="72" t="s">
        <v>80</v>
      </c>
      <c r="B18" s="214">
        <v>3063.6138599999999</v>
      </c>
      <c r="C18" s="215">
        <v>284.79599999999999</v>
      </c>
      <c r="D18" s="215">
        <v>284.79599999999999</v>
      </c>
      <c r="E18" s="75">
        <f>ROUND(((B18-((C18+D18)/62)*31)/$B$11*$E$12)+(C18+D18)/62,0)</f>
        <v>139</v>
      </c>
      <c r="F18" s="75"/>
      <c r="G18" s="76">
        <f>ROUND(((B18-((C18+D18)/62)*31)/$B$11*$G$13)+(C18+D18)/62,0)</f>
        <v>193</v>
      </c>
      <c r="H18" s="214">
        <v>3195.8163410332108</v>
      </c>
      <c r="I18" s="215">
        <v>297.08564860092855</v>
      </c>
      <c r="J18" s="215">
        <v>297.08564860092855</v>
      </c>
      <c r="K18" s="75">
        <f>ROUND(((H18-((I18+J18)/62)*31)/$B$11*$E$12)+(I18+J18)/62,0)</f>
        <v>145</v>
      </c>
      <c r="L18" s="75"/>
      <c r="M18" s="76">
        <f t="shared" si="0"/>
        <v>202</v>
      </c>
      <c r="N18" s="214">
        <v>3293.2590399999999</v>
      </c>
      <c r="O18" s="215">
        <v>306.14399999999995</v>
      </c>
      <c r="P18" s="215">
        <v>306.14399999999995</v>
      </c>
      <c r="Q18" s="75">
        <f>ROUND(((N18-((O18+P18)/62)*31)/$B$11*$E$12)+(O18+P18)/62,0)</f>
        <v>149</v>
      </c>
      <c r="R18" s="75"/>
      <c r="S18" s="76">
        <f t="shared" si="1"/>
        <v>208</v>
      </c>
      <c r="T18" s="214">
        <v>3410.5988200000002</v>
      </c>
      <c r="U18" s="215">
        <v>317.05199999999996</v>
      </c>
      <c r="V18" s="215">
        <v>317.05199999999996</v>
      </c>
      <c r="W18" s="75">
        <f>ROUND(((T18-((U18+V18)/62)*31)/$B$11*$E$12)+(U18+V18)/62,0)</f>
        <v>154</v>
      </c>
      <c r="X18" s="75"/>
      <c r="Y18" s="76">
        <f t="shared" si="2"/>
        <v>215</v>
      </c>
      <c r="Z18" s="214">
        <v>3528.5194900000001</v>
      </c>
      <c r="AA18" s="215">
        <v>328.01399999999995</v>
      </c>
      <c r="AB18" s="215">
        <v>328.01399999999995</v>
      </c>
      <c r="AC18" s="75">
        <f>ROUND(((Z18-((AA18+AB18)/62)*31)/$B$11*$E$12)+(AA18+AB18)/62,0)</f>
        <v>160</v>
      </c>
      <c r="AD18" s="75"/>
      <c r="AE18" s="76">
        <f t="shared" si="3"/>
        <v>223</v>
      </c>
      <c r="AG18" s="50" t="s">
        <v>360</v>
      </c>
    </row>
    <row r="19" spans="1:33" x14ac:dyDescent="0.2">
      <c r="A19" s="68" t="s">
        <v>81</v>
      </c>
      <c r="B19" s="216">
        <v>26190.781060000001</v>
      </c>
      <c r="C19" s="217">
        <v>2434.7159999999999</v>
      </c>
      <c r="D19" s="217">
        <v>2434.7159999999999</v>
      </c>
      <c r="E19" s="79">
        <f>ROUND(((B19-((C19+D19)/62)*31)/$B$11*$E$12)+(C19+D19)/62,0)</f>
        <v>1185</v>
      </c>
      <c r="F19" s="80"/>
      <c r="G19" s="81">
        <f>ROUND(((B19-((C19+D19)/62)*31)/$B$11*$G$13)+(C19+D19)/62,0)</f>
        <v>1654</v>
      </c>
      <c r="H19" s="216">
        <v>27331.345769667212</v>
      </c>
      <c r="I19" s="217">
        <v>2540.743809606</v>
      </c>
      <c r="J19" s="217">
        <v>2540.743809606</v>
      </c>
      <c r="K19" s="79">
        <f>ROUND(((H19-((I19+J19)/62)*31)/$B$11*$E$12)+(I19+J19)/62,0)</f>
        <v>1237</v>
      </c>
      <c r="L19" s="80"/>
      <c r="M19" s="81">
        <f>ROUND(((H19-((I19+J19)/62)*31)/$B$11*$G$13)+(I19+J19)/62,0)</f>
        <v>1726</v>
      </c>
      <c r="N19" s="216">
        <v>27988.44198</v>
      </c>
      <c r="O19" s="217">
        <v>2601.828</v>
      </c>
      <c r="P19" s="217">
        <v>2601.828</v>
      </c>
      <c r="Q19" s="79">
        <f>ROUND(((N19-((O19+P19)/62)*31)/$B$11*$E$12)+(O19+P19)/62,0)</f>
        <v>1267</v>
      </c>
      <c r="R19" s="80"/>
      <c r="S19" s="81">
        <f>ROUND(((N19-((O19+P19)/62)*31)/$B$11*$G$13)+(O19+P19)/62,0)</f>
        <v>1767</v>
      </c>
      <c r="T19" s="216">
        <v>28338.718649999999</v>
      </c>
      <c r="U19" s="217">
        <v>2634.39</v>
      </c>
      <c r="V19" s="217">
        <v>2634.39</v>
      </c>
      <c r="W19" s="79">
        <f>ROUND(((T19-((U19+V19)/62)*31)/$B$11*$E$12)+(U19+V19)/62,0)</f>
        <v>1283</v>
      </c>
      <c r="X19" s="80"/>
      <c r="Y19" s="81">
        <f>ROUND(((T19-((U19+V19)/62)*31)/$B$11*$G$13)+(U19+V19)/62,0)</f>
        <v>1789</v>
      </c>
      <c r="Z19" s="216">
        <v>29054.76239</v>
      </c>
      <c r="AA19" s="217">
        <v>2700.9539999999997</v>
      </c>
      <c r="AB19" s="217">
        <v>2700.9539999999997</v>
      </c>
      <c r="AC19" s="79">
        <f>ROUND(((Z19-((AA19+AB19)/62)*31)/$B$11*$E$12)+(AA19+AB19)/62,0)</f>
        <v>1315</v>
      </c>
      <c r="AD19" s="80"/>
      <c r="AE19" s="81">
        <f>ROUND(((Z19-((AA19+AB19)/62)*31)/$B$11*$G$13)+(AA19+AB19)/62,0)</f>
        <v>1835</v>
      </c>
      <c r="AG19" s="50" t="s">
        <v>322</v>
      </c>
    </row>
    <row r="20" spans="1:33" x14ac:dyDescent="0.2">
      <c r="A20" s="71" t="s">
        <v>82</v>
      </c>
      <c r="B20" s="73">
        <f>SUM(B16:B19)</f>
        <v>49050.932489999999</v>
      </c>
      <c r="C20" s="82">
        <f>SUM(C16:C19)</f>
        <v>4559.8140000000003</v>
      </c>
      <c r="D20" s="82">
        <f>SUM(D16:D19)</f>
        <v>4559.8140000000003</v>
      </c>
      <c r="E20" s="82">
        <f>SUM(E16:E19)</f>
        <v>2220</v>
      </c>
      <c r="F20" s="82"/>
      <c r="G20" s="83">
        <f>SUM(G16:G19)</f>
        <v>3097</v>
      </c>
      <c r="H20" s="73">
        <f>SUM(H16:H19)</f>
        <v>50913.120688679381</v>
      </c>
      <c r="I20" s="82">
        <f>SUM(I16:I19)</f>
        <v>4732.9245075464996</v>
      </c>
      <c r="J20" s="82">
        <f>SUM(J16:J19)</f>
        <v>4732.9245075464996</v>
      </c>
      <c r="K20" s="82">
        <f>SUM(K16:K19)</f>
        <v>2305</v>
      </c>
      <c r="L20" s="82"/>
      <c r="M20" s="83">
        <f>SUM(M16:M19)</f>
        <v>3215</v>
      </c>
      <c r="N20" s="73">
        <f>SUM(N16:N19)</f>
        <v>51944.732839999997</v>
      </c>
      <c r="O20" s="82">
        <f>SUM(O16:O19)</f>
        <v>4828.8239999999996</v>
      </c>
      <c r="P20" s="82">
        <f>SUM(P16:P19)</f>
        <v>4828.8239999999996</v>
      </c>
      <c r="Q20" s="82">
        <f>SUM(Q16:Q19)</f>
        <v>2352</v>
      </c>
      <c r="R20" s="82"/>
      <c r="S20" s="83">
        <f>SUM(S16:S19)</f>
        <v>3280</v>
      </c>
      <c r="T20" s="73">
        <f>SUM(T16:T19)</f>
        <v>52814.325169999996</v>
      </c>
      <c r="U20" s="82">
        <f>SUM(U16:U19)</f>
        <v>4909.6620000000003</v>
      </c>
      <c r="V20" s="82">
        <f>SUM(V16:V19)</f>
        <v>4909.6620000000003</v>
      </c>
      <c r="W20" s="82">
        <f>SUM(W16:W19)</f>
        <v>2390</v>
      </c>
      <c r="X20" s="82"/>
      <c r="Y20" s="83">
        <f>SUM(Y16:Y19)</f>
        <v>3334</v>
      </c>
      <c r="Z20" s="73">
        <f>SUM(Z16:Z19)</f>
        <v>53999.728029999998</v>
      </c>
      <c r="AA20" s="82">
        <f>SUM(AA16:AA19)</f>
        <v>5019.8580000000002</v>
      </c>
      <c r="AB20" s="82">
        <f>SUM(AB16:AB19)</f>
        <v>5019.8580000000002</v>
      </c>
      <c r="AC20" s="82">
        <f>SUM(AC16:AC19)</f>
        <v>2445</v>
      </c>
      <c r="AD20" s="82"/>
      <c r="AE20" s="83">
        <f>SUM(AE16:AE19)</f>
        <v>3410</v>
      </c>
    </row>
    <row r="21" spans="1:33" x14ac:dyDescent="0.2">
      <c r="A21" s="68" t="s">
        <v>83</v>
      </c>
      <c r="B21" s="84">
        <f>ROUND(B20/((1-$B$6))-B20,0)</f>
        <v>74</v>
      </c>
      <c r="C21" s="80">
        <f t="shared" ref="C21:D21" si="4">ROUND(C20/((1-$B$6))-C20,0)</f>
        <v>7</v>
      </c>
      <c r="D21" s="80">
        <f t="shared" si="4"/>
        <v>7</v>
      </c>
      <c r="E21" s="80">
        <f>ROUND(E20/((1-$B$6))-E20,0)</f>
        <v>3</v>
      </c>
      <c r="F21" s="80"/>
      <c r="G21" s="85">
        <f>ROUND(G20/((1-$B$6))-G20,0)</f>
        <v>5</v>
      </c>
      <c r="H21" s="84">
        <f>ROUND(H20/((1-$B$6))-H20,0)</f>
        <v>76</v>
      </c>
      <c r="I21" s="80">
        <f t="shared" ref="I21:J21" si="5">ROUND(I20/((1-$B$6))-I20,0)</f>
        <v>7</v>
      </c>
      <c r="J21" s="80">
        <f t="shared" si="5"/>
        <v>7</v>
      </c>
      <c r="K21" s="80">
        <f>ROUND(K20/((1-$B$6))-K20,0)</f>
        <v>3</v>
      </c>
      <c r="L21" s="80"/>
      <c r="M21" s="85">
        <f>ROUND(M20/((1-$B$6))-M20,0)</f>
        <v>5</v>
      </c>
      <c r="N21" s="84">
        <f>ROUND(N20/((1-$B$6))-N20,0)</f>
        <v>78</v>
      </c>
      <c r="O21" s="80">
        <f t="shared" ref="O21:Q21" si="6">ROUND(O20/((1-$B$6))-O20,0)</f>
        <v>7</v>
      </c>
      <c r="P21" s="80">
        <f t="shared" si="6"/>
        <v>7</v>
      </c>
      <c r="Q21" s="80">
        <f t="shared" si="6"/>
        <v>4</v>
      </c>
      <c r="R21" s="80"/>
      <c r="S21" s="85">
        <f>ROUND(S20/((1-$B$6))-S20,0)</f>
        <v>5</v>
      </c>
      <c r="T21" s="84">
        <f>ROUND(T20/((1-$B$6))-T20,0)</f>
        <v>79</v>
      </c>
      <c r="U21" s="80">
        <f t="shared" ref="U21:W21" si="7">ROUND(U20/((1-$B$6))-U20,0)</f>
        <v>7</v>
      </c>
      <c r="V21" s="80">
        <f t="shared" si="7"/>
        <v>7</v>
      </c>
      <c r="W21" s="80">
        <f t="shared" si="7"/>
        <v>4</v>
      </c>
      <c r="X21" s="80"/>
      <c r="Y21" s="85">
        <f>ROUND(Y20/((1-$B$6))-Y20,0)</f>
        <v>5</v>
      </c>
      <c r="Z21" s="84">
        <f>ROUND(Z20/((1-$B$6))-Z20,0)</f>
        <v>81</v>
      </c>
      <c r="AA21" s="80">
        <f t="shared" ref="AA21:AC21" si="8">ROUND(AA20/((1-$B$6))-AA20,0)</f>
        <v>8</v>
      </c>
      <c r="AB21" s="80">
        <f t="shared" si="8"/>
        <v>8</v>
      </c>
      <c r="AC21" s="80">
        <f t="shared" si="8"/>
        <v>4</v>
      </c>
      <c r="AD21" s="80"/>
      <c r="AE21" s="85">
        <f>ROUND(AE20/((1-$B$6))-AE20,0)</f>
        <v>5</v>
      </c>
    </row>
    <row r="22" spans="1:33" x14ac:dyDescent="0.2">
      <c r="A22" s="71" t="s">
        <v>84</v>
      </c>
      <c r="B22" s="73">
        <f>SUM(B20:B21)</f>
        <v>49124.932489999999</v>
      </c>
      <c r="C22" s="82">
        <f>SUM(C20:C21)</f>
        <v>4566.8140000000003</v>
      </c>
      <c r="D22" s="82">
        <f>SUM(D20:D21)</f>
        <v>4566.8140000000003</v>
      </c>
      <c r="E22" s="82">
        <f>SUM(E20:E21)</f>
        <v>2223</v>
      </c>
      <c r="F22" s="82"/>
      <c r="G22" s="83">
        <f>SUM(G20:G21)</f>
        <v>3102</v>
      </c>
      <c r="H22" s="73">
        <f>SUM(H20:H21)</f>
        <v>50989.120688679381</v>
      </c>
      <c r="I22" s="82">
        <f>SUM(I20:I21)</f>
        <v>4739.9245075464996</v>
      </c>
      <c r="J22" s="82">
        <f>SUM(J20:J21)</f>
        <v>4739.9245075464996</v>
      </c>
      <c r="K22" s="82">
        <f>SUM(K20:K21)</f>
        <v>2308</v>
      </c>
      <c r="L22" s="82"/>
      <c r="M22" s="83">
        <f>SUM(M20:M21)</f>
        <v>3220</v>
      </c>
      <c r="N22" s="73">
        <f>SUM(N20:N21)</f>
        <v>52022.732839999997</v>
      </c>
      <c r="O22" s="82">
        <f>SUM(O20:O21)</f>
        <v>4835.8239999999996</v>
      </c>
      <c r="P22" s="82">
        <f>SUM(P20:P21)</f>
        <v>4835.8239999999996</v>
      </c>
      <c r="Q22" s="82">
        <f>SUM(Q20:Q21)</f>
        <v>2356</v>
      </c>
      <c r="R22" s="82"/>
      <c r="S22" s="83">
        <f>SUM(S20:S21)</f>
        <v>3285</v>
      </c>
      <c r="T22" s="73">
        <f>SUM(T20:T21)</f>
        <v>52893.325169999996</v>
      </c>
      <c r="U22" s="82">
        <f>SUM(U20:U21)</f>
        <v>4916.6620000000003</v>
      </c>
      <c r="V22" s="82">
        <f>SUM(V20:V21)</f>
        <v>4916.6620000000003</v>
      </c>
      <c r="W22" s="82">
        <f>SUM(W20:W21)</f>
        <v>2394</v>
      </c>
      <c r="X22" s="82"/>
      <c r="Y22" s="83">
        <f>SUM(Y20:Y21)</f>
        <v>3339</v>
      </c>
      <c r="Z22" s="73">
        <f>SUM(Z20:Z21)</f>
        <v>54080.728029999998</v>
      </c>
      <c r="AA22" s="82">
        <f>SUM(AA20:AA21)</f>
        <v>5027.8580000000002</v>
      </c>
      <c r="AB22" s="82">
        <f>SUM(AB20:AB21)</f>
        <v>5027.8580000000002</v>
      </c>
      <c r="AC22" s="82">
        <f>SUM(AC20:AC21)</f>
        <v>2449</v>
      </c>
      <c r="AD22" s="82"/>
      <c r="AE22" s="83">
        <f>SUM(AE20:AE21)</f>
        <v>3415</v>
      </c>
    </row>
    <row r="23" spans="1:33" x14ac:dyDescent="0.2">
      <c r="A23" s="71"/>
      <c r="B23" s="86"/>
      <c r="C23" s="87"/>
      <c r="D23" s="87"/>
      <c r="E23" s="87"/>
      <c r="F23" s="87"/>
      <c r="G23" s="60"/>
      <c r="H23" s="86"/>
      <c r="I23" s="87"/>
      <c r="J23" s="87"/>
      <c r="K23" s="87"/>
      <c r="L23" s="87"/>
      <c r="M23" s="60"/>
      <c r="N23" s="86"/>
      <c r="O23" s="87"/>
      <c r="P23" s="87"/>
      <c r="Q23" s="87"/>
      <c r="R23" s="87"/>
      <c r="S23" s="60"/>
      <c r="T23" s="86"/>
      <c r="U23" s="87"/>
      <c r="V23" s="87"/>
      <c r="W23" s="87"/>
      <c r="X23" s="87"/>
      <c r="Y23" s="60"/>
      <c r="Z23" s="86"/>
      <c r="AA23" s="87"/>
      <c r="AB23" s="87"/>
      <c r="AC23" s="87"/>
      <c r="AD23" s="87"/>
      <c r="AE23" s="60"/>
    </row>
    <row r="24" spans="1:33" x14ac:dyDescent="0.2">
      <c r="A24" s="71" t="s">
        <v>85</v>
      </c>
      <c r="B24" s="88"/>
      <c r="C24" s="87"/>
      <c r="D24" s="87"/>
      <c r="E24" s="87"/>
      <c r="F24" s="87"/>
      <c r="G24" s="60"/>
      <c r="H24" s="88"/>
      <c r="I24" s="87"/>
      <c r="J24" s="87"/>
      <c r="K24" s="87"/>
      <c r="L24" s="87"/>
      <c r="M24" s="60"/>
      <c r="N24" s="88"/>
      <c r="O24" s="87"/>
      <c r="P24" s="87"/>
      <c r="Q24" s="87"/>
      <c r="R24" s="87"/>
      <c r="S24" s="60"/>
      <c r="T24" s="88"/>
      <c r="U24" s="87"/>
      <c r="V24" s="87"/>
      <c r="W24" s="87"/>
      <c r="X24" s="87"/>
      <c r="Y24" s="60"/>
      <c r="Z24" s="88"/>
      <c r="AA24" s="87"/>
      <c r="AB24" s="87"/>
      <c r="AC24" s="87"/>
      <c r="AD24" s="87"/>
      <c r="AE24" s="60"/>
    </row>
    <row r="25" spans="1:33" x14ac:dyDescent="0.2">
      <c r="A25" s="71" t="s">
        <v>86</v>
      </c>
      <c r="B25" s="214">
        <v>327530.37300999998</v>
      </c>
      <c r="C25" s="215">
        <v>30447.485999999997</v>
      </c>
      <c r="D25" s="215">
        <v>30447.485999999997</v>
      </c>
      <c r="E25" s="75">
        <f>ROUND(((B25-((C25+D25)/62)*31)/$B$11*$E$13)+(C25+D25)/62,0)</f>
        <v>17487</v>
      </c>
      <c r="F25" s="82"/>
      <c r="G25" s="76">
        <f>ROUND(((B25-((C25+D25)/62)*31)/$B$11*$G$13)+(C25+D25)/62,0)</f>
        <v>20681</v>
      </c>
      <c r="H25" s="214">
        <v>316622.43174339231</v>
      </c>
      <c r="I25" s="215">
        <v>29433.475036828284</v>
      </c>
      <c r="J25" s="215">
        <v>29433.475036828284</v>
      </c>
      <c r="K25" s="75">
        <f>ROUND(((H25-((I25+J25)/62)*31)/$B$11*$E$13)+(I25+J25)/62,0)</f>
        <v>16904</v>
      </c>
      <c r="L25" s="82"/>
      <c r="M25" s="76">
        <f>ROUND(((H25-((I25+J25)/62)*31)/$B$11*$G$13)+(I25+J25)/62,0)</f>
        <v>19992</v>
      </c>
      <c r="N25" s="214">
        <v>301898.98901999998</v>
      </c>
      <c r="O25" s="215">
        <v>28064.771999999997</v>
      </c>
      <c r="P25" s="215">
        <v>28064.771999999997</v>
      </c>
      <c r="Q25" s="75">
        <f>ROUND(((N25-((O25+P25)/62)*31)/$B$11*$E$13)+(O25+P25)/62,0)</f>
        <v>16118</v>
      </c>
      <c r="R25" s="82"/>
      <c r="S25" s="76">
        <f>ROUND(((N25-((O25+P25)/62)*31)/$B$11*$G$13)+(O25+P25)/62,0)</f>
        <v>19063</v>
      </c>
      <c r="T25" s="214">
        <v>289001.29472000001</v>
      </c>
      <c r="U25" s="215">
        <v>26865.791999999998</v>
      </c>
      <c r="V25" s="215">
        <v>26865.791999999998</v>
      </c>
      <c r="W25" s="75">
        <f>ROUND(((T25-((U25+V25)/62)*31)/$B$11*$E$13)+(U25+V25)/62,0)</f>
        <v>15430</v>
      </c>
      <c r="X25" s="82"/>
      <c r="Y25" s="76">
        <f>ROUND(((T25-((U25+V25)/62)*31)/$B$11*$G$13)+(U25+V25)/62,0)</f>
        <v>18248</v>
      </c>
      <c r="Z25" s="214">
        <v>276075.91132999997</v>
      </c>
      <c r="AA25" s="215">
        <v>25664.237999999998</v>
      </c>
      <c r="AB25" s="215">
        <v>25664.237999999998</v>
      </c>
      <c r="AC25" s="75">
        <f>ROUND(((Z25-((AA25+AB25)/62)*31)/$B$11*$E$13)+(AA25+AB25)/62,0)</f>
        <v>14740</v>
      </c>
      <c r="AD25" s="82"/>
      <c r="AE25" s="76">
        <f>ROUND(((Z25-((AA25+AB25)/62)*31)/$B$11*$G$13)+(AA25+AB25)/62,0)</f>
        <v>17432</v>
      </c>
      <c r="AG25" s="50" t="s">
        <v>289</v>
      </c>
    </row>
    <row r="26" spans="1:33" x14ac:dyDescent="0.2">
      <c r="A26" s="227" t="s">
        <v>79</v>
      </c>
      <c r="B26" s="216">
        <v>18.588480000000001</v>
      </c>
      <c r="C26" s="217">
        <v>1.7279999999999998</v>
      </c>
      <c r="D26" s="217">
        <v>1.7279999999999998</v>
      </c>
      <c r="E26" s="79">
        <f>ROUND(((B26-((C26+D26)/62)*31)/$B$11*$E$13)+(C26+D26)/62,0)</f>
        <v>1</v>
      </c>
      <c r="F26" s="80"/>
      <c r="G26" s="81">
        <f>ROUND(((B26-((C26+D26)/62)*31)/$B$11*$G$13)+(C26+D26)/62,0)</f>
        <v>1</v>
      </c>
      <c r="H26" s="216">
        <v>18.660880615136787</v>
      </c>
      <c r="I26" s="217">
        <v>1.7347304192142856</v>
      </c>
      <c r="J26" s="217">
        <v>1.7347304192142856</v>
      </c>
      <c r="K26" s="79">
        <f>ROUND(((H26-((I26+J26)/62)*31)/$B$11*$E$13)+(I26+J26)/62,0)</f>
        <v>1</v>
      </c>
      <c r="L26" s="80"/>
      <c r="M26" s="81">
        <f>ROUND(((H26-((I26+J26)/62)*31)/$B$11*$G$13)+(I26+J26)/62,0)</f>
        <v>1</v>
      </c>
      <c r="N26" s="216">
        <v>18.588480000000001</v>
      </c>
      <c r="O26" s="217">
        <v>1.7279999999999998</v>
      </c>
      <c r="P26" s="217">
        <v>1.7279999999999998</v>
      </c>
      <c r="Q26" s="79">
        <f>ROUND(((N26-((O26+P26)/62)*31)/$B$11*$E$13)+(O26+P26)/62,0)</f>
        <v>1</v>
      </c>
      <c r="R26" s="80"/>
      <c r="S26" s="81">
        <f>ROUND(((N26-((O26+P26)/62)*31)/$B$11*$G$13)+(O26+P26)/62,0)</f>
        <v>1</v>
      </c>
      <c r="T26" s="216">
        <v>18.588480000000001</v>
      </c>
      <c r="U26" s="217">
        <v>1.7279999999999998</v>
      </c>
      <c r="V26" s="217">
        <v>1.7279999999999998</v>
      </c>
      <c r="W26" s="79">
        <f>ROUND(((T26-((U26+V26)/62)*31)/$B$11*$E$13)+(U26+V26)/62,0)</f>
        <v>1</v>
      </c>
      <c r="X26" s="80"/>
      <c r="Y26" s="81">
        <f>ROUND(((T26-((U26+V26)/62)*31)/$B$11*$G$13)+(U26+V26)/62,0)</f>
        <v>1</v>
      </c>
      <c r="Z26" s="216">
        <v>18.588480000000001</v>
      </c>
      <c r="AA26" s="217">
        <v>1.7279999999999998</v>
      </c>
      <c r="AB26" s="217">
        <v>1.7279999999999998</v>
      </c>
      <c r="AC26" s="79">
        <f>ROUND(((Z26-((AA26+AB26)/62)*31)/$B$11*$E$13)+(AA26+AB26)/62,0)</f>
        <v>1</v>
      </c>
      <c r="AD26" s="80"/>
      <c r="AE26" s="81">
        <f>ROUND(((Z26-((AA26+AB26)/62)*31)/$B$11*$G$13)+(AA26+AB26)/62,0)</f>
        <v>1</v>
      </c>
      <c r="AG26" s="50" t="s">
        <v>296</v>
      </c>
    </row>
    <row r="27" spans="1:33" x14ac:dyDescent="0.2">
      <c r="A27" s="72" t="s">
        <v>86</v>
      </c>
      <c r="B27" s="73">
        <f>SUM(B25:B26)</f>
        <v>327548.96148999996</v>
      </c>
      <c r="C27" s="74">
        <f>SUM(C25:C26)</f>
        <v>30449.213999999996</v>
      </c>
      <c r="D27" s="74">
        <f t="shared" ref="D27" si="9">SUM(D25:D26)</f>
        <v>30449.213999999996</v>
      </c>
      <c r="E27" s="74">
        <f>SUM(E25:E26)</f>
        <v>17488</v>
      </c>
      <c r="F27" s="74"/>
      <c r="G27" s="83">
        <f>SUM(G25:G26)</f>
        <v>20682</v>
      </c>
      <c r="H27" s="73">
        <f>SUM(H25:H26)</f>
        <v>316641.09262400743</v>
      </c>
      <c r="I27" s="74">
        <f>SUM(I25:I26)</f>
        <v>29435.209767247499</v>
      </c>
      <c r="J27" s="74">
        <f t="shared" ref="J27" si="10">SUM(J25:J26)</f>
        <v>29435.209767247499</v>
      </c>
      <c r="K27" s="74">
        <f t="shared" ref="K27" si="11">SUM(K25:K26)</f>
        <v>16905</v>
      </c>
      <c r="L27" s="74"/>
      <c r="M27" s="83">
        <f>SUM(M25:M26)</f>
        <v>19993</v>
      </c>
      <c r="N27" s="73">
        <f>SUM(N25:N26)</f>
        <v>301917.57749999996</v>
      </c>
      <c r="O27" s="74">
        <f>SUM(O25:O26)</f>
        <v>28066.499999999996</v>
      </c>
      <c r="P27" s="74">
        <f t="shared" ref="P27" si="12">SUM(P25:P26)</f>
        <v>28066.499999999996</v>
      </c>
      <c r="Q27" s="74">
        <f t="shared" ref="Q27" si="13">SUM(Q25:Q26)</f>
        <v>16119</v>
      </c>
      <c r="R27" s="74"/>
      <c r="S27" s="83">
        <f>SUM(S25:S26)</f>
        <v>19064</v>
      </c>
      <c r="T27" s="73">
        <f>SUM(T25:T26)</f>
        <v>289019.88319999998</v>
      </c>
      <c r="U27" s="74">
        <f>SUM(U25:U26)</f>
        <v>26867.519999999997</v>
      </c>
      <c r="V27" s="74">
        <f t="shared" ref="V27" si="14">SUM(V25:V26)</f>
        <v>26867.519999999997</v>
      </c>
      <c r="W27" s="74">
        <f t="shared" ref="W27" si="15">SUM(W25:W26)</f>
        <v>15431</v>
      </c>
      <c r="X27" s="74"/>
      <c r="Y27" s="83">
        <f>SUM(Y25:Y26)</f>
        <v>18249</v>
      </c>
      <c r="Z27" s="73">
        <f>SUM(Z25:Z26)</f>
        <v>276094.49980999995</v>
      </c>
      <c r="AA27" s="74">
        <f>SUM(AA25:AA26)</f>
        <v>25665.965999999997</v>
      </c>
      <c r="AB27" s="74">
        <f t="shared" ref="AB27" si="16">SUM(AB25:AB26)</f>
        <v>25665.965999999997</v>
      </c>
      <c r="AC27" s="74">
        <f t="shared" ref="AC27" si="17">SUM(AC25:AC26)</f>
        <v>14741</v>
      </c>
      <c r="AD27" s="74"/>
      <c r="AE27" s="83">
        <f>SUM(AE25:AE26)</f>
        <v>17433</v>
      </c>
    </row>
    <row r="28" spans="1:33" x14ac:dyDescent="0.2">
      <c r="A28" s="68" t="s">
        <v>87</v>
      </c>
      <c r="B28" s="84">
        <f>ROUND(B27/((1-$B$6))-B27,0)</f>
        <v>492</v>
      </c>
      <c r="C28" s="80">
        <f t="shared" ref="C28:D28" si="18">ROUND(C27/((1-$B$6))-C27,0)</f>
        <v>46</v>
      </c>
      <c r="D28" s="80">
        <f t="shared" si="18"/>
        <v>46</v>
      </c>
      <c r="E28" s="80">
        <f>ROUND(E27/((1-$B$6))-E27,0)</f>
        <v>26</v>
      </c>
      <c r="F28" s="80"/>
      <c r="G28" s="85">
        <f>ROUND(G27/((1-$B$6))-G27,0)</f>
        <v>31</v>
      </c>
      <c r="H28" s="84">
        <f>ROUND(H27/((1-$B$6))-H27,0)</f>
        <v>476</v>
      </c>
      <c r="I28" s="80">
        <f t="shared" ref="I28:K28" si="19">ROUND(I27/((1-$B$6))-I27,0)</f>
        <v>44</v>
      </c>
      <c r="J28" s="80">
        <f t="shared" si="19"/>
        <v>44</v>
      </c>
      <c r="K28" s="80">
        <f t="shared" si="19"/>
        <v>25</v>
      </c>
      <c r="L28" s="80"/>
      <c r="M28" s="85">
        <f>ROUND(M27/((1-$B$6))-M27,0)</f>
        <v>30</v>
      </c>
      <c r="N28" s="84">
        <f>ROUND(N27/((1-$B$6))-N27,0)</f>
        <v>454</v>
      </c>
      <c r="O28" s="80">
        <f t="shared" ref="O28:Q28" si="20">ROUND(O27/((1-$B$6))-O27,0)</f>
        <v>42</v>
      </c>
      <c r="P28" s="80">
        <f t="shared" si="20"/>
        <v>42</v>
      </c>
      <c r="Q28" s="80">
        <f t="shared" si="20"/>
        <v>24</v>
      </c>
      <c r="R28" s="80"/>
      <c r="S28" s="85">
        <f>ROUND(S27/((1-$B$6))-S27,0)</f>
        <v>29</v>
      </c>
      <c r="T28" s="84">
        <f>ROUND(T27/((1-$B$6))-T27,0)</f>
        <v>434</v>
      </c>
      <c r="U28" s="80">
        <f t="shared" ref="U28:W28" si="21">ROUND(U27/((1-$B$6))-U27,0)</f>
        <v>40</v>
      </c>
      <c r="V28" s="80">
        <f t="shared" si="21"/>
        <v>40</v>
      </c>
      <c r="W28" s="80">
        <f t="shared" si="21"/>
        <v>23</v>
      </c>
      <c r="X28" s="80"/>
      <c r="Y28" s="85">
        <f>ROUND(Y27/((1-$B$6))-Y27,0)</f>
        <v>27</v>
      </c>
      <c r="Z28" s="84">
        <f>ROUND(Z27/((1-$B$6))-Z27,0)</f>
        <v>415</v>
      </c>
      <c r="AA28" s="80">
        <f t="shared" ref="AA28:AC28" si="22">ROUND(AA27/((1-$B$6))-AA27,0)</f>
        <v>39</v>
      </c>
      <c r="AB28" s="80">
        <f t="shared" si="22"/>
        <v>39</v>
      </c>
      <c r="AC28" s="80">
        <f t="shared" si="22"/>
        <v>22</v>
      </c>
      <c r="AD28" s="80"/>
      <c r="AE28" s="85">
        <f>ROUND(AE27/((1-$B$6))-AE27,0)</f>
        <v>26</v>
      </c>
    </row>
    <row r="29" spans="1:33" x14ac:dyDescent="0.2">
      <c r="A29" s="72" t="s">
        <v>88</v>
      </c>
      <c r="B29" s="73">
        <f>SUM(B27:B28)</f>
        <v>328040.96148999996</v>
      </c>
      <c r="C29" s="82">
        <f>SUM(C27:C28)</f>
        <v>30495.213999999996</v>
      </c>
      <c r="D29" s="82">
        <f>SUM(D27:D28)</f>
        <v>30495.213999999996</v>
      </c>
      <c r="E29" s="82">
        <f>SUM(E27:E28)</f>
        <v>17514</v>
      </c>
      <c r="F29" s="82"/>
      <c r="G29" s="83">
        <f>SUM(G27:G28)</f>
        <v>20713</v>
      </c>
      <c r="H29" s="73">
        <f>SUM(H27:H28)</f>
        <v>317117.09262400743</v>
      </c>
      <c r="I29" s="82">
        <f>SUM(I27:I28)</f>
        <v>29479.209767247499</v>
      </c>
      <c r="J29" s="82">
        <f>SUM(J27:J28)</f>
        <v>29479.209767247499</v>
      </c>
      <c r="K29" s="82">
        <f>SUM(K27:K28)</f>
        <v>16930</v>
      </c>
      <c r="L29" s="82"/>
      <c r="M29" s="83">
        <f>SUM(M27:M28)</f>
        <v>20023</v>
      </c>
      <c r="N29" s="73">
        <f>SUM(N27:N28)</f>
        <v>302371.57749999996</v>
      </c>
      <c r="O29" s="82">
        <f>SUM(O27:O28)</f>
        <v>28108.499999999996</v>
      </c>
      <c r="P29" s="82">
        <f>SUM(P27:P28)</f>
        <v>28108.499999999996</v>
      </c>
      <c r="Q29" s="82">
        <f>SUM(Q27:Q28)</f>
        <v>16143</v>
      </c>
      <c r="R29" s="82"/>
      <c r="S29" s="83">
        <f>SUM(S27:S28)</f>
        <v>19093</v>
      </c>
      <c r="T29" s="73">
        <f>SUM(T27:T28)</f>
        <v>289453.88319999998</v>
      </c>
      <c r="U29" s="82">
        <f>SUM(U27:U28)</f>
        <v>26907.519999999997</v>
      </c>
      <c r="V29" s="82">
        <f>SUM(V27:V28)</f>
        <v>26907.519999999997</v>
      </c>
      <c r="W29" s="82">
        <f>SUM(W27:W28)</f>
        <v>15454</v>
      </c>
      <c r="X29" s="82"/>
      <c r="Y29" s="83">
        <f>SUM(Y27:Y28)</f>
        <v>18276</v>
      </c>
      <c r="Z29" s="73">
        <f>SUM(Z27:Z28)</f>
        <v>276509.49980999995</v>
      </c>
      <c r="AA29" s="82">
        <f>SUM(AA27:AA28)</f>
        <v>25704.965999999997</v>
      </c>
      <c r="AB29" s="82">
        <f>SUM(AB27:AB28)</f>
        <v>25704.965999999997</v>
      </c>
      <c r="AC29" s="82">
        <f>SUM(AC27:AC28)</f>
        <v>14763</v>
      </c>
      <c r="AD29" s="82"/>
      <c r="AE29" s="83">
        <f>SUM(AE27:AE28)</f>
        <v>17459</v>
      </c>
    </row>
    <row r="30" spans="1:33" x14ac:dyDescent="0.2">
      <c r="A30" s="72"/>
      <c r="B30" s="86"/>
      <c r="C30" s="87"/>
      <c r="D30" s="87"/>
      <c r="E30" s="87"/>
      <c r="F30" s="87"/>
      <c r="G30" s="60"/>
      <c r="H30" s="86"/>
      <c r="I30" s="87"/>
      <c r="J30" s="87"/>
      <c r="K30" s="87"/>
      <c r="L30" s="87"/>
      <c r="M30" s="60"/>
      <c r="N30" s="86"/>
      <c r="O30" s="87"/>
      <c r="P30" s="87"/>
      <c r="Q30" s="87"/>
      <c r="R30" s="87"/>
      <c r="S30" s="60"/>
      <c r="T30" s="86"/>
      <c r="U30" s="87"/>
      <c r="V30" s="87"/>
      <c r="W30" s="87"/>
      <c r="X30" s="87"/>
      <c r="Y30" s="60"/>
      <c r="Z30" s="86"/>
      <c r="AA30" s="87"/>
      <c r="AB30" s="87"/>
      <c r="AC30" s="87"/>
      <c r="AD30" s="87"/>
      <c r="AE30" s="60"/>
    </row>
    <row r="31" spans="1:33" x14ac:dyDescent="0.2">
      <c r="A31" s="72" t="s">
        <v>89</v>
      </c>
      <c r="B31" s="86"/>
      <c r="C31" s="87"/>
      <c r="D31" s="87"/>
      <c r="E31" s="87"/>
      <c r="F31" s="87"/>
      <c r="G31" s="60"/>
      <c r="H31" s="86"/>
      <c r="I31" s="87"/>
      <c r="J31" s="87"/>
      <c r="K31" s="87"/>
      <c r="L31" s="87"/>
      <c r="M31" s="60"/>
      <c r="N31" s="86"/>
      <c r="O31" s="87"/>
      <c r="P31" s="87"/>
      <c r="Q31" s="87"/>
      <c r="R31" s="87"/>
      <c r="S31" s="60"/>
      <c r="T31" s="86"/>
      <c r="U31" s="87"/>
      <c r="V31" s="87"/>
      <c r="W31" s="87"/>
      <c r="X31" s="87"/>
      <c r="Y31" s="60"/>
      <c r="Z31" s="86"/>
      <c r="AA31" s="87"/>
      <c r="AB31" s="87"/>
      <c r="AC31" s="87"/>
      <c r="AD31" s="87"/>
      <c r="AE31" s="60"/>
    </row>
    <row r="32" spans="1:33" x14ac:dyDescent="0.2">
      <c r="A32" s="68" t="s">
        <v>90</v>
      </c>
      <c r="B32" s="216">
        <v>0</v>
      </c>
      <c r="C32" s="217">
        <v>0</v>
      </c>
      <c r="D32" s="217">
        <v>0</v>
      </c>
      <c r="E32" s="79">
        <f>ROUND(((B32-((C32+D32)/62)*31)/$B$11*$E$13)+(C32+D32)/62,0)</f>
        <v>0</v>
      </c>
      <c r="F32" s="80"/>
      <c r="G32" s="81">
        <f>ROUND(((B32-((C32+D32)/62)*31)/$B$11*$G$13)+(C32+D32)/62,0)</f>
        <v>0</v>
      </c>
      <c r="H32" s="216">
        <v>0</v>
      </c>
      <c r="I32" s="217">
        <v>0</v>
      </c>
      <c r="J32" s="217">
        <v>0</v>
      </c>
      <c r="K32" s="79">
        <f>ROUND(((H32-((I32+J32)/62)*31)/$B$11*$E$13)+(I32+J32)/62,0)</f>
        <v>0</v>
      </c>
      <c r="L32" s="80"/>
      <c r="M32" s="81">
        <f>ROUND(((H32-((I32+J32)/62)*31)/$B$11*$G$13)+(I32+J32)/62,0)</f>
        <v>0</v>
      </c>
      <c r="N32" s="216">
        <v>0</v>
      </c>
      <c r="O32" s="217">
        <v>0</v>
      </c>
      <c r="P32" s="217">
        <v>0</v>
      </c>
      <c r="Q32" s="79">
        <f>ROUND(((N32-((O32+P32)/62)*31)/$B$11*$E$13)+(O32+P32)/62,0)</f>
        <v>0</v>
      </c>
      <c r="R32" s="80"/>
      <c r="S32" s="81">
        <f>ROUND(((N32-((O32+P32)/62)*31)/$B$11*$G$13)+(O32+P32)/62,0)</f>
        <v>0</v>
      </c>
      <c r="T32" s="216">
        <v>0</v>
      </c>
      <c r="U32" s="217">
        <v>0</v>
      </c>
      <c r="V32" s="217">
        <v>0</v>
      </c>
      <c r="W32" s="79">
        <f>ROUND(((T32-((U32+V32)/62)*31)/$B$11*$E$13)+(U32+V32)/62,0)</f>
        <v>0</v>
      </c>
      <c r="X32" s="80"/>
      <c r="Y32" s="81">
        <f>ROUND(((T32-((U32+V32)/62)*31)/$B$11*$G$13)+(U32+V32)/62,0)</f>
        <v>0</v>
      </c>
      <c r="Z32" s="216">
        <v>0</v>
      </c>
      <c r="AA32" s="217">
        <v>0</v>
      </c>
      <c r="AB32" s="217">
        <v>0</v>
      </c>
      <c r="AC32" s="79">
        <f>ROUND(((Z32-((AA32+AB32)/62)*31)/$B$11*$E$13)+(AA32+AB32)/62,0)</f>
        <v>0</v>
      </c>
      <c r="AD32" s="80"/>
      <c r="AE32" s="81">
        <f>ROUND(((Z32-((AA32+AB32)/62)*31)/$B$11*$G$13)+(AA32+AB32)/62,0)</f>
        <v>0</v>
      </c>
      <c r="AG32" s="329"/>
    </row>
    <row r="33" spans="1:31" x14ac:dyDescent="0.2">
      <c r="A33" s="72" t="s">
        <v>90</v>
      </c>
      <c r="B33" s="73">
        <f>SUM(B32:B32)</f>
        <v>0</v>
      </c>
      <c r="C33" s="82">
        <f>SUM(C32:C32)</f>
        <v>0</v>
      </c>
      <c r="D33" s="82">
        <f>SUM(D32:D32)</f>
        <v>0</v>
      </c>
      <c r="E33" s="82">
        <f>SUM(E32:E32)</f>
        <v>0</v>
      </c>
      <c r="F33" s="82"/>
      <c r="G33" s="83">
        <f>SUM(G32:G32)</f>
        <v>0</v>
      </c>
      <c r="H33" s="73">
        <f>SUM(H32:H32)</f>
        <v>0</v>
      </c>
      <c r="I33" s="82">
        <f>SUM(I32:I32)</f>
        <v>0</v>
      </c>
      <c r="J33" s="82">
        <f>SUM(J32:J32)</f>
        <v>0</v>
      </c>
      <c r="K33" s="82">
        <f>SUM(K32:K32)</f>
        <v>0</v>
      </c>
      <c r="L33" s="82"/>
      <c r="M33" s="83">
        <f>SUM(M32:M32)</f>
        <v>0</v>
      </c>
      <c r="N33" s="73">
        <f>SUM(N32:N32)</f>
        <v>0</v>
      </c>
      <c r="O33" s="82">
        <f>SUM(O32:O32)</f>
        <v>0</v>
      </c>
      <c r="P33" s="82">
        <f>SUM(P32:P32)</f>
        <v>0</v>
      </c>
      <c r="Q33" s="82">
        <f>SUM(Q32:Q32)</f>
        <v>0</v>
      </c>
      <c r="R33" s="82"/>
      <c r="S33" s="83">
        <f>SUM(S32:S32)</f>
        <v>0</v>
      </c>
      <c r="T33" s="73">
        <f>SUM(T32:T32)</f>
        <v>0</v>
      </c>
      <c r="U33" s="82">
        <f>SUM(U32:U32)</f>
        <v>0</v>
      </c>
      <c r="V33" s="82">
        <f>SUM(V32:V32)</f>
        <v>0</v>
      </c>
      <c r="W33" s="82">
        <f>SUM(W32:W32)</f>
        <v>0</v>
      </c>
      <c r="X33" s="82"/>
      <c r="Y33" s="83">
        <f>SUM(Y32:Y32)</f>
        <v>0</v>
      </c>
      <c r="Z33" s="73">
        <f>SUM(Z32:Z32)</f>
        <v>0</v>
      </c>
      <c r="AA33" s="82">
        <f>SUM(AA32:AA32)</f>
        <v>0</v>
      </c>
      <c r="AB33" s="82">
        <f>SUM(AB32:AB32)</f>
        <v>0</v>
      </c>
      <c r="AC33" s="82">
        <f>SUM(AC32:AC32)</f>
        <v>0</v>
      </c>
      <c r="AD33" s="82"/>
      <c r="AE33" s="83">
        <f>SUM(AE32:AE32)</f>
        <v>0</v>
      </c>
    </row>
    <row r="34" spans="1:31" x14ac:dyDescent="0.2">
      <c r="A34" s="68" t="s">
        <v>109</v>
      </c>
      <c r="B34" s="84">
        <f>ROUND(B33/((1-$B$6))-B33,0)</f>
        <v>0</v>
      </c>
      <c r="C34" s="80">
        <f t="shared" ref="C34:E34" si="23">ROUND(C33/((1-$B$6))-C33,0)</f>
        <v>0</v>
      </c>
      <c r="D34" s="80">
        <f t="shared" si="23"/>
        <v>0</v>
      </c>
      <c r="E34" s="80">
        <f t="shared" si="23"/>
        <v>0</v>
      </c>
      <c r="F34" s="80"/>
      <c r="G34" s="85">
        <f>ROUND(G33/((1-$B$6))-G33,0)</f>
        <v>0</v>
      </c>
      <c r="H34" s="84">
        <f>ROUND(H33/((1-$B$6))-H33,0)</f>
        <v>0</v>
      </c>
      <c r="I34" s="80">
        <f t="shared" ref="I34:K34" si="24">ROUND(I33/((1-$B$6))-I33,0)</f>
        <v>0</v>
      </c>
      <c r="J34" s="80">
        <f t="shared" si="24"/>
        <v>0</v>
      </c>
      <c r="K34" s="80">
        <f t="shared" si="24"/>
        <v>0</v>
      </c>
      <c r="L34" s="80"/>
      <c r="M34" s="85">
        <f>ROUND(M33/((1-$B$6))-M33,0)</f>
        <v>0</v>
      </c>
      <c r="N34" s="84">
        <f>ROUND(N33/((1-$B$6))-N33,0)</f>
        <v>0</v>
      </c>
      <c r="O34" s="80">
        <f t="shared" ref="O34:Q34" si="25">ROUND(O33/((1-$B$6))-O33,0)</f>
        <v>0</v>
      </c>
      <c r="P34" s="80">
        <f t="shared" si="25"/>
        <v>0</v>
      </c>
      <c r="Q34" s="80">
        <f t="shared" si="25"/>
        <v>0</v>
      </c>
      <c r="R34" s="80"/>
      <c r="S34" s="85">
        <f>ROUND(S33/((1-$B$6))-S33,0)</f>
        <v>0</v>
      </c>
      <c r="T34" s="84">
        <f>ROUND(T33/((1-$B$6))-T33,0)</f>
        <v>0</v>
      </c>
      <c r="U34" s="80">
        <f t="shared" ref="U34:W34" si="26">ROUND(U33/((1-$B$6))-U33,0)</f>
        <v>0</v>
      </c>
      <c r="V34" s="80">
        <f t="shared" si="26"/>
        <v>0</v>
      </c>
      <c r="W34" s="80">
        <f t="shared" si="26"/>
        <v>0</v>
      </c>
      <c r="X34" s="80"/>
      <c r="Y34" s="85">
        <f>ROUND(Y33/((1-$B$6))-Y33,0)</f>
        <v>0</v>
      </c>
      <c r="Z34" s="84">
        <f>ROUND(Z33/((1-$B$6))-Z33,0)</f>
        <v>0</v>
      </c>
      <c r="AA34" s="80">
        <f t="shared" ref="AA34:AC34" si="27">ROUND(AA33/((1-$B$6))-AA33,0)</f>
        <v>0</v>
      </c>
      <c r="AB34" s="80">
        <f t="shared" si="27"/>
        <v>0</v>
      </c>
      <c r="AC34" s="80">
        <f t="shared" si="27"/>
        <v>0</v>
      </c>
      <c r="AD34" s="80"/>
      <c r="AE34" s="85">
        <f>ROUND(AE33/((1-$B$6))-AE33,0)</f>
        <v>0</v>
      </c>
    </row>
    <row r="35" spans="1:31" x14ac:dyDescent="0.2">
      <c r="A35" s="72" t="s">
        <v>110</v>
      </c>
      <c r="B35" s="73">
        <f>SUM(B33:B34)</f>
        <v>0</v>
      </c>
      <c r="C35" s="82">
        <f>SUM(C33:C34)</f>
        <v>0</v>
      </c>
      <c r="D35" s="82">
        <f>SUM(D33:D34)</f>
        <v>0</v>
      </c>
      <c r="E35" s="82">
        <f>SUM(E33:E34)</f>
        <v>0</v>
      </c>
      <c r="F35" s="82"/>
      <c r="G35" s="83">
        <f>SUM(G33:G34)</f>
        <v>0</v>
      </c>
      <c r="H35" s="73">
        <f>SUM(H33:H34)</f>
        <v>0</v>
      </c>
      <c r="I35" s="82">
        <f>SUM(I33:I34)</f>
        <v>0</v>
      </c>
      <c r="J35" s="82">
        <f>SUM(J33:J34)</f>
        <v>0</v>
      </c>
      <c r="K35" s="82">
        <f>SUM(K33:K34)</f>
        <v>0</v>
      </c>
      <c r="L35" s="82"/>
      <c r="M35" s="83">
        <f>SUM(M33:M34)</f>
        <v>0</v>
      </c>
      <c r="N35" s="73">
        <f>SUM(N33:N34)</f>
        <v>0</v>
      </c>
      <c r="O35" s="82">
        <f>SUM(O33:O34)</f>
        <v>0</v>
      </c>
      <c r="P35" s="82">
        <f>SUM(P33:P34)</f>
        <v>0</v>
      </c>
      <c r="Q35" s="82">
        <f>SUM(Q33:Q34)</f>
        <v>0</v>
      </c>
      <c r="R35" s="82"/>
      <c r="S35" s="83">
        <f>SUM(S33:S34)</f>
        <v>0</v>
      </c>
      <c r="T35" s="73">
        <f>SUM(T33:T34)</f>
        <v>0</v>
      </c>
      <c r="U35" s="82">
        <f>SUM(U33:U34)</f>
        <v>0</v>
      </c>
      <c r="V35" s="82">
        <f>SUM(V33:V34)</f>
        <v>0</v>
      </c>
      <c r="W35" s="82">
        <f>SUM(W33:W34)</f>
        <v>0</v>
      </c>
      <c r="X35" s="82"/>
      <c r="Y35" s="83">
        <f>SUM(Y33:Y34)</f>
        <v>0</v>
      </c>
      <c r="Z35" s="73">
        <f>SUM(Z33:Z34)</f>
        <v>0</v>
      </c>
      <c r="AA35" s="82">
        <f>SUM(AA33:AA34)</f>
        <v>0</v>
      </c>
      <c r="AB35" s="82">
        <f>SUM(AB33:AB34)</f>
        <v>0</v>
      </c>
      <c r="AC35" s="82">
        <f>SUM(AC33:AC34)</f>
        <v>0</v>
      </c>
      <c r="AD35" s="82"/>
      <c r="AE35" s="83">
        <f>SUM(AE33:AE34)</f>
        <v>0</v>
      </c>
    </row>
    <row r="36" spans="1:31" x14ac:dyDescent="0.2">
      <c r="A36" s="72"/>
      <c r="B36" s="89"/>
      <c r="C36" s="82"/>
      <c r="D36" s="82"/>
      <c r="E36" s="82"/>
      <c r="F36" s="82"/>
      <c r="G36" s="60"/>
      <c r="H36" s="89"/>
      <c r="I36" s="82"/>
      <c r="J36" s="82"/>
      <c r="K36" s="82"/>
      <c r="L36" s="82"/>
      <c r="M36" s="60"/>
      <c r="N36" s="89"/>
      <c r="O36" s="82"/>
      <c r="P36" s="82"/>
      <c r="Q36" s="82"/>
      <c r="R36" s="82"/>
      <c r="S36" s="60"/>
      <c r="T36" s="89"/>
      <c r="U36" s="82"/>
      <c r="V36" s="82"/>
      <c r="W36" s="82"/>
      <c r="X36" s="82"/>
      <c r="Y36" s="60"/>
      <c r="Z36" s="89"/>
      <c r="AA36" s="82"/>
      <c r="AB36" s="82"/>
      <c r="AC36" s="82"/>
      <c r="AD36" s="82"/>
      <c r="AE36" s="60"/>
    </row>
    <row r="37" spans="1:31" x14ac:dyDescent="0.2">
      <c r="A37" s="71" t="s">
        <v>77</v>
      </c>
      <c r="B37" s="89"/>
      <c r="C37" s="82"/>
      <c r="D37" s="82"/>
      <c r="E37" s="82"/>
      <c r="F37" s="82"/>
      <c r="G37" s="60"/>
      <c r="H37" s="89"/>
      <c r="I37" s="82"/>
      <c r="J37" s="82"/>
      <c r="K37" s="82"/>
      <c r="L37" s="82"/>
      <c r="M37" s="60"/>
      <c r="N37" s="89"/>
      <c r="O37" s="82"/>
      <c r="P37" s="82"/>
      <c r="Q37" s="82"/>
      <c r="R37" s="82"/>
      <c r="S37" s="60"/>
      <c r="T37" s="89"/>
      <c r="U37" s="82"/>
      <c r="V37" s="82"/>
      <c r="W37" s="82"/>
      <c r="X37" s="82"/>
      <c r="Y37" s="60"/>
      <c r="Z37" s="89"/>
      <c r="AA37" s="82"/>
      <c r="AB37" s="82"/>
      <c r="AC37" s="82"/>
      <c r="AD37" s="82"/>
      <c r="AE37" s="60"/>
    </row>
    <row r="38" spans="1:31" x14ac:dyDescent="0.2">
      <c r="A38" s="72" t="s">
        <v>91</v>
      </c>
      <c r="B38" s="73">
        <f>B20+B27+B33</f>
        <v>376599.89397999994</v>
      </c>
      <c r="C38" s="74">
        <f>C20+C27+C33</f>
        <v>35009.027999999998</v>
      </c>
      <c r="D38" s="74">
        <f>D20+D27+D33</f>
        <v>35009.027999999998</v>
      </c>
      <c r="E38" s="74">
        <f>E20+E27+E33</f>
        <v>19708</v>
      </c>
      <c r="G38" s="90">
        <f t="shared" ref="G38:K39" si="28">G20+G27+G33</f>
        <v>23779</v>
      </c>
      <c r="H38" s="73">
        <f t="shared" si="28"/>
        <v>367554.21331268683</v>
      </c>
      <c r="I38" s="74">
        <f t="shared" si="28"/>
        <v>34168.134274794</v>
      </c>
      <c r="J38" s="74">
        <f t="shared" si="28"/>
        <v>34168.134274794</v>
      </c>
      <c r="K38" s="74">
        <f t="shared" si="28"/>
        <v>19210</v>
      </c>
      <c r="L38" s="51"/>
      <c r="M38" s="90">
        <f t="shared" ref="M38:Q39" si="29">M20+M27+M33</f>
        <v>23208</v>
      </c>
      <c r="N38" s="73">
        <f t="shared" si="29"/>
        <v>353862.31033999997</v>
      </c>
      <c r="O38" s="74">
        <f t="shared" si="29"/>
        <v>32895.323999999993</v>
      </c>
      <c r="P38" s="74">
        <f t="shared" si="29"/>
        <v>32895.323999999993</v>
      </c>
      <c r="Q38" s="74">
        <f t="shared" si="29"/>
        <v>18471</v>
      </c>
      <c r="R38" s="51"/>
      <c r="S38" s="90">
        <f t="shared" ref="S38:W39" si="30">S20+S27+S33</f>
        <v>22344</v>
      </c>
      <c r="T38" s="73">
        <f t="shared" si="30"/>
        <v>341834.20837000001</v>
      </c>
      <c r="U38" s="74">
        <f t="shared" si="30"/>
        <v>31777.181999999997</v>
      </c>
      <c r="V38" s="74">
        <f t="shared" si="30"/>
        <v>31777.181999999997</v>
      </c>
      <c r="W38" s="74">
        <f t="shared" si="30"/>
        <v>17821</v>
      </c>
      <c r="X38" s="51"/>
      <c r="Y38" s="90">
        <f t="shared" ref="Y38:AC39" si="31">Y20+Y27+Y33</f>
        <v>21583</v>
      </c>
      <c r="Z38" s="73">
        <f t="shared" si="31"/>
        <v>330094.22783999995</v>
      </c>
      <c r="AA38" s="74">
        <f t="shared" si="31"/>
        <v>30685.823999999997</v>
      </c>
      <c r="AB38" s="74">
        <f t="shared" si="31"/>
        <v>30685.823999999997</v>
      </c>
      <c r="AC38" s="74">
        <f t="shared" si="31"/>
        <v>17186</v>
      </c>
      <c r="AD38" s="51"/>
      <c r="AE38" s="90">
        <f>AE20+AE27+AE33</f>
        <v>20843</v>
      </c>
    </row>
    <row r="39" spans="1:31" x14ac:dyDescent="0.2">
      <c r="A39" s="68" t="s">
        <v>92</v>
      </c>
      <c r="B39" s="84">
        <f>B21+B28+B34</f>
        <v>566</v>
      </c>
      <c r="C39" s="80">
        <f t="shared" ref="C39:D39" si="32">C21+C28+C34</f>
        <v>53</v>
      </c>
      <c r="D39" s="80">
        <f t="shared" si="32"/>
        <v>53</v>
      </c>
      <c r="E39" s="80">
        <f>E21+E28+E34</f>
        <v>29</v>
      </c>
      <c r="F39" s="80"/>
      <c r="G39" s="85">
        <f t="shared" si="28"/>
        <v>36</v>
      </c>
      <c r="H39" s="84">
        <f t="shared" si="28"/>
        <v>552</v>
      </c>
      <c r="I39" s="80">
        <f t="shared" si="28"/>
        <v>51</v>
      </c>
      <c r="J39" s="80">
        <f t="shared" si="28"/>
        <v>51</v>
      </c>
      <c r="K39" s="80">
        <f t="shared" si="28"/>
        <v>28</v>
      </c>
      <c r="L39" s="80"/>
      <c r="M39" s="85">
        <f t="shared" si="29"/>
        <v>35</v>
      </c>
      <c r="N39" s="84">
        <f t="shared" si="29"/>
        <v>532</v>
      </c>
      <c r="O39" s="80">
        <f t="shared" si="29"/>
        <v>49</v>
      </c>
      <c r="P39" s="80">
        <f t="shared" si="29"/>
        <v>49</v>
      </c>
      <c r="Q39" s="80">
        <f t="shared" si="29"/>
        <v>28</v>
      </c>
      <c r="R39" s="80"/>
      <c r="S39" s="85">
        <f t="shared" si="30"/>
        <v>34</v>
      </c>
      <c r="T39" s="84">
        <f t="shared" si="30"/>
        <v>513</v>
      </c>
      <c r="U39" s="80">
        <f t="shared" si="30"/>
        <v>47</v>
      </c>
      <c r="V39" s="80">
        <f t="shared" si="30"/>
        <v>47</v>
      </c>
      <c r="W39" s="80">
        <f t="shared" si="30"/>
        <v>27</v>
      </c>
      <c r="X39" s="80"/>
      <c r="Y39" s="85">
        <f t="shared" si="31"/>
        <v>32</v>
      </c>
      <c r="Z39" s="84">
        <f t="shared" si="31"/>
        <v>496</v>
      </c>
      <c r="AA39" s="80">
        <f t="shared" si="31"/>
        <v>47</v>
      </c>
      <c r="AB39" s="80">
        <f t="shared" si="31"/>
        <v>47</v>
      </c>
      <c r="AC39" s="80">
        <f t="shared" si="31"/>
        <v>26</v>
      </c>
      <c r="AD39" s="80"/>
      <c r="AE39" s="85">
        <f>AE21+AE28+AE34</f>
        <v>31</v>
      </c>
    </row>
    <row r="40" spans="1:31" x14ac:dyDescent="0.2">
      <c r="A40" s="135" t="s">
        <v>93</v>
      </c>
      <c r="B40" s="77">
        <f>SUM(B38:B39)</f>
        <v>377165.89397999994</v>
      </c>
      <c r="C40" s="80">
        <f>SUM(C38:C39)</f>
        <v>35062.027999999998</v>
      </c>
      <c r="D40" s="80">
        <f>SUM(D38:D39)</f>
        <v>35062.027999999998</v>
      </c>
      <c r="E40" s="80">
        <f>SUM(E38:E39)</f>
        <v>19737</v>
      </c>
      <c r="F40" s="92"/>
      <c r="G40" s="85">
        <f>SUM(G38:G39)</f>
        <v>23815</v>
      </c>
      <c r="H40" s="77">
        <f>SUM(H38:H39)</f>
        <v>368106.21331268683</v>
      </c>
      <c r="I40" s="80">
        <f>SUM(I38:I39)</f>
        <v>34219.134274794</v>
      </c>
      <c r="J40" s="80">
        <f>SUM(J38:J39)</f>
        <v>34219.134274794</v>
      </c>
      <c r="K40" s="80">
        <f>SUM(K38:K39)</f>
        <v>19238</v>
      </c>
      <c r="L40" s="92"/>
      <c r="M40" s="85">
        <f>SUM(M38:M39)</f>
        <v>23243</v>
      </c>
      <c r="N40" s="77">
        <f>SUM(N38:N39)</f>
        <v>354394.31033999997</v>
      </c>
      <c r="O40" s="80">
        <f>SUM(O38:O39)</f>
        <v>32944.323999999993</v>
      </c>
      <c r="P40" s="80">
        <f>SUM(P38:P39)</f>
        <v>32944.323999999993</v>
      </c>
      <c r="Q40" s="80">
        <f>SUM(Q38:Q39)</f>
        <v>18499</v>
      </c>
      <c r="R40" s="92"/>
      <c r="S40" s="85">
        <f>SUM(S38:S39)</f>
        <v>22378</v>
      </c>
      <c r="T40" s="77">
        <f>SUM(T38:T39)</f>
        <v>342347.20837000001</v>
      </c>
      <c r="U40" s="80">
        <f>SUM(U38:U39)</f>
        <v>31824.181999999997</v>
      </c>
      <c r="V40" s="80">
        <f>SUM(V38:V39)</f>
        <v>31824.181999999997</v>
      </c>
      <c r="W40" s="80">
        <f>SUM(W38:W39)</f>
        <v>17848</v>
      </c>
      <c r="X40" s="92"/>
      <c r="Y40" s="85">
        <f>SUM(Y38:Y39)</f>
        <v>21615</v>
      </c>
      <c r="Z40" s="77">
        <f>SUM(Z38:Z39)</f>
        <v>330590.22783999995</v>
      </c>
      <c r="AA40" s="80">
        <f>SUM(AA38:AA39)</f>
        <v>30732.823999999997</v>
      </c>
      <c r="AB40" s="80">
        <f>SUM(AB38:AB39)</f>
        <v>30732.823999999997</v>
      </c>
      <c r="AC40" s="80">
        <f>SUM(AC38:AC39)</f>
        <v>17212</v>
      </c>
      <c r="AD40" s="92"/>
      <c r="AE40" s="85">
        <f>SUM(AE38:AE39)</f>
        <v>20874</v>
      </c>
    </row>
    <row r="41" spans="1:31" x14ac:dyDescent="0.2">
      <c r="B41" s="93"/>
    </row>
  </sheetData>
  <printOptions horizontalCentered="1"/>
  <pageMargins left="0.35" right="0.35" top="0.75" bottom="0.35" header="0.5" footer="0.2"/>
  <pageSetup scale="91" orientation="landscape" blackAndWhite="1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G607"/>
  <sheetViews>
    <sheetView topLeftCell="H1" zoomScale="70" zoomScaleNormal="70" workbookViewId="0">
      <selection activeCell="AG1" sqref="AG1:AG1048576"/>
    </sheetView>
  </sheetViews>
  <sheetFormatPr defaultColWidth="9.140625" defaultRowHeight="12.75" x14ac:dyDescent="0.2"/>
  <cols>
    <col min="1" max="1" width="42.85546875" style="50" customWidth="1"/>
    <col min="2" max="5" width="12.7109375" style="50" customWidth="1"/>
    <col min="6" max="6" width="14.7109375" style="50" customWidth="1"/>
    <col min="7" max="7" width="11.7109375" style="50" customWidth="1"/>
    <col min="8" max="11" width="12.7109375" style="50" customWidth="1"/>
    <col min="12" max="12" width="14.7109375" style="50" customWidth="1"/>
    <col min="13" max="13" width="11.7109375" style="50" customWidth="1"/>
    <col min="14" max="17" width="12.7109375" style="50" customWidth="1"/>
    <col min="18" max="18" width="14.7109375" style="50" customWidth="1"/>
    <col min="19" max="19" width="11.7109375" style="50" customWidth="1"/>
    <col min="20" max="23" width="12.7109375" style="50" customWidth="1"/>
    <col min="24" max="24" width="14.7109375" style="50" customWidth="1"/>
    <col min="25" max="25" width="11.7109375" style="50" customWidth="1"/>
    <col min="26" max="29" width="12.7109375" style="50" customWidth="1"/>
    <col min="30" max="30" width="14.7109375" style="50" customWidth="1"/>
    <col min="31" max="31" width="11.7109375" style="50" customWidth="1"/>
    <col min="32" max="32" width="9.140625" style="50"/>
    <col min="33" max="33" width="28.5703125" style="50" customWidth="1"/>
    <col min="34" max="16384" width="9.140625" style="50"/>
  </cols>
  <sheetData>
    <row r="1" spans="1:33" x14ac:dyDescent="0.2">
      <c r="A1" s="49" t="s">
        <v>0</v>
      </c>
      <c r="G1" s="52" t="str">
        <f>'Retail Sales Base Case'!G1</f>
        <v>2022 Master Estimate</v>
      </c>
    </row>
    <row r="2" spans="1:33" x14ac:dyDescent="0.2">
      <c r="A2" s="49" t="s">
        <v>18</v>
      </c>
      <c r="G2" s="5">
        <f ca="1">'Retail Sales Base Case'!G2</f>
        <v>44852.574980324076</v>
      </c>
    </row>
    <row r="3" spans="1:33" x14ac:dyDescent="0.2">
      <c r="A3" s="49" t="s">
        <v>1</v>
      </c>
    </row>
    <row r="4" spans="1:33" x14ac:dyDescent="0.2">
      <c r="A4" s="49" t="s">
        <v>2</v>
      </c>
    </row>
    <row r="5" spans="1:33" x14ac:dyDescent="0.2">
      <c r="A5" s="49" t="s">
        <v>3</v>
      </c>
      <c r="B5" s="53" t="str">
        <f>'Retail Sales Base Case'!B5</f>
        <v>FY 2023</v>
      </c>
      <c r="C5" s="54"/>
      <c r="D5" s="54"/>
      <c r="E5" s="54"/>
      <c r="F5" s="54"/>
      <c r="G5" s="55"/>
      <c r="H5" s="53" t="str">
        <f>'Retail Sales Base Case'!H5</f>
        <v>FY 2024</v>
      </c>
      <c r="I5" s="54"/>
      <c r="J5" s="54"/>
      <c r="K5" s="54"/>
      <c r="L5" s="54"/>
      <c r="M5" s="55"/>
      <c r="N5" s="53" t="str">
        <f>'Retail Sales Base Case'!N5</f>
        <v>FY 2025</v>
      </c>
      <c r="O5" s="54"/>
      <c r="P5" s="54"/>
      <c r="Q5" s="54"/>
      <c r="R5" s="54"/>
      <c r="S5" s="55"/>
      <c r="T5" s="53" t="str">
        <f>'Retail Sales Base Case'!T5</f>
        <v>FY 2026</v>
      </c>
      <c r="U5" s="54"/>
      <c r="V5" s="54"/>
      <c r="W5" s="54"/>
      <c r="X5" s="54"/>
      <c r="Y5" s="55"/>
      <c r="Z5" s="53" t="str">
        <f>'Retail Sales Base Case'!Z5</f>
        <v>FY 2027</v>
      </c>
      <c r="AA5" s="54"/>
      <c r="AB5" s="54"/>
      <c r="AC5" s="54"/>
      <c r="AD5" s="54"/>
      <c r="AE5" s="55"/>
    </row>
    <row r="6" spans="1:33" x14ac:dyDescent="0.2">
      <c r="A6" s="50" t="s">
        <v>4</v>
      </c>
      <c r="B6" s="94">
        <f>'Retail Sales Base Case'!B6</f>
        <v>1.5E-3</v>
      </c>
      <c r="C6" s="57"/>
      <c r="D6" s="57"/>
      <c r="E6" s="57"/>
      <c r="F6" s="57"/>
      <c r="G6" s="58"/>
      <c r="H6" s="56">
        <f>B6</f>
        <v>1.5E-3</v>
      </c>
      <c r="I6" s="57"/>
      <c r="J6" s="57"/>
      <c r="K6" s="57"/>
      <c r="L6" s="57"/>
      <c r="M6" s="58"/>
      <c r="N6" s="56">
        <f>H6</f>
        <v>1.5E-3</v>
      </c>
      <c r="O6" s="57"/>
      <c r="P6" s="57"/>
      <c r="Q6" s="57"/>
      <c r="R6" s="57"/>
      <c r="S6" s="58"/>
      <c r="T6" s="56">
        <f>N6</f>
        <v>1.5E-3</v>
      </c>
      <c r="U6" s="57"/>
      <c r="V6" s="57"/>
      <c r="W6" s="57"/>
      <c r="X6" s="57"/>
      <c r="Y6" s="58"/>
      <c r="Z6" s="56">
        <f>T6</f>
        <v>1.5E-3</v>
      </c>
      <c r="AA6" s="57"/>
      <c r="AB6" s="57"/>
      <c r="AC6" s="57"/>
      <c r="AD6" s="57"/>
      <c r="AE6" s="58"/>
    </row>
    <row r="7" spans="1:33" x14ac:dyDescent="0.2">
      <c r="A7" s="49"/>
      <c r="B7" s="59"/>
      <c r="C7" s="51"/>
      <c r="D7" s="51"/>
      <c r="E7" s="51"/>
      <c r="F7" s="51"/>
      <c r="G7" s="60"/>
      <c r="H7" s="59"/>
      <c r="I7" s="51"/>
      <c r="J7" s="51"/>
      <c r="K7" s="51"/>
      <c r="L7" s="51"/>
      <c r="M7" s="60"/>
      <c r="N7" s="59"/>
      <c r="O7" s="51"/>
      <c r="P7" s="51"/>
      <c r="Q7" s="51"/>
      <c r="R7" s="51"/>
      <c r="S7" s="60"/>
      <c r="T7" s="59"/>
      <c r="U7" s="51"/>
      <c r="V7" s="51"/>
      <c r="W7" s="51"/>
      <c r="X7" s="51"/>
      <c r="Y7" s="60"/>
      <c r="Z7" s="59"/>
      <c r="AA7" s="51"/>
      <c r="AB7" s="51"/>
      <c r="AC7" s="51"/>
      <c r="AD7" s="51"/>
      <c r="AE7" s="60"/>
    </row>
    <row r="8" spans="1:33" x14ac:dyDescent="0.2">
      <c r="B8" s="61" t="s">
        <v>5</v>
      </c>
      <c r="C8" s="51"/>
      <c r="D8" s="51"/>
      <c r="E8" s="51"/>
      <c r="F8" s="51"/>
      <c r="G8" s="60"/>
      <c r="H8" s="61" t="s">
        <v>5</v>
      </c>
      <c r="I8" s="51"/>
      <c r="J8" s="51"/>
      <c r="K8" s="51"/>
      <c r="L8" s="51"/>
      <c r="M8" s="60"/>
      <c r="N8" s="61" t="s">
        <v>5</v>
      </c>
      <c r="O8" s="51"/>
      <c r="P8" s="51"/>
      <c r="Q8" s="51"/>
      <c r="R8" s="51"/>
      <c r="S8" s="60"/>
      <c r="T8" s="61" t="s">
        <v>5</v>
      </c>
      <c r="U8" s="51"/>
      <c r="V8" s="51"/>
      <c r="W8" s="51"/>
      <c r="X8" s="51"/>
      <c r="Y8" s="60"/>
      <c r="Z8" s="61" t="s">
        <v>5</v>
      </c>
      <c r="AA8" s="51"/>
      <c r="AB8" s="51"/>
      <c r="AC8" s="51"/>
      <c r="AD8" s="51"/>
      <c r="AE8" s="60"/>
    </row>
    <row r="9" spans="1:33" x14ac:dyDescent="0.2">
      <c r="B9" s="11" t="s">
        <v>240</v>
      </c>
      <c r="C9" s="51"/>
      <c r="D9" s="51"/>
      <c r="E9" s="51"/>
      <c r="F9" s="51"/>
      <c r="G9" s="60"/>
      <c r="H9" s="11" t="s">
        <v>240</v>
      </c>
      <c r="I9" s="51"/>
      <c r="J9" s="51"/>
      <c r="K9" s="51"/>
      <c r="L9" s="51"/>
      <c r="M9" s="60"/>
      <c r="N9" s="11" t="s">
        <v>240</v>
      </c>
      <c r="O9" s="51"/>
      <c r="P9" s="51"/>
      <c r="Q9" s="51"/>
      <c r="R9" s="51"/>
      <c r="S9" s="60"/>
      <c r="T9" s="11" t="s">
        <v>240</v>
      </c>
      <c r="U9" s="51"/>
      <c r="V9" s="51"/>
      <c r="W9" s="51"/>
      <c r="X9" s="51"/>
      <c r="Y9" s="60"/>
      <c r="Z9" s="11" t="s">
        <v>240</v>
      </c>
      <c r="AA9" s="51"/>
      <c r="AB9" s="51"/>
      <c r="AC9" s="51"/>
      <c r="AD9" s="51"/>
      <c r="AE9" s="60"/>
    </row>
    <row r="10" spans="1:33" x14ac:dyDescent="0.2">
      <c r="B10" s="59"/>
      <c r="C10" s="51"/>
      <c r="D10" s="51"/>
      <c r="E10" s="51"/>
      <c r="F10" s="62"/>
      <c r="G10" s="60"/>
      <c r="H10" s="59"/>
      <c r="I10" s="51"/>
      <c r="J10" s="51"/>
      <c r="K10" s="51"/>
      <c r="L10" s="62"/>
      <c r="M10" s="60"/>
      <c r="N10" s="59"/>
      <c r="O10" s="51"/>
      <c r="P10" s="51"/>
      <c r="Q10" s="51"/>
      <c r="R10" s="62"/>
      <c r="S10" s="60"/>
      <c r="T10" s="59"/>
      <c r="U10" s="51"/>
      <c r="V10" s="51"/>
      <c r="W10" s="51"/>
      <c r="X10" s="62"/>
      <c r="Y10" s="60"/>
      <c r="Z10" s="59"/>
      <c r="AA10" s="51"/>
      <c r="AB10" s="51"/>
      <c r="AC10" s="51"/>
      <c r="AD10" s="62"/>
      <c r="AE10" s="60"/>
    </row>
    <row r="11" spans="1:33" x14ac:dyDescent="0.2">
      <c r="A11" s="52" t="s">
        <v>7</v>
      </c>
      <c r="B11" s="95">
        <f>'Retail Sales Base Case'!B11</f>
        <v>1116</v>
      </c>
      <c r="C11" s="51"/>
      <c r="D11" s="51"/>
      <c r="E11" s="62" t="s">
        <v>6</v>
      </c>
      <c r="F11" s="66"/>
      <c r="G11" s="63" t="s">
        <v>6</v>
      </c>
      <c r="H11" s="96">
        <f>B11</f>
        <v>1116</v>
      </c>
      <c r="I11" s="51"/>
      <c r="J11" s="51"/>
      <c r="K11" s="62" t="s">
        <v>6</v>
      </c>
      <c r="L11" s="66"/>
      <c r="M11" s="63" t="s">
        <v>6</v>
      </c>
      <c r="N11" s="96">
        <f>H11</f>
        <v>1116</v>
      </c>
      <c r="O11" s="51"/>
      <c r="P11" s="51"/>
      <c r="Q11" s="62" t="s">
        <v>6</v>
      </c>
      <c r="R11" s="66"/>
      <c r="S11" s="63" t="s">
        <v>6</v>
      </c>
      <c r="T11" s="96">
        <f>N11</f>
        <v>1116</v>
      </c>
      <c r="U11" s="51"/>
      <c r="V11" s="51"/>
      <c r="W11" s="62" t="s">
        <v>6</v>
      </c>
      <c r="X11" s="66"/>
      <c r="Y11" s="63" t="s">
        <v>6</v>
      </c>
      <c r="Z11" s="96">
        <f>T11</f>
        <v>1116</v>
      </c>
      <c r="AA11" s="51"/>
      <c r="AB11" s="51"/>
      <c r="AC11" s="62" t="s">
        <v>6</v>
      </c>
      <c r="AD11" s="66"/>
      <c r="AE11" s="63" t="s">
        <v>6</v>
      </c>
    </row>
    <row r="12" spans="1:33" x14ac:dyDescent="0.2">
      <c r="A12" s="52"/>
      <c r="B12" s="64"/>
      <c r="C12" s="51"/>
      <c r="D12" s="51"/>
      <c r="E12" s="62" t="s">
        <v>8</v>
      </c>
      <c r="F12" s="62"/>
      <c r="G12" s="63" t="s">
        <v>8</v>
      </c>
      <c r="H12" s="64"/>
      <c r="I12" s="51"/>
      <c r="J12" s="51"/>
      <c r="K12" s="62" t="s">
        <v>8</v>
      </c>
      <c r="L12" s="62"/>
      <c r="M12" s="63" t="s">
        <v>8</v>
      </c>
      <c r="N12" s="64"/>
      <c r="O12" s="51"/>
      <c r="P12" s="51"/>
      <c r="Q12" s="62" t="s">
        <v>8</v>
      </c>
      <c r="R12" s="62"/>
      <c r="S12" s="63" t="s">
        <v>8</v>
      </c>
      <c r="T12" s="64"/>
      <c r="U12" s="51"/>
      <c r="V12" s="51"/>
      <c r="W12" s="62" t="s">
        <v>8</v>
      </c>
      <c r="X12" s="62"/>
      <c r="Y12" s="63" t="s">
        <v>8</v>
      </c>
      <c r="Z12" s="64"/>
      <c r="AA12" s="51"/>
      <c r="AB12" s="51"/>
      <c r="AC12" s="62" t="s">
        <v>8</v>
      </c>
      <c r="AD12" s="62"/>
      <c r="AE12" s="63" t="s">
        <v>8</v>
      </c>
    </row>
    <row r="13" spans="1:33" x14ac:dyDescent="0.2">
      <c r="A13" s="52"/>
      <c r="B13" s="64"/>
      <c r="C13" s="51"/>
      <c r="D13" s="51"/>
      <c r="E13" s="66">
        <f>'Retail Sales Base Case'!E12</f>
        <v>2023</v>
      </c>
      <c r="F13" s="66"/>
      <c r="G13" s="67">
        <f>'Retail Sales Base Case'!G12</f>
        <v>2023</v>
      </c>
      <c r="H13" s="64"/>
      <c r="I13" s="51"/>
      <c r="J13" s="51"/>
      <c r="K13" s="66">
        <f>'Retail Sales Base Case'!K12</f>
        <v>2024</v>
      </c>
      <c r="L13" s="66"/>
      <c r="M13" s="67">
        <f>'Retail Sales Base Case'!M12</f>
        <v>2024</v>
      </c>
      <c r="N13" s="64"/>
      <c r="O13" s="51"/>
      <c r="P13" s="51"/>
      <c r="Q13" s="66">
        <f>'Retail Sales Base Case'!Q12</f>
        <v>2025</v>
      </c>
      <c r="R13" s="66"/>
      <c r="S13" s="67">
        <f>'Retail Sales Base Case'!S12</f>
        <v>2025</v>
      </c>
      <c r="T13" s="64"/>
      <c r="U13" s="51"/>
      <c r="V13" s="51"/>
      <c r="W13" s="66">
        <f>'Retail Sales Base Case'!W12</f>
        <v>2026</v>
      </c>
      <c r="X13" s="66"/>
      <c r="Y13" s="67">
        <f>'Retail Sales Base Case'!Y12</f>
        <v>2026</v>
      </c>
      <c r="Z13" s="64"/>
      <c r="AA13" s="51"/>
      <c r="AB13" s="51"/>
      <c r="AC13" s="66">
        <f>'Retail Sales Base Case'!AC12</f>
        <v>2027</v>
      </c>
      <c r="AD13" s="66"/>
      <c r="AE13" s="67">
        <f>'Retail Sales Base Case'!AE12</f>
        <v>2027</v>
      </c>
    </row>
    <row r="14" spans="1:33" x14ac:dyDescent="0.2">
      <c r="A14" s="52"/>
      <c r="B14" s="64"/>
      <c r="C14" s="97"/>
      <c r="D14" s="97"/>
      <c r="E14" s="171">
        <f>'Res Trans Base Case'!E12</f>
        <v>52</v>
      </c>
      <c r="F14" s="172" t="str">
        <f>'Res Trans Base Case'!F12</f>
        <v>MMT</v>
      </c>
      <c r="H14" s="64"/>
      <c r="I14" s="97"/>
      <c r="J14" s="97"/>
      <c r="K14" s="171">
        <f>'Res Trans Base Case'!K12</f>
        <v>52</v>
      </c>
      <c r="L14" s="172" t="str">
        <f>'Res Trans Base Case'!L12</f>
        <v>MMT</v>
      </c>
      <c r="N14" s="64"/>
      <c r="O14" s="97"/>
      <c r="P14" s="97"/>
      <c r="Q14" s="171">
        <f>'Res Trans Base Case'!Q12</f>
        <v>52</v>
      </c>
      <c r="R14" s="172" t="str">
        <f>'Res Trans Base Case'!R12</f>
        <v>MMT</v>
      </c>
      <c r="T14" s="64"/>
      <c r="U14" s="97"/>
      <c r="V14" s="97"/>
      <c r="W14" s="171">
        <f>'Res Trans Base Case'!W12</f>
        <v>52</v>
      </c>
      <c r="X14" s="172" t="str">
        <f>'Res Trans Base Case'!X12</f>
        <v>MMT</v>
      </c>
      <c r="Z14" s="64"/>
      <c r="AA14" s="97"/>
      <c r="AB14" s="97"/>
      <c r="AC14" s="171">
        <f>'Res Trans Base Case'!AC12</f>
        <v>52</v>
      </c>
      <c r="AD14" s="172" t="str">
        <f>'Res Trans Base Case'!AD12</f>
        <v>MMT</v>
      </c>
      <c r="AE14" s="60"/>
    </row>
    <row r="15" spans="1:33" x14ac:dyDescent="0.2">
      <c r="A15" s="50" t="s">
        <v>12</v>
      </c>
      <c r="B15" s="59"/>
      <c r="C15" s="66"/>
      <c r="D15" s="66"/>
      <c r="E15" s="62">
        <f>'Retail Sales Base Case'!E13</f>
        <v>62</v>
      </c>
      <c r="F15" s="173" t="str">
        <f>'Res Trans Base Case'!F13</f>
        <v>SATC</v>
      </c>
      <c r="G15" s="63">
        <f>'Retail Sales Base Case'!G13</f>
        <v>74</v>
      </c>
      <c r="H15" s="59"/>
      <c r="I15" s="66"/>
      <c r="J15" s="66"/>
      <c r="K15" s="62">
        <f>E15</f>
        <v>62</v>
      </c>
      <c r="L15" s="173" t="str">
        <f>'Res Trans Base Case'!L13</f>
        <v>SATC</v>
      </c>
      <c r="M15" s="63">
        <f>G15</f>
        <v>74</v>
      </c>
      <c r="N15" s="59"/>
      <c r="O15" s="66"/>
      <c r="P15" s="66"/>
      <c r="Q15" s="62">
        <f>K15</f>
        <v>62</v>
      </c>
      <c r="R15" s="173" t="str">
        <f>'Res Trans Base Case'!R13</f>
        <v>SATC</v>
      </c>
      <c r="S15" s="63">
        <f>M15</f>
        <v>74</v>
      </c>
      <c r="T15" s="59"/>
      <c r="U15" s="66"/>
      <c r="V15" s="66"/>
      <c r="W15" s="62">
        <f>Q15</f>
        <v>62</v>
      </c>
      <c r="X15" s="173" t="str">
        <f>'Res Trans Base Case'!X13</f>
        <v>SATC</v>
      </c>
      <c r="Y15" s="63">
        <f>S15</f>
        <v>74</v>
      </c>
      <c r="Z15" s="59"/>
      <c r="AA15" s="66"/>
      <c r="AB15" s="66"/>
      <c r="AC15" s="62">
        <f>W15</f>
        <v>62</v>
      </c>
      <c r="AD15" s="173" t="str">
        <f>'Res Trans Base Case'!AD13</f>
        <v>SATC</v>
      </c>
      <c r="AE15" s="63">
        <f>Y15</f>
        <v>74</v>
      </c>
    </row>
    <row r="16" spans="1:33" s="92" customFormat="1" x14ac:dyDescent="0.2">
      <c r="A16" s="68" t="s">
        <v>76</v>
      </c>
      <c r="B16" s="228">
        <f>'Retail Sales Base Case'!B14</f>
        <v>44927</v>
      </c>
      <c r="C16" s="229">
        <f>'Retail Sales Base Case'!C14</f>
        <v>45108</v>
      </c>
      <c r="D16" s="229">
        <f>'Retail Sales Base Case'!D14</f>
        <v>45139</v>
      </c>
      <c r="E16" s="230" t="s">
        <v>10</v>
      </c>
      <c r="F16" s="229"/>
      <c r="G16" s="231" t="s">
        <v>10</v>
      </c>
      <c r="H16" s="228">
        <f>'Retail Sales Base Case'!H14</f>
        <v>45293</v>
      </c>
      <c r="I16" s="229">
        <f>'Retail Sales Base Case'!I14</f>
        <v>45483</v>
      </c>
      <c r="J16" s="229">
        <f>'Retail Sales Base Case'!J14</f>
        <v>45514</v>
      </c>
      <c r="K16" s="230" t="s">
        <v>10</v>
      </c>
      <c r="L16" s="229"/>
      <c r="M16" s="231" t="s">
        <v>10</v>
      </c>
      <c r="N16" s="228">
        <f>'Retail Sales Base Case'!N14</f>
        <v>45668</v>
      </c>
      <c r="O16" s="229">
        <f>'Retail Sales Base Case'!O14</f>
        <v>45848</v>
      </c>
      <c r="P16" s="229">
        <f>'Retail Sales Base Case'!P14</f>
        <v>45879</v>
      </c>
      <c r="Q16" s="230" t="s">
        <v>10</v>
      </c>
      <c r="R16" s="229"/>
      <c r="S16" s="231" t="s">
        <v>10</v>
      </c>
      <c r="T16" s="228">
        <f>'Retail Sales Base Case'!T14</f>
        <v>46034</v>
      </c>
      <c r="U16" s="229">
        <f>'Retail Sales Base Case'!U14</f>
        <v>46214</v>
      </c>
      <c r="V16" s="229">
        <f>'Retail Sales Base Case'!V14</f>
        <v>46245</v>
      </c>
      <c r="W16" s="230" t="s">
        <v>10</v>
      </c>
      <c r="X16" s="229"/>
      <c r="Y16" s="231" t="s">
        <v>10</v>
      </c>
      <c r="Z16" s="228">
        <f>'Retail Sales Base Case'!Z14</f>
        <v>46399</v>
      </c>
      <c r="AA16" s="229">
        <f>'Retail Sales Base Case'!AA14</f>
        <v>46579</v>
      </c>
      <c r="AB16" s="229">
        <f>'Retail Sales Base Case'!AB14</f>
        <v>46610</v>
      </c>
      <c r="AC16" s="230" t="s">
        <v>10</v>
      </c>
      <c r="AD16" s="229"/>
      <c r="AE16" s="231" t="s">
        <v>10</v>
      </c>
      <c r="AG16" s="328" t="s">
        <v>364</v>
      </c>
    </row>
    <row r="17" spans="1:33" x14ac:dyDescent="0.2">
      <c r="A17" s="71" t="s">
        <v>78</v>
      </c>
      <c r="B17" s="69"/>
      <c r="C17" s="70"/>
      <c r="D17" s="70"/>
      <c r="E17" s="70"/>
      <c r="F17" s="70"/>
      <c r="G17" s="60"/>
      <c r="H17" s="69"/>
      <c r="I17" s="70"/>
      <c r="J17" s="70"/>
      <c r="K17" s="70"/>
      <c r="L17" s="70"/>
      <c r="M17" s="60"/>
      <c r="N17" s="69"/>
      <c r="O17" s="70"/>
      <c r="P17" s="70"/>
      <c r="Q17" s="70"/>
      <c r="R17" s="70"/>
      <c r="S17" s="60"/>
      <c r="T17" s="69"/>
      <c r="U17" s="70"/>
      <c r="V17" s="70"/>
      <c r="W17" s="70"/>
      <c r="X17" s="70"/>
      <c r="Y17" s="60"/>
      <c r="Z17" s="69"/>
      <c r="AA17" s="70"/>
      <c r="AB17" s="70"/>
      <c r="AC17" s="70"/>
      <c r="AD17" s="70"/>
      <c r="AE17" s="60"/>
    </row>
    <row r="18" spans="1:33" x14ac:dyDescent="0.2">
      <c r="A18" s="226" t="s">
        <v>232</v>
      </c>
      <c r="B18" s="214">
        <v>182.39946</v>
      </c>
      <c r="C18" s="215">
        <v>16.956</v>
      </c>
      <c r="D18" s="215">
        <v>16.956</v>
      </c>
      <c r="E18" s="75">
        <f>ROUND(((B18-((C18+D18)/62)*31)/$B$11*$E$14)+(C18+D18)/62,0)</f>
        <v>8</v>
      </c>
      <c r="F18" s="70"/>
      <c r="G18" s="76">
        <f>ROUND(((B18-((C18+D18)/62)*31)/$B$11*$G$15)+(C18+D18)/62,0)</f>
        <v>12</v>
      </c>
      <c r="H18" s="214">
        <v>183.22503411782426</v>
      </c>
      <c r="I18" s="215">
        <v>17.032746031714282</v>
      </c>
      <c r="J18" s="215">
        <v>17.032746031714282</v>
      </c>
      <c r="K18" s="75">
        <f>ROUND(((H18-((I18+J18)/62)*31)/$B$11*$E$14)+(I18+J18)/62,0)</f>
        <v>8</v>
      </c>
      <c r="L18" s="70"/>
      <c r="M18" s="76">
        <f>ROUND(((H18-((I18+J18)/62)*31)/$B$11*$G$15)+(I18+J18)/62,0)</f>
        <v>12</v>
      </c>
      <c r="N18" s="214">
        <v>182.39946</v>
      </c>
      <c r="O18" s="215">
        <v>16.956</v>
      </c>
      <c r="P18" s="215">
        <v>16.956</v>
      </c>
      <c r="Q18" s="75">
        <f>ROUND(((N18-((O18+P18)/62)*31)/$B$11*$E$14)+(O18+P18)/62,0)</f>
        <v>8</v>
      </c>
      <c r="R18" s="70"/>
      <c r="S18" s="76">
        <f>ROUND(((N18-((O18+P18)/62)*31)/$B$11*$G$15)+(O18+P18)/62,0)</f>
        <v>12</v>
      </c>
      <c r="T18" s="214">
        <v>182.39946</v>
      </c>
      <c r="U18" s="215">
        <v>16.956</v>
      </c>
      <c r="V18" s="215">
        <v>16.956</v>
      </c>
      <c r="W18" s="75">
        <f>ROUND(((T18-((U18+V18)/62)*31)/$B$11*$E$14)+(U18+V18)/62,0)</f>
        <v>8</v>
      </c>
      <c r="X18" s="70"/>
      <c r="Y18" s="76">
        <f>ROUND(((T18-((U18+V18)/62)*31)/$B$11*$G$15)+(U18+V18)/62,0)</f>
        <v>12</v>
      </c>
      <c r="Z18" s="214">
        <v>182.39946</v>
      </c>
      <c r="AA18" s="215">
        <v>16.956</v>
      </c>
      <c r="AB18" s="215">
        <v>16.956</v>
      </c>
      <c r="AC18" s="75">
        <f>ROUND(((Z18-((AA18+AB18)/62)*31)/$B$11*$E$14)+(AA18+AB18)/62,0)</f>
        <v>8</v>
      </c>
      <c r="AD18" s="70"/>
      <c r="AE18" s="76">
        <f>ROUND(((Z18-((AA18+AB18)/62)*31)/$B$11*$G$15)+(AA18+AB18)/62,0)</f>
        <v>12</v>
      </c>
      <c r="AG18" s="50" t="s">
        <v>287</v>
      </c>
    </row>
    <row r="19" spans="1:33" x14ac:dyDescent="0.2">
      <c r="A19" s="72" t="s">
        <v>95</v>
      </c>
      <c r="B19" s="214">
        <v>27811.0769</v>
      </c>
      <c r="C19" s="215">
        <v>2585.3399999999997</v>
      </c>
      <c r="D19" s="215">
        <v>2585.3399999999997</v>
      </c>
      <c r="E19" s="75">
        <f>ROUND(((B19-((C19+D19)/62)*31)/$B$11*$E$14)+(C19+D19)/62,0)</f>
        <v>1259</v>
      </c>
      <c r="F19" s="70"/>
      <c r="G19" s="76">
        <f>ROUND(((B19-((C19+D19)/62)*31)/$B$11*$G$15)+(C19+D19)/62,0)</f>
        <v>1756</v>
      </c>
      <c r="H19" s="214">
        <v>29451.996822910376</v>
      </c>
      <c r="I19" s="215">
        <v>2737.8812312781424</v>
      </c>
      <c r="J19" s="215">
        <v>2737.8812312781424</v>
      </c>
      <c r="K19" s="75">
        <f>ROUND(((H19-((I19+J19)/62)*31)/$B$11*$E$14)+(I19+J19)/62,0)</f>
        <v>1333</v>
      </c>
      <c r="L19" s="70"/>
      <c r="M19" s="76">
        <f>ROUND(((H19-((I19+J19)/62)*31)/$B$11*$G$15)+(I19+J19)/62,0)</f>
        <v>1860</v>
      </c>
      <c r="N19" s="214">
        <v>30651.629000000001</v>
      </c>
      <c r="O19" s="215">
        <v>2849.3999999999996</v>
      </c>
      <c r="P19" s="215">
        <v>2849.3999999999996</v>
      </c>
      <c r="Q19" s="75">
        <f>ROUND(((N19-((O19+P19)/62)*31)/$B$11*$E$14)+(O19+P19)/62,0)</f>
        <v>1387</v>
      </c>
      <c r="R19" s="70"/>
      <c r="S19" s="76">
        <f>ROUND(((N19-((O19+P19)/62)*31)/$B$11*$G$15)+(O19+P19)/62,0)</f>
        <v>1935</v>
      </c>
      <c r="T19" s="214">
        <v>32029.500079999998</v>
      </c>
      <c r="U19" s="215">
        <v>2977.4879999999998</v>
      </c>
      <c r="V19" s="215">
        <v>2977.4879999999998</v>
      </c>
      <c r="W19" s="75">
        <f>ROUND(((T19-((U19+V19)/62)*31)/$B$11*$E$14)+(U19+V19)/62,0)</f>
        <v>1450</v>
      </c>
      <c r="X19" s="70"/>
      <c r="Y19" s="76">
        <f>ROUND(((T19-((U19+V19)/62)*31)/$B$11*$G$15)+(U19+V19)/62,0)</f>
        <v>2022</v>
      </c>
      <c r="Z19" s="214">
        <v>33401.949520000002</v>
      </c>
      <c r="AA19" s="215">
        <v>3105.0719999999997</v>
      </c>
      <c r="AB19" s="215">
        <v>3105.0719999999997</v>
      </c>
      <c r="AC19" s="75">
        <f>ROUND(((Z19-((AA19+AB19)/62)*31)/$B$11*$E$14)+(AA19+AB19)/62,0)</f>
        <v>1512</v>
      </c>
      <c r="AD19" s="70"/>
      <c r="AE19" s="76">
        <f>ROUND(((Z19-((AA19+AB19)/62)*31)/$B$11*$G$15)+(AA19+AB19)/62,0)</f>
        <v>2109</v>
      </c>
      <c r="AG19" s="50" t="s">
        <v>294</v>
      </c>
    </row>
    <row r="20" spans="1:33" x14ac:dyDescent="0.2">
      <c r="A20" s="72" t="s">
        <v>96</v>
      </c>
      <c r="B20" s="214">
        <v>127539.82114</v>
      </c>
      <c r="C20" s="215">
        <v>11856.204</v>
      </c>
      <c r="D20" s="215">
        <v>11856.204</v>
      </c>
      <c r="E20" s="75">
        <f>ROUND(((B20-((C20+D20)/62)*31)/$B$11*$E$14)+(C20+D20)/62,0)</f>
        <v>5773</v>
      </c>
      <c r="F20" s="82"/>
      <c r="G20" s="76">
        <f>ROUND(((B20-((C20+D20)/62)*31)/$B$11*$G$15)+(C20+D20)/62,0)</f>
        <v>8053</v>
      </c>
      <c r="H20" s="214">
        <v>135377.15932145936</v>
      </c>
      <c r="I20" s="215">
        <v>12584.769239199857</v>
      </c>
      <c r="J20" s="215">
        <v>12584.769239199857</v>
      </c>
      <c r="K20" s="75">
        <f>ROUND(((H20-((I20+J20)/62)*31)/$B$11*$E$14)+(I20+J20)/62,0)</f>
        <v>6127</v>
      </c>
      <c r="L20" s="82"/>
      <c r="M20" s="76">
        <f>ROUND(((H20-((I20+J20)/62)*31)/$B$11*$G$15)+(I20+J20)/62,0)</f>
        <v>8548</v>
      </c>
      <c r="N20" s="214">
        <v>141589.03305</v>
      </c>
      <c r="O20" s="215">
        <v>13162.23</v>
      </c>
      <c r="P20" s="215">
        <v>13162.23</v>
      </c>
      <c r="Q20" s="75">
        <f>ROUND(((N20-((O20+P20)/62)*31)/$B$11*$E$14)+(O20+P20)/62,0)</f>
        <v>6409</v>
      </c>
      <c r="R20" s="82"/>
      <c r="S20" s="76">
        <f>ROUND(((N20-((O20+P20)/62)*31)/$B$11*$G$15)+(O20+P20)/62,0)</f>
        <v>8940</v>
      </c>
      <c r="T20" s="214">
        <v>148667.1777</v>
      </c>
      <c r="U20" s="215">
        <v>13820.22</v>
      </c>
      <c r="V20" s="215">
        <v>13820.22</v>
      </c>
      <c r="W20" s="75">
        <f>ROUND(((T20-((U20+V20)/62)*31)/$B$11*$E$14)+(U20+V20)/62,0)</f>
        <v>6729</v>
      </c>
      <c r="X20" s="82"/>
      <c r="Y20" s="76">
        <f>ROUND(((T20-((U20+V20)/62)*31)/$B$11*$G$15)+(U20+V20)/62,0)</f>
        <v>9387</v>
      </c>
      <c r="Z20" s="214">
        <v>155806.70306</v>
      </c>
      <c r="AA20" s="215">
        <v>14483.915999999999</v>
      </c>
      <c r="AB20" s="215">
        <v>14483.915999999999</v>
      </c>
      <c r="AC20" s="75">
        <f>ROUND(((Z20-((AA20+AB20)/62)*31)/$B$11*$E$14)+(AA20+AB20)/62,0)</f>
        <v>7052</v>
      </c>
      <c r="AD20" s="82"/>
      <c r="AE20" s="76">
        <f>ROUND(((Z20-((AA20+AB20)/62)*31)/$B$11*$G$15)+(AA20+AB20)/62,0)</f>
        <v>9838</v>
      </c>
      <c r="AG20" s="50" t="s">
        <v>301</v>
      </c>
    </row>
    <row r="21" spans="1:33" x14ac:dyDescent="0.2">
      <c r="A21" s="68" t="s">
        <v>97</v>
      </c>
      <c r="B21" s="216">
        <v>567360.29738</v>
      </c>
      <c r="C21" s="217">
        <v>52742.267999999996</v>
      </c>
      <c r="D21" s="217">
        <v>52742.267999999996</v>
      </c>
      <c r="E21" s="79">
        <f>ROUND(((B21-((C21+D21)/62)*31)/$B$11*$E$14)+(C21+D21)/62,0)</f>
        <v>25680</v>
      </c>
      <c r="F21" s="80"/>
      <c r="G21" s="81">
        <f>ROUND(((B21-((C21+D21)/62)*31)/$B$11*$G$15)+(C21+D21)/62,0)</f>
        <v>35825</v>
      </c>
      <c r="H21" s="216">
        <v>581486.20749047084</v>
      </c>
      <c r="I21" s="217">
        <v>54055.423926191572</v>
      </c>
      <c r="J21" s="217">
        <v>54055.423926191572</v>
      </c>
      <c r="K21" s="79">
        <f>ROUND(((H21-((I21+J21)/62)*31)/$B$11*$E$14)+(I21+J21)/62,0)</f>
        <v>26319</v>
      </c>
      <c r="L21" s="80"/>
      <c r="M21" s="81">
        <f>ROUND(((H21-((I21+J21)/62)*31)/$B$11*$G$15)+(I21+J21)/62,0)</f>
        <v>36717</v>
      </c>
      <c r="N21" s="216">
        <v>589548.55270999996</v>
      </c>
      <c r="O21" s="217">
        <v>54804.905999999995</v>
      </c>
      <c r="P21" s="217">
        <v>54804.905999999995</v>
      </c>
      <c r="Q21" s="79">
        <f>ROUND(((N21-((O21+P21)/62)*31)/$B$11*$E$14)+(O21+P21)/62,0)</f>
        <v>26684</v>
      </c>
      <c r="R21" s="80"/>
      <c r="S21" s="81">
        <f>ROUND(((N21-((O21+P21)/62)*31)/$B$11*$G$15)+(O21+P21)/62,0)</f>
        <v>37226</v>
      </c>
      <c r="T21" s="216">
        <v>600517.88584</v>
      </c>
      <c r="U21" s="217">
        <v>55824.623999999996</v>
      </c>
      <c r="V21" s="217">
        <v>55824.623999999996</v>
      </c>
      <c r="W21" s="79">
        <f>ROUND(((T21-((U21+V21)/62)*31)/$B$11*$E$14)+(U21+V21)/62,0)</f>
        <v>27181</v>
      </c>
      <c r="X21" s="80"/>
      <c r="Y21" s="81">
        <f>ROUND(((T21-((U21+V21)/62)*31)/$B$11*$G$15)+(U21+V21)/62,0)</f>
        <v>37918</v>
      </c>
      <c r="Z21" s="216">
        <v>612128.71516000002</v>
      </c>
      <c r="AA21" s="217">
        <v>56903.975999999995</v>
      </c>
      <c r="AB21" s="217">
        <v>56903.975999999995</v>
      </c>
      <c r="AC21" s="79">
        <f>ROUND(((Z21-((AA21+AB21)/62)*31)/$B$11*$E$14)+(AA21+AB21)/62,0)</f>
        <v>27706</v>
      </c>
      <c r="AD21" s="80"/>
      <c r="AE21" s="81">
        <f>ROUND(((Z21-((AA21+AB21)/62)*31)/$B$11*$G$15)+(AA21+AB21)/62,0)</f>
        <v>38652</v>
      </c>
      <c r="AG21" s="50" t="s">
        <v>362</v>
      </c>
    </row>
    <row r="22" spans="1:33" x14ac:dyDescent="0.2">
      <c r="A22" s="71" t="s">
        <v>98</v>
      </c>
      <c r="B22" s="73">
        <f>SUM(B18:B21)</f>
        <v>722893.59487999999</v>
      </c>
      <c r="C22" s="82">
        <f>SUM(C18:C21)</f>
        <v>67200.767999999996</v>
      </c>
      <c r="D22" s="82">
        <f t="shared" ref="D22:E22" si="0">SUM(D18:D21)</f>
        <v>67200.767999999996</v>
      </c>
      <c r="E22" s="82">
        <f t="shared" si="0"/>
        <v>32720</v>
      </c>
      <c r="F22" s="82"/>
      <c r="G22" s="83">
        <f>SUM(G18:G21)</f>
        <v>45646</v>
      </c>
      <c r="H22" s="73">
        <f>SUM(H18:H21)</f>
        <v>746498.5886689584</v>
      </c>
      <c r="I22" s="82">
        <f>SUM(I18:I21)</f>
        <v>69395.107142701279</v>
      </c>
      <c r="J22" s="82">
        <f t="shared" ref="J22" si="1">SUM(J18:J21)</f>
        <v>69395.107142701279</v>
      </c>
      <c r="K22" s="82">
        <f t="shared" ref="K22" si="2">SUM(K18:K21)</f>
        <v>33787</v>
      </c>
      <c r="L22" s="82"/>
      <c r="M22" s="83">
        <f>SUM(M18:M21)</f>
        <v>47137</v>
      </c>
      <c r="N22" s="73">
        <f>SUM(N18:N21)</f>
        <v>761971.61421999999</v>
      </c>
      <c r="O22" s="82">
        <f>SUM(O18:O21)</f>
        <v>70833.491999999998</v>
      </c>
      <c r="P22" s="82">
        <f t="shared" ref="P22" si="3">SUM(P18:P21)</f>
        <v>70833.491999999998</v>
      </c>
      <c r="Q22" s="82">
        <f t="shared" ref="Q22" si="4">SUM(Q18:Q21)</f>
        <v>34488</v>
      </c>
      <c r="R22" s="82"/>
      <c r="S22" s="83">
        <f>SUM(S18:S21)</f>
        <v>48113</v>
      </c>
      <c r="T22" s="73">
        <f>SUM(T18:T21)</f>
        <v>781396.96308000002</v>
      </c>
      <c r="U22" s="82">
        <f>SUM(U18:U21)</f>
        <v>72639.288</v>
      </c>
      <c r="V22" s="82">
        <f t="shared" ref="V22" si="5">SUM(V18:V21)</f>
        <v>72639.288</v>
      </c>
      <c r="W22" s="82">
        <f t="shared" ref="W22" si="6">SUM(W18:W21)</f>
        <v>35368</v>
      </c>
      <c r="X22" s="82"/>
      <c r="Y22" s="83">
        <f>SUM(Y18:Y21)</f>
        <v>49339</v>
      </c>
      <c r="Z22" s="73">
        <f>SUM(Z18:Z21)</f>
        <v>801519.7672</v>
      </c>
      <c r="AA22" s="82">
        <f>SUM(AA18:AA21)</f>
        <v>74509.919999999998</v>
      </c>
      <c r="AB22" s="82">
        <f t="shared" ref="AB22" si="7">SUM(AB18:AB21)</f>
        <v>74509.919999999998</v>
      </c>
      <c r="AC22" s="82">
        <f t="shared" ref="AC22" si="8">SUM(AC18:AC21)</f>
        <v>36278</v>
      </c>
      <c r="AD22" s="82"/>
      <c r="AE22" s="83">
        <f>SUM(AE18:AE21)</f>
        <v>50611</v>
      </c>
    </row>
    <row r="23" spans="1:33" x14ac:dyDescent="0.2">
      <c r="A23" s="68" t="s">
        <v>99</v>
      </c>
      <c r="B23" s="84">
        <f>ROUND(B22/((1-$B$6))-B22,0)</f>
        <v>1086</v>
      </c>
      <c r="C23" s="80">
        <f t="shared" ref="C23:G23" si="9">ROUND(C22/((1-$B$6))-C22,0)</f>
        <v>101</v>
      </c>
      <c r="D23" s="80">
        <f t="shared" si="9"/>
        <v>101</v>
      </c>
      <c r="E23" s="80">
        <f>ROUND(E22/((1-$B$6))-E22,0)</f>
        <v>49</v>
      </c>
      <c r="F23" s="80"/>
      <c r="G23" s="85">
        <f t="shared" si="9"/>
        <v>69</v>
      </c>
      <c r="H23" s="84">
        <f>ROUND(H22/((1-$B$6))-H22,0)</f>
        <v>1121</v>
      </c>
      <c r="I23" s="80">
        <f t="shared" ref="I23:K23" si="10">ROUND(I22/((1-$B$6))-I22,0)</f>
        <v>104</v>
      </c>
      <c r="J23" s="80">
        <f t="shared" si="10"/>
        <v>104</v>
      </c>
      <c r="K23" s="80">
        <f t="shared" si="10"/>
        <v>51</v>
      </c>
      <c r="L23" s="80"/>
      <c r="M23" s="85">
        <f t="shared" ref="M23" si="11">ROUND(M22/((1-$B$6))-M22,0)</f>
        <v>71</v>
      </c>
      <c r="N23" s="84">
        <f>ROUND(N22/((1-$B$6))-N22,0)</f>
        <v>1145</v>
      </c>
      <c r="O23" s="80">
        <f t="shared" ref="O23:Q23" si="12">ROUND(O22/((1-$B$6))-O22,0)</f>
        <v>106</v>
      </c>
      <c r="P23" s="80">
        <f t="shared" si="12"/>
        <v>106</v>
      </c>
      <c r="Q23" s="80">
        <f t="shared" si="12"/>
        <v>52</v>
      </c>
      <c r="R23" s="80"/>
      <c r="S23" s="85">
        <f t="shared" ref="S23" si="13">ROUND(S22/((1-$B$6))-S22,0)</f>
        <v>72</v>
      </c>
      <c r="T23" s="84">
        <f>ROUND(T22/((1-$B$6))-T22,0)</f>
        <v>1174</v>
      </c>
      <c r="U23" s="80">
        <f t="shared" ref="U23:W23" si="14">ROUND(U22/((1-$B$6))-U22,0)</f>
        <v>109</v>
      </c>
      <c r="V23" s="80">
        <f t="shared" si="14"/>
        <v>109</v>
      </c>
      <c r="W23" s="80">
        <f t="shared" si="14"/>
        <v>53</v>
      </c>
      <c r="X23" s="80"/>
      <c r="Y23" s="85">
        <f t="shared" ref="Y23" si="15">ROUND(Y22/((1-$B$6))-Y22,0)</f>
        <v>74</v>
      </c>
      <c r="Z23" s="84">
        <f>ROUND(Z22/((1-$B$6))-Z22,0)</f>
        <v>1204</v>
      </c>
      <c r="AA23" s="80">
        <f t="shared" ref="AA23:AC23" si="16">ROUND(AA22/((1-$B$6))-AA22,0)</f>
        <v>112</v>
      </c>
      <c r="AB23" s="80">
        <f t="shared" si="16"/>
        <v>112</v>
      </c>
      <c r="AC23" s="80">
        <f t="shared" si="16"/>
        <v>54</v>
      </c>
      <c r="AD23" s="80"/>
      <c r="AE23" s="85">
        <f t="shared" ref="AE23" si="17">ROUND(AE22/((1-$B$6))-AE22,0)</f>
        <v>76</v>
      </c>
    </row>
    <row r="24" spans="1:33" x14ac:dyDescent="0.2">
      <c r="A24" s="71" t="s">
        <v>100</v>
      </c>
      <c r="B24" s="73">
        <f>SUM(B22:B23)</f>
        <v>723979.59487999999</v>
      </c>
      <c r="C24" s="82">
        <f>SUM(C22:C23)</f>
        <v>67301.767999999996</v>
      </c>
      <c r="D24" s="82">
        <f>SUM(D22:D23)</f>
        <v>67301.767999999996</v>
      </c>
      <c r="E24" s="82">
        <f>SUM(E22:E23)</f>
        <v>32769</v>
      </c>
      <c r="F24" s="82"/>
      <c r="G24" s="83">
        <f>SUM(G22:G23)</f>
        <v>45715</v>
      </c>
      <c r="H24" s="73">
        <f>SUM(H22:H23)</f>
        <v>747619.5886689584</v>
      </c>
      <c r="I24" s="82">
        <f>SUM(I22:I23)</f>
        <v>69499.107142701279</v>
      </c>
      <c r="J24" s="82">
        <f>SUM(J22:J23)</f>
        <v>69499.107142701279</v>
      </c>
      <c r="K24" s="82">
        <f>SUM(K22:K23)</f>
        <v>33838</v>
      </c>
      <c r="L24" s="82"/>
      <c r="M24" s="83">
        <f>SUM(M22:M23)</f>
        <v>47208</v>
      </c>
      <c r="N24" s="73">
        <f>SUM(N22:N23)</f>
        <v>763116.61421999999</v>
      </c>
      <c r="O24" s="82">
        <f>SUM(O22:O23)</f>
        <v>70939.491999999998</v>
      </c>
      <c r="P24" s="82">
        <f>SUM(P22:P23)</f>
        <v>70939.491999999998</v>
      </c>
      <c r="Q24" s="82">
        <f>SUM(Q22:Q23)</f>
        <v>34540</v>
      </c>
      <c r="R24" s="82"/>
      <c r="S24" s="83">
        <f>SUM(S22:S23)</f>
        <v>48185</v>
      </c>
      <c r="T24" s="73">
        <f>SUM(T22:T23)</f>
        <v>782570.96308000002</v>
      </c>
      <c r="U24" s="82">
        <f>SUM(U22:U23)</f>
        <v>72748.288</v>
      </c>
      <c r="V24" s="82">
        <f>SUM(V22:V23)</f>
        <v>72748.288</v>
      </c>
      <c r="W24" s="82">
        <f>SUM(W22:W23)</f>
        <v>35421</v>
      </c>
      <c r="X24" s="82"/>
      <c r="Y24" s="83">
        <f>SUM(Y22:Y23)</f>
        <v>49413</v>
      </c>
      <c r="Z24" s="73">
        <f>SUM(Z22:Z23)</f>
        <v>802723.7672</v>
      </c>
      <c r="AA24" s="82">
        <f>SUM(AA22:AA23)</f>
        <v>74621.919999999998</v>
      </c>
      <c r="AB24" s="82">
        <f>SUM(AB22:AB23)</f>
        <v>74621.919999999998</v>
      </c>
      <c r="AC24" s="82">
        <f>SUM(AC22:AC23)</f>
        <v>36332</v>
      </c>
      <c r="AD24" s="82"/>
      <c r="AE24" s="83">
        <f>SUM(AE22:AE23)</f>
        <v>50687</v>
      </c>
    </row>
    <row r="25" spans="1:33" x14ac:dyDescent="0.2">
      <c r="A25" s="98"/>
      <c r="B25" s="73"/>
      <c r="C25" s="82"/>
      <c r="D25" s="82"/>
      <c r="E25" s="82"/>
      <c r="F25" s="82"/>
      <c r="G25" s="60"/>
      <c r="H25" s="73"/>
      <c r="I25" s="82"/>
      <c r="J25" s="82"/>
      <c r="K25" s="82"/>
      <c r="L25" s="82"/>
      <c r="M25" s="60"/>
      <c r="N25" s="73"/>
      <c r="O25" s="82"/>
      <c r="P25" s="82"/>
      <c r="Q25" s="82"/>
      <c r="R25" s="82"/>
      <c r="S25" s="60"/>
      <c r="T25" s="73"/>
      <c r="U25" s="82"/>
      <c r="V25" s="82"/>
      <c r="W25" s="82"/>
      <c r="X25" s="82"/>
      <c r="Y25" s="60"/>
      <c r="Z25" s="73"/>
      <c r="AA25" s="82"/>
      <c r="AB25" s="82"/>
      <c r="AC25" s="82"/>
      <c r="AD25" s="82"/>
      <c r="AE25" s="60"/>
    </row>
    <row r="26" spans="1:33" x14ac:dyDescent="0.2">
      <c r="A26" s="71" t="s">
        <v>85</v>
      </c>
      <c r="B26" s="91"/>
      <c r="C26" s="82"/>
      <c r="D26" s="82"/>
      <c r="E26" s="82"/>
      <c r="F26" s="82"/>
      <c r="G26" s="60"/>
      <c r="H26" s="91"/>
      <c r="I26" s="82"/>
      <c r="J26" s="82"/>
      <c r="K26" s="82"/>
      <c r="L26" s="82"/>
      <c r="M26" s="60"/>
      <c r="N26" s="91"/>
      <c r="O26" s="82"/>
      <c r="P26" s="82"/>
      <c r="Q26" s="82"/>
      <c r="R26" s="82"/>
      <c r="S26" s="60"/>
      <c r="T26" s="91"/>
      <c r="U26" s="82"/>
      <c r="V26" s="82"/>
      <c r="W26" s="82"/>
      <c r="X26" s="82"/>
      <c r="Y26" s="60"/>
      <c r="Z26" s="91"/>
      <c r="AA26" s="82"/>
      <c r="AB26" s="82"/>
      <c r="AC26" s="82"/>
      <c r="AD26" s="82"/>
      <c r="AE26" s="60"/>
    </row>
    <row r="27" spans="1:33" x14ac:dyDescent="0.2">
      <c r="A27" s="226" t="s">
        <v>232</v>
      </c>
      <c r="B27" s="214">
        <v>0</v>
      </c>
      <c r="C27" s="215">
        <v>0</v>
      </c>
      <c r="D27" s="215">
        <v>0</v>
      </c>
      <c r="E27" s="75">
        <f>ROUND(((B27-((C27+D27)/62)*31)/$B$11*$E$15)+(C27+D27)/62,0)</f>
        <v>0</v>
      </c>
      <c r="F27" s="82"/>
      <c r="G27" s="76">
        <f>ROUND(((B27-((C27+D27)/62)*31)/$B$11*$G$15)+(C27+D27)/62,0)</f>
        <v>0</v>
      </c>
      <c r="H27" s="214">
        <v>0</v>
      </c>
      <c r="I27" s="215">
        <v>0</v>
      </c>
      <c r="J27" s="215">
        <v>0</v>
      </c>
      <c r="K27" s="75">
        <f>ROUND(((H27-((I27+J27)/62)*31)/$B$11*$E$15)+(I27+J27)/62,0)</f>
        <v>0</v>
      </c>
      <c r="L27" s="82"/>
      <c r="M27" s="76">
        <f>ROUND(((H27-((I27+J27)/62)*31)/$B$11*$G$15)+(I27+J27)/62,0)</f>
        <v>0</v>
      </c>
      <c r="N27" s="214">
        <v>0</v>
      </c>
      <c r="O27" s="215">
        <v>0</v>
      </c>
      <c r="P27" s="215">
        <v>0</v>
      </c>
      <c r="Q27" s="75">
        <f>ROUND(((N27-((O27+P27)/62)*31)/$B$11*$E$15)+(O27+P27)/62,0)</f>
        <v>0</v>
      </c>
      <c r="R27" s="82"/>
      <c r="S27" s="76">
        <f>ROUND(((N27-((O27+P27)/62)*31)/$B$11*$G$15)+(O27+P27)/62,0)</f>
        <v>0</v>
      </c>
      <c r="T27" s="214">
        <v>0</v>
      </c>
      <c r="U27" s="215">
        <v>0</v>
      </c>
      <c r="V27" s="215">
        <v>0</v>
      </c>
      <c r="W27" s="75">
        <f>ROUND(((T27-((U27+V27)/62)*31)/$B$11*$E$15)+(U27+V27)/62,0)</f>
        <v>0</v>
      </c>
      <c r="X27" s="82"/>
      <c r="Y27" s="76">
        <f>ROUND(((T27-((U27+V27)/62)*31)/$B$11*$G$15)+(U27+V27)/62,0)</f>
        <v>0</v>
      </c>
      <c r="Z27" s="214">
        <v>0</v>
      </c>
      <c r="AA27" s="215">
        <v>0</v>
      </c>
      <c r="AB27" s="215">
        <v>0</v>
      </c>
      <c r="AC27" s="75">
        <f>ROUND(((Z27-((AA27+AB27)/62)*31)/$B$11*$E$15)+(AA27+AB27)/62,0)</f>
        <v>0</v>
      </c>
      <c r="AD27" s="82"/>
      <c r="AE27" s="76">
        <f>ROUND(((Z27-((AA27+AB27)/62)*31)/$B$11*$G$15)+(AA27+AB27)/62,0)</f>
        <v>0</v>
      </c>
      <c r="AG27" s="50" t="s">
        <v>289</v>
      </c>
    </row>
    <row r="28" spans="1:33" x14ac:dyDescent="0.2">
      <c r="A28" s="72" t="s">
        <v>95</v>
      </c>
      <c r="B28" s="214">
        <v>20435.710200000001</v>
      </c>
      <c r="C28" s="215">
        <v>1899.7199999999998</v>
      </c>
      <c r="D28" s="215">
        <v>1899.7199999999998</v>
      </c>
      <c r="E28" s="75">
        <f>ROUND(((B28-((C28+D28)/62)*31)/$B$11*$E$15)+(C28+D28)/62,0)</f>
        <v>1091</v>
      </c>
      <c r="F28" s="82"/>
      <c r="G28" s="76">
        <f>ROUND(((B28-((C28+D28)/62)*31)/$B$11*$G$15)+(C28+D28)/62,0)</f>
        <v>1290</v>
      </c>
      <c r="H28" s="214">
        <v>18674.719540620757</v>
      </c>
      <c r="I28" s="215">
        <v>1736.0168968195712</v>
      </c>
      <c r="J28" s="215">
        <v>1736.0168968195712</v>
      </c>
      <c r="K28" s="75">
        <f>ROUND(((H28-((I28+J28)/62)*31)/$B$11*$E$15)+(I28+J28)/62,0)</f>
        <v>997</v>
      </c>
      <c r="L28" s="82"/>
      <c r="M28" s="76">
        <f>ROUND(((H28-((I28+J28)/62)*31)/$B$11*$G$15)+(I28+J28)/62,0)</f>
        <v>1179</v>
      </c>
      <c r="N28" s="214">
        <v>16692.455040000001</v>
      </c>
      <c r="O28" s="215">
        <v>1551.7439999999999</v>
      </c>
      <c r="P28" s="215">
        <v>1551.7439999999999</v>
      </c>
      <c r="Q28" s="75">
        <f>ROUND(((N28-((O28+P28)/62)*31)/$B$11*$E$15)+(O28+P28)/62,0)</f>
        <v>891</v>
      </c>
      <c r="R28" s="82"/>
      <c r="S28" s="76">
        <f>ROUND(((N28-((O28+P28)/62)*31)/$B$11*$G$15)+(O28+P28)/62,0)</f>
        <v>1054</v>
      </c>
      <c r="T28" s="214">
        <v>14768.93462</v>
      </c>
      <c r="U28" s="215">
        <v>1372.9319999999998</v>
      </c>
      <c r="V28" s="215">
        <v>1372.9319999999998</v>
      </c>
      <c r="W28" s="75">
        <f>ROUND(((T28-((U28+V28)/62)*31)/$B$11*$E$15)+(U28+V28)/62,0)</f>
        <v>789</v>
      </c>
      <c r="X28" s="82"/>
      <c r="Y28" s="76">
        <f>ROUND(((T28-((U28+V28)/62)*31)/$B$11*$G$15)+(U28+V28)/62,0)</f>
        <v>933</v>
      </c>
      <c r="Z28" s="214">
        <v>12826.24483</v>
      </c>
      <c r="AA28" s="215">
        <v>1192.338</v>
      </c>
      <c r="AB28" s="215">
        <v>1192.338</v>
      </c>
      <c r="AC28" s="75">
        <f>ROUND(((Z28-((AA28+AB28)/62)*31)/$B$11*$E$15)+(AA28+AB28)/62,0)</f>
        <v>685</v>
      </c>
      <c r="AD28" s="82"/>
      <c r="AE28" s="76">
        <f>ROUND(((Z28-((AA28+AB28)/62)*31)/$B$11*$G$15)+(AA28+AB28)/62,0)</f>
        <v>810</v>
      </c>
      <c r="AG28" s="50" t="s">
        <v>296</v>
      </c>
    </row>
    <row r="29" spans="1:33" x14ac:dyDescent="0.2">
      <c r="A29" s="72" t="s">
        <v>96</v>
      </c>
      <c r="B29" s="214">
        <v>27327.001899999999</v>
      </c>
      <c r="C29" s="215">
        <v>2540.3399999999997</v>
      </c>
      <c r="D29" s="215">
        <v>2540.3399999999997</v>
      </c>
      <c r="E29" s="75">
        <f>ROUND(((B29-((C29+D29)/62)*31)/$B$11*$E$15)+(C29+D29)/62,0)</f>
        <v>1459</v>
      </c>
      <c r="F29" s="82"/>
      <c r="G29" s="76">
        <f>ROUND(((B29-((C29+D29)/62)*31)/$B$11*$G$15)+(C29+D29)/62,0)</f>
        <v>1726</v>
      </c>
      <c r="H29" s="214">
        <v>24405.665305187529</v>
      </c>
      <c r="I29" s="215">
        <v>2268.7702086111426</v>
      </c>
      <c r="J29" s="215">
        <v>2268.7702086111426</v>
      </c>
      <c r="K29" s="75">
        <f>ROUND(((H29-((I29+J29)/62)*31)/$B$11*$E$15)+(I29+J29)/62,0)</f>
        <v>1303</v>
      </c>
      <c r="L29" s="82"/>
      <c r="M29" s="76">
        <f>ROUND(((H29-((I29+J29)/62)*31)/$B$11*$G$15)+(I29+J29)/62,0)</f>
        <v>1541</v>
      </c>
      <c r="N29" s="214">
        <v>21246.826270000001</v>
      </c>
      <c r="O29" s="215">
        <v>1975.1219999999998</v>
      </c>
      <c r="P29" s="215">
        <v>1975.1219999999998</v>
      </c>
      <c r="Q29" s="75">
        <f>ROUND(((N29-((O29+P29)/62)*31)/$B$11*$E$15)+(O29+P29)/62,0)</f>
        <v>1134</v>
      </c>
      <c r="R29" s="82"/>
      <c r="S29" s="76">
        <f>ROUND(((N29-((O29+P29)/62)*31)/$B$11*$G$15)+(O29+P29)/62,0)</f>
        <v>1342</v>
      </c>
      <c r="T29" s="214">
        <v>18133.64313</v>
      </c>
      <c r="U29" s="215">
        <v>1685.7179999999998</v>
      </c>
      <c r="V29" s="215">
        <v>1685.7179999999998</v>
      </c>
      <c r="W29" s="75">
        <f>ROUND(((T29-((U29+V29)/62)*31)/$B$11*$E$15)+(U29+V29)/62,0)</f>
        <v>968</v>
      </c>
      <c r="X29" s="82"/>
      <c r="Y29" s="76">
        <f>ROUND(((T29-((U29+V29)/62)*31)/$B$11*$G$15)+(U29+V29)/62,0)</f>
        <v>1145</v>
      </c>
      <c r="Z29" s="214">
        <v>15011.16575</v>
      </c>
      <c r="AA29" s="215">
        <v>1395.4499999999998</v>
      </c>
      <c r="AB29" s="215">
        <v>1395.4499999999998</v>
      </c>
      <c r="AC29" s="75">
        <f>ROUND(((Z29-((AA29+AB29)/62)*31)/$B$11*$E$15)+(AA29+AB29)/62,0)</f>
        <v>801</v>
      </c>
      <c r="AD29" s="82"/>
      <c r="AE29" s="76">
        <f>ROUND(((Z29-((AA29+AB29)/62)*31)/$B$11*$G$15)+(AA29+AB29)/62,0)</f>
        <v>948</v>
      </c>
      <c r="AG29" s="50" t="s">
        <v>303</v>
      </c>
    </row>
    <row r="30" spans="1:33" x14ac:dyDescent="0.2">
      <c r="A30" s="68" t="s">
        <v>97</v>
      </c>
      <c r="B30" s="216">
        <v>9369.9493299999995</v>
      </c>
      <c r="C30" s="217">
        <v>871.0379999999999</v>
      </c>
      <c r="D30" s="217">
        <v>871.0379999999999</v>
      </c>
      <c r="E30" s="79">
        <f>ROUND(((B30-((C30+D30)/62)*31)/$B$11*$E$15)+(C30+D30)/62,0)</f>
        <v>500</v>
      </c>
      <c r="F30" s="78"/>
      <c r="G30" s="81">
        <f>ROUND(((B30-((C30+D30)/62)*31)/$B$11*$G$15)+(C30+D30)/62,0)</f>
        <v>592</v>
      </c>
      <c r="H30" s="216">
        <v>9394.3757739736448</v>
      </c>
      <c r="I30" s="217">
        <v>873.30870181028558</v>
      </c>
      <c r="J30" s="217">
        <v>873.30870181028558</v>
      </c>
      <c r="K30" s="79">
        <f>ROUND(((H30-((I30+J30)/62)*31)/$B$11*$E$15)+(I30+J30)/62,0)</f>
        <v>502</v>
      </c>
      <c r="L30" s="78"/>
      <c r="M30" s="81">
        <f>ROUND(((H30-((I30+J30)/62)*31)/$B$11*$G$15)+(I30+J30)/62,0)</f>
        <v>593</v>
      </c>
      <c r="N30" s="216">
        <v>9329.2870299999995</v>
      </c>
      <c r="O30" s="217">
        <v>867.25799999999992</v>
      </c>
      <c r="P30" s="217">
        <v>867.25799999999992</v>
      </c>
      <c r="Q30" s="79">
        <f>ROUND(((N30-((O30+P30)/62)*31)/$B$11*$E$15)+(O30+P30)/62,0)</f>
        <v>498</v>
      </c>
      <c r="R30" s="78"/>
      <c r="S30" s="81">
        <f>ROUND(((N30-((O30+P30)/62)*31)/$B$11*$G$15)+(O30+P30)/62,0)</f>
        <v>589</v>
      </c>
      <c r="T30" s="216">
        <v>9243.8961999999992</v>
      </c>
      <c r="U30" s="217">
        <v>859.31999999999994</v>
      </c>
      <c r="V30" s="217">
        <v>859.31999999999994</v>
      </c>
      <c r="W30" s="79">
        <f>ROUND(((T30-((U30+V30)/62)*31)/$B$11*$E$15)+(U30+V30)/62,0)</f>
        <v>494</v>
      </c>
      <c r="X30" s="78"/>
      <c r="Y30" s="81">
        <f>ROUND(((T30-((U30+V30)/62)*31)/$B$11*$G$15)+(U30+V30)/62,0)</f>
        <v>584</v>
      </c>
      <c r="Z30" s="216">
        <v>9128.6863499999999</v>
      </c>
      <c r="AA30" s="217">
        <v>848.6099999999999</v>
      </c>
      <c r="AB30" s="217">
        <v>848.6099999999999</v>
      </c>
      <c r="AC30" s="79">
        <f>ROUND(((Z30-((AA30+AB30)/62)*31)/$B$11*$E$15)+(AA30+AB30)/62,0)</f>
        <v>487</v>
      </c>
      <c r="AD30" s="78"/>
      <c r="AE30" s="81">
        <f>ROUND(((Z30-((AA30+AB30)/62)*31)/$B$11*$G$15)+(AA30+AB30)/62,0)</f>
        <v>576</v>
      </c>
      <c r="AG30" s="50" t="s">
        <v>312</v>
      </c>
    </row>
    <row r="31" spans="1:33" x14ac:dyDescent="0.2">
      <c r="A31" s="72" t="s">
        <v>101</v>
      </c>
      <c r="B31" s="73">
        <f>SUM(B27:B30)</f>
        <v>57132.661430000007</v>
      </c>
      <c r="C31" s="74">
        <f>SUM(C28:C30)</f>
        <v>5311.097999999999</v>
      </c>
      <c r="D31" s="74">
        <f>SUM(D28:D30)</f>
        <v>5311.097999999999</v>
      </c>
      <c r="E31" s="74">
        <f>SUM(E28:E30)</f>
        <v>3050</v>
      </c>
      <c r="F31" s="82"/>
      <c r="G31" s="90">
        <f>SUM(G28:G30)</f>
        <v>3608</v>
      </c>
      <c r="H31" s="73">
        <f>SUM(H28:H30)</f>
        <v>52474.760619781933</v>
      </c>
      <c r="I31" s="74">
        <f>SUM(I28:I30)</f>
        <v>4878.0958072409994</v>
      </c>
      <c r="J31" s="74">
        <f>SUM(J28:J30)</f>
        <v>4878.0958072409994</v>
      </c>
      <c r="K31" s="74">
        <f>SUM(K28:K30)</f>
        <v>2802</v>
      </c>
      <c r="L31" s="82"/>
      <c r="M31" s="90">
        <f>SUM(M28:M30)</f>
        <v>3313</v>
      </c>
      <c r="N31" s="73">
        <f>SUM(N28:N30)</f>
        <v>47268.568340000005</v>
      </c>
      <c r="O31" s="74">
        <f>SUM(O28:O30)</f>
        <v>4394.1239999999998</v>
      </c>
      <c r="P31" s="74">
        <f>SUM(P28:P30)</f>
        <v>4394.1239999999998</v>
      </c>
      <c r="Q31" s="74">
        <f>SUM(Q28:Q30)</f>
        <v>2523</v>
      </c>
      <c r="R31" s="82"/>
      <c r="S31" s="90">
        <f>SUM(S28:S30)</f>
        <v>2985</v>
      </c>
      <c r="T31" s="73">
        <f>SUM(T28:T30)</f>
        <v>42146.47395</v>
      </c>
      <c r="U31" s="74">
        <f>SUM(U28:U30)</f>
        <v>3917.9699999999993</v>
      </c>
      <c r="V31" s="74">
        <f>SUM(V28:V30)</f>
        <v>3917.9699999999993</v>
      </c>
      <c r="W31" s="74">
        <f>SUM(W28:W30)</f>
        <v>2251</v>
      </c>
      <c r="X31" s="82"/>
      <c r="Y31" s="90">
        <f>SUM(Y28:Y30)</f>
        <v>2662</v>
      </c>
      <c r="Z31" s="73">
        <f>SUM(Z28:Z30)</f>
        <v>36966.09693</v>
      </c>
      <c r="AA31" s="74">
        <f>SUM(AA28:AA30)</f>
        <v>3436.3979999999992</v>
      </c>
      <c r="AB31" s="74">
        <f>SUM(AB28:AB30)</f>
        <v>3436.3979999999992</v>
      </c>
      <c r="AC31" s="74">
        <f>SUM(AC28:AC30)</f>
        <v>1973</v>
      </c>
      <c r="AD31" s="82"/>
      <c r="AE31" s="90">
        <f>SUM(AE28:AE30)</f>
        <v>2334</v>
      </c>
    </row>
    <row r="32" spans="1:33" x14ac:dyDescent="0.2">
      <c r="A32" s="68" t="s">
        <v>102</v>
      </c>
      <c r="B32" s="84">
        <f>ROUND(B31/((1-$B$6))-B31,0)</f>
        <v>86</v>
      </c>
      <c r="C32" s="80">
        <f t="shared" ref="C32:G32" si="18">ROUND(C31/((1-$B$6))-C31,0)</f>
        <v>8</v>
      </c>
      <c r="D32" s="80">
        <f t="shared" si="18"/>
        <v>8</v>
      </c>
      <c r="E32" s="80">
        <f t="shared" si="18"/>
        <v>5</v>
      </c>
      <c r="F32" s="80"/>
      <c r="G32" s="85">
        <f t="shared" si="18"/>
        <v>5</v>
      </c>
      <c r="H32" s="84">
        <f>ROUND(H31/((1-$B$6))-H31,0)</f>
        <v>79</v>
      </c>
      <c r="I32" s="80">
        <f t="shared" ref="I32:K32" si="19">ROUND(I31/((1-$B$6))-I31,0)</f>
        <v>7</v>
      </c>
      <c r="J32" s="80">
        <f t="shared" si="19"/>
        <v>7</v>
      </c>
      <c r="K32" s="80">
        <f t="shared" si="19"/>
        <v>4</v>
      </c>
      <c r="L32" s="80"/>
      <c r="M32" s="85">
        <f t="shared" ref="M32" si="20">ROUND(M31/((1-$B$6))-M31,0)</f>
        <v>5</v>
      </c>
      <c r="N32" s="84">
        <f>ROUND(N31/((1-$B$6))-N31,0)</f>
        <v>71</v>
      </c>
      <c r="O32" s="80">
        <f t="shared" ref="O32:Q32" si="21">ROUND(O31/((1-$B$6))-O31,0)</f>
        <v>7</v>
      </c>
      <c r="P32" s="80">
        <f t="shared" si="21"/>
        <v>7</v>
      </c>
      <c r="Q32" s="80">
        <f t="shared" si="21"/>
        <v>4</v>
      </c>
      <c r="R32" s="80"/>
      <c r="S32" s="85">
        <f t="shared" ref="S32" si="22">ROUND(S31/((1-$B$6))-S31,0)</f>
        <v>4</v>
      </c>
      <c r="T32" s="84">
        <f>ROUND(T31/((1-$B$6))-T31,0)</f>
        <v>63</v>
      </c>
      <c r="U32" s="80">
        <f t="shared" ref="U32:W32" si="23">ROUND(U31/((1-$B$6))-U31,0)</f>
        <v>6</v>
      </c>
      <c r="V32" s="80">
        <f t="shared" si="23"/>
        <v>6</v>
      </c>
      <c r="W32" s="80">
        <f t="shared" si="23"/>
        <v>3</v>
      </c>
      <c r="X32" s="80"/>
      <c r="Y32" s="85">
        <f t="shared" ref="Y32" si="24">ROUND(Y31/((1-$B$6))-Y31,0)</f>
        <v>4</v>
      </c>
      <c r="Z32" s="84">
        <f>ROUND(Z31/((1-$B$6))-Z31,0)</f>
        <v>56</v>
      </c>
      <c r="AA32" s="80">
        <f t="shared" ref="AA32:AC32" si="25">ROUND(AA31/((1-$B$6))-AA31,0)</f>
        <v>5</v>
      </c>
      <c r="AB32" s="80">
        <f t="shared" si="25"/>
        <v>5</v>
      </c>
      <c r="AC32" s="80">
        <f t="shared" si="25"/>
        <v>3</v>
      </c>
      <c r="AD32" s="80"/>
      <c r="AE32" s="85">
        <f t="shared" ref="AE32" si="26">ROUND(AE31/((1-$B$6))-AE31,0)</f>
        <v>4</v>
      </c>
    </row>
    <row r="33" spans="1:33" x14ac:dyDescent="0.2">
      <c r="A33" s="72" t="s">
        <v>103</v>
      </c>
      <c r="B33" s="73">
        <f>SUM(B31:B32)</f>
        <v>57218.661430000007</v>
      </c>
      <c r="C33" s="82">
        <f>SUM(C31:C32)</f>
        <v>5319.097999999999</v>
      </c>
      <c r="D33" s="82">
        <f>SUM(D31:D32)</f>
        <v>5319.097999999999</v>
      </c>
      <c r="E33" s="82">
        <f>SUM(E31:E32)</f>
        <v>3055</v>
      </c>
      <c r="F33" s="82"/>
      <c r="G33" s="83">
        <f>SUM(G31:G32)</f>
        <v>3613</v>
      </c>
      <c r="H33" s="73">
        <f>SUM(H31:H32)</f>
        <v>52553.760619781933</v>
      </c>
      <c r="I33" s="82">
        <f>SUM(I31:I32)</f>
        <v>4885.0958072409994</v>
      </c>
      <c r="J33" s="82">
        <f>SUM(J31:J32)</f>
        <v>4885.0958072409994</v>
      </c>
      <c r="K33" s="82">
        <f>SUM(K31:K32)</f>
        <v>2806</v>
      </c>
      <c r="L33" s="82"/>
      <c r="M33" s="83">
        <f>SUM(M31:M32)</f>
        <v>3318</v>
      </c>
      <c r="N33" s="73">
        <f>SUM(N31:N32)</f>
        <v>47339.568340000005</v>
      </c>
      <c r="O33" s="82">
        <f>SUM(O31:O32)</f>
        <v>4401.1239999999998</v>
      </c>
      <c r="P33" s="82">
        <f>SUM(P31:P32)</f>
        <v>4401.1239999999998</v>
      </c>
      <c r="Q33" s="82">
        <f>SUM(Q31:Q32)</f>
        <v>2527</v>
      </c>
      <c r="R33" s="82"/>
      <c r="S33" s="83">
        <f>SUM(S31:S32)</f>
        <v>2989</v>
      </c>
      <c r="T33" s="73">
        <f>SUM(T31:T32)</f>
        <v>42209.47395</v>
      </c>
      <c r="U33" s="82">
        <f>SUM(U31:U32)</f>
        <v>3923.9699999999993</v>
      </c>
      <c r="V33" s="82">
        <f>SUM(V31:V32)</f>
        <v>3923.9699999999993</v>
      </c>
      <c r="W33" s="82">
        <f>SUM(W31:W32)</f>
        <v>2254</v>
      </c>
      <c r="X33" s="82"/>
      <c r="Y33" s="83">
        <f>SUM(Y31:Y32)</f>
        <v>2666</v>
      </c>
      <c r="Z33" s="73">
        <f>SUM(Z31:Z32)</f>
        <v>37022.09693</v>
      </c>
      <c r="AA33" s="82">
        <f>SUM(AA31:AA32)</f>
        <v>3441.3979999999992</v>
      </c>
      <c r="AB33" s="82">
        <f>SUM(AB31:AB32)</f>
        <v>3441.3979999999992</v>
      </c>
      <c r="AC33" s="82">
        <f>SUM(AC31:AC32)</f>
        <v>1976</v>
      </c>
      <c r="AD33" s="82"/>
      <c r="AE33" s="83">
        <f>SUM(AE31:AE32)</f>
        <v>2338</v>
      </c>
    </row>
    <row r="34" spans="1:33" x14ac:dyDescent="0.2">
      <c r="A34" s="99"/>
      <c r="B34" s="73"/>
      <c r="C34" s="82"/>
      <c r="D34" s="82"/>
      <c r="E34" s="82"/>
      <c r="F34" s="82"/>
      <c r="G34" s="60"/>
      <c r="H34" s="73"/>
      <c r="I34" s="82"/>
      <c r="J34" s="82"/>
      <c r="K34" s="82"/>
      <c r="L34" s="82"/>
      <c r="M34" s="60"/>
      <c r="N34" s="73"/>
      <c r="O34" s="82"/>
      <c r="P34" s="82"/>
      <c r="Q34" s="82"/>
      <c r="R34" s="82"/>
      <c r="S34" s="60"/>
      <c r="T34" s="73"/>
      <c r="U34" s="82"/>
      <c r="V34" s="82"/>
      <c r="W34" s="82"/>
      <c r="X34" s="82"/>
      <c r="Y34" s="60"/>
      <c r="Z34" s="73"/>
      <c r="AA34" s="82"/>
      <c r="AB34" s="82"/>
      <c r="AC34" s="82"/>
      <c r="AD34" s="82"/>
      <c r="AE34" s="60"/>
    </row>
    <row r="35" spans="1:33" x14ac:dyDescent="0.2">
      <c r="A35" s="71" t="s">
        <v>104</v>
      </c>
      <c r="B35" s="73"/>
      <c r="C35" s="82"/>
      <c r="D35" s="82"/>
      <c r="E35" s="82"/>
      <c r="F35" s="82"/>
      <c r="G35" s="60"/>
      <c r="H35" s="73"/>
      <c r="I35" s="82"/>
      <c r="J35" s="82"/>
      <c r="K35" s="82"/>
      <c r="L35" s="82"/>
      <c r="M35" s="60"/>
      <c r="N35" s="73"/>
      <c r="O35" s="82"/>
      <c r="P35" s="82"/>
      <c r="Q35" s="82"/>
      <c r="R35" s="82"/>
      <c r="S35" s="60"/>
      <c r="T35" s="73"/>
      <c r="U35" s="82"/>
      <c r="V35" s="82"/>
      <c r="W35" s="82"/>
      <c r="X35" s="82"/>
      <c r="Y35" s="60"/>
      <c r="Z35" s="73"/>
      <c r="AA35" s="82"/>
      <c r="AB35" s="82"/>
      <c r="AC35" s="82"/>
      <c r="AD35" s="82"/>
      <c r="AE35" s="60"/>
    </row>
    <row r="36" spans="1:33" x14ac:dyDescent="0.2">
      <c r="A36" s="68" t="s">
        <v>105</v>
      </c>
      <c r="B36" s="216">
        <v>145626.21854999999</v>
      </c>
      <c r="C36" s="217">
        <v>13537.529999999999</v>
      </c>
      <c r="D36" s="217">
        <v>13537.529999999999</v>
      </c>
      <c r="E36" s="79">
        <f>ROUND(((B36-((C36+D36)/62)*31)/$B$11*$E$15)+(C36+D36)/62,0)</f>
        <v>7775</v>
      </c>
      <c r="F36" s="82"/>
      <c r="G36" s="81">
        <f>ROUND(((B36-((C36+D36)/62)*31)/$B$11*$G$15)+(C36+D36)/62,0)</f>
        <v>9195</v>
      </c>
      <c r="H36" s="216">
        <v>146733.34262826716</v>
      </c>
      <c r="I36" s="217">
        <v>13640.449141707426</v>
      </c>
      <c r="J36" s="217">
        <v>13640.449141707426</v>
      </c>
      <c r="K36" s="79">
        <f>ROUND(((H36-((I36+J36)/62)*31)/$B$11*$E$15)+(I36+J36)/62,0)</f>
        <v>7834</v>
      </c>
      <c r="L36" s="82"/>
      <c r="M36" s="81">
        <f>ROUND(((H36-((I36+J36)/62)*31)/$B$11*$G$15)+(I36+J36)/62,0)</f>
        <v>9265</v>
      </c>
      <c r="N36" s="216">
        <v>148936.32339999999</v>
      </c>
      <c r="O36" s="217">
        <v>13845.24</v>
      </c>
      <c r="P36" s="217">
        <v>13845.24</v>
      </c>
      <c r="Q36" s="79">
        <f>ROUND(((N36-((O36+P36)/62)*31)/$B$11*$E$15)+(O36+P36)/62,0)</f>
        <v>7952</v>
      </c>
      <c r="R36" s="82"/>
      <c r="S36" s="81">
        <f>ROUND(((N36-((O36+P36)/62)*31)/$B$11*$G$15)+(O36+P36)/62,0)</f>
        <v>9404</v>
      </c>
      <c r="T36" s="216">
        <v>157733.90244999999</v>
      </c>
      <c r="U36" s="217">
        <v>14663.07</v>
      </c>
      <c r="V36" s="217">
        <v>14663.07</v>
      </c>
      <c r="W36" s="79">
        <f>ROUND(((T36-((U36+V36)/62)*31)/$B$11*$E$15)+(U36+V36)/62,0)</f>
        <v>8421</v>
      </c>
      <c r="X36" s="82"/>
      <c r="Y36" s="81">
        <f>ROUND(((T36-((U36+V36)/62)*31)/$B$11*$G$15)+(U36+V36)/62,0)</f>
        <v>9960</v>
      </c>
      <c r="Z36" s="216">
        <v>158302.98102000001</v>
      </c>
      <c r="AA36" s="217">
        <v>14715.972</v>
      </c>
      <c r="AB36" s="217">
        <v>14715.972</v>
      </c>
      <c r="AC36" s="79">
        <f>ROUND(((Z36-((AA36+AB36)/62)*31)/$B$11*$E$15)+(AA36+AB36)/62,0)</f>
        <v>8452</v>
      </c>
      <c r="AD36" s="82"/>
      <c r="AE36" s="81">
        <f>ROUND(((Z36-((AA36+AB36)/62)*31)/$B$11*$G$15)+(AA36+AB36)/62,0)</f>
        <v>9996</v>
      </c>
      <c r="AG36" s="50" t="s">
        <v>310</v>
      </c>
    </row>
    <row r="37" spans="1:33" x14ac:dyDescent="0.2">
      <c r="A37" s="71" t="s">
        <v>106</v>
      </c>
      <c r="B37" s="73">
        <f>SUM(B36:B36)</f>
        <v>145626.21854999999</v>
      </c>
      <c r="C37" s="82">
        <f>SUM(C36:C36)</f>
        <v>13537.529999999999</v>
      </c>
      <c r="D37" s="82">
        <f>SUM(D36:D36)</f>
        <v>13537.529999999999</v>
      </c>
      <c r="E37" s="82">
        <f>SUM(E36:E36)</f>
        <v>7775</v>
      </c>
      <c r="F37" s="102"/>
      <c r="G37" s="83">
        <f>SUM(G36:G36)</f>
        <v>9195</v>
      </c>
      <c r="H37" s="73">
        <f>SUM(H36:H36)</f>
        <v>146733.34262826716</v>
      </c>
      <c r="I37" s="82">
        <f>SUM(I36:I36)</f>
        <v>13640.449141707426</v>
      </c>
      <c r="J37" s="82">
        <f>SUM(J36:J36)</f>
        <v>13640.449141707426</v>
      </c>
      <c r="K37" s="82">
        <f>SUM(K36:K36)</f>
        <v>7834</v>
      </c>
      <c r="L37" s="102"/>
      <c r="M37" s="83">
        <f>SUM(M36:M36)</f>
        <v>9265</v>
      </c>
      <c r="N37" s="73">
        <f>SUM(N36:N36)</f>
        <v>148936.32339999999</v>
      </c>
      <c r="O37" s="82">
        <f>SUM(O36:O36)</f>
        <v>13845.24</v>
      </c>
      <c r="P37" s="82">
        <f>SUM(P36:P36)</f>
        <v>13845.24</v>
      </c>
      <c r="Q37" s="82">
        <f>SUM(Q36:Q36)</f>
        <v>7952</v>
      </c>
      <c r="R37" s="102"/>
      <c r="S37" s="83">
        <f>SUM(S36:S36)</f>
        <v>9404</v>
      </c>
      <c r="T37" s="73">
        <f>SUM(T36:T36)</f>
        <v>157733.90244999999</v>
      </c>
      <c r="U37" s="82">
        <f>SUM(U36:U36)</f>
        <v>14663.07</v>
      </c>
      <c r="V37" s="82">
        <f>SUM(V36:V36)</f>
        <v>14663.07</v>
      </c>
      <c r="W37" s="82">
        <f>SUM(W36:W36)</f>
        <v>8421</v>
      </c>
      <c r="X37" s="102"/>
      <c r="Y37" s="83">
        <f>SUM(Y36:Y36)</f>
        <v>9960</v>
      </c>
      <c r="Z37" s="73">
        <f>SUM(Z36:Z36)</f>
        <v>158302.98102000001</v>
      </c>
      <c r="AA37" s="82">
        <f>SUM(AA36:AA36)</f>
        <v>14715.972</v>
      </c>
      <c r="AB37" s="82">
        <f>SUM(AB36:AB36)</f>
        <v>14715.972</v>
      </c>
      <c r="AC37" s="82">
        <f>SUM(AC36:AC36)</f>
        <v>8452</v>
      </c>
      <c r="AD37" s="102"/>
      <c r="AE37" s="83">
        <f>SUM(AE36:AE36)</f>
        <v>9996</v>
      </c>
    </row>
    <row r="38" spans="1:33" x14ac:dyDescent="0.2">
      <c r="A38" s="68" t="s">
        <v>107</v>
      </c>
      <c r="B38" s="84">
        <f>ROUND(B37/((1-$B$6))-B37,0)</f>
        <v>219</v>
      </c>
      <c r="C38" s="80">
        <f t="shared" ref="C38:G38" si="27">ROUND(C37/((1-$B$6))-C37,0)</f>
        <v>20</v>
      </c>
      <c r="D38" s="80">
        <f t="shared" si="27"/>
        <v>20</v>
      </c>
      <c r="E38" s="80">
        <f t="shared" si="27"/>
        <v>12</v>
      </c>
      <c r="F38" s="80"/>
      <c r="G38" s="85">
        <f t="shared" si="27"/>
        <v>14</v>
      </c>
      <c r="H38" s="84">
        <f>ROUND(H37/((1-$B$6))-H37,0)</f>
        <v>220</v>
      </c>
      <c r="I38" s="80">
        <f t="shared" ref="I38:K38" si="28">ROUND(I37/((1-$B$6))-I37,0)</f>
        <v>20</v>
      </c>
      <c r="J38" s="80">
        <f t="shared" si="28"/>
        <v>20</v>
      </c>
      <c r="K38" s="80">
        <f t="shared" si="28"/>
        <v>12</v>
      </c>
      <c r="L38" s="80"/>
      <c r="M38" s="85">
        <f t="shared" ref="M38" si="29">ROUND(M37/((1-$B$6))-M37,0)</f>
        <v>14</v>
      </c>
      <c r="N38" s="84">
        <f>ROUND(N37/((1-$B$6))-N37,0)</f>
        <v>224</v>
      </c>
      <c r="O38" s="80">
        <f t="shared" ref="O38:Q38" si="30">ROUND(O37/((1-$B$6))-O37,0)</f>
        <v>21</v>
      </c>
      <c r="P38" s="80">
        <f t="shared" si="30"/>
        <v>21</v>
      </c>
      <c r="Q38" s="80">
        <f t="shared" si="30"/>
        <v>12</v>
      </c>
      <c r="R38" s="80"/>
      <c r="S38" s="85">
        <f t="shared" ref="S38" si="31">ROUND(S37/((1-$B$6))-S37,0)</f>
        <v>14</v>
      </c>
      <c r="T38" s="84">
        <f>ROUND(T37/((1-$B$6))-T37,0)</f>
        <v>237</v>
      </c>
      <c r="U38" s="80">
        <f t="shared" ref="U38:W38" si="32">ROUND(U37/((1-$B$6))-U37,0)</f>
        <v>22</v>
      </c>
      <c r="V38" s="80">
        <f t="shared" si="32"/>
        <v>22</v>
      </c>
      <c r="W38" s="80">
        <f t="shared" si="32"/>
        <v>13</v>
      </c>
      <c r="X38" s="80"/>
      <c r="Y38" s="85">
        <f t="shared" ref="Y38" si="33">ROUND(Y37/((1-$B$6))-Y37,0)</f>
        <v>15</v>
      </c>
      <c r="Z38" s="84">
        <f>ROUND(Z37/((1-$B$6))-Z37,0)</f>
        <v>238</v>
      </c>
      <c r="AA38" s="80">
        <f t="shared" ref="AA38:AC38" si="34">ROUND(AA37/((1-$B$6))-AA37,0)</f>
        <v>22</v>
      </c>
      <c r="AB38" s="80">
        <f t="shared" si="34"/>
        <v>22</v>
      </c>
      <c r="AC38" s="80">
        <f t="shared" si="34"/>
        <v>13</v>
      </c>
      <c r="AD38" s="80"/>
      <c r="AE38" s="85">
        <f t="shared" ref="AE38" si="35">ROUND(AE37/((1-$B$6))-AE37,0)</f>
        <v>15</v>
      </c>
    </row>
    <row r="39" spans="1:33" x14ac:dyDescent="0.2">
      <c r="A39" s="71" t="s">
        <v>108</v>
      </c>
      <c r="B39" s="73">
        <f>SUM(B37:B38)</f>
        <v>145845.21854999999</v>
      </c>
      <c r="C39" s="82">
        <f>SUM(C37:C38)</f>
        <v>13557.529999999999</v>
      </c>
      <c r="D39" s="82">
        <f>SUM(D37:D38)</f>
        <v>13557.529999999999</v>
      </c>
      <c r="E39" s="82">
        <f>SUM(E37:E38)</f>
        <v>7787</v>
      </c>
      <c r="F39" s="82"/>
      <c r="G39" s="83">
        <f>SUM(G37:G38)</f>
        <v>9209</v>
      </c>
      <c r="H39" s="73">
        <f>SUM(H37:H38)</f>
        <v>146953.34262826716</v>
      </c>
      <c r="I39" s="82">
        <f>SUM(I37:I38)</f>
        <v>13660.449141707426</v>
      </c>
      <c r="J39" s="82">
        <f>SUM(J37:J38)</f>
        <v>13660.449141707426</v>
      </c>
      <c r="K39" s="82">
        <f>SUM(K37:K38)</f>
        <v>7846</v>
      </c>
      <c r="L39" s="82"/>
      <c r="M39" s="83">
        <f>SUM(M37:M38)</f>
        <v>9279</v>
      </c>
      <c r="N39" s="73">
        <f>SUM(N37:N38)</f>
        <v>149160.32339999999</v>
      </c>
      <c r="O39" s="82">
        <f>SUM(O37:O38)</f>
        <v>13866.24</v>
      </c>
      <c r="P39" s="82">
        <f>SUM(P37:P38)</f>
        <v>13866.24</v>
      </c>
      <c r="Q39" s="82">
        <f>SUM(Q37:Q38)</f>
        <v>7964</v>
      </c>
      <c r="R39" s="82"/>
      <c r="S39" s="83">
        <f>SUM(S37:S38)</f>
        <v>9418</v>
      </c>
      <c r="T39" s="73">
        <f>SUM(T37:T38)</f>
        <v>157970.90244999999</v>
      </c>
      <c r="U39" s="82">
        <f>SUM(U37:U38)</f>
        <v>14685.07</v>
      </c>
      <c r="V39" s="82">
        <f>SUM(V37:V38)</f>
        <v>14685.07</v>
      </c>
      <c r="W39" s="82">
        <f>SUM(W37:W38)</f>
        <v>8434</v>
      </c>
      <c r="X39" s="82"/>
      <c r="Y39" s="83">
        <f>SUM(Y37:Y38)</f>
        <v>9975</v>
      </c>
      <c r="Z39" s="73">
        <f>SUM(Z37:Z38)</f>
        <v>158540.98102000001</v>
      </c>
      <c r="AA39" s="82">
        <f>SUM(AA37:AA38)</f>
        <v>14737.972</v>
      </c>
      <c r="AB39" s="82">
        <f>SUM(AB37:AB38)</f>
        <v>14737.972</v>
      </c>
      <c r="AC39" s="82">
        <f>SUM(AC37:AC38)</f>
        <v>8465</v>
      </c>
      <c r="AD39" s="82"/>
      <c r="AE39" s="83">
        <f>SUM(AE37:AE38)</f>
        <v>10011</v>
      </c>
    </row>
    <row r="40" spans="1:33" x14ac:dyDescent="0.2">
      <c r="A40" s="71"/>
      <c r="B40" s="73"/>
      <c r="C40" s="82"/>
      <c r="D40" s="82"/>
      <c r="E40" s="82"/>
      <c r="F40" s="82"/>
      <c r="G40" s="60"/>
      <c r="H40" s="73"/>
      <c r="I40" s="82"/>
      <c r="J40" s="82"/>
      <c r="K40" s="82"/>
      <c r="L40" s="82"/>
      <c r="M40" s="60"/>
      <c r="N40" s="73"/>
      <c r="O40" s="82"/>
      <c r="P40" s="82"/>
      <c r="Q40" s="82"/>
      <c r="R40" s="82"/>
      <c r="S40" s="60"/>
      <c r="T40" s="73"/>
      <c r="U40" s="82"/>
      <c r="V40" s="82"/>
      <c r="W40" s="82"/>
      <c r="X40" s="82"/>
      <c r="Y40" s="60"/>
      <c r="Z40" s="73"/>
      <c r="AA40" s="82"/>
      <c r="AB40" s="82"/>
      <c r="AC40" s="82"/>
      <c r="AD40" s="82"/>
      <c r="AE40" s="60"/>
    </row>
    <row r="41" spans="1:33" x14ac:dyDescent="0.2">
      <c r="A41" s="71" t="s">
        <v>77</v>
      </c>
      <c r="B41" s="73"/>
      <c r="C41" s="82"/>
      <c r="D41" s="82"/>
      <c r="E41" s="82"/>
      <c r="F41" s="82"/>
      <c r="G41" s="60"/>
      <c r="H41" s="73"/>
      <c r="I41" s="82"/>
      <c r="J41" s="82"/>
      <c r="K41" s="82"/>
      <c r="L41" s="82"/>
      <c r="M41" s="60"/>
      <c r="N41" s="73"/>
      <c r="O41" s="82"/>
      <c r="P41" s="82"/>
      <c r="Q41" s="82"/>
      <c r="R41" s="82"/>
      <c r="S41" s="60"/>
      <c r="T41" s="73"/>
      <c r="U41" s="82"/>
      <c r="V41" s="82"/>
      <c r="W41" s="82"/>
      <c r="X41" s="82"/>
      <c r="Y41" s="60"/>
      <c r="Z41" s="73"/>
      <c r="AA41" s="82"/>
      <c r="AB41" s="82"/>
      <c r="AC41" s="82"/>
      <c r="AD41" s="82"/>
      <c r="AE41" s="60"/>
    </row>
    <row r="42" spans="1:33" x14ac:dyDescent="0.2">
      <c r="A42" s="72" t="s">
        <v>111</v>
      </c>
      <c r="B42" s="73">
        <f>B22+B31+B37</f>
        <v>925652.47485999996</v>
      </c>
      <c r="C42" s="74">
        <f t="shared" ref="C42:D42" si="36">C22+C31+C37</f>
        <v>86049.395999999993</v>
      </c>
      <c r="D42" s="74">
        <f t="shared" si="36"/>
        <v>86049.395999999993</v>
      </c>
      <c r="E42" s="74">
        <f t="shared" ref="E42" si="37">E22+E31+E37</f>
        <v>43545</v>
      </c>
      <c r="F42" s="82"/>
      <c r="G42" s="90">
        <f t="shared" ref="G42" si="38">G22+G31+G37</f>
        <v>58449</v>
      </c>
      <c r="H42" s="73">
        <f>H22+H31+H37</f>
        <v>945706.69191700744</v>
      </c>
      <c r="I42" s="74">
        <f>I22+I31+I37</f>
        <v>87913.65209164971</v>
      </c>
      <c r="J42" s="74">
        <f>J22+J31+J37</f>
        <v>87913.65209164971</v>
      </c>
      <c r="K42" s="74">
        <f>K22+K31+K37</f>
        <v>44423</v>
      </c>
      <c r="L42" s="82"/>
      <c r="M42" s="90">
        <f>M22+M31+M37</f>
        <v>59715</v>
      </c>
      <c r="N42" s="73">
        <f>N22+N31+N37</f>
        <v>958176.50595999998</v>
      </c>
      <c r="O42" s="74">
        <f>O22+O31+O37</f>
        <v>89072.856</v>
      </c>
      <c r="P42" s="74">
        <f>P22+P31+P37</f>
        <v>89072.856</v>
      </c>
      <c r="Q42" s="74">
        <f>Q22+Q31+Q37</f>
        <v>44963</v>
      </c>
      <c r="R42" s="82"/>
      <c r="S42" s="90">
        <f>S22+S31+S37</f>
        <v>60502</v>
      </c>
      <c r="T42" s="73">
        <f>T22+T31+T37</f>
        <v>981277.33948000008</v>
      </c>
      <c r="U42" s="74">
        <f>U22+U31+U37</f>
        <v>91220.328000000009</v>
      </c>
      <c r="V42" s="74">
        <f>V22+V31+V37</f>
        <v>91220.328000000009</v>
      </c>
      <c r="W42" s="74">
        <f>W22+W31+W37</f>
        <v>46040</v>
      </c>
      <c r="X42" s="82"/>
      <c r="Y42" s="90">
        <f>Y22+Y31+Y37</f>
        <v>61961</v>
      </c>
      <c r="Z42" s="73">
        <f>Z22+Z31+Z37</f>
        <v>996788.84514999995</v>
      </c>
      <c r="AA42" s="74">
        <f>AA22+AA31+AA37</f>
        <v>92662.29</v>
      </c>
      <c r="AB42" s="74">
        <f>AB22+AB31+AB37</f>
        <v>92662.29</v>
      </c>
      <c r="AC42" s="74">
        <f>AC22+AC31+AC37</f>
        <v>46703</v>
      </c>
      <c r="AD42" s="82"/>
      <c r="AE42" s="90">
        <f>AE22+AE31+AE37</f>
        <v>62941</v>
      </c>
    </row>
    <row r="43" spans="1:33" x14ac:dyDescent="0.2">
      <c r="A43" s="68" t="s">
        <v>112</v>
      </c>
      <c r="B43" s="77">
        <f>B23+B32+B38</f>
        <v>1391</v>
      </c>
      <c r="C43" s="78">
        <f t="shared" ref="C43:D43" si="39">C23+C32+C38</f>
        <v>129</v>
      </c>
      <c r="D43" s="78">
        <f t="shared" si="39"/>
        <v>129</v>
      </c>
      <c r="E43" s="78">
        <f t="shared" ref="E43" si="40">E23+E32+E38</f>
        <v>66</v>
      </c>
      <c r="F43" s="82"/>
      <c r="G43" s="100">
        <f t="shared" ref="G43" si="41">G23+G32+G38</f>
        <v>88</v>
      </c>
      <c r="H43" s="77">
        <f>H23+H32+H38</f>
        <v>1420</v>
      </c>
      <c r="I43" s="78">
        <f t="shared" ref="I43:J43" si="42">I23+I32+I38</f>
        <v>131</v>
      </c>
      <c r="J43" s="78">
        <f t="shared" si="42"/>
        <v>131</v>
      </c>
      <c r="K43" s="78">
        <f>K23+K32+K38</f>
        <v>67</v>
      </c>
      <c r="L43" s="82"/>
      <c r="M43" s="100">
        <f>M23+M32+M38</f>
        <v>90</v>
      </c>
      <c r="N43" s="77">
        <f>N23+N32+N38</f>
        <v>1440</v>
      </c>
      <c r="O43" s="78">
        <f t="shared" ref="O43:P43" si="43">O23+O32+O38</f>
        <v>134</v>
      </c>
      <c r="P43" s="78">
        <f t="shared" si="43"/>
        <v>134</v>
      </c>
      <c r="Q43" s="78">
        <f>Q23+Q32+Q38</f>
        <v>68</v>
      </c>
      <c r="R43" s="82"/>
      <c r="S43" s="100">
        <f>S23+S32+S38</f>
        <v>90</v>
      </c>
      <c r="T43" s="77">
        <f>T23+T32+T38</f>
        <v>1474</v>
      </c>
      <c r="U43" s="78">
        <f t="shared" ref="U43:V43" si="44">U23+U32+U38</f>
        <v>137</v>
      </c>
      <c r="V43" s="78">
        <f t="shared" si="44"/>
        <v>137</v>
      </c>
      <c r="W43" s="78">
        <f>W23+W32+W38</f>
        <v>69</v>
      </c>
      <c r="X43" s="82"/>
      <c r="Y43" s="100">
        <f>Y23+Y32+Y38</f>
        <v>93</v>
      </c>
      <c r="Z43" s="77">
        <f>Z23+Z32+Z38</f>
        <v>1498</v>
      </c>
      <c r="AA43" s="78">
        <f t="shared" ref="AA43:AB43" si="45">AA23+AA32+AA38</f>
        <v>139</v>
      </c>
      <c r="AB43" s="78">
        <f t="shared" si="45"/>
        <v>139</v>
      </c>
      <c r="AC43" s="78">
        <f>AC23+AC32+AC38</f>
        <v>70</v>
      </c>
      <c r="AD43" s="82"/>
      <c r="AE43" s="100">
        <f>AE23+AE32+AE38</f>
        <v>95</v>
      </c>
    </row>
    <row r="44" spans="1:33" x14ac:dyDescent="0.2">
      <c r="A44" s="135" t="s">
        <v>113</v>
      </c>
      <c r="B44" s="77">
        <f>SUM(B42:B43)</f>
        <v>927043.47485999996</v>
      </c>
      <c r="C44" s="78">
        <f>SUM(C42:C43)</f>
        <v>86178.395999999993</v>
      </c>
      <c r="D44" s="78">
        <f>SUM(D42:D43)</f>
        <v>86178.395999999993</v>
      </c>
      <c r="E44" s="78">
        <f>SUM(E42:E43)</f>
        <v>43611</v>
      </c>
      <c r="F44" s="101"/>
      <c r="G44" s="100">
        <f>SUM(G42:G43)</f>
        <v>58537</v>
      </c>
      <c r="H44" s="77">
        <f>SUM(H42:H43)</f>
        <v>947126.69191700744</v>
      </c>
      <c r="I44" s="78">
        <f>SUM(I42:I43)</f>
        <v>88044.65209164971</v>
      </c>
      <c r="J44" s="78">
        <f>SUM(J42:J43)</f>
        <v>88044.65209164971</v>
      </c>
      <c r="K44" s="78">
        <f>SUM(K42:K43)</f>
        <v>44490</v>
      </c>
      <c r="L44" s="101"/>
      <c r="M44" s="100">
        <f>SUM(M42:M43)</f>
        <v>59805</v>
      </c>
      <c r="N44" s="77">
        <f>SUM(N42:N43)</f>
        <v>959616.50595999998</v>
      </c>
      <c r="O44" s="78">
        <f>SUM(O42:O43)</f>
        <v>89206.856</v>
      </c>
      <c r="P44" s="78">
        <f>SUM(P42:P43)</f>
        <v>89206.856</v>
      </c>
      <c r="Q44" s="78">
        <f>SUM(Q42:Q43)</f>
        <v>45031</v>
      </c>
      <c r="R44" s="101"/>
      <c r="S44" s="100">
        <f>SUM(S42:S43)</f>
        <v>60592</v>
      </c>
      <c r="T44" s="77">
        <f>SUM(T42:T43)</f>
        <v>982751.33948000008</v>
      </c>
      <c r="U44" s="78">
        <f>SUM(U42:U43)</f>
        <v>91357.328000000009</v>
      </c>
      <c r="V44" s="78">
        <f>SUM(V42:V43)</f>
        <v>91357.328000000009</v>
      </c>
      <c r="W44" s="78">
        <f>SUM(W42:W43)</f>
        <v>46109</v>
      </c>
      <c r="X44" s="101"/>
      <c r="Y44" s="100">
        <f>SUM(Y42:Y43)</f>
        <v>62054</v>
      </c>
      <c r="Z44" s="77">
        <f>SUM(Z42:Z43)</f>
        <v>998286.84514999995</v>
      </c>
      <c r="AA44" s="78">
        <f>SUM(AA42:AA43)</f>
        <v>92801.29</v>
      </c>
      <c r="AB44" s="78">
        <f>SUM(AB42:AB43)</f>
        <v>92801.29</v>
      </c>
      <c r="AC44" s="78">
        <f>SUM(AC42:AC43)</f>
        <v>46773</v>
      </c>
      <c r="AD44" s="101"/>
      <c r="AE44" s="100">
        <f>SUM(AE42:AE43)</f>
        <v>63036</v>
      </c>
    </row>
    <row r="45" spans="1:33" x14ac:dyDescent="0.2">
      <c r="A45" s="71"/>
      <c r="B45" s="93"/>
      <c r="F45" s="51"/>
    </row>
    <row r="46" spans="1:33" x14ac:dyDescent="0.2">
      <c r="A46" s="72"/>
      <c r="B46" s="93"/>
      <c r="F46" s="51"/>
    </row>
    <row r="47" spans="1:33" x14ac:dyDescent="0.2">
      <c r="A47" s="72"/>
      <c r="B47" s="93"/>
      <c r="F47" s="51"/>
    </row>
    <row r="48" spans="1:33" x14ac:dyDescent="0.2">
      <c r="A48" s="72"/>
      <c r="B48" s="93"/>
      <c r="F48" s="51"/>
    </row>
    <row r="49" spans="1:6" x14ac:dyDescent="0.2">
      <c r="A49" s="72"/>
      <c r="B49" s="93"/>
      <c r="F49" s="51"/>
    </row>
    <row r="50" spans="1:6" x14ac:dyDescent="0.2">
      <c r="A50" s="72"/>
      <c r="B50" s="93"/>
      <c r="F50" s="51"/>
    </row>
    <row r="51" spans="1:6" x14ac:dyDescent="0.2">
      <c r="A51" s="72"/>
      <c r="B51" s="93"/>
      <c r="F51" s="51"/>
    </row>
    <row r="52" spans="1:6" x14ac:dyDescent="0.2">
      <c r="A52" s="72"/>
      <c r="B52" s="93"/>
      <c r="F52" s="51"/>
    </row>
    <row r="53" spans="1:6" x14ac:dyDescent="0.2">
      <c r="A53" s="72"/>
      <c r="B53" s="93"/>
      <c r="F53" s="51"/>
    </row>
    <row r="54" spans="1:6" x14ac:dyDescent="0.2">
      <c r="B54" s="93"/>
      <c r="F54" s="51"/>
    </row>
    <row r="55" spans="1:6" x14ac:dyDescent="0.2">
      <c r="B55" s="93"/>
      <c r="F55" s="51"/>
    </row>
    <row r="56" spans="1:6" x14ac:dyDescent="0.2">
      <c r="B56" s="93"/>
      <c r="F56" s="51"/>
    </row>
    <row r="57" spans="1:6" x14ac:dyDescent="0.2">
      <c r="B57" s="93"/>
      <c r="F57" s="51"/>
    </row>
    <row r="58" spans="1:6" x14ac:dyDescent="0.2">
      <c r="B58" s="93"/>
      <c r="F58" s="51"/>
    </row>
    <row r="59" spans="1:6" x14ac:dyDescent="0.2">
      <c r="B59" s="93"/>
      <c r="F59" s="51"/>
    </row>
    <row r="60" spans="1:6" x14ac:dyDescent="0.2">
      <c r="B60" s="93"/>
      <c r="F60" s="51"/>
    </row>
    <row r="61" spans="1:6" x14ac:dyDescent="0.2">
      <c r="B61" s="93"/>
      <c r="F61" s="51"/>
    </row>
    <row r="62" spans="1:6" x14ac:dyDescent="0.2">
      <c r="B62" s="93"/>
      <c r="F62" s="51"/>
    </row>
    <row r="63" spans="1:6" x14ac:dyDescent="0.2">
      <c r="B63" s="93"/>
      <c r="F63" s="51"/>
    </row>
    <row r="64" spans="1:6" x14ac:dyDescent="0.2">
      <c r="B64" s="93"/>
      <c r="F64" s="51"/>
    </row>
    <row r="65" spans="2:6" x14ac:dyDescent="0.2">
      <c r="B65" s="93"/>
      <c r="F65" s="51"/>
    </row>
    <row r="66" spans="2:6" x14ac:dyDescent="0.2">
      <c r="B66" s="93"/>
      <c r="F66" s="51"/>
    </row>
    <row r="67" spans="2:6" x14ac:dyDescent="0.2">
      <c r="B67" s="93"/>
      <c r="F67" s="51"/>
    </row>
    <row r="68" spans="2:6" x14ac:dyDescent="0.2">
      <c r="B68" s="93"/>
      <c r="F68" s="51"/>
    </row>
    <row r="69" spans="2:6" x14ac:dyDescent="0.2">
      <c r="B69" s="93"/>
      <c r="F69" s="51"/>
    </row>
    <row r="70" spans="2:6" x14ac:dyDescent="0.2">
      <c r="B70" s="93"/>
      <c r="F70" s="51"/>
    </row>
    <row r="71" spans="2:6" x14ac:dyDescent="0.2">
      <c r="B71" s="93"/>
      <c r="F71" s="51"/>
    </row>
    <row r="72" spans="2:6" x14ac:dyDescent="0.2">
      <c r="F72" s="51"/>
    </row>
    <row r="73" spans="2:6" x14ac:dyDescent="0.2">
      <c r="F73" s="51"/>
    </row>
    <row r="74" spans="2:6" x14ac:dyDescent="0.2">
      <c r="F74" s="51"/>
    </row>
    <row r="75" spans="2:6" x14ac:dyDescent="0.2">
      <c r="F75" s="51"/>
    </row>
    <row r="76" spans="2:6" x14ac:dyDescent="0.2">
      <c r="F76" s="51"/>
    </row>
    <row r="77" spans="2:6" x14ac:dyDescent="0.2">
      <c r="F77" s="51"/>
    </row>
    <row r="78" spans="2:6" x14ac:dyDescent="0.2">
      <c r="F78" s="51"/>
    </row>
    <row r="79" spans="2:6" x14ac:dyDescent="0.2">
      <c r="F79" s="51"/>
    </row>
    <row r="80" spans="2:6" x14ac:dyDescent="0.2">
      <c r="F80" s="51"/>
    </row>
    <row r="81" spans="6:6" x14ac:dyDescent="0.2">
      <c r="F81" s="51"/>
    </row>
    <row r="82" spans="6:6" x14ac:dyDescent="0.2">
      <c r="F82" s="51"/>
    </row>
    <row r="83" spans="6:6" x14ac:dyDescent="0.2">
      <c r="F83" s="51"/>
    </row>
    <row r="84" spans="6:6" x14ac:dyDescent="0.2">
      <c r="F84" s="51"/>
    </row>
    <row r="85" spans="6:6" x14ac:dyDescent="0.2">
      <c r="F85" s="51"/>
    </row>
    <row r="86" spans="6:6" x14ac:dyDescent="0.2">
      <c r="F86" s="51"/>
    </row>
    <row r="87" spans="6:6" x14ac:dyDescent="0.2">
      <c r="F87" s="51"/>
    </row>
    <row r="88" spans="6:6" x14ac:dyDescent="0.2">
      <c r="F88" s="51"/>
    </row>
    <row r="89" spans="6:6" x14ac:dyDescent="0.2">
      <c r="F89" s="51"/>
    </row>
    <row r="90" spans="6:6" x14ac:dyDescent="0.2">
      <c r="F90" s="51"/>
    </row>
    <row r="91" spans="6:6" x14ac:dyDescent="0.2">
      <c r="F91" s="51"/>
    </row>
    <row r="92" spans="6:6" x14ac:dyDescent="0.2">
      <c r="F92" s="51"/>
    </row>
    <row r="93" spans="6:6" x14ac:dyDescent="0.2">
      <c r="F93" s="51"/>
    </row>
    <row r="94" spans="6:6" x14ac:dyDescent="0.2">
      <c r="F94" s="51"/>
    </row>
    <row r="95" spans="6:6" x14ac:dyDescent="0.2">
      <c r="F95" s="51"/>
    </row>
    <row r="96" spans="6:6" x14ac:dyDescent="0.2">
      <c r="F96" s="51"/>
    </row>
    <row r="97" spans="6:6" x14ac:dyDescent="0.2">
      <c r="F97" s="51"/>
    </row>
    <row r="98" spans="6:6" x14ac:dyDescent="0.2">
      <c r="F98" s="51"/>
    </row>
    <row r="99" spans="6:6" x14ac:dyDescent="0.2">
      <c r="F99" s="51"/>
    </row>
    <row r="100" spans="6:6" x14ac:dyDescent="0.2">
      <c r="F100" s="51"/>
    </row>
    <row r="101" spans="6:6" x14ac:dyDescent="0.2">
      <c r="F101" s="51"/>
    </row>
    <row r="102" spans="6:6" x14ac:dyDescent="0.2">
      <c r="F102" s="51"/>
    </row>
    <row r="103" spans="6:6" x14ac:dyDescent="0.2">
      <c r="F103" s="51"/>
    </row>
    <row r="104" spans="6:6" x14ac:dyDescent="0.2">
      <c r="F104" s="51"/>
    </row>
    <row r="105" spans="6:6" x14ac:dyDescent="0.2">
      <c r="F105" s="51"/>
    </row>
    <row r="106" spans="6:6" x14ac:dyDescent="0.2">
      <c r="F106" s="51"/>
    </row>
    <row r="107" spans="6:6" x14ac:dyDescent="0.2">
      <c r="F107" s="51"/>
    </row>
    <row r="108" spans="6:6" x14ac:dyDescent="0.2">
      <c r="F108" s="51"/>
    </row>
    <row r="109" spans="6:6" x14ac:dyDescent="0.2">
      <c r="F109" s="51"/>
    </row>
    <row r="110" spans="6:6" x14ac:dyDescent="0.2">
      <c r="F110" s="51"/>
    </row>
    <row r="111" spans="6:6" x14ac:dyDescent="0.2">
      <c r="F111" s="51"/>
    </row>
    <row r="112" spans="6:6" x14ac:dyDescent="0.2">
      <c r="F112" s="51"/>
    </row>
    <row r="113" spans="6:6" x14ac:dyDescent="0.2">
      <c r="F113" s="51"/>
    </row>
    <row r="114" spans="6:6" x14ac:dyDescent="0.2">
      <c r="F114" s="51"/>
    </row>
    <row r="115" spans="6:6" x14ac:dyDescent="0.2">
      <c r="F115" s="51"/>
    </row>
    <row r="116" spans="6:6" x14ac:dyDescent="0.2">
      <c r="F116" s="51"/>
    </row>
    <row r="117" spans="6:6" x14ac:dyDescent="0.2">
      <c r="F117" s="51"/>
    </row>
    <row r="118" spans="6:6" x14ac:dyDescent="0.2">
      <c r="F118" s="51"/>
    </row>
    <row r="119" spans="6:6" x14ac:dyDescent="0.2">
      <c r="F119" s="51"/>
    </row>
    <row r="120" spans="6:6" x14ac:dyDescent="0.2">
      <c r="F120" s="51"/>
    </row>
    <row r="121" spans="6:6" x14ac:dyDescent="0.2">
      <c r="F121" s="51"/>
    </row>
    <row r="122" spans="6:6" x14ac:dyDescent="0.2">
      <c r="F122" s="51"/>
    </row>
    <row r="123" spans="6:6" x14ac:dyDescent="0.2">
      <c r="F123" s="51"/>
    </row>
    <row r="124" spans="6:6" x14ac:dyDescent="0.2">
      <c r="F124" s="51"/>
    </row>
    <row r="125" spans="6:6" x14ac:dyDescent="0.2">
      <c r="F125" s="51"/>
    </row>
    <row r="126" spans="6:6" x14ac:dyDescent="0.2">
      <c r="F126" s="51"/>
    </row>
    <row r="127" spans="6:6" x14ac:dyDescent="0.2">
      <c r="F127" s="51"/>
    </row>
    <row r="128" spans="6:6" x14ac:dyDescent="0.2">
      <c r="F128" s="51"/>
    </row>
    <row r="129" spans="6:6" x14ac:dyDescent="0.2">
      <c r="F129" s="51"/>
    </row>
    <row r="130" spans="6:6" x14ac:dyDescent="0.2">
      <c r="F130" s="51"/>
    </row>
    <row r="131" spans="6:6" x14ac:dyDescent="0.2">
      <c r="F131" s="51"/>
    </row>
    <row r="132" spans="6:6" x14ac:dyDescent="0.2">
      <c r="F132" s="51"/>
    </row>
    <row r="133" spans="6:6" x14ac:dyDescent="0.2">
      <c r="F133" s="51"/>
    </row>
    <row r="134" spans="6:6" x14ac:dyDescent="0.2">
      <c r="F134" s="51"/>
    </row>
    <row r="135" spans="6:6" x14ac:dyDescent="0.2">
      <c r="F135" s="51"/>
    </row>
    <row r="136" spans="6:6" x14ac:dyDescent="0.2">
      <c r="F136" s="51"/>
    </row>
    <row r="137" spans="6:6" x14ac:dyDescent="0.2">
      <c r="F137" s="51"/>
    </row>
    <row r="138" spans="6:6" x14ac:dyDescent="0.2">
      <c r="F138" s="51"/>
    </row>
    <row r="139" spans="6:6" x14ac:dyDescent="0.2">
      <c r="F139" s="51"/>
    </row>
    <row r="140" spans="6:6" x14ac:dyDescent="0.2">
      <c r="F140" s="51"/>
    </row>
    <row r="141" spans="6:6" x14ac:dyDescent="0.2">
      <c r="F141" s="51"/>
    </row>
    <row r="142" spans="6:6" x14ac:dyDescent="0.2">
      <c r="F142" s="51"/>
    </row>
    <row r="143" spans="6:6" x14ac:dyDescent="0.2">
      <c r="F143" s="51"/>
    </row>
    <row r="144" spans="6:6" x14ac:dyDescent="0.2">
      <c r="F144" s="51"/>
    </row>
    <row r="145" spans="6:6" x14ac:dyDescent="0.2">
      <c r="F145" s="51"/>
    </row>
    <row r="146" spans="6:6" x14ac:dyDescent="0.2">
      <c r="F146" s="51"/>
    </row>
    <row r="147" spans="6:6" x14ac:dyDescent="0.2">
      <c r="F147" s="51"/>
    </row>
    <row r="148" spans="6:6" x14ac:dyDescent="0.2">
      <c r="F148" s="51"/>
    </row>
    <row r="149" spans="6:6" x14ac:dyDescent="0.2">
      <c r="F149" s="51"/>
    </row>
    <row r="150" spans="6:6" x14ac:dyDescent="0.2">
      <c r="F150" s="51"/>
    </row>
    <row r="151" spans="6:6" x14ac:dyDescent="0.2">
      <c r="F151" s="51"/>
    </row>
    <row r="152" spans="6:6" x14ac:dyDescent="0.2">
      <c r="F152" s="51"/>
    </row>
    <row r="153" spans="6:6" x14ac:dyDescent="0.2">
      <c r="F153" s="51"/>
    </row>
    <row r="154" spans="6:6" x14ac:dyDescent="0.2">
      <c r="F154" s="51"/>
    </row>
    <row r="155" spans="6:6" x14ac:dyDescent="0.2">
      <c r="F155" s="51"/>
    </row>
    <row r="156" spans="6:6" x14ac:dyDescent="0.2">
      <c r="F156" s="51"/>
    </row>
    <row r="157" spans="6:6" x14ac:dyDescent="0.2">
      <c r="F157" s="51"/>
    </row>
    <row r="158" spans="6:6" x14ac:dyDescent="0.2">
      <c r="F158" s="51"/>
    </row>
    <row r="159" spans="6:6" x14ac:dyDescent="0.2">
      <c r="F159" s="51"/>
    </row>
    <row r="160" spans="6:6" x14ac:dyDescent="0.2">
      <c r="F160" s="51"/>
    </row>
    <row r="161" spans="6:6" x14ac:dyDescent="0.2">
      <c r="F161" s="51"/>
    </row>
    <row r="162" spans="6:6" x14ac:dyDescent="0.2">
      <c r="F162" s="51"/>
    </row>
    <row r="163" spans="6:6" x14ac:dyDescent="0.2">
      <c r="F163" s="51"/>
    </row>
    <row r="164" spans="6:6" x14ac:dyDescent="0.2">
      <c r="F164" s="51"/>
    </row>
    <row r="165" spans="6:6" x14ac:dyDescent="0.2">
      <c r="F165" s="51"/>
    </row>
    <row r="166" spans="6:6" x14ac:dyDescent="0.2">
      <c r="F166" s="51"/>
    </row>
    <row r="167" spans="6:6" x14ac:dyDescent="0.2">
      <c r="F167" s="51"/>
    </row>
    <row r="168" spans="6:6" x14ac:dyDescent="0.2">
      <c r="F168" s="51"/>
    </row>
    <row r="169" spans="6:6" x14ac:dyDescent="0.2">
      <c r="F169" s="51"/>
    </row>
    <row r="170" spans="6:6" x14ac:dyDescent="0.2">
      <c r="F170" s="51"/>
    </row>
    <row r="171" spans="6:6" x14ac:dyDescent="0.2">
      <c r="F171" s="51"/>
    </row>
    <row r="172" spans="6:6" x14ac:dyDescent="0.2">
      <c r="F172" s="51"/>
    </row>
    <row r="173" spans="6:6" x14ac:dyDescent="0.2">
      <c r="F173" s="51"/>
    </row>
    <row r="174" spans="6:6" x14ac:dyDescent="0.2">
      <c r="F174" s="51"/>
    </row>
    <row r="175" spans="6:6" x14ac:dyDescent="0.2">
      <c r="F175" s="51"/>
    </row>
    <row r="176" spans="6:6" x14ac:dyDescent="0.2">
      <c r="F176" s="51"/>
    </row>
    <row r="177" spans="6:6" x14ac:dyDescent="0.2">
      <c r="F177" s="51"/>
    </row>
    <row r="178" spans="6:6" x14ac:dyDescent="0.2">
      <c r="F178" s="51"/>
    </row>
    <row r="179" spans="6:6" x14ac:dyDescent="0.2">
      <c r="F179" s="51"/>
    </row>
    <row r="180" spans="6:6" x14ac:dyDescent="0.2">
      <c r="F180" s="51"/>
    </row>
    <row r="181" spans="6:6" x14ac:dyDescent="0.2">
      <c r="F181" s="51"/>
    </row>
    <row r="182" spans="6:6" x14ac:dyDescent="0.2">
      <c r="F182" s="51"/>
    </row>
    <row r="183" spans="6:6" x14ac:dyDescent="0.2">
      <c r="F183" s="51"/>
    </row>
    <row r="184" spans="6:6" x14ac:dyDescent="0.2">
      <c r="F184" s="51"/>
    </row>
    <row r="185" spans="6:6" x14ac:dyDescent="0.2">
      <c r="F185" s="51"/>
    </row>
    <row r="186" spans="6:6" x14ac:dyDescent="0.2">
      <c r="F186" s="51"/>
    </row>
    <row r="187" spans="6:6" x14ac:dyDescent="0.2">
      <c r="F187" s="51"/>
    </row>
    <row r="188" spans="6:6" x14ac:dyDescent="0.2">
      <c r="F188" s="51"/>
    </row>
    <row r="189" spans="6:6" x14ac:dyDescent="0.2">
      <c r="F189" s="51"/>
    </row>
    <row r="190" spans="6:6" x14ac:dyDescent="0.2">
      <c r="F190" s="51"/>
    </row>
    <row r="191" spans="6:6" x14ac:dyDescent="0.2">
      <c r="F191" s="51"/>
    </row>
    <row r="192" spans="6:6" x14ac:dyDescent="0.2">
      <c r="F192" s="51"/>
    </row>
    <row r="193" spans="6:6" x14ac:dyDescent="0.2">
      <c r="F193" s="51"/>
    </row>
    <row r="194" spans="6:6" x14ac:dyDescent="0.2">
      <c r="F194" s="51"/>
    </row>
    <row r="195" spans="6:6" x14ac:dyDescent="0.2">
      <c r="F195" s="51"/>
    </row>
    <row r="196" spans="6:6" x14ac:dyDescent="0.2">
      <c r="F196" s="51"/>
    </row>
    <row r="197" spans="6:6" x14ac:dyDescent="0.2">
      <c r="F197" s="51"/>
    </row>
    <row r="198" spans="6:6" x14ac:dyDescent="0.2">
      <c r="F198" s="51"/>
    </row>
    <row r="199" spans="6:6" x14ac:dyDescent="0.2">
      <c r="F199" s="51"/>
    </row>
    <row r="200" spans="6:6" x14ac:dyDescent="0.2">
      <c r="F200" s="51"/>
    </row>
    <row r="201" spans="6:6" x14ac:dyDescent="0.2">
      <c r="F201" s="51"/>
    </row>
    <row r="202" spans="6:6" x14ac:dyDescent="0.2">
      <c r="F202" s="51"/>
    </row>
    <row r="203" spans="6:6" x14ac:dyDescent="0.2">
      <c r="F203" s="51"/>
    </row>
    <row r="204" spans="6:6" x14ac:dyDescent="0.2">
      <c r="F204" s="51"/>
    </row>
    <row r="205" spans="6:6" x14ac:dyDescent="0.2">
      <c r="F205" s="51"/>
    </row>
    <row r="206" spans="6:6" x14ac:dyDescent="0.2">
      <c r="F206" s="51"/>
    </row>
    <row r="207" spans="6:6" x14ac:dyDescent="0.2">
      <c r="F207" s="51"/>
    </row>
    <row r="208" spans="6:6" x14ac:dyDescent="0.2">
      <c r="F208" s="51"/>
    </row>
    <row r="209" spans="6:6" x14ac:dyDescent="0.2">
      <c r="F209" s="51"/>
    </row>
    <row r="210" spans="6:6" x14ac:dyDescent="0.2">
      <c r="F210" s="51"/>
    </row>
    <row r="211" spans="6:6" x14ac:dyDescent="0.2">
      <c r="F211" s="51"/>
    </row>
    <row r="212" spans="6:6" x14ac:dyDescent="0.2">
      <c r="F212" s="51"/>
    </row>
    <row r="213" spans="6:6" x14ac:dyDescent="0.2">
      <c r="F213" s="51"/>
    </row>
    <row r="214" spans="6:6" x14ac:dyDescent="0.2">
      <c r="F214" s="51"/>
    </row>
    <row r="215" spans="6:6" x14ac:dyDescent="0.2">
      <c r="F215" s="51"/>
    </row>
    <row r="216" spans="6:6" x14ac:dyDescent="0.2">
      <c r="F216" s="51"/>
    </row>
    <row r="217" spans="6:6" x14ac:dyDescent="0.2">
      <c r="F217" s="51"/>
    </row>
    <row r="218" spans="6:6" x14ac:dyDescent="0.2">
      <c r="F218" s="51"/>
    </row>
    <row r="219" spans="6:6" x14ac:dyDescent="0.2">
      <c r="F219" s="51"/>
    </row>
    <row r="220" spans="6:6" x14ac:dyDescent="0.2">
      <c r="F220" s="51"/>
    </row>
    <row r="221" spans="6:6" x14ac:dyDescent="0.2">
      <c r="F221" s="51"/>
    </row>
    <row r="222" spans="6:6" x14ac:dyDescent="0.2">
      <c r="F222" s="51"/>
    </row>
    <row r="223" spans="6:6" x14ac:dyDescent="0.2">
      <c r="F223" s="51"/>
    </row>
    <row r="224" spans="6:6" x14ac:dyDescent="0.2">
      <c r="F224" s="51"/>
    </row>
    <row r="225" spans="6:6" x14ac:dyDescent="0.2">
      <c r="F225" s="51"/>
    </row>
    <row r="226" spans="6:6" x14ac:dyDescent="0.2">
      <c r="F226" s="51"/>
    </row>
    <row r="227" spans="6:6" x14ac:dyDescent="0.2">
      <c r="F227" s="51"/>
    </row>
    <row r="228" spans="6:6" x14ac:dyDescent="0.2">
      <c r="F228" s="51"/>
    </row>
    <row r="229" spans="6:6" x14ac:dyDescent="0.2">
      <c r="F229" s="51"/>
    </row>
    <row r="230" spans="6:6" x14ac:dyDescent="0.2">
      <c r="F230" s="51"/>
    </row>
    <row r="231" spans="6:6" x14ac:dyDescent="0.2">
      <c r="F231" s="51"/>
    </row>
    <row r="232" spans="6:6" x14ac:dyDescent="0.2">
      <c r="F232" s="51"/>
    </row>
    <row r="233" spans="6:6" x14ac:dyDescent="0.2">
      <c r="F233" s="51"/>
    </row>
    <row r="234" spans="6:6" x14ac:dyDescent="0.2">
      <c r="F234" s="51"/>
    </row>
    <row r="235" spans="6:6" x14ac:dyDescent="0.2">
      <c r="F235" s="51"/>
    </row>
    <row r="236" spans="6:6" x14ac:dyDescent="0.2">
      <c r="F236" s="51"/>
    </row>
    <row r="237" spans="6:6" x14ac:dyDescent="0.2">
      <c r="F237" s="51"/>
    </row>
    <row r="238" spans="6:6" x14ac:dyDescent="0.2">
      <c r="F238" s="51"/>
    </row>
    <row r="239" spans="6:6" x14ac:dyDescent="0.2">
      <c r="F239" s="51"/>
    </row>
    <row r="240" spans="6:6" x14ac:dyDescent="0.2">
      <c r="F240" s="51"/>
    </row>
    <row r="241" spans="6:6" x14ac:dyDescent="0.2">
      <c r="F241" s="51"/>
    </row>
    <row r="242" spans="6:6" x14ac:dyDescent="0.2">
      <c r="F242" s="51"/>
    </row>
    <row r="243" spans="6:6" x14ac:dyDescent="0.2">
      <c r="F243" s="51"/>
    </row>
    <row r="244" spans="6:6" x14ac:dyDescent="0.2">
      <c r="F244" s="51"/>
    </row>
    <row r="245" spans="6:6" x14ac:dyDescent="0.2">
      <c r="F245" s="51"/>
    </row>
    <row r="246" spans="6:6" x14ac:dyDescent="0.2">
      <c r="F246" s="51"/>
    </row>
    <row r="247" spans="6:6" x14ac:dyDescent="0.2">
      <c r="F247" s="51"/>
    </row>
    <row r="248" spans="6:6" x14ac:dyDescent="0.2">
      <c r="F248" s="51"/>
    </row>
    <row r="249" spans="6:6" x14ac:dyDescent="0.2">
      <c r="F249" s="51"/>
    </row>
    <row r="250" spans="6:6" x14ac:dyDescent="0.2">
      <c r="F250" s="51"/>
    </row>
    <row r="251" spans="6:6" x14ac:dyDescent="0.2">
      <c r="F251" s="51"/>
    </row>
    <row r="252" spans="6:6" x14ac:dyDescent="0.2">
      <c r="F252" s="51"/>
    </row>
    <row r="253" spans="6:6" x14ac:dyDescent="0.2">
      <c r="F253" s="51"/>
    </row>
    <row r="254" spans="6:6" x14ac:dyDescent="0.2">
      <c r="F254" s="51"/>
    </row>
    <row r="255" spans="6:6" x14ac:dyDescent="0.2">
      <c r="F255" s="51"/>
    </row>
    <row r="256" spans="6:6" x14ac:dyDescent="0.2">
      <c r="F256" s="51"/>
    </row>
    <row r="257" spans="6:6" x14ac:dyDescent="0.2">
      <c r="F257" s="51"/>
    </row>
    <row r="258" spans="6:6" x14ac:dyDescent="0.2">
      <c r="F258" s="51"/>
    </row>
    <row r="259" spans="6:6" x14ac:dyDescent="0.2">
      <c r="F259" s="51"/>
    </row>
    <row r="260" spans="6:6" x14ac:dyDescent="0.2">
      <c r="F260" s="51"/>
    </row>
    <row r="261" spans="6:6" x14ac:dyDescent="0.2">
      <c r="F261" s="51"/>
    </row>
    <row r="262" spans="6:6" x14ac:dyDescent="0.2">
      <c r="F262" s="51"/>
    </row>
    <row r="263" spans="6:6" x14ac:dyDescent="0.2">
      <c r="F263" s="51"/>
    </row>
    <row r="264" spans="6:6" x14ac:dyDescent="0.2">
      <c r="F264" s="51"/>
    </row>
    <row r="265" spans="6:6" x14ac:dyDescent="0.2">
      <c r="F265" s="51"/>
    </row>
    <row r="266" spans="6:6" x14ac:dyDescent="0.2">
      <c r="F266" s="51"/>
    </row>
    <row r="267" spans="6:6" x14ac:dyDescent="0.2">
      <c r="F267" s="51"/>
    </row>
    <row r="268" spans="6:6" x14ac:dyDescent="0.2">
      <c r="F268" s="51"/>
    </row>
    <row r="269" spans="6:6" x14ac:dyDescent="0.2">
      <c r="F269" s="51"/>
    </row>
    <row r="270" spans="6:6" x14ac:dyDescent="0.2">
      <c r="F270" s="51"/>
    </row>
    <row r="271" spans="6:6" x14ac:dyDescent="0.2">
      <c r="F271" s="51"/>
    </row>
    <row r="272" spans="6:6" x14ac:dyDescent="0.2">
      <c r="F272" s="51"/>
    </row>
    <row r="273" spans="6:6" x14ac:dyDescent="0.2">
      <c r="F273" s="51"/>
    </row>
    <row r="274" spans="6:6" x14ac:dyDescent="0.2">
      <c r="F274" s="51"/>
    </row>
    <row r="275" spans="6:6" x14ac:dyDescent="0.2">
      <c r="F275" s="51"/>
    </row>
    <row r="276" spans="6:6" x14ac:dyDescent="0.2">
      <c r="F276" s="51"/>
    </row>
    <row r="277" spans="6:6" x14ac:dyDescent="0.2">
      <c r="F277" s="51"/>
    </row>
    <row r="278" spans="6:6" x14ac:dyDescent="0.2">
      <c r="F278" s="51"/>
    </row>
    <row r="279" spans="6:6" x14ac:dyDescent="0.2">
      <c r="F279" s="51"/>
    </row>
    <row r="280" spans="6:6" x14ac:dyDescent="0.2">
      <c r="F280" s="51"/>
    </row>
    <row r="281" spans="6:6" x14ac:dyDescent="0.2">
      <c r="F281" s="51"/>
    </row>
    <row r="282" spans="6:6" x14ac:dyDescent="0.2">
      <c r="F282" s="51"/>
    </row>
    <row r="283" spans="6:6" x14ac:dyDescent="0.2">
      <c r="F283" s="51"/>
    </row>
    <row r="284" spans="6:6" x14ac:dyDescent="0.2">
      <c r="F284" s="51"/>
    </row>
    <row r="285" spans="6:6" x14ac:dyDescent="0.2">
      <c r="F285" s="51"/>
    </row>
    <row r="286" spans="6:6" x14ac:dyDescent="0.2">
      <c r="F286" s="51"/>
    </row>
    <row r="287" spans="6:6" x14ac:dyDescent="0.2">
      <c r="F287" s="51"/>
    </row>
    <row r="288" spans="6:6" x14ac:dyDescent="0.2">
      <c r="F288" s="51"/>
    </row>
    <row r="289" spans="6:6" x14ac:dyDescent="0.2">
      <c r="F289" s="51"/>
    </row>
    <row r="290" spans="6:6" x14ac:dyDescent="0.2">
      <c r="F290" s="51"/>
    </row>
    <row r="291" spans="6:6" x14ac:dyDescent="0.2">
      <c r="F291" s="51"/>
    </row>
    <row r="292" spans="6:6" x14ac:dyDescent="0.2">
      <c r="F292" s="51"/>
    </row>
    <row r="293" spans="6:6" x14ac:dyDescent="0.2">
      <c r="F293" s="51"/>
    </row>
    <row r="294" spans="6:6" x14ac:dyDescent="0.2">
      <c r="F294" s="51"/>
    </row>
    <row r="295" spans="6:6" x14ac:dyDescent="0.2">
      <c r="F295" s="51"/>
    </row>
    <row r="296" spans="6:6" x14ac:dyDescent="0.2">
      <c r="F296" s="51"/>
    </row>
    <row r="297" spans="6:6" x14ac:dyDescent="0.2">
      <c r="F297" s="51"/>
    </row>
    <row r="298" spans="6:6" x14ac:dyDescent="0.2">
      <c r="F298" s="51"/>
    </row>
    <row r="299" spans="6:6" x14ac:dyDescent="0.2">
      <c r="F299" s="51"/>
    </row>
    <row r="300" spans="6:6" x14ac:dyDescent="0.2">
      <c r="F300" s="51"/>
    </row>
    <row r="301" spans="6:6" x14ac:dyDescent="0.2">
      <c r="F301" s="51"/>
    </row>
    <row r="302" spans="6:6" x14ac:dyDescent="0.2">
      <c r="F302" s="51"/>
    </row>
    <row r="303" spans="6:6" x14ac:dyDescent="0.2">
      <c r="F303" s="51"/>
    </row>
    <row r="304" spans="6:6" x14ac:dyDescent="0.2">
      <c r="F304" s="51"/>
    </row>
    <row r="305" spans="6:6" x14ac:dyDescent="0.2">
      <c r="F305" s="51"/>
    </row>
    <row r="306" spans="6:6" x14ac:dyDescent="0.2">
      <c r="F306" s="51"/>
    </row>
    <row r="307" spans="6:6" x14ac:dyDescent="0.2">
      <c r="F307" s="51"/>
    </row>
    <row r="308" spans="6:6" x14ac:dyDescent="0.2">
      <c r="F308" s="51"/>
    </row>
    <row r="309" spans="6:6" x14ac:dyDescent="0.2">
      <c r="F309" s="51"/>
    </row>
    <row r="310" spans="6:6" x14ac:dyDescent="0.2">
      <c r="F310" s="51"/>
    </row>
    <row r="311" spans="6:6" x14ac:dyDescent="0.2">
      <c r="F311" s="51"/>
    </row>
    <row r="312" spans="6:6" x14ac:dyDescent="0.2">
      <c r="F312" s="51"/>
    </row>
    <row r="313" spans="6:6" x14ac:dyDescent="0.2">
      <c r="F313" s="51"/>
    </row>
    <row r="314" spans="6:6" x14ac:dyDescent="0.2">
      <c r="F314" s="51"/>
    </row>
    <row r="315" spans="6:6" x14ac:dyDescent="0.2">
      <c r="F315" s="51"/>
    </row>
    <row r="316" spans="6:6" x14ac:dyDescent="0.2">
      <c r="F316" s="51"/>
    </row>
    <row r="317" spans="6:6" x14ac:dyDescent="0.2">
      <c r="F317" s="51"/>
    </row>
    <row r="318" spans="6:6" x14ac:dyDescent="0.2">
      <c r="F318" s="51"/>
    </row>
    <row r="319" spans="6:6" x14ac:dyDescent="0.2">
      <c r="F319" s="51"/>
    </row>
    <row r="320" spans="6:6" x14ac:dyDescent="0.2">
      <c r="F320" s="51"/>
    </row>
    <row r="321" spans="6:6" x14ac:dyDescent="0.2">
      <c r="F321" s="51"/>
    </row>
    <row r="322" spans="6:6" x14ac:dyDescent="0.2">
      <c r="F322" s="51"/>
    </row>
    <row r="323" spans="6:6" x14ac:dyDescent="0.2">
      <c r="F323" s="51"/>
    </row>
    <row r="324" spans="6:6" x14ac:dyDescent="0.2">
      <c r="F324" s="51"/>
    </row>
    <row r="325" spans="6:6" x14ac:dyDescent="0.2">
      <c r="F325" s="51"/>
    </row>
    <row r="326" spans="6:6" x14ac:dyDescent="0.2">
      <c r="F326" s="51"/>
    </row>
    <row r="327" spans="6:6" x14ac:dyDescent="0.2">
      <c r="F327" s="51"/>
    </row>
    <row r="328" spans="6:6" x14ac:dyDescent="0.2">
      <c r="F328" s="51"/>
    </row>
    <row r="329" spans="6:6" x14ac:dyDescent="0.2">
      <c r="F329" s="51"/>
    </row>
    <row r="330" spans="6:6" x14ac:dyDescent="0.2">
      <c r="F330" s="51"/>
    </row>
    <row r="331" spans="6:6" x14ac:dyDescent="0.2">
      <c r="F331" s="51"/>
    </row>
    <row r="332" spans="6:6" x14ac:dyDescent="0.2">
      <c r="F332" s="51"/>
    </row>
    <row r="333" spans="6:6" x14ac:dyDescent="0.2">
      <c r="F333" s="51"/>
    </row>
    <row r="334" spans="6:6" x14ac:dyDescent="0.2">
      <c r="F334" s="51"/>
    </row>
    <row r="335" spans="6:6" x14ac:dyDescent="0.2">
      <c r="F335" s="51"/>
    </row>
    <row r="336" spans="6:6" x14ac:dyDescent="0.2">
      <c r="F336" s="51"/>
    </row>
    <row r="337" spans="6:6" x14ac:dyDescent="0.2">
      <c r="F337" s="51"/>
    </row>
    <row r="338" spans="6:6" x14ac:dyDescent="0.2">
      <c r="F338" s="51"/>
    </row>
    <row r="339" spans="6:6" x14ac:dyDescent="0.2">
      <c r="F339" s="51"/>
    </row>
    <row r="340" spans="6:6" x14ac:dyDescent="0.2">
      <c r="F340" s="51"/>
    </row>
    <row r="341" spans="6:6" x14ac:dyDescent="0.2">
      <c r="F341" s="51"/>
    </row>
    <row r="342" spans="6:6" x14ac:dyDescent="0.2">
      <c r="F342" s="51"/>
    </row>
    <row r="343" spans="6:6" x14ac:dyDescent="0.2">
      <c r="F343" s="51"/>
    </row>
    <row r="344" spans="6:6" x14ac:dyDescent="0.2">
      <c r="F344" s="51"/>
    </row>
    <row r="345" spans="6:6" x14ac:dyDescent="0.2">
      <c r="F345" s="51"/>
    </row>
    <row r="346" spans="6:6" x14ac:dyDescent="0.2">
      <c r="F346" s="51"/>
    </row>
    <row r="347" spans="6:6" x14ac:dyDescent="0.2">
      <c r="F347" s="51"/>
    </row>
    <row r="348" spans="6:6" x14ac:dyDescent="0.2">
      <c r="F348" s="51"/>
    </row>
    <row r="349" spans="6:6" x14ac:dyDescent="0.2">
      <c r="F349" s="51"/>
    </row>
    <row r="350" spans="6:6" x14ac:dyDescent="0.2">
      <c r="F350" s="51"/>
    </row>
    <row r="351" spans="6:6" x14ac:dyDescent="0.2">
      <c r="F351" s="51"/>
    </row>
    <row r="352" spans="6:6" x14ac:dyDescent="0.2">
      <c r="F352" s="51"/>
    </row>
    <row r="353" spans="6:6" x14ac:dyDescent="0.2">
      <c r="F353" s="51"/>
    </row>
    <row r="354" spans="6:6" x14ac:dyDescent="0.2">
      <c r="F354" s="51"/>
    </row>
    <row r="355" spans="6:6" x14ac:dyDescent="0.2">
      <c r="F355" s="51"/>
    </row>
    <row r="356" spans="6:6" x14ac:dyDescent="0.2">
      <c r="F356" s="51"/>
    </row>
    <row r="357" spans="6:6" x14ac:dyDescent="0.2">
      <c r="F357" s="51"/>
    </row>
    <row r="358" spans="6:6" x14ac:dyDescent="0.2">
      <c r="F358" s="51"/>
    </row>
    <row r="359" spans="6:6" x14ac:dyDescent="0.2">
      <c r="F359" s="51"/>
    </row>
    <row r="360" spans="6:6" x14ac:dyDescent="0.2">
      <c r="F360" s="51"/>
    </row>
    <row r="361" spans="6:6" x14ac:dyDescent="0.2">
      <c r="F361" s="51"/>
    </row>
    <row r="362" spans="6:6" x14ac:dyDescent="0.2">
      <c r="F362" s="51"/>
    </row>
    <row r="363" spans="6:6" x14ac:dyDescent="0.2">
      <c r="F363" s="51"/>
    </row>
    <row r="364" spans="6:6" x14ac:dyDescent="0.2">
      <c r="F364" s="51"/>
    </row>
    <row r="365" spans="6:6" x14ac:dyDescent="0.2">
      <c r="F365" s="51"/>
    </row>
    <row r="366" spans="6:6" x14ac:dyDescent="0.2">
      <c r="F366" s="51"/>
    </row>
    <row r="367" spans="6:6" x14ac:dyDescent="0.2">
      <c r="F367" s="51"/>
    </row>
    <row r="368" spans="6:6" x14ac:dyDescent="0.2">
      <c r="F368" s="51"/>
    </row>
    <row r="369" spans="6:6" x14ac:dyDescent="0.2">
      <c r="F369" s="51"/>
    </row>
    <row r="370" spans="6:6" x14ac:dyDescent="0.2">
      <c r="F370" s="51"/>
    </row>
    <row r="371" spans="6:6" x14ac:dyDescent="0.2">
      <c r="F371" s="51"/>
    </row>
    <row r="372" spans="6:6" x14ac:dyDescent="0.2">
      <c r="F372" s="51"/>
    </row>
    <row r="373" spans="6:6" x14ac:dyDescent="0.2">
      <c r="F373" s="51"/>
    </row>
    <row r="374" spans="6:6" x14ac:dyDescent="0.2">
      <c r="F374" s="51"/>
    </row>
    <row r="375" spans="6:6" x14ac:dyDescent="0.2">
      <c r="F375" s="51"/>
    </row>
    <row r="376" spans="6:6" x14ac:dyDescent="0.2">
      <c r="F376" s="51"/>
    </row>
    <row r="377" spans="6:6" x14ac:dyDescent="0.2">
      <c r="F377" s="51"/>
    </row>
    <row r="378" spans="6:6" x14ac:dyDescent="0.2">
      <c r="F378" s="51"/>
    </row>
    <row r="379" spans="6:6" x14ac:dyDescent="0.2">
      <c r="F379" s="51"/>
    </row>
    <row r="380" spans="6:6" x14ac:dyDescent="0.2">
      <c r="F380" s="51"/>
    </row>
    <row r="381" spans="6:6" x14ac:dyDescent="0.2">
      <c r="F381" s="51"/>
    </row>
    <row r="382" spans="6:6" x14ac:dyDescent="0.2">
      <c r="F382" s="51"/>
    </row>
    <row r="383" spans="6:6" x14ac:dyDescent="0.2">
      <c r="F383" s="51"/>
    </row>
    <row r="384" spans="6:6" x14ac:dyDescent="0.2">
      <c r="F384" s="51"/>
    </row>
    <row r="385" spans="6:6" x14ac:dyDescent="0.2">
      <c r="F385" s="51"/>
    </row>
    <row r="386" spans="6:6" x14ac:dyDescent="0.2">
      <c r="F386" s="51"/>
    </row>
    <row r="387" spans="6:6" x14ac:dyDescent="0.2">
      <c r="F387" s="51"/>
    </row>
    <row r="388" spans="6:6" x14ac:dyDescent="0.2">
      <c r="F388" s="51"/>
    </row>
    <row r="389" spans="6:6" x14ac:dyDescent="0.2">
      <c r="F389" s="51"/>
    </row>
    <row r="390" spans="6:6" x14ac:dyDescent="0.2">
      <c r="F390" s="51"/>
    </row>
    <row r="391" spans="6:6" x14ac:dyDescent="0.2">
      <c r="F391" s="51"/>
    </row>
    <row r="392" spans="6:6" x14ac:dyDescent="0.2">
      <c r="F392" s="51"/>
    </row>
    <row r="393" spans="6:6" x14ac:dyDescent="0.2">
      <c r="F393" s="51"/>
    </row>
    <row r="394" spans="6:6" x14ac:dyDescent="0.2">
      <c r="F394" s="51"/>
    </row>
    <row r="395" spans="6:6" x14ac:dyDescent="0.2">
      <c r="F395" s="51"/>
    </row>
    <row r="396" spans="6:6" x14ac:dyDescent="0.2">
      <c r="F396" s="51"/>
    </row>
    <row r="397" spans="6:6" x14ac:dyDescent="0.2">
      <c r="F397" s="51"/>
    </row>
    <row r="398" spans="6:6" x14ac:dyDescent="0.2">
      <c r="F398" s="51"/>
    </row>
    <row r="399" spans="6:6" x14ac:dyDescent="0.2">
      <c r="F399" s="51"/>
    </row>
    <row r="400" spans="6:6" x14ac:dyDescent="0.2">
      <c r="F400" s="51"/>
    </row>
    <row r="401" spans="6:6" x14ac:dyDescent="0.2">
      <c r="F401" s="51"/>
    </row>
    <row r="402" spans="6:6" x14ac:dyDescent="0.2">
      <c r="F402" s="51"/>
    </row>
    <row r="403" spans="6:6" x14ac:dyDescent="0.2">
      <c r="F403" s="51"/>
    </row>
    <row r="404" spans="6:6" x14ac:dyDescent="0.2">
      <c r="F404" s="51"/>
    </row>
    <row r="405" spans="6:6" x14ac:dyDescent="0.2">
      <c r="F405" s="51"/>
    </row>
    <row r="406" spans="6:6" x14ac:dyDescent="0.2">
      <c r="F406" s="51"/>
    </row>
    <row r="407" spans="6:6" x14ac:dyDescent="0.2">
      <c r="F407" s="51"/>
    </row>
    <row r="408" spans="6:6" x14ac:dyDescent="0.2">
      <c r="F408" s="51"/>
    </row>
    <row r="409" spans="6:6" x14ac:dyDescent="0.2">
      <c r="F409" s="51"/>
    </row>
    <row r="410" spans="6:6" x14ac:dyDescent="0.2">
      <c r="F410" s="51"/>
    </row>
    <row r="411" spans="6:6" x14ac:dyDescent="0.2">
      <c r="F411" s="51"/>
    </row>
    <row r="412" spans="6:6" x14ac:dyDescent="0.2">
      <c r="F412" s="51"/>
    </row>
    <row r="413" spans="6:6" x14ac:dyDescent="0.2">
      <c r="F413" s="51"/>
    </row>
    <row r="414" spans="6:6" x14ac:dyDescent="0.2">
      <c r="F414" s="51"/>
    </row>
    <row r="415" spans="6:6" x14ac:dyDescent="0.2">
      <c r="F415" s="51"/>
    </row>
    <row r="416" spans="6:6" x14ac:dyDescent="0.2">
      <c r="F416" s="51"/>
    </row>
    <row r="417" spans="6:6" x14ac:dyDescent="0.2">
      <c r="F417" s="51"/>
    </row>
    <row r="418" spans="6:6" x14ac:dyDescent="0.2">
      <c r="F418" s="51"/>
    </row>
    <row r="419" spans="6:6" x14ac:dyDescent="0.2">
      <c r="F419" s="51"/>
    </row>
    <row r="420" spans="6:6" x14ac:dyDescent="0.2">
      <c r="F420" s="51"/>
    </row>
    <row r="421" spans="6:6" x14ac:dyDescent="0.2">
      <c r="F421" s="51"/>
    </row>
    <row r="422" spans="6:6" x14ac:dyDescent="0.2">
      <c r="F422" s="51"/>
    </row>
    <row r="423" spans="6:6" x14ac:dyDescent="0.2">
      <c r="F423" s="51"/>
    </row>
    <row r="424" spans="6:6" x14ac:dyDescent="0.2">
      <c r="F424" s="51"/>
    </row>
    <row r="425" spans="6:6" x14ac:dyDescent="0.2">
      <c r="F425" s="51"/>
    </row>
    <row r="426" spans="6:6" x14ac:dyDescent="0.2">
      <c r="F426" s="51"/>
    </row>
    <row r="427" spans="6:6" x14ac:dyDescent="0.2">
      <c r="F427" s="51"/>
    </row>
    <row r="428" spans="6:6" x14ac:dyDescent="0.2">
      <c r="F428" s="51"/>
    </row>
    <row r="429" spans="6:6" x14ac:dyDescent="0.2">
      <c r="F429" s="51"/>
    </row>
    <row r="430" spans="6:6" x14ac:dyDescent="0.2">
      <c r="F430" s="51"/>
    </row>
    <row r="431" spans="6:6" x14ac:dyDescent="0.2">
      <c r="F431" s="51"/>
    </row>
    <row r="432" spans="6:6" x14ac:dyDescent="0.2">
      <c r="F432" s="51"/>
    </row>
    <row r="433" spans="6:6" x14ac:dyDescent="0.2">
      <c r="F433" s="51"/>
    </row>
    <row r="434" spans="6:6" x14ac:dyDescent="0.2">
      <c r="F434" s="51"/>
    </row>
    <row r="435" spans="6:6" x14ac:dyDescent="0.2">
      <c r="F435" s="51"/>
    </row>
    <row r="436" spans="6:6" x14ac:dyDescent="0.2">
      <c r="F436" s="51"/>
    </row>
    <row r="437" spans="6:6" x14ac:dyDescent="0.2">
      <c r="F437" s="51"/>
    </row>
    <row r="438" spans="6:6" x14ac:dyDescent="0.2">
      <c r="F438" s="51"/>
    </row>
    <row r="439" spans="6:6" x14ac:dyDescent="0.2">
      <c r="F439" s="51"/>
    </row>
    <row r="440" spans="6:6" x14ac:dyDescent="0.2">
      <c r="F440" s="51"/>
    </row>
    <row r="441" spans="6:6" x14ac:dyDescent="0.2">
      <c r="F441" s="51"/>
    </row>
    <row r="442" spans="6:6" x14ac:dyDescent="0.2">
      <c r="F442" s="51"/>
    </row>
    <row r="443" spans="6:6" x14ac:dyDescent="0.2">
      <c r="F443" s="51"/>
    </row>
    <row r="444" spans="6:6" x14ac:dyDescent="0.2">
      <c r="F444" s="51"/>
    </row>
    <row r="445" spans="6:6" x14ac:dyDescent="0.2">
      <c r="F445" s="51"/>
    </row>
    <row r="446" spans="6:6" x14ac:dyDescent="0.2">
      <c r="F446" s="51"/>
    </row>
    <row r="447" spans="6:6" x14ac:dyDescent="0.2">
      <c r="F447" s="51"/>
    </row>
    <row r="448" spans="6:6" x14ac:dyDescent="0.2">
      <c r="F448" s="51"/>
    </row>
    <row r="449" spans="6:6" x14ac:dyDescent="0.2">
      <c r="F449" s="51"/>
    </row>
    <row r="450" spans="6:6" x14ac:dyDescent="0.2">
      <c r="F450" s="51"/>
    </row>
    <row r="451" spans="6:6" x14ac:dyDescent="0.2">
      <c r="F451" s="51"/>
    </row>
    <row r="452" spans="6:6" x14ac:dyDescent="0.2">
      <c r="F452" s="51"/>
    </row>
    <row r="453" spans="6:6" x14ac:dyDescent="0.2">
      <c r="F453" s="51"/>
    </row>
    <row r="454" spans="6:6" x14ac:dyDescent="0.2">
      <c r="F454" s="51"/>
    </row>
    <row r="455" spans="6:6" x14ac:dyDescent="0.2">
      <c r="F455" s="51"/>
    </row>
    <row r="456" spans="6:6" x14ac:dyDescent="0.2">
      <c r="F456" s="51"/>
    </row>
    <row r="457" spans="6:6" x14ac:dyDescent="0.2">
      <c r="F457" s="51"/>
    </row>
    <row r="458" spans="6:6" x14ac:dyDescent="0.2">
      <c r="F458" s="51"/>
    </row>
    <row r="459" spans="6:6" x14ac:dyDescent="0.2">
      <c r="F459" s="51"/>
    </row>
    <row r="460" spans="6:6" x14ac:dyDescent="0.2">
      <c r="F460" s="51"/>
    </row>
    <row r="461" spans="6:6" x14ac:dyDescent="0.2">
      <c r="F461" s="51"/>
    </row>
    <row r="462" spans="6:6" x14ac:dyDescent="0.2">
      <c r="F462" s="51"/>
    </row>
    <row r="463" spans="6:6" x14ac:dyDescent="0.2">
      <c r="F463" s="51"/>
    </row>
    <row r="464" spans="6:6" x14ac:dyDescent="0.2">
      <c r="F464" s="51"/>
    </row>
    <row r="465" spans="6:6" x14ac:dyDescent="0.2">
      <c r="F465" s="51"/>
    </row>
    <row r="466" spans="6:6" x14ac:dyDescent="0.2">
      <c r="F466" s="51"/>
    </row>
    <row r="467" spans="6:6" x14ac:dyDescent="0.2">
      <c r="F467" s="51"/>
    </row>
    <row r="468" spans="6:6" x14ac:dyDescent="0.2">
      <c r="F468" s="51"/>
    </row>
    <row r="469" spans="6:6" x14ac:dyDescent="0.2">
      <c r="F469" s="51"/>
    </row>
    <row r="470" spans="6:6" x14ac:dyDescent="0.2">
      <c r="F470" s="51"/>
    </row>
    <row r="471" spans="6:6" x14ac:dyDescent="0.2">
      <c r="F471" s="51"/>
    </row>
    <row r="472" spans="6:6" x14ac:dyDescent="0.2">
      <c r="F472" s="51"/>
    </row>
    <row r="473" spans="6:6" x14ac:dyDescent="0.2">
      <c r="F473" s="51"/>
    </row>
    <row r="474" spans="6:6" x14ac:dyDescent="0.2">
      <c r="F474" s="51"/>
    </row>
    <row r="475" spans="6:6" x14ac:dyDescent="0.2">
      <c r="F475" s="51"/>
    </row>
    <row r="476" spans="6:6" x14ac:dyDescent="0.2">
      <c r="F476" s="51"/>
    </row>
    <row r="477" spans="6:6" x14ac:dyDescent="0.2">
      <c r="F477" s="51"/>
    </row>
    <row r="478" spans="6:6" x14ac:dyDescent="0.2">
      <c r="F478" s="51"/>
    </row>
    <row r="479" spans="6:6" x14ac:dyDescent="0.2">
      <c r="F479" s="51"/>
    </row>
    <row r="480" spans="6:6" x14ac:dyDescent="0.2">
      <c r="F480" s="51"/>
    </row>
    <row r="481" spans="6:6" x14ac:dyDescent="0.2">
      <c r="F481" s="51"/>
    </row>
    <row r="482" spans="6:6" x14ac:dyDescent="0.2">
      <c r="F482" s="51"/>
    </row>
    <row r="483" spans="6:6" x14ac:dyDescent="0.2">
      <c r="F483" s="51"/>
    </row>
    <row r="484" spans="6:6" x14ac:dyDescent="0.2">
      <c r="F484" s="51"/>
    </row>
    <row r="485" spans="6:6" x14ac:dyDescent="0.2">
      <c r="F485" s="51"/>
    </row>
    <row r="486" spans="6:6" x14ac:dyDescent="0.2">
      <c r="F486" s="51"/>
    </row>
    <row r="487" spans="6:6" x14ac:dyDescent="0.2">
      <c r="F487" s="51"/>
    </row>
    <row r="488" spans="6:6" x14ac:dyDescent="0.2">
      <c r="F488" s="51"/>
    </row>
    <row r="489" spans="6:6" x14ac:dyDescent="0.2">
      <c r="F489" s="51"/>
    </row>
    <row r="490" spans="6:6" x14ac:dyDescent="0.2">
      <c r="F490" s="51"/>
    </row>
    <row r="491" spans="6:6" x14ac:dyDescent="0.2">
      <c r="F491" s="51"/>
    </row>
    <row r="492" spans="6:6" x14ac:dyDescent="0.2">
      <c r="F492" s="51"/>
    </row>
    <row r="493" spans="6:6" x14ac:dyDescent="0.2">
      <c r="F493" s="51"/>
    </row>
    <row r="494" spans="6:6" x14ac:dyDescent="0.2">
      <c r="F494" s="51"/>
    </row>
    <row r="495" spans="6:6" x14ac:dyDescent="0.2">
      <c r="F495" s="51"/>
    </row>
    <row r="496" spans="6:6" x14ac:dyDescent="0.2">
      <c r="F496" s="51"/>
    </row>
    <row r="497" spans="6:6" x14ac:dyDescent="0.2">
      <c r="F497" s="51"/>
    </row>
    <row r="498" spans="6:6" x14ac:dyDescent="0.2">
      <c r="F498" s="51"/>
    </row>
    <row r="499" spans="6:6" x14ac:dyDescent="0.2">
      <c r="F499" s="51"/>
    </row>
    <row r="500" spans="6:6" x14ac:dyDescent="0.2">
      <c r="F500" s="51"/>
    </row>
    <row r="501" spans="6:6" x14ac:dyDescent="0.2">
      <c r="F501" s="51"/>
    </row>
    <row r="502" spans="6:6" x14ac:dyDescent="0.2">
      <c r="F502" s="51"/>
    </row>
    <row r="503" spans="6:6" x14ac:dyDescent="0.2">
      <c r="F503" s="51"/>
    </row>
    <row r="504" spans="6:6" x14ac:dyDescent="0.2">
      <c r="F504" s="51"/>
    </row>
    <row r="505" spans="6:6" x14ac:dyDescent="0.2">
      <c r="F505" s="51"/>
    </row>
    <row r="506" spans="6:6" x14ac:dyDescent="0.2">
      <c r="F506" s="51"/>
    </row>
    <row r="507" spans="6:6" x14ac:dyDescent="0.2">
      <c r="F507" s="51"/>
    </row>
    <row r="508" spans="6:6" x14ac:dyDescent="0.2">
      <c r="F508" s="51"/>
    </row>
    <row r="509" spans="6:6" x14ac:dyDescent="0.2">
      <c r="F509" s="51"/>
    </row>
    <row r="510" spans="6:6" x14ac:dyDescent="0.2">
      <c r="F510" s="51"/>
    </row>
    <row r="511" spans="6:6" x14ac:dyDescent="0.2">
      <c r="F511" s="51"/>
    </row>
    <row r="512" spans="6:6" x14ac:dyDescent="0.2">
      <c r="F512" s="51"/>
    </row>
    <row r="513" spans="6:6" x14ac:dyDescent="0.2">
      <c r="F513" s="51"/>
    </row>
    <row r="514" spans="6:6" x14ac:dyDescent="0.2">
      <c r="F514" s="51"/>
    </row>
    <row r="515" spans="6:6" x14ac:dyDescent="0.2">
      <c r="F515" s="51"/>
    </row>
    <row r="516" spans="6:6" x14ac:dyDescent="0.2">
      <c r="F516" s="51"/>
    </row>
    <row r="517" spans="6:6" x14ac:dyDescent="0.2">
      <c r="F517" s="51"/>
    </row>
    <row r="518" spans="6:6" x14ac:dyDescent="0.2">
      <c r="F518" s="51"/>
    </row>
    <row r="519" spans="6:6" x14ac:dyDescent="0.2">
      <c r="F519" s="51"/>
    </row>
    <row r="520" spans="6:6" x14ac:dyDescent="0.2">
      <c r="F520" s="51"/>
    </row>
    <row r="521" spans="6:6" x14ac:dyDescent="0.2">
      <c r="F521" s="51"/>
    </row>
    <row r="522" spans="6:6" x14ac:dyDescent="0.2">
      <c r="F522" s="51"/>
    </row>
    <row r="523" spans="6:6" x14ac:dyDescent="0.2">
      <c r="F523" s="51"/>
    </row>
    <row r="524" spans="6:6" x14ac:dyDescent="0.2">
      <c r="F524" s="51"/>
    </row>
    <row r="525" spans="6:6" x14ac:dyDescent="0.2">
      <c r="F525" s="51"/>
    </row>
    <row r="526" spans="6:6" x14ac:dyDescent="0.2">
      <c r="F526" s="51"/>
    </row>
    <row r="527" spans="6:6" x14ac:dyDescent="0.2">
      <c r="F527" s="51"/>
    </row>
    <row r="528" spans="6:6" x14ac:dyDescent="0.2">
      <c r="F528" s="51"/>
    </row>
    <row r="529" spans="6:6" x14ac:dyDescent="0.2">
      <c r="F529" s="51"/>
    </row>
    <row r="530" spans="6:6" x14ac:dyDescent="0.2">
      <c r="F530" s="51"/>
    </row>
    <row r="531" spans="6:6" x14ac:dyDescent="0.2">
      <c r="F531" s="51"/>
    </row>
    <row r="532" spans="6:6" x14ac:dyDescent="0.2">
      <c r="F532" s="51"/>
    </row>
    <row r="533" spans="6:6" x14ac:dyDescent="0.2">
      <c r="F533" s="51"/>
    </row>
    <row r="534" spans="6:6" x14ac:dyDescent="0.2">
      <c r="F534" s="51"/>
    </row>
    <row r="535" spans="6:6" x14ac:dyDescent="0.2">
      <c r="F535" s="51"/>
    </row>
    <row r="536" spans="6:6" x14ac:dyDescent="0.2">
      <c r="F536" s="51"/>
    </row>
    <row r="537" spans="6:6" x14ac:dyDescent="0.2">
      <c r="F537" s="51"/>
    </row>
    <row r="538" spans="6:6" x14ac:dyDescent="0.2">
      <c r="F538" s="51"/>
    </row>
    <row r="539" spans="6:6" x14ac:dyDescent="0.2">
      <c r="F539" s="51"/>
    </row>
    <row r="540" spans="6:6" x14ac:dyDescent="0.2">
      <c r="F540" s="51"/>
    </row>
    <row r="541" spans="6:6" x14ac:dyDescent="0.2">
      <c r="F541" s="51"/>
    </row>
    <row r="542" spans="6:6" x14ac:dyDescent="0.2">
      <c r="F542" s="51"/>
    </row>
    <row r="543" spans="6:6" x14ac:dyDescent="0.2">
      <c r="F543" s="51"/>
    </row>
    <row r="544" spans="6:6" x14ac:dyDescent="0.2">
      <c r="F544" s="51"/>
    </row>
    <row r="545" spans="6:6" x14ac:dyDescent="0.2">
      <c r="F545" s="51"/>
    </row>
    <row r="546" spans="6:6" x14ac:dyDescent="0.2">
      <c r="F546" s="51"/>
    </row>
    <row r="547" spans="6:6" x14ac:dyDescent="0.2">
      <c r="F547" s="51"/>
    </row>
    <row r="548" spans="6:6" x14ac:dyDescent="0.2">
      <c r="F548" s="51"/>
    </row>
    <row r="549" spans="6:6" x14ac:dyDescent="0.2">
      <c r="F549" s="51"/>
    </row>
    <row r="550" spans="6:6" x14ac:dyDescent="0.2">
      <c r="F550" s="51"/>
    </row>
    <row r="551" spans="6:6" x14ac:dyDescent="0.2">
      <c r="F551" s="51"/>
    </row>
    <row r="552" spans="6:6" x14ac:dyDescent="0.2">
      <c r="F552" s="51"/>
    </row>
    <row r="553" spans="6:6" x14ac:dyDescent="0.2">
      <c r="F553" s="51"/>
    </row>
    <row r="554" spans="6:6" x14ac:dyDescent="0.2">
      <c r="F554" s="51"/>
    </row>
    <row r="555" spans="6:6" x14ac:dyDescent="0.2">
      <c r="F555" s="51"/>
    </row>
    <row r="556" spans="6:6" x14ac:dyDescent="0.2">
      <c r="F556" s="51"/>
    </row>
    <row r="557" spans="6:6" x14ac:dyDescent="0.2">
      <c r="F557" s="51"/>
    </row>
    <row r="558" spans="6:6" x14ac:dyDescent="0.2">
      <c r="F558" s="51"/>
    </row>
    <row r="559" spans="6:6" x14ac:dyDescent="0.2">
      <c r="F559" s="51"/>
    </row>
    <row r="560" spans="6:6" x14ac:dyDescent="0.2">
      <c r="F560" s="51"/>
    </row>
    <row r="561" spans="6:6" x14ac:dyDescent="0.2">
      <c r="F561" s="51"/>
    </row>
    <row r="562" spans="6:6" x14ac:dyDescent="0.2">
      <c r="F562" s="51"/>
    </row>
    <row r="563" spans="6:6" x14ac:dyDescent="0.2">
      <c r="F563" s="51"/>
    </row>
    <row r="564" spans="6:6" x14ac:dyDescent="0.2">
      <c r="F564" s="51"/>
    </row>
    <row r="565" spans="6:6" x14ac:dyDescent="0.2">
      <c r="F565" s="51"/>
    </row>
    <row r="566" spans="6:6" x14ac:dyDescent="0.2">
      <c r="F566" s="51"/>
    </row>
    <row r="567" spans="6:6" x14ac:dyDescent="0.2">
      <c r="F567" s="51"/>
    </row>
    <row r="568" spans="6:6" x14ac:dyDescent="0.2">
      <c r="F568" s="51"/>
    </row>
    <row r="569" spans="6:6" x14ac:dyDescent="0.2">
      <c r="F569" s="51"/>
    </row>
    <row r="570" spans="6:6" x14ac:dyDescent="0.2">
      <c r="F570" s="51"/>
    </row>
    <row r="571" spans="6:6" x14ac:dyDescent="0.2">
      <c r="F571" s="51"/>
    </row>
    <row r="572" spans="6:6" x14ac:dyDescent="0.2">
      <c r="F572" s="51"/>
    </row>
    <row r="573" spans="6:6" x14ac:dyDescent="0.2">
      <c r="F573" s="51"/>
    </row>
    <row r="574" spans="6:6" x14ac:dyDescent="0.2">
      <c r="F574" s="51"/>
    </row>
    <row r="575" spans="6:6" x14ac:dyDescent="0.2">
      <c r="F575" s="51"/>
    </row>
    <row r="576" spans="6:6" x14ac:dyDescent="0.2">
      <c r="F576" s="51"/>
    </row>
    <row r="577" spans="6:6" x14ac:dyDescent="0.2">
      <c r="F577" s="51"/>
    </row>
    <row r="578" spans="6:6" x14ac:dyDescent="0.2">
      <c r="F578" s="51"/>
    </row>
    <row r="579" spans="6:6" x14ac:dyDescent="0.2">
      <c r="F579" s="51"/>
    </row>
    <row r="580" spans="6:6" x14ac:dyDescent="0.2">
      <c r="F580" s="51"/>
    </row>
    <row r="581" spans="6:6" x14ac:dyDescent="0.2">
      <c r="F581" s="51"/>
    </row>
    <row r="582" spans="6:6" x14ac:dyDescent="0.2">
      <c r="F582" s="51"/>
    </row>
    <row r="583" spans="6:6" x14ac:dyDescent="0.2">
      <c r="F583" s="51"/>
    </row>
    <row r="584" spans="6:6" x14ac:dyDescent="0.2">
      <c r="F584" s="51"/>
    </row>
    <row r="585" spans="6:6" x14ac:dyDescent="0.2">
      <c r="F585" s="51"/>
    </row>
    <row r="586" spans="6:6" x14ac:dyDescent="0.2">
      <c r="F586" s="51"/>
    </row>
    <row r="587" spans="6:6" x14ac:dyDescent="0.2">
      <c r="F587" s="51"/>
    </row>
    <row r="588" spans="6:6" x14ac:dyDescent="0.2">
      <c r="F588" s="51"/>
    </row>
    <row r="589" spans="6:6" x14ac:dyDescent="0.2">
      <c r="F589" s="51"/>
    </row>
    <row r="590" spans="6:6" x14ac:dyDescent="0.2">
      <c r="F590" s="51"/>
    </row>
    <row r="591" spans="6:6" x14ac:dyDescent="0.2">
      <c r="F591" s="51"/>
    </row>
    <row r="592" spans="6:6" x14ac:dyDescent="0.2">
      <c r="F592" s="51"/>
    </row>
    <row r="593" spans="6:6" x14ac:dyDescent="0.2">
      <c r="F593" s="51"/>
    </row>
    <row r="594" spans="6:6" x14ac:dyDescent="0.2">
      <c r="F594" s="51"/>
    </row>
    <row r="595" spans="6:6" x14ac:dyDescent="0.2">
      <c r="F595" s="51"/>
    </row>
    <row r="596" spans="6:6" x14ac:dyDescent="0.2">
      <c r="F596" s="51"/>
    </row>
    <row r="597" spans="6:6" x14ac:dyDescent="0.2">
      <c r="F597" s="51"/>
    </row>
    <row r="598" spans="6:6" x14ac:dyDescent="0.2">
      <c r="F598" s="51"/>
    </row>
    <row r="599" spans="6:6" x14ac:dyDescent="0.2">
      <c r="F599" s="51"/>
    </row>
    <row r="600" spans="6:6" x14ac:dyDescent="0.2">
      <c r="F600" s="51"/>
    </row>
    <row r="601" spans="6:6" x14ac:dyDescent="0.2">
      <c r="F601" s="51"/>
    </row>
    <row r="602" spans="6:6" x14ac:dyDescent="0.2">
      <c r="F602" s="51"/>
    </row>
    <row r="603" spans="6:6" x14ac:dyDescent="0.2">
      <c r="F603" s="51"/>
    </row>
    <row r="604" spans="6:6" x14ac:dyDescent="0.2">
      <c r="F604" s="51"/>
    </row>
    <row r="605" spans="6:6" x14ac:dyDescent="0.2">
      <c r="F605" s="51"/>
    </row>
    <row r="606" spans="6:6" x14ac:dyDescent="0.2">
      <c r="F606" s="51"/>
    </row>
    <row r="607" spans="6:6" x14ac:dyDescent="0.2">
      <c r="F607" s="51"/>
    </row>
  </sheetData>
  <printOptions horizontalCentered="1"/>
  <pageMargins left="0.35" right="0.35" top="0.75" bottom="0.35" header="0.5" footer="0.2"/>
  <pageSetup scale="81" orientation="landscape" blackAndWhite="1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D65"/>
  <sheetViews>
    <sheetView topLeftCell="A10" zoomScale="80" zoomScaleNormal="80" workbookViewId="0">
      <selection activeCell="AB42" sqref="AB42:AB45"/>
    </sheetView>
  </sheetViews>
  <sheetFormatPr defaultColWidth="9.140625" defaultRowHeight="12.75" x14ac:dyDescent="0.2"/>
  <cols>
    <col min="1" max="1" width="56.42578125" style="25" bestFit="1" customWidth="1"/>
    <col min="2" max="2" width="12.7109375" style="2" customWidth="1"/>
    <col min="3" max="3" width="5.7109375" style="2" customWidth="1"/>
    <col min="4" max="4" width="12.7109375" style="2" customWidth="1"/>
    <col min="5" max="5" width="15.7109375" style="2" customWidth="1"/>
    <col min="6" max="6" width="17.5703125" style="2" customWidth="1"/>
    <col min="7" max="7" width="12.7109375" style="2" customWidth="1"/>
    <col min="8" max="8" width="5.7109375" style="2" customWidth="1"/>
    <col min="9" max="9" width="12.7109375" style="2" customWidth="1"/>
    <col min="10" max="10" width="15.7109375" style="2" customWidth="1"/>
    <col min="11" max="12" width="12.7109375" style="2" customWidth="1"/>
    <col min="13" max="13" width="5.7109375" style="2" customWidth="1"/>
    <col min="14" max="14" width="12.7109375" style="2" customWidth="1"/>
    <col min="15" max="15" width="15.7109375" style="2" customWidth="1"/>
    <col min="16" max="17" width="12.7109375" style="2" customWidth="1"/>
    <col min="18" max="18" width="5.7109375" style="2" customWidth="1"/>
    <col min="19" max="19" width="12.7109375" style="2" customWidth="1"/>
    <col min="20" max="20" width="15.7109375" style="2" customWidth="1"/>
    <col min="21" max="22" width="12.7109375" style="2" customWidth="1"/>
    <col min="23" max="23" width="5.7109375" style="2" customWidth="1"/>
    <col min="24" max="24" width="12.7109375" style="2" customWidth="1"/>
    <col min="25" max="25" width="15.7109375" style="2" customWidth="1"/>
    <col min="26" max="26" width="12.7109375" style="2" customWidth="1"/>
    <col min="27" max="28" width="9.140625" style="2"/>
    <col min="29" max="29" width="23.42578125" style="2" bestFit="1" customWidth="1"/>
    <col min="30" max="30" width="18.85546875" style="2" bestFit="1" customWidth="1"/>
    <col min="31" max="16384" width="9.140625" style="2"/>
  </cols>
  <sheetData>
    <row r="1" spans="1:28" x14ac:dyDescent="0.2">
      <c r="A1" s="1" t="s">
        <v>0</v>
      </c>
      <c r="F1" s="52" t="str">
        <f>'Retail Sales Base Case'!G1</f>
        <v>2022 Master Estimate</v>
      </c>
      <c r="K1" s="4"/>
      <c r="P1" s="4"/>
      <c r="U1" s="4"/>
      <c r="Z1" s="4"/>
    </row>
    <row r="2" spans="1:28" x14ac:dyDescent="0.2">
      <c r="A2" s="1" t="s">
        <v>18</v>
      </c>
      <c r="D2" s="223"/>
      <c r="F2" s="5">
        <f ca="1">'Retail Sales Base Case'!G2</f>
        <v>44852.574980324076</v>
      </c>
      <c r="K2" s="5"/>
      <c r="P2" s="5"/>
      <c r="U2" s="5"/>
      <c r="Z2" s="5"/>
    </row>
    <row r="3" spans="1:28" x14ac:dyDescent="0.2">
      <c r="A3" s="1" t="s">
        <v>1</v>
      </c>
    </row>
    <row r="4" spans="1:28" x14ac:dyDescent="0.2">
      <c r="A4" s="1" t="s">
        <v>2</v>
      </c>
    </row>
    <row r="5" spans="1:28" x14ac:dyDescent="0.2">
      <c r="A5" s="1" t="s">
        <v>3</v>
      </c>
      <c r="B5" s="6" t="str">
        <f>'Retail Sales Base Case'!B5</f>
        <v>FY 2023</v>
      </c>
      <c r="C5" s="7"/>
      <c r="D5" s="7"/>
      <c r="E5" s="7"/>
      <c r="F5" s="8"/>
      <c r="G5" s="6" t="str">
        <f>'Retail Sales Base Case'!H5</f>
        <v>FY 2024</v>
      </c>
      <c r="H5" s="7"/>
      <c r="I5" s="7"/>
      <c r="J5" s="7"/>
      <c r="K5" s="8"/>
      <c r="L5" s="6" t="str">
        <f>'Retail Sales Base Case'!N5</f>
        <v>FY 2025</v>
      </c>
      <c r="M5" s="7"/>
      <c r="N5" s="7"/>
      <c r="O5" s="7"/>
      <c r="P5" s="8"/>
      <c r="Q5" s="6" t="str">
        <f>'Retail Sales Base Case'!T5</f>
        <v>FY 2026</v>
      </c>
      <c r="R5" s="7"/>
      <c r="S5" s="7"/>
      <c r="T5" s="7"/>
      <c r="U5" s="8"/>
      <c r="V5" s="6" t="str">
        <f>'Retail Sales Base Case'!Z5</f>
        <v>FY 2027</v>
      </c>
      <c r="W5" s="7"/>
      <c r="X5" s="7"/>
      <c r="Y5" s="7"/>
      <c r="Z5" s="8"/>
    </row>
    <row r="6" spans="1:28" x14ac:dyDescent="0.2">
      <c r="A6" s="2" t="s">
        <v>4</v>
      </c>
      <c r="B6" s="45">
        <f>'Retail Sales Base Case'!B6</f>
        <v>1.5E-3</v>
      </c>
      <c r="F6" s="10"/>
      <c r="G6" s="9">
        <f>B6</f>
        <v>1.5E-3</v>
      </c>
      <c r="K6" s="10"/>
      <c r="L6" s="9">
        <f>G6</f>
        <v>1.5E-3</v>
      </c>
      <c r="P6" s="10"/>
      <c r="Q6" s="9">
        <f>L6</f>
        <v>1.5E-3</v>
      </c>
      <c r="U6" s="10"/>
      <c r="V6" s="9">
        <f>Q6</f>
        <v>1.5E-3</v>
      </c>
      <c r="Z6" s="10"/>
    </row>
    <row r="7" spans="1:28" x14ac:dyDescent="0.2">
      <c r="B7" s="12"/>
      <c r="D7" s="13" t="s">
        <v>6</v>
      </c>
      <c r="F7" s="14" t="s">
        <v>6</v>
      </c>
      <c r="G7" s="12"/>
      <c r="I7" s="13" t="s">
        <v>6</v>
      </c>
      <c r="K7" s="14" t="s">
        <v>6</v>
      </c>
      <c r="L7" s="12"/>
      <c r="N7" s="13" t="s">
        <v>6</v>
      </c>
      <c r="P7" s="14" t="s">
        <v>6</v>
      </c>
      <c r="Q7" s="12"/>
      <c r="S7" s="13" t="s">
        <v>6</v>
      </c>
      <c r="U7" s="14" t="s">
        <v>6</v>
      </c>
      <c r="V7" s="12"/>
      <c r="X7" s="13" t="s">
        <v>6</v>
      </c>
      <c r="Z7" s="14" t="s">
        <v>6</v>
      </c>
    </row>
    <row r="8" spans="1:28" x14ac:dyDescent="0.2">
      <c r="B8" s="12"/>
      <c r="D8" s="104" t="s">
        <v>8</v>
      </c>
      <c r="E8" s="103"/>
      <c r="F8" s="14" t="s">
        <v>8</v>
      </c>
      <c r="G8" s="12"/>
      <c r="I8" s="104" t="s">
        <v>8</v>
      </c>
      <c r="J8" s="103"/>
      <c r="K8" s="14" t="s">
        <v>8</v>
      </c>
      <c r="L8" s="12"/>
      <c r="N8" s="104" t="s">
        <v>8</v>
      </c>
      <c r="O8" s="103"/>
      <c r="P8" s="14" t="s">
        <v>8</v>
      </c>
      <c r="Q8" s="12"/>
      <c r="S8" s="104" t="s">
        <v>8</v>
      </c>
      <c r="T8" s="103"/>
      <c r="U8" s="14" t="s">
        <v>8</v>
      </c>
      <c r="V8" s="12"/>
      <c r="X8" s="104" t="s">
        <v>8</v>
      </c>
      <c r="Y8" s="103"/>
      <c r="Z8" s="14" t="s">
        <v>8</v>
      </c>
    </row>
    <row r="9" spans="1:28" x14ac:dyDescent="0.2">
      <c r="B9" s="18"/>
      <c r="C9" s="103"/>
      <c r="D9" s="19">
        <f>'Retail Sales Base Case'!E12</f>
        <v>2023</v>
      </c>
      <c r="E9" s="103"/>
      <c r="F9" s="20">
        <f>'Retail Sales Base Case'!G12</f>
        <v>2023</v>
      </c>
      <c r="G9" s="18"/>
      <c r="H9" s="103"/>
      <c r="I9" s="19">
        <f>'Retail Sales Base Case'!K12</f>
        <v>2024</v>
      </c>
      <c r="J9" s="103"/>
      <c r="K9" s="20">
        <f>'Retail Sales Base Case'!M12</f>
        <v>2024</v>
      </c>
      <c r="L9" s="18"/>
      <c r="M9" s="103"/>
      <c r="N9" s="19">
        <f>'Retail Sales Base Case'!Q12</f>
        <v>2025</v>
      </c>
      <c r="O9" s="103"/>
      <c r="P9" s="20">
        <f>'Retail Sales Base Case'!S12</f>
        <v>2025</v>
      </c>
      <c r="Q9" s="18"/>
      <c r="R9" s="103"/>
      <c r="S9" s="19">
        <f>'Retail Sales Base Case'!W12</f>
        <v>2026</v>
      </c>
      <c r="T9" s="103"/>
      <c r="U9" s="20">
        <f>'Retail Sales Base Case'!Y12</f>
        <v>2026</v>
      </c>
      <c r="V9" s="18"/>
      <c r="W9" s="103"/>
      <c r="X9" s="19">
        <f>'Retail Sales Base Case'!AC12</f>
        <v>2027</v>
      </c>
      <c r="Y9" s="103"/>
      <c r="Z9" s="20">
        <f>'Retail Sales Base Case'!AE12</f>
        <v>2027</v>
      </c>
    </row>
    <row r="10" spans="1:28" x14ac:dyDescent="0.2">
      <c r="A10" s="25" t="s">
        <v>94</v>
      </c>
      <c r="B10" s="12"/>
      <c r="D10" s="13">
        <f>'Retail Sales Base Case'!E13</f>
        <v>62</v>
      </c>
      <c r="E10" s="174" t="str">
        <f>'Res Trans Base Case'!F13</f>
        <v>SATC</v>
      </c>
      <c r="F10" s="14">
        <f>'Retail Sales Base Case'!G13</f>
        <v>74</v>
      </c>
      <c r="G10" s="12"/>
      <c r="I10" s="13">
        <f>D10</f>
        <v>62</v>
      </c>
      <c r="J10" s="174" t="str">
        <f>E10</f>
        <v>SATC</v>
      </c>
      <c r="K10" s="14">
        <f>F10</f>
        <v>74</v>
      </c>
      <c r="L10" s="12"/>
      <c r="N10" s="13">
        <f>I10</f>
        <v>62</v>
      </c>
      <c r="O10" s="174" t="str">
        <f>J10</f>
        <v>SATC</v>
      </c>
      <c r="P10" s="14">
        <f>K10</f>
        <v>74</v>
      </c>
      <c r="Q10" s="12"/>
      <c r="S10" s="13">
        <f>N10</f>
        <v>62</v>
      </c>
      <c r="T10" s="174" t="str">
        <f>O10</f>
        <v>SATC</v>
      </c>
      <c r="U10" s="14">
        <f>P10</f>
        <v>74</v>
      </c>
      <c r="V10" s="12"/>
      <c r="X10" s="13">
        <f>S10</f>
        <v>62</v>
      </c>
      <c r="Y10" s="174" t="str">
        <f>T10</f>
        <v>SATC</v>
      </c>
      <c r="Z10" s="14">
        <f>U10</f>
        <v>74</v>
      </c>
    </row>
    <row r="11" spans="1:28" x14ac:dyDescent="0.2">
      <c r="A11" s="24" t="s">
        <v>76</v>
      </c>
      <c r="B11" s="22">
        <f>'Retail Sales Base Case'!B14</f>
        <v>44927</v>
      </c>
      <c r="C11" s="105"/>
      <c r="D11" s="19" t="s">
        <v>10</v>
      </c>
      <c r="E11" s="105"/>
      <c r="F11" s="20" t="s">
        <v>10</v>
      </c>
      <c r="G11" s="22">
        <f>'Retail Sales Base Case'!H14</f>
        <v>45293</v>
      </c>
      <c r="H11" s="105"/>
      <c r="I11" s="19" t="s">
        <v>10</v>
      </c>
      <c r="J11" s="105"/>
      <c r="K11" s="20" t="s">
        <v>10</v>
      </c>
      <c r="L11" s="22">
        <f>'Retail Sales Base Case'!N14</f>
        <v>45668</v>
      </c>
      <c r="M11" s="105"/>
      <c r="N11" s="19" t="s">
        <v>10</v>
      </c>
      <c r="O11" s="105"/>
      <c r="P11" s="20" t="s">
        <v>10</v>
      </c>
      <c r="Q11" s="22">
        <f>'Retail Sales Base Case'!T14</f>
        <v>46034</v>
      </c>
      <c r="R11" s="105"/>
      <c r="S11" s="19" t="s">
        <v>10</v>
      </c>
      <c r="T11" s="105"/>
      <c r="U11" s="20" t="s">
        <v>10</v>
      </c>
      <c r="V11" s="22">
        <f>'Retail Sales Base Case'!Z14</f>
        <v>46399</v>
      </c>
      <c r="W11" s="105"/>
      <c r="X11" s="19" t="s">
        <v>10</v>
      </c>
      <c r="Y11" s="105"/>
      <c r="Z11" s="20" t="s">
        <v>10</v>
      </c>
      <c r="AB11" s="328" t="s">
        <v>364</v>
      </c>
    </row>
    <row r="12" spans="1:28" x14ac:dyDescent="0.2">
      <c r="A12" s="124" t="s">
        <v>78</v>
      </c>
      <c r="B12" s="130"/>
      <c r="C12" s="125"/>
      <c r="D12" s="125"/>
      <c r="E12" s="125"/>
      <c r="F12" s="123"/>
      <c r="G12" s="130"/>
      <c r="H12" s="125"/>
      <c r="I12" s="125"/>
      <c r="J12" s="125"/>
      <c r="K12" s="123"/>
      <c r="L12" s="130"/>
      <c r="M12" s="125"/>
      <c r="N12" s="125"/>
      <c r="O12" s="125"/>
      <c r="P12" s="123"/>
      <c r="Q12" s="130"/>
      <c r="R12" s="125"/>
      <c r="S12" s="125"/>
      <c r="T12" s="125"/>
      <c r="U12" s="123"/>
      <c r="V12" s="130"/>
      <c r="W12" s="125"/>
      <c r="X12" s="125"/>
      <c r="Y12" s="125"/>
      <c r="Z12" s="123"/>
    </row>
    <row r="13" spans="1:28" x14ac:dyDescent="0.2">
      <c r="A13" s="126" t="s">
        <v>114</v>
      </c>
      <c r="B13" s="218">
        <v>6847.5313200000001</v>
      </c>
      <c r="C13" s="107"/>
      <c r="D13" s="107">
        <f>ROUND(B13/31,0)</f>
        <v>221</v>
      </c>
      <c r="E13" s="107"/>
      <c r="F13" s="116">
        <f>ROUND(B13/21,0)</f>
        <v>326</v>
      </c>
      <c r="G13" s="218">
        <v>7008.4462733199216</v>
      </c>
      <c r="H13" s="107"/>
      <c r="I13" s="107">
        <f>ROUND(G13/31,0)</f>
        <v>226</v>
      </c>
      <c r="J13" s="107"/>
      <c r="K13" s="116">
        <f>ROUND(G13/21,0)</f>
        <v>334</v>
      </c>
      <c r="L13" s="218">
        <v>7071.3675999999996</v>
      </c>
      <c r="M13" s="107"/>
      <c r="N13" s="107">
        <f>ROUND(L13/31,0)</f>
        <v>228</v>
      </c>
      <c r="O13" s="107"/>
      <c r="P13" s="116">
        <f>ROUND(L13/21,0)</f>
        <v>337</v>
      </c>
      <c r="Q13" s="218">
        <v>7159.4692500000001</v>
      </c>
      <c r="R13" s="107"/>
      <c r="S13" s="107">
        <f>ROUND(Q13/31,0)</f>
        <v>231</v>
      </c>
      <c r="T13" s="107"/>
      <c r="U13" s="116">
        <f>ROUND(Q13/21,0)</f>
        <v>341</v>
      </c>
      <c r="V13" s="218">
        <v>7231.4996099999998</v>
      </c>
      <c r="W13" s="107"/>
      <c r="X13" s="107">
        <f>ROUND(V13/31,0)</f>
        <v>233</v>
      </c>
      <c r="Y13" s="107"/>
      <c r="Z13" s="116">
        <f>ROUND(V13/21,0)</f>
        <v>344</v>
      </c>
      <c r="AB13" s="2" t="s">
        <v>330</v>
      </c>
    </row>
    <row r="14" spans="1:28" x14ac:dyDescent="0.2">
      <c r="A14" s="126" t="s">
        <v>115</v>
      </c>
      <c r="B14" s="218">
        <v>456739.47837999999</v>
      </c>
      <c r="C14" s="107"/>
      <c r="D14" s="107">
        <f>ROUND(B14/31,0)</f>
        <v>14734</v>
      </c>
      <c r="E14" s="107"/>
      <c r="F14" s="116">
        <f>ROUND(B14/21,0)</f>
        <v>21749</v>
      </c>
      <c r="G14" s="218">
        <v>458894.99922101456</v>
      </c>
      <c r="H14" s="107"/>
      <c r="I14" s="107">
        <f>ROUND(G14/31,0)</f>
        <v>14803</v>
      </c>
      <c r="J14" s="107"/>
      <c r="K14" s="116">
        <f>ROUND(G14/21,0)</f>
        <v>21852</v>
      </c>
      <c r="L14" s="218">
        <v>456483.88678</v>
      </c>
      <c r="M14" s="107"/>
      <c r="N14" s="107">
        <f>ROUND(L14/31,0)</f>
        <v>14725</v>
      </c>
      <c r="O14" s="107"/>
      <c r="P14" s="116">
        <f>ROUND(L14/21,0)</f>
        <v>21737</v>
      </c>
      <c r="Q14" s="218">
        <v>456217.06464</v>
      </c>
      <c r="R14" s="107"/>
      <c r="S14" s="107">
        <f>ROUND(Q14/31,0)</f>
        <v>14717</v>
      </c>
      <c r="T14" s="107"/>
      <c r="U14" s="116">
        <f>ROUND(Q14/21,0)</f>
        <v>21725</v>
      </c>
      <c r="V14" s="218">
        <v>455750.41634</v>
      </c>
      <c r="W14" s="107"/>
      <c r="X14" s="107">
        <f>ROUND(V14/31,0)</f>
        <v>14702</v>
      </c>
      <c r="Y14" s="107"/>
      <c r="Z14" s="116">
        <f>ROUND(V14/21,0)</f>
        <v>21702</v>
      </c>
      <c r="AB14" s="2" t="s">
        <v>336</v>
      </c>
    </row>
    <row r="15" spans="1:28" x14ac:dyDescent="0.2">
      <c r="A15" s="127"/>
      <c r="B15" s="218"/>
      <c r="C15" s="107"/>
      <c r="D15" s="107"/>
      <c r="E15" s="107"/>
      <c r="F15" s="116"/>
      <c r="G15" s="218"/>
      <c r="H15" s="107"/>
      <c r="I15" s="107"/>
      <c r="J15" s="107"/>
      <c r="K15" s="116"/>
      <c r="L15" s="218"/>
      <c r="M15" s="107"/>
      <c r="N15" s="107"/>
      <c r="O15" s="107"/>
      <c r="P15" s="116"/>
      <c r="Q15" s="218"/>
      <c r="R15" s="107"/>
      <c r="S15" s="107"/>
      <c r="T15" s="107"/>
      <c r="U15" s="116"/>
      <c r="V15" s="218"/>
      <c r="W15" s="107"/>
      <c r="X15" s="107"/>
      <c r="Y15" s="107"/>
      <c r="Z15" s="116"/>
    </row>
    <row r="16" spans="1:28" x14ac:dyDescent="0.2">
      <c r="A16" s="126" t="s">
        <v>116</v>
      </c>
      <c r="B16" s="218">
        <v>52003.714634130054</v>
      </c>
      <c r="C16" s="107"/>
      <c r="D16" s="107">
        <f>ROUND(B16/31,0)</f>
        <v>1678</v>
      </c>
      <c r="E16" s="107"/>
      <c r="F16" s="220">
        <v>2570.1443364396941</v>
      </c>
      <c r="G16" s="218">
        <v>53128.796296630564</v>
      </c>
      <c r="H16" s="107"/>
      <c r="I16" s="107">
        <f>ROUND(G16/31,0)</f>
        <v>1714</v>
      </c>
      <c r="J16" s="107"/>
      <c r="K16" s="220">
        <v>2576.3964516395508</v>
      </c>
      <c r="L16" s="218">
        <v>52955.519559838984</v>
      </c>
      <c r="M16" s="107"/>
      <c r="N16" s="107">
        <f>ROUND(L16/31,0)</f>
        <v>1708</v>
      </c>
      <c r="O16" s="107"/>
      <c r="P16" s="220">
        <v>2607.9562983652459</v>
      </c>
      <c r="Q16" s="218">
        <v>54095.890858318984</v>
      </c>
      <c r="R16" s="107"/>
      <c r="S16" s="107">
        <f>ROUND(Q16/31,0)</f>
        <v>1745</v>
      </c>
      <c r="T16" s="107"/>
      <c r="U16" s="220">
        <v>2642.670220131803</v>
      </c>
      <c r="V16" s="218">
        <v>55350.330652869583</v>
      </c>
      <c r="W16" s="107"/>
      <c r="X16" s="107">
        <f>ROUND(V16/31,0)</f>
        <v>1785</v>
      </c>
      <c r="Y16" s="107"/>
      <c r="Z16" s="220">
        <v>2680.8564888908695</v>
      </c>
      <c r="AB16" s="2" t="s">
        <v>342</v>
      </c>
    </row>
    <row r="17" spans="1:28" x14ac:dyDescent="0.2">
      <c r="A17" s="128" t="s">
        <v>117</v>
      </c>
      <c r="B17" s="218">
        <v>0</v>
      </c>
      <c r="C17" s="107"/>
      <c r="D17" s="107">
        <f>ROUND(B17/31,0)</f>
        <v>0</v>
      </c>
      <c r="E17" s="107"/>
      <c r="F17" s="220">
        <v>0</v>
      </c>
      <c r="G17" s="218">
        <v>0</v>
      </c>
      <c r="H17" s="107"/>
      <c r="I17" s="107">
        <f>ROUND(G17/31,0)</f>
        <v>0</v>
      </c>
      <c r="J17" s="107"/>
      <c r="K17" s="220">
        <v>0</v>
      </c>
      <c r="L17" s="218">
        <v>0</v>
      </c>
      <c r="M17" s="107"/>
      <c r="N17" s="107">
        <f>ROUND(L17/31,0)</f>
        <v>0</v>
      </c>
      <c r="O17" s="107"/>
      <c r="P17" s="220">
        <v>0</v>
      </c>
      <c r="Q17" s="218">
        <v>0</v>
      </c>
      <c r="R17" s="107"/>
      <c r="S17" s="107">
        <f>ROUND(Q17/31,0)</f>
        <v>0</v>
      </c>
      <c r="T17" s="107"/>
      <c r="U17" s="220">
        <v>0</v>
      </c>
      <c r="V17" s="218">
        <v>0</v>
      </c>
      <c r="W17" s="107"/>
      <c r="X17" s="107">
        <f>ROUND(V17/31,0)</f>
        <v>0</v>
      </c>
      <c r="Y17" s="107"/>
      <c r="Z17" s="220">
        <v>0</v>
      </c>
      <c r="AB17" s="2" t="s">
        <v>342</v>
      </c>
    </row>
    <row r="18" spans="1:28" x14ac:dyDescent="0.2">
      <c r="A18" s="126" t="s">
        <v>116</v>
      </c>
      <c r="B18" s="132">
        <f>SUM(B16:B17)</f>
        <v>52003.714634130054</v>
      </c>
      <c r="C18" s="107"/>
      <c r="D18" s="114">
        <f>SUM(D16:D17)</f>
        <v>1678</v>
      </c>
      <c r="E18" s="107"/>
      <c r="F18" s="120">
        <f>SUM(F16:F17)</f>
        <v>2570.1443364396941</v>
      </c>
      <c r="G18" s="132">
        <f>SUM(G16:G17)</f>
        <v>53128.796296630564</v>
      </c>
      <c r="H18" s="107"/>
      <c r="I18" s="114">
        <f>SUM(I16:I17)</f>
        <v>1714</v>
      </c>
      <c r="J18" s="107"/>
      <c r="K18" s="120">
        <f>SUM(K16:K17)</f>
        <v>2576.3964516395508</v>
      </c>
      <c r="L18" s="132">
        <f>SUM(L16:L17)</f>
        <v>52955.519559838984</v>
      </c>
      <c r="M18" s="107"/>
      <c r="N18" s="114">
        <f>SUM(N16:N17)</f>
        <v>1708</v>
      </c>
      <c r="O18" s="107"/>
      <c r="P18" s="120">
        <f>SUM(P16:P17)</f>
        <v>2607.9562983652459</v>
      </c>
      <c r="Q18" s="132">
        <f>SUM(Q16:Q17)</f>
        <v>54095.890858318984</v>
      </c>
      <c r="R18" s="107"/>
      <c r="S18" s="114">
        <f>SUM(S16:S17)</f>
        <v>1745</v>
      </c>
      <c r="T18" s="107"/>
      <c r="U18" s="120">
        <f>SUM(U16:U17)</f>
        <v>2642.670220131803</v>
      </c>
      <c r="V18" s="132">
        <f>SUM(V16:V17)</f>
        <v>55350.330652869583</v>
      </c>
      <c r="W18" s="107"/>
      <c r="X18" s="114">
        <f>SUM(X16:X17)</f>
        <v>1785</v>
      </c>
      <c r="Y18" s="107"/>
      <c r="Z18" s="120">
        <f>SUM(Z16:Z17)</f>
        <v>2680.8564888908695</v>
      </c>
    </row>
    <row r="19" spans="1:28" x14ac:dyDescent="0.2">
      <c r="A19" s="127"/>
      <c r="B19" s="131"/>
      <c r="C19" s="107"/>
      <c r="D19" s="107"/>
      <c r="E19" s="107"/>
      <c r="F19" s="116"/>
      <c r="G19" s="131"/>
      <c r="H19" s="107"/>
      <c r="I19" s="107"/>
      <c r="J19" s="107"/>
      <c r="K19" s="116"/>
      <c r="L19" s="131"/>
      <c r="M19" s="107"/>
      <c r="N19" s="107"/>
      <c r="O19" s="107"/>
      <c r="P19" s="116"/>
      <c r="Q19" s="131"/>
      <c r="R19" s="107"/>
      <c r="S19" s="107"/>
      <c r="T19" s="107"/>
      <c r="U19" s="116"/>
      <c r="V19" s="131"/>
      <c r="W19" s="107"/>
      <c r="X19" s="107"/>
      <c r="Y19" s="107"/>
      <c r="Z19" s="116"/>
    </row>
    <row r="20" spans="1:28" x14ac:dyDescent="0.2">
      <c r="A20" s="129" t="s">
        <v>118</v>
      </c>
      <c r="B20" s="219">
        <v>32560.142530470901</v>
      </c>
      <c r="C20" s="109"/>
      <c r="D20" s="109">
        <f>ROUND(B20/31,0)</f>
        <v>1050</v>
      </c>
      <c r="E20" s="109"/>
      <c r="F20" s="221">
        <v>1120.4346710673999</v>
      </c>
      <c r="G20" s="219">
        <v>33635.642412706053</v>
      </c>
      <c r="H20" s="109"/>
      <c r="I20" s="109">
        <f>ROUND(G20/31,0)</f>
        <v>1085</v>
      </c>
      <c r="J20" s="109"/>
      <c r="K20" s="221">
        <v>1120.4346710673999</v>
      </c>
      <c r="L20" s="219">
        <v>33452.201229935803</v>
      </c>
      <c r="M20" s="109"/>
      <c r="N20" s="109">
        <f>ROUND(L20/31,0)</f>
        <v>1079</v>
      </c>
      <c r="O20" s="109"/>
      <c r="P20" s="221">
        <v>1151.1315113706166</v>
      </c>
      <c r="Q20" s="219">
        <v>33898.230579668299</v>
      </c>
      <c r="R20" s="109"/>
      <c r="S20" s="109">
        <f>ROUND(Q20/31,0)</f>
        <v>1093</v>
      </c>
      <c r="T20" s="109"/>
      <c r="U20" s="221">
        <v>1166.4799315222233</v>
      </c>
      <c r="V20" s="219">
        <v>34344.259929400803</v>
      </c>
      <c r="W20" s="109"/>
      <c r="X20" s="109">
        <f>ROUND(V20/31,0)</f>
        <v>1108</v>
      </c>
      <c r="Y20" s="109"/>
      <c r="Z20" s="221">
        <v>1181.8283516738334</v>
      </c>
      <c r="AB20" s="2" t="s">
        <v>347</v>
      </c>
    </row>
    <row r="21" spans="1:28" x14ac:dyDescent="0.2">
      <c r="A21" s="127" t="s">
        <v>119</v>
      </c>
      <c r="B21" s="131">
        <f>B13+B14+B18+B20</f>
        <v>548150.86686460092</v>
      </c>
      <c r="C21" s="107"/>
      <c r="D21" s="106">
        <f>D13+D14+D18+D20</f>
        <v>17683</v>
      </c>
      <c r="E21" s="107"/>
      <c r="F21" s="118">
        <f>F13+F14+F18+F20</f>
        <v>25765.579007507095</v>
      </c>
      <c r="G21" s="131">
        <f>G13+G14+G18+G20</f>
        <v>552667.88420367113</v>
      </c>
      <c r="H21" s="107"/>
      <c r="I21" s="106">
        <f>I13+I14+I18+I20</f>
        <v>17828</v>
      </c>
      <c r="J21" s="107"/>
      <c r="K21" s="118">
        <f>K13+K14+K18+K20</f>
        <v>25882.83112270695</v>
      </c>
      <c r="L21" s="131">
        <f>L13+L14+L18+L20</f>
        <v>549962.97516977484</v>
      </c>
      <c r="M21" s="107"/>
      <c r="N21" s="106">
        <f>N13+N14+N18+N20</f>
        <v>17740</v>
      </c>
      <c r="O21" s="107"/>
      <c r="P21" s="118">
        <f>P13+P14+P18+P20</f>
        <v>25833.087809735862</v>
      </c>
      <c r="Q21" s="131">
        <f>Q13+Q14+Q18+Q20</f>
        <v>551370.65532798728</v>
      </c>
      <c r="R21" s="107"/>
      <c r="S21" s="106">
        <f>S13+S14+S18+S20</f>
        <v>17786</v>
      </c>
      <c r="T21" s="107"/>
      <c r="U21" s="118">
        <f>U13+U14+U18+U20</f>
        <v>25875.150151654027</v>
      </c>
      <c r="V21" s="131">
        <f>V13+V14+V18+V20</f>
        <v>552676.50653227034</v>
      </c>
      <c r="W21" s="107"/>
      <c r="X21" s="106">
        <f>X13+X14+X18+X20</f>
        <v>17828</v>
      </c>
      <c r="Y21" s="107"/>
      <c r="Z21" s="118">
        <f>Z13+Z14+Z18+Z20</f>
        <v>25908.684840564703</v>
      </c>
    </row>
    <row r="22" spans="1:28" x14ac:dyDescent="0.2">
      <c r="A22" s="129" t="s">
        <v>120</v>
      </c>
      <c r="B22" s="40">
        <f>ROUND(B21/((1-$B$6))-B21,0)</f>
        <v>823</v>
      </c>
      <c r="C22" s="109"/>
      <c r="D22" s="42">
        <f>ROUND(D21/((1-$B$6))-D21,0)</f>
        <v>27</v>
      </c>
      <c r="E22" s="109"/>
      <c r="F22" s="43">
        <f>ROUND(F21/((1-$B$6))-F21,0)</f>
        <v>39</v>
      </c>
      <c r="G22" s="40">
        <f>ROUND(G21/((1-$B$6))-G21,0)</f>
        <v>830</v>
      </c>
      <c r="H22" s="109"/>
      <c r="I22" s="42">
        <f>ROUND(I21/((1-$B$6))-I21,0)</f>
        <v>27</v>
      </c>
      <c r="J22" s="109"/>
      <c r="K22" s="43">
        <f>ROUND(K21/((1-$B$6))-K21,0)</f>
        <v>39</v>
      </c>
      <c r="L22" s="40">
        <f>ROUND(L21/((1-$B$6))-L21,0)</f>
        <v>826</v>
      </c>
      <c r="M22" s="109"/>
      <c r="N22" s="42">
        <f>ROUND(N21/((1-$B$6))-N21,0)</f>
        <v>27</v>
      </c>
      <c r="O22" s="109"/>
      <c r="P22" s="43">
        <f>ROUND(P21/((1-$B$6))-P21,0)</f>
        <v>39</v>
      </c>
      <c r="Q22" s="40">
        <f>ROUND(Q21/((1-$B$6))-Q21,0)</f>
        <v>828</v>
      </c>
      <c r="R22" s="109"/>
      <c r="S22" s="42">
        <f>ROUND(S21/((1-$B$6))-S21,0)</f>
        <v>27</v>
      </c>
      <c r="T22" s="109"/>
      <c r="U22" s="43">
        <f>ROUND(U21/((1-$B$6))-U21,0)</f>
        <v>39</v>
      </c>
      <c r="V22" s="40">
        <f>ROUND(V21/((1-$B$6))-V21,0)</f>
        <v>830</v>
      </c>
      <c r="W22" s="109"/>
      <c r="X22" s="42">
        <f>ROUND(X21/((1-$B$6))-X21,0)</f>
        <v>27</v>
      </c>
      <c r="Y22" s="109"/>
      <c r="Z22" s="43">
        <f>ROUND(Z21/((1-$B$6))-Z21,0)</f>
        <v>39</v>
      </c>
    </row>
    <row r="23" spans="1:28" x14ac:dyDescent="0.2">
      <c r="A23" s="129" t="s">
        <v>121</v>
      </c>
      <c r="B23" s="133">
        <f>SUM(B21:B22)</f>
        <v>548973.86686460092</v>
      </c>
      <c r="C23" s="109"/>
      <c r="D23" s="109">
        <f>SUM(D21:D22)</f>
        <v>17710</v>
      </c>
      <c r="E23" s="109"/>
      <c r="F23" s="117">
        <f>SUM(F21:F22)</f>
        <v>25804.579007507095</v>
      </c>
      <c r="G23" s="133">
        <f>SUM(G21:G22)</f>
        <v>553497.88420367113</v>
      </c>
      <c r="H23" s="109"/>
      <c r="I23" s="109">
        <f>SUM(I21:I22)</f>
        <v>17855</v>
      </c>
      <c r="J23" s="109"/>
      <c r="K23" s="117">
        <f>SUM(K21:K22)</f>
        <v>25921.83112270695</v>
      </c>
      <c r="L23" s="133">
        <f>SUM(L21:L22)</f>
        <v>550788.97516977484</v>
      </c>
      <c r="M23" s="109"/>
      <c r="N23" s="109">
        <f>SUM(N21:N22)</f>
        <v>17767</v>
      </c>
      <c r="O23" s="109"/>
      <c r="P23" s="117">
        <f>SUM(P21:P22)</f>
        <v>25872.087809735862</v>
      </c>
      <c r="Q23" s="133">
        <f>SUM(Q21:Q22)</f>
        <v>552198.65532798728</v>
      </c>
      <c r="R23" s="109"/>
      <c r="S23" s="109">
        <f>SUM(S21:S22)</f>
        <v>17813</v>
      </c>
      <c r="T23" s="109"/>
      <c r="U23" s="117">
        <f>SUM(U21:U22)</f>
        <v>25914.150151654027</v>
      </c>
      <c r="V23" s="133">
        <f>SUM(V21:V22)</f>
        <v>553506.50653227034</v>
      </c>
      <c r="W23" s="109"/>
      <c r="X23" s="109">
        <f>SUM(X21:X22)</f>
        <v>17855</v>
      </c>
      <c r="Y23" s="109"/>
      <c r="Z23" s="117">
        <f>SUM(Z21:Z22)</f>
        <v>25947.684840564703</v>
      </c>
    </row>
    <row r="24" spans="1:28" x14ac:dyDescent="0.2">
      <c r="A24" s="138"/>
      <c r="B24" s="134"/>
      <c r="C24" s="107"/>
      <c r="D24" s="107"/>
      <c r="E24" s="107"/>
      <c r="F24" s="31"/>
      <c r="G24" s="134"/>
      <c r="H24" s="107"/>
      <c r="I24" s="107"/>
      <c r="J24" s="107"/>
      <c r="K24" s="31"/>
      <c r="L24" s="134"/>
      <c r="M24" s="107"/>
      <c r="N24" s="107"/>
      <c r="O24" s="107"/>
      <c r="P24" s="31"/>
      <c r="Q24" s="134"/>
      <c r="R24" s="107"/>
      <c r="S24" s="107"/>
      <c r="T24" s="107"/>
      <c r="U24" s="31"/>
      <c r="V24" s="134"/>
      <c r="W24" s="107"/>
      <c r="X24" s="107"/>
      <c r="Y24" s="107"/>
      <c r="Z24" s="31"/>
    </row>
    <row r="25" spans="1:28" x14ac:dyDescent="0.2">
      <c r="A25" s="124" t="s">
        <v>85</v>
      </c>
      <c r="B25" s="132"/>
      <c r="C25" s="115"/>
      <c r="D25" s="115"/>
      <c r="E25" s="115"/>
      <c r="F25" s="156"/>
      <c r="G25" s="132"/>
      <c r="H25" s="115"/>
      <c r="I25" s="115"/>
      <c r="J25" s="115"/>
      <c r="K25" s="156"/>
      <c r="L25" s="132"/>
      <c r="M25" s="115"/>
      <c r="N25" s="115"/>
      <c r="O25" s="115"/>
      <c r="P25" s="156"/>
      <c r="Q25" s="132"/>
      <c r="R25" s="115"/>
      <c r="S25" s="115"/>
      <c r="T25" s="115"/>
      <c r="U25" s="156"/>
      <c r="V25" s="132"/>
      <c r="W25" s="115"/>
      <c r="X25" s="115"/>
      <c r="Y25" s="115"/>
      <c r="Z25" s="156"/>
    </row>
    <row r="26" spans="1:28" x14ac:dyDescent="0.2">
      <c r="A26" s="126" t="s">
        <v>114</v>
      </c>
      <c r="B26" s="218">
        <v>1624.1684399999999</v>
      </c>
      <c r="C26" s="107"/>
      <c r="D26" s="107">
        <f t="shared" ref="D26:D27" si="0">ROUND(B26/31,0)</f>
        <v>52</v>
      </c>
      <c r="E26" s="107"/>
      <c r="F26" s="31">
        <f t="shared" ref="F26:F27" si="1">ROUND(B26/21,0)</f>
        <v>77</v>
      </c>
      <c r="G26" s="218">
        <v>1640.241063626625</v>
      </c>
      <c r="H26" s="107"/>
      <c r="I26" s="107">
        <f t="shared" ref="I26:I27" si="2">ROUND(G26/31,0)</f>
        <v>53</v>
      </c>
      <c r="J26" s="107"/>
      <c r="K26" s="31">
        <f t="shared" ref="K26:K27" si="3">ROUND(G26/21,0)</f>
        <v>78</v>
      </c>
      <c r="L26" s="218">
        <v>1634.62446</v>
      </c>
      <c r="M26" s="107"/>
      <c r="N26" s="107">
        <f t="shared" ref="N26:N27" si="4">ROUND(L26/31,0)</f>
        <v>53</v>
      </c>
      <c r="O26" s="107"/>
      <c r="P26" s="31">
        <f t="shared" ref="P26:P27" si="5">ROUND(L26/21,0)</f>
        <v>78</v>
      </c>
      <c r="Q26" s="218">
        <v>1648.56582</v>
      </c>
      <c r="R26" s="107"/>
      <c r="S26" s="107">
        <f t="shared" ref="S26:S27" si="6">ROUND(Q26/31,0)</f>
        <v>53</v>
      </c>
      <c r="T26" s="107"/>
      <c r="U26" s="31">
        <f t="shared" ref="U26:U27" si="7">ROUND(Q26/21,0)</f>
        <v>79</v>
      </c>
      <c r="V26" s="218">
        <v>1655.5364999999999</v>
      </c>
      <c r="W26" s="107"/>
      <c r="X26" s="107">
        <f t="shared" ref="X26:X27" si="8">ROUND(V26/31,0)</f>
        <v>53</v>
      </c>
      <c r="Y26" s="107"/>
      <c r="Z26" s="31">
        <f t="shared" ref="Z26:Z27" si="9">ROUND(V26/21,0)</f>
        <v>79</v>
      </c>
      <c r="AB26" s="2" t="s">
        <v>332</v>
      </c>
    </row>
    <row r="27" spans="1:28" x14ac:dyDescent="0.2">
      <c r="A27" s="128" t="s">
        <v>122</v>
      </c>
      <c r="B27" s="218">
        <v>500.33992000000001</v>
      </c>
      <c r="C27" s="107"/>
      <c r="D27" s="107">
        <f t="shared" si="0"/>
        <v>16</v>
      </c>
      <c r="E27" s="107"/>
      <c r="F27" s="31">
        <f t="shared" si="1"/>
        <v>24</v>
      </c>
      <c r="G27" s="218">
        <v>472.75140804691216</v>
      </c>
      <c r="H27" s="107"/>
      <c r="I27" s="107">
        <f t="shared" si="2"/>
        <v>15</v>
      </c>
      <c r="J27" s="107"/>
      <c r="K27" s="31">
        <f t="shared" si="3"/>
        <v>23</v>
      </c>
      <c r="L27" s="218">
        <v>439.15283999999997</v>
      </c>
      <c r="M27" s="107"/>
      <c r="N27" s="107">
        <f t="shared" si="4"/>
        <v>14</v>
      </c>
      <c r="O27" s="107"/>
      <c r="P27" s="31">
        <f t="shared" si="5"/>
        <v>21</v>
      </c>
      <c r="Q27" s="218">
        <v>408.17203999999998</v>
      </c>
      <c r="R27" s="107"/>
      <c r="S27" s="107">
        <f t="shared" si="6"/>
        <v>13</v>
      </c>
      <c r="T27" s="107"/>
      <c r="U27" s="31">
        <f t="shared" si="7"/>
        <v>19</v>
      </c>
      <c r="V27" s="218">
        <v>377.96575999999999</v>
      </c>
      <c r="W27" s="107"/>
      <c r="X27" s="107">
        <f t="shared" si="8"/>
        <v>12</v>
      </c>
      <c r="Y27" s="107"/>
      <c r="Z27" s="31">
        <f t="shared" si="9"/>
        <v>18</v>
      </c>
      <c r="AB27" s="2" t="s">
        <v>340</v>
      </c>
    </row>
    <row r="28" spans="1:28" x14ac:dyDescent="0.2">
      <c r="A28" s="139" t="s">
        <v>123</v>
      </c>
      <c r="B28" s="132">
        <f>SUM(B26:B27)</f>
        <v>2124.5083599999998</v>
      </c>
      <c r="C28" s="115"/>
      <c r="D28" s="114">
        <f>SUM(D26:D27)</f>
        <v>68</v>
      </c>
      <c r="E28" s="115"/>
      <c r="F28" s="156">
        <f>SUM(F26:F27)</f>
        <v>101</v>
      </c>
      <c r="G28" s="132">
        <f>SUM(G26:G27)</f>
        <v>2112.9924716735372</v>
      </c>
      <c r="H28" s="115"/>
      <c r="I28" s="114">
        <f>SUM(I26:I27)</f>
        <v>68</v>
      </c>
      <c r="J28" s="115"/>
      <c r="K28" s="156">
        <f>SUM(K26:K27)</f>
        <v>101</v>
      </c>
      <c r="L28" s="132">
        <f>SUM(L26:L27)</f>
        <v>2073.7772999999997</v>
      </c>
      <c r="M28" s="115"/>
      <c r="N28" s="114">
        <f>SUM(N26:N27)</f>
        <v>67</v>
      </c>
      <c r="O28" s="115"/>
      <c r="P28" s="156">
        <f>SUM(P26:P27)</f>
        <v>99</v>
      </c>
      <c r="Q28" s="132">
        <f>SUM(Q26:Q27)</f>
        <v>2056.7378600000002</v>
      </c>
      <c r="R28" s="115"/>
      <c r="S28" s="114">
        <f>SUM(S26:S27)</f>
        <v>66</v>
      </c>
      <c r="T28" s="115"/>
      <c r="U28" s="156">
        <f>SUM(U26:U27)</f>
        <v>98</v>
      </c>
      <c r="V28" s="132">
        <f>SUM(V26:V27)</f>
        <v>2033.50226</v>
      </c>
      <c r="W28" s="115"/>
      <c r="X28" s="114">
        <f>SUM(X26:X27)</f>
        <v>65</v>
      </c>
      <c r="Y28" s="115"/>
      <c r="Z28" s="156">
        <f>SUM(Z26:Z27)</f>
        <v>97</v>
      </c>
    </row>
    <row r="29" spans="1:28" x14ac:dyDescent="0.2">
      <c r="A29" s="140" t="s">
        <v>124</v>
      </c>
      <c r="B29" s="40">
        <f>ROUND(B28/((1-$B$6))-B28,0)</f>
        <v>3</v>
      </c>
      <c r="C29" s="109"/>
      <c r="D29" s="42">
        <f>ROUND(D28/((1-$B$6))-D28,0)</f>
        <v>0</v>
      </c>
      <c r="E29" s="109"/>
      <c r="F29" s="43">
        <f>ROUND(F28/((1-$B$6))-F28,0)</f>
        <v>0</v>
      </c>
      <c r="G29" s="40">
        <f>ROUND(G28/((1-$B$6))-G28,0)</f>
        <v>3</v>
      </c>
      <c r="H29" s="109"/>
      <c r="I29" s="42">
        <f>ROUND(I28/((1-$B$6))-I28,0)</f>
        <v>0</v>
      </c>
      <c r="J29" s="109"/>
      <c r="K29" s="43">
        <f>ROUND(K28/((1-$B$6))-K28,0)</f>
        <v>0</v>
      </c>
      <c r="L29" s="40">
        <f>ROUND(L28/((1-$B$6))-L28,0)</f>
        <v>3</v>
      </c>
      <c r="M29" s="109"/>
      <c r="N29" s="42">
        <f>ROUND(N28/((1-$B$6))-N28,0)</f>
        <v>0</v>
      </c>
      <c r="O29" s="109"/>
      <c r="P29" s="43">
        <f>ROUND(P28/((1-$B$6))-P28,0)</f>
        <v>0</v>
      </c>
      <c r="Q29" s="40">
        <f>ROUND(Q28/((1-$B$6))-Q28,0)</f>
        <v>3</v>
      </c>
      <c r="R29" s="109"/>
      <c r="S29" s="42">
        <f>ROUND(S28/((1-$B$6))-S28,0)</f>
        <v>0</v>
      </c>
      <c r="T29" s="109"/>
      <c r="U29" s="43">
        <f>ROUND(U28/((1-$B$6))-U28,0)</f>
        <v>0</v>
      </c>
      <c r="V29" s="40">
        <f>ROUND(V28/((1-$B$6))-V28,0)</f>
        <v>3</v>
      </c>
      <c r="W29" s="109"/>
      <c r="X29" s="42">
        <f>ROUND(X28/((1-$B$6))-X28,0)</f>
        <v>0</v>
      </c>
      <c r="Y29" s="109"/>
      <c r="Z29" s="43">
        <f>ROUND(Z28/((1-$B$6))-Z28,0)</f>
        <v>0</v>
      </c>
    </row>
    <row r="30" spans="1:28" x14ac:dyDescent="0.2">
      <c r="A30" s="140" t="s">
        <v>125</v>
      </c>
      <c r="B30" s="133">
        <f>SUM(B28:B29)</f>
        <v>2127.5083599999998</v>
      </c>
      <c r="C30" s="109"/>
      <c r="D30" s="108">
        <f>SUM(D28:D29)</f>
        <v>68</v>
      </c>
      <c r="E30" s="109"/>
      <c r="F30" s="43">
        <f>SUM(F28:F29)</f>
        <v>101</v>
      </c>
      <c r="G30" s="133">
        <f>SUM(G28:G29)</f>
        <v>2115.9924716735372</v>
      </c>
      <c r="H30" s="109"/>
      <c r="I30" s="108">
        <f>SUM(I28:I29)</f>
        <v>68</v>
      </c>
      <c r="J30" s="109"/>
      <c r="K30" s="43">
        <f>SUM(K28:K29)</f>
        <v>101</v>
      </c>
      <c r="L30" s="133">
        <f>SUM(L28:L29)</f>
        <v>2076.7772999999997</v>
      </c>
      <c r="M30" s="109"/>
      <c r="N30" s="108">
        <f>SUM(N28:N29)</f>
        <v>67</v>
      </c>
      <c r="O30" s="109"/>
      <c r="P30" s="43">
        <f>SUM(P28:P29)</f>
        <v>99</v>
      </c>
      <c r="Q30" s="133">
        <f>SUM(Q28:Q29)</f>
        <v>2059.7378600000002</v>
      </c>
      <c r="R30" s="109"/>
      <c r="S30" s="108">
        <f>SUM(S28:S29)</f>
        <v>66</v>
      </c>
      <c r="T30" s="109"/>
      <c r="U30" s="43">
        <f>SUM(U28:U29)</f>
        <v>98</v>
      </c>
      <c r="V30" s="133">
        <f>SUM(V28:V29)</f>
        <v>2036.50226</v>
      </c>
      <c r="W30" s="109"/>
      <c r="X30" s="108">
        <f>SUM(X28:X29)</f>
        <v>65</v>
      </c>
      <c r="Y30" s="109"/>
      <c r="Z30" s="43">
        <f>SUM(Z28:Z29)</f>
        <v>97</v>
      </c>
    </row>
    <row r="31" spans="1:28" x14ac:dyDescent="0.2">
      <c r="A31" s="141"/>
      <c r="B31" s="132"/>
      <c r="C31" s="115"/>
      <c r="D31" s="115"/>
      <c r="E31" s="115"/>
      <c r="F31" s="156"/>
      <c r="G31" s="132"/>
      <c r="H31" s="115"/>
      <c r="I31" s="115"/>
      <c r="J31" s="115"/>
      <c r="K31" s="156"/>
      <c r="L31" s="132"/>
      <c r="M31" s="115"/>
      <c r="N31" s="115"/>
      <c r="O31" s="115"/>
      <c r="P31" s="156"/>
      <c r="Q31" s="132"/>
      <c r="R31" s="115"/>
      <c r="S31" s="115"/>
      <c r="T31" s="115"/>
      <c r="U31" s="156"/>
      <c r="V31" s="132"/>
      <c r="W31" s="115"/>
      <c r="X31" s="115"/>
      <c r="Y31" s="115"/>
      <c r="Z31" s="156"/>
    </row>
    <row r="32" spans="1:28" x14ac:dyDescent="0.2">
      <c r="A32" s="139" t="s">
        <v>104</v>
      </c>
      <c r="B32" s="131"/>
      <c r="C32" s="107"/>
      <c r="D32" s="107"/>
      <c r="E32" s="107"/>
      <c r="F32" s="31"/>
      <c r="G32" s="131"/>
      <c r="H32" s="107"/>
      <c r="I32" s="107"/>
      <c r="J32" s="107"/>
      <c r="K32" s="31"/>
      <c r="L32" s="131"/>
      <c r="M32" s="107"/>
      <c r="N32" s="107"/>
      <c r="O32" s="107"/>
      <c r="P32" s="31"/>
      <c r="Q32" s="131"/>
      <c r="R32" s="107"/>
      <c r="S32" s="107"/>
      <c r="T32" s="107"/>
      <c r="U32" s="31"/>
      <c r="V32" s="131"/>
      <c r="W32" s="107"/>
      <c r="X32" s="107"/>
      <c r="Y32" s="107"/>
      <c r="Z32" s="31"/>
    </row>
    <row r="33" spans="1:30" x14ac:dyDescent="0.2">
      <c r="A33" s="126" t="s">
        <v>126</v>
      </c>
      <c r="B33" s="218">
        <v>108831.6778</v>
      </c>
      <c r="C33" s="107"/>
      <c r="D33" s="107">
        <f>ROUND(B33/31,0)</f>
        <v>3511</v>
      </c>
      <c r="E33" s="107"/>
      <c r="F33" s="31">
        <f t="shared" ref="F33" si="10">ROUND(B33/21,0)</f>
        <v>5182</v>
      </c>
      <c r="G33" s="218">
        <v>108436.78520773939</v>
      </c>
      <c r="H33" s="107"/>
      <c r="I33" s="107">
        <f>ROUND(G33/31,0)</f>
        <v>3498</v>
      </c>
      <c r="J33" s="107"/>
      <c r="K33" s="31">
        <f t="shared" ref="K33" si="11">ROUND(G33/21,0)</f>
        <v>5164</v>
      </c>
      <c r="L33" s="218">
        <v>107058.027</v>
      </c>
      <c r="M33" s="107"/>
      <c r="N33" s="107">
        <f>ROUND(L33/31,0)</f>
        <v>3453</v>
      </c>
      <c r="O33" s="107"/>
      <c r="P33" s="31">
        <f t="shared" ref="P33" si="12">ROUND(L33/21,0)</f>
        <v>5098</v>
      </c>
      <c r="Q33" s="218">
        <v>106171.2016</v>
      </c>
      <c r="R33" s="107"/>
      <c r="S33" s="107">
        <f>ROUND(Q33/31,0)</f>
        <v>3425</v>
      </c>
      <c r="T33" s="107"/>
      <c r="U33" s="31">
        <f t="shared" ref="U33" si="13">ROUND(Q33/21,0)</f>
        <v>5056</v>
      </c>
      <c r="V33" s="218">
        <v>105284.3762</v>
      </c>
      <c r="W33" s="107"/>
      <c r="X33" s="107">
        <f>ROUND(V33/31,0)</f>
        <v>3396</v>
      </c>
      <c r="Y33" s="107"/>
      <c r="Z33" s="31">
        <f t="shared" ref="Z33" si="14">ROUND(V33/21,0)</f>
        <v>5014</v>
      </c>
      <c r="AB33" s="2" t="s">
        <v>338</v>
      </c>
    </row>
    <row r="34" spans="1:30" x14ac:dyDescent="0.2">
      <c r="A34" s="138"/>
      <c r="B34" s="131"/>
      <c r="C34" s="107"/>
      <c r="D34" s="107"/>
      <c r="E34" s="107"/>
      <c r="F34" s="31"/>
      <c r="G34" s="131"/>
      <c r="H34" s="107"/>
      <c r="I34" s="107"/>
      <c r="J34" s="107"/>
      <c r="K34" s="31"/>
      <c r="L34" s="131"/>
      <c r="M34" s="107"/>
      <c r="N34" s="107"/>
      <c r="O34" s="107"/>
      <c r="P34" s="31"/>
      <c r="Q34" s="131"/>
      <c r="R34" s="107"/>
      <c r="S34" s="107"/>
      <c r="T34" s="107"/>
      <c r="U34" s="31"/>
      <c r="V34" s="131"/>
      <c r="W34" s="107"/>
      <c r="X34" s="107"/>
      <c r="Y34" s="107"/>
      <c r="Z34" s="31"/>
    </row>
    <row r="35" spans="1:30" x14ac:dyDescent="0.2">
      <c r="A35" s="126" t="s">
        <v>127</v>
      </c>
      <c r="B35" s="131"/>
      <c r="C35" s="107"/>
      <c r="D35" s="107"/>
      <c r="E35" s="107"/>
      <c r="F35" s="31"/>
      <c r="G35" s="131"/>
      <c r="H35" s="107"/>
      <c r="I35" s="107"/>
      <c r="J35" s="107"/>
      <c r="K35" s="31"/>
      <c r="L35" s="131"/>
      <c r="M35" s="107"/>
      <c r="N35" s="107"/>
      <c r="O35" s="107"/>
      <c r="P35" s="31"/>
      <c r="Q35" s="131"/>
      <c r="R35" s="107"/>
      <c r="S35" s="107"/>
      <c r="T35" s="107"/>
      <c r="U35" s="31"/>
      <c r="V35" s="131"/>
      <c r="W35" s="107"/>
      <c r="X35" s="107"/>
      <c r="Y35" s="107"/>
      <c r="Z35" s="31"/>
    </row>
    <row r="36" spans="1:30" x14ac:dyDescent="0.2">
      <c r="A36" s="126" t="s">
        <v>128</v>
      </c>
      <c r="B36" s="218">
        <v>226402.18896268506</v>
      </c>
      <c r="C36" s="107"/>
      <c r="D36" s="107">
        <f t="shared" ref="D36:D37" si="15">ROUND(B36/31,0)</f>
        <v>7303</v>
      </c>
      <c r="E36" s="107"/>
      <c r="F36" s="222">
        <v>6990.4702697635339</v>
      </c>
      <c r="G36" s="218">
        <v>233313.57709221073</v>
      </c>
      <c r="H36" s="107"/>
      <c r="I36" s="107">
        <f t="shared" ref="I36:I37" si="16">ROUND(G36/31,0)</f>
        <v>7526</v>
      </c>
      <c r="J36" s="107"/>
      <c r="K36" s="222">
        <v>6959.5362026841458</v>
      </c>
      <c r="L36" s="218">
        <v>227670.08032565983</v>
      </c>
      <c r="M36" s="107"/>
      <c r="N36" s="107">
        <f t="shared" ref="N36:N37" si="17">ROUND(L36/31,0)</f>
        <v>7344</v>
      </c>
      <c r="O36" s="107"/>
      <c r="P36" s="222">
        <v>6959.5362026841458</v>
      </c>
      <c r="Q36" s="218">
        <v>227670.08032565983</v>
      </c>
      <c r="R36" s="107"/>
      <c r="S36" s="107">
        <f t="shared" ref="S36:S37" si="18">ROUND(Q36/31,0)</f>
        <v>7344</v>
      </c>
      <c r="T36" s="107"/>
      <c r="U36" s="222">
        <v>6959.5362026841458</v>
      </c>
      <c r="V36" s="218">
        <v>227670.08032565983</v>
      </c>
      <c r="W36" s="107"/>
      <c r="X36" s="107">
        <f t="shared" ref="X36:X37" si="19">ROUND(V36/31,0)</f>
        <v>7344</v>
      </c>
      <c r="Y36" s="107"/>
      <c r="Z36" s="222">
        <v>6959.5362026841458</v>
      </c>
      <c r="AB36" s="2" t="s">
        <v>345</v>
      </c>
    </row>
    <row r="37" spans="1:30" x14ac:dyDescent="0.2">
      <c r="A37" s="128" t="s">
        <v>129</v>
      </c>
      <c r="B37" s="218">
        <v>5600</v>
      </c>
      <c r="C37" s="107"/>
      <c r="D37" s="107">
        <f t="shared" si="15"/>
        <v>181</v>
      </c>
      <c r="E37" s="107"/>
      <c r="F37" s="222">
        <v>186.66666666666666</v>
      </c>
      <c r="G37" s="218">
        <v>0</v>
      </c>
      <c r="H37" s="107"/>
      <c r="I37" s="107">
        <f t="shared" si="16"/>
        <v>0</v>
      </c>
      <c r="J37" s="107"/>
      <c r="K37" s="222">
        <v>0</v>
      </c>
      <c r="L37" s="218">
        <v>0</v>
      </c>
      <c r="M37" s="107"/>
      <c r="N37" s="107">
        <f t="shared" si="17"/>
        <v>0</v>
      </c>
      <c r="O37" s="107"/>
      <c r="P37" s="222">
        <v>0</v>
      </c>
      <c r="Q37" s="218">
        <v>0</v>
      </c>
      <c r="R37" s="107"/>
      <c r="S37" s="107">
        <f t="shared" si="18"/>
        <v>0</v>
      </c>
      <c r="T37" s="107"/>
      <c r="U37" s="222">
        <v>0</v>
      </c>
      <c r="V37" s="218">
        <v>0</v>
      </c>
      <c r="W37" s="107"/>
      <c r="X37" s="107">
        <f t="shared" si="19"/>
        <v>0</v>
      </c>
      <c r="Y37" s="107"/>
      <c r="Z37" s="222">
        <v>0</v>
      </c>
      <c r="AB37" s="331" t="s">
        <v>345</v>
      </c>
    </row>
    <row r="38" spans="1:30" x14ac:dyDescent="0.2">
      <c r="A38" s="126" t="s">
        <v>130</v>
      </c>
      <c r="B38" s="132">
        <f>SUM(B36:B37)</f>
        <v>232002.18896268506</v>
      </c>
      <c r="C38" s="107"/>
      <c r="D38" s="114">
        <f>SUM(D36:D37)</f>
        <v>7484</v>
      </c>
      <c r="E38" s="107"/>
      <c r="F38" s="156">
        <f>SUM(F36:F37)</f>
        <v>7177.1369364302009</v>
      </c>
      <c r="G38" s="132">
        <f>SUM(G36:G37)</f>
        <v>233313.57709221073</v>
      </c>
      <c r="H38" s="107"/>
      <c r="I38" s="114">
        <f>SUM(I36:I37)</f>
        <v>7526</v>
      </c>
      <c r="J38" s="107"/>
      <c r="K38" s="156">
        <f>SUM(K36:K37)</f>
        <v>6959.5362026841458</v>
      </c>
      <c r="L38" s="132">
        <f>SUM(L36:L37)</f>
        <v>227670.08032565983</v>
      </c>
      <c r="M38" s="107"/>
      <c r="N38" s="114">
        <f>SUM(N36:N37)</f>
        <v>7344</v>
      </c>
      <c r="O38" s="107"/>
      <c r="P38" s="156">
        <f>SUM(P36:P37)</f>
        <v>6959.5362026841458</v>
      </c>
      <c r="Q38" s="132">
        <f>SUM(Q36:Q37)</f>
        <v>227670.08032565983</v>
      </c>
      <c r="R38" s="107"/>
      <c r="S38" s="114">
        <f>SUM(S36:S37)</f>
        <v>7344</v>
      </c>
      <c r="T38" s="107"/>
      <c r="U38" s="156">
        <f>SUM(U36:U37)</f>
        <v>6959.5362026841458</v>
      </c>
      <c r="V38" s="132">
        <f>SUM(V36:V37)</f>
        <v>227670.08032565983</v>
      </c>
      <c r="W38" s="107"/>
      <c r="X38" s="114">
        <f>SUM(X36:X37)</f>
        <v>7344</v>
      </c>
      <c r="Y38" s="107"/>
      <c r="Z38" s="156">
        <f>SUM(Z36:Z37)</f>
        <v>6959.5362026841458</v>
      </c>
    </row>
    <row r="39" spans="1:30" x14ac:dyDescent="0.2">
      <c r="A39" s="138"/>
      <c r="B39" s="131"/>
      <c r="C39" s="107"/>
      <c r="D39" s="107"/>
      <c r="E39" s="107"/>
      <c r="F39" s="31"/>
      <c r="G39" s="131"/>
      <c r="H39" s="107"/>
      <c r="I39" s="107"/>
      <c r="J39" s="107"/>
      <c r="K39" s="31"/>
      <c r="L39" s="131"/>
      <c r="M39" s="107"/>
      <c r="N39" s="107"/>
      <c r="O39" s="107"/>
      <c r="P39" s="31"/>
      <c r="Q39" s="131"/>
      <c r="R39" s="107"/>
      <c r="S39" s="107"/>
      <c r="T39" s="107"/>
      <c r="U39" s="31"/>
      <c r="V39" s="131"/>
      <c r="W39" s="107"/>
      <c r="X39" s="107"/>
      <c r="Y39" s="107"/>
      <c r="Z39" s="31"/>
    </row>
    <row r="40" spans="1:30" x14ac:dyDescent="0.2">
      <c r="A40" s="126" t="s">
        <v>118</v>
      </c>
      <c r="B40" s="131"/>
      <c r="C40" s="107"/>
      <c r="D40" s="107"/>
      <c r="E40" s="107"/>
      <c r="F40" s="31"/>
      <c r="G40" s="131"/>
      <c r="H40" s="107"/>
      <c r="I40" s="107"/>
      <c r="J40" s="107"/>
      <c r="K40" s="31"/>
      <c r="L40" s="131"/>
      <c r="M40" s="107"/>
      <c r="N40" s="107"/>
      <c r="O40" s="107"/>
      <c r="P40" s="31"/>
      <c r="Q40" s="131"/>
      <c r="R40" s="107"/>
      <c r="S40" s="107"/>
      <c r="T40" s="107"/>
      <c r="U40" s="31"/>
      <c r="V40" s="131"/>
      <c r="W40" s="107"/>
      <c r="X40" s="107"/>
      <c r="Y40" s="107"/>
      <c r="Z40" s="31"/>
    </row>
    <row r="41" spans="1:30" x14ac:dyDescent="0.2">
      <c r="A41" s="126" t="s">
        <v>131</v>
      </c>
      <c r="B41" s="218">
        <v>643913.26237458712</v>
      </c>
      <c r="C41" s="107"/>
      <c r="D41" s="107">
        <f t="shared" ref="D41:D42" si="20">ROUND(B41/31,0)</f>
        <v>20771</v>
      </c>
      <c r="E41" s="107"/>
      <c r="F41" s="222">
        <v>19930.419838306309</v>
      </c>
      <c r="G41" s="218">
        <v>664270.54092941247</v>
      </c>
      <c r="H41" s="107"/>
      <c r="I41" s="107">
        <f t="shared" ref="I41:I42" si="21">ROUND(G41/31,0)</f>
        <v>21428</v>
      </c>
      <c r="J41" s="107"/>
      <c r="K41" s="222">
        <v>20624.129748531836</v>
      </c>
      <c r="L41" s="218">
        <v>633553.33015150554</v>
      </c>
      <c r="M41" s="107"/>
      <c r="N41" s="107">
        <f t="shared" ref="N41:N42" si="22">ROUND(L41/31,0)</f>
        <v>20437</v>
      </c>
      <c r="O41" s="107"/>
      <c r="P41" s="222">
        <v>20228.284121561388</v>
      </c>
      <c r="Q41" s="218">
        <v>648732.63240017369</v>
      </c>
      <c r="R41" s="107"/>
      <c r="S41" s="107">
        <f t="shared" ref="S41:S42" si="23">ROUND(Q41/31,0)</f>
        <v>20927</v>
      </c>
      <c r="T41" s="107"/>
      <c r="U41" s="222">
        <v>20704.249686280651</v>
      </c>
      <c r="V41" s="218">
        <v>649296.06753385032</v>
      </c>
      <c r="W41" s="107"/>
      <c r="X41" s="107">
        <f t="shared" ref="X41:X42" si="24">ROUND(V41/31,0)</f>
        <v>20945</v>
      </c>
      <c r="Y41" s="107"/>
      <c r="Z41" s="222">
        <v>20727.444303210374</v>
      </c>
      <c r="AB41" s="2" t="s">
        <v>350</v>
      </c>
    </row>
    <row r="42" spans="1:30" s="336" customFormat="1" x14ac:dyDescent="0.2">
      <c r="A42" s="332" t="s">
        <v>132</v>
      </c>
      <c r="B42" s="333">
        <v>370618.03382310778</v>
      </c>
      <c r="C42" s="334"/>
      <c r="D42" s="334">
        <f t="shared" si="20"/>
        <v>11955</v>
      </c>
      <c r="E42" s="334"/>
      <c r="F42" s="335">
        <v>12905.356495681872</v>
      </c>
      <c r="G42" s="333">
        <v>373286.62927269994</v>
      </c>
      <c r="H42" s="334"/>
      <c r="I42" s="334">
        <f t="shared" si="21"/>
        <v>12042</v>
      </c>
      <c r="J42" s="334"/>
      <c r="K42" s="335">
        <v>12926.878432781277</v>
      </c>
      <c r="L42" s="333">
        <v>379111.252164006</v>
      </c>
      <c r="M42" s="334"/>
      <c r="N42" s="334">
        <f t="shared" si="22"/>
        <v>12229</v>
      </c>
      <c r="O42" s="334"/>
      <c r="P42" s="335">
        <v>13179.201626617141</v>
      </c>
      <c r="Q42" s="333">
        <v>380055.80469747516</v>
      </c>
      <c r="R42" s="334"/>
      <c r="S42" s="334">
        <f t="shared" si="23"/>
        <v>12260</v>
      </c>
      <c r="T42" s="334"/>
      <c r="U42" s="335">
        <v>13216.342212806374</v>
      </c>
      <c r="V42" s="333">
        <v>380055.80469747516</v>
      </c>
      <c r="W42" s="334"/>
      <c r="X42" s="334">
        <f t="shared" si="24"/>
        <v>12260</v>
      </c>
      <c r="Y42" s="334"/>
      <c r="Z42" s="335">
        <v>13216.342212806374</v>
      </c>
      <c r="AC42" s="336" t="s">
        <v>352</v>
      </c>
      <c r="AD42" s="336" t="s">
        <v>365</v>
      </c>
    </row>
    <row r="43" spans="1:30" x14ac:dyDescent="0.2">
      <c r="A43" s="126" t="s">
        <v>133</v>
      </c>
      <c r="B43" s="132">
        <f>SUM(B41:B42)</f>
        <v>1014531.296197695</v>
      </c>
      <c r="C43" s="107"/>
      <c r="D43" s="114">
        <f>SUM(D41:D42)</f>
        <v>32726</v>
      </c>
      <c r="E43" s="107"/>
      <c r="F43" s="156">
        <f>SUM(F41:F42)</f>
        <v>32835.776333988179</v>
      </c>
      <c r="G43" s="132">
        <f>SUM(G41:G42)</f>
        <v>1037557.1702021124</v>
      </c>
      <c r="H43" s="107"/>
      <c r="I43" s="114">
        <f>SUM(I41:I42)</f>
        <v>33470</v>
      </c>
      <c r="J43" s="107"/>
      <c r="K43" s="156">
        <f>SUM(K41:K42)</f>
        <v>33551.008181313111</v>
      </c>
      <c r="L43" s="132">
        <f>SUM(L41:L42)</f>
        <v>1012664.5823155115</v>
      </c>
      <c r="M43" s="107"/>
      <c r="N43" s="114">
        <f>SUM(N41:N42)</f>
        <v>32666</v>
      </c>
      <c r="O43" s="107"/>
      <c r="P43" s="156">
        <f>SUM(P41:P42)</f>
        <v>33407.485748178529</v>
      </c>
      <c r="Q43" s="132">
        <f>SUM(Q41:Q42)</f>
        <v>1028788.4370976489</v>
      </c>
      <c r="R43" s="107"/>
      <c r="S43" s="114">
        <f>SUM(S41:S42)</f>
        <v>33187</v>
      </c>
      <c r="T43" s="107"/>
      <c r="U43" s="156">
        <f>SUM(U41:U42)</f>
        <v>33920.591899087027</v>
      </c>
      <c r="V43" s="132">
        <f>SUM(V41:V42)</f>
        <v>1029351.8722313255</v>
      </c>
      <c r="W43" s="107"/>
      <c r="X43" s="114">
        <f>SUM(X41:X42)</f>
        <v>33205</v>
      </c>
      <c r="Y43" s="107"/>
      <c r="Z43" s="156">
        <f>SUM(Z41:Z42)</f>
        <v>33943.786516016749</v>
      </c>
    </row>
    <row r="44" spans="1:30" x14ac:dyDescent="0.2">
      <c r="A44" s="138"/>
      <c r="B44" s="131"/>
      <c r="C44" s="107"/>
      <c r="D44" s="107"/>
      <c r="E44" s="107"/>
      <c r="F44" s="31"/>
      <c r="G44" s="131"/>
      <c r="H44" s="107"/>
      <c r="I44" s="107"/>
      <c r="J44" s="107"/>
      <c r="K44" s="31"/>
      <c r="L44" s="131"/>
      <c r="M44" s="107"/>
      <c r="N44" s="107"/>
      <c r="O44" s="107"/>
      <c r="P44" s="31"/>
      <c r="Q44" s="131"/>
      <c r="R44" s="107"/>
      <c r="S44" s="107"/>
      <c r="T44" s="107"/>
      <c r="U44" s="31"/>
      <c r="V44" s="131"/>
      <c r="W44" s="107"/>
      <c r="X44" s="107"/>
      <c r="Y44" s="107"/>
      <c r="Z44" s="31"/>
    </row>
    <row r="45" spans="1:30" s="336" customFormat="1" x14ac:dyDescent="0.2">
      <c r="A45" s="337" t="s">
        <v>134</v>
      </c>
      <c r="B45" s="333">
        <v>273537.93535685597</v>
      </c>
      <c r="C45" s="334"/>
      <c r="D45" s="334">
        <f>ROUND(B45/31,0)</f>
        <v>8824</v>
      </c>
      <c r="E45" s="334"/>
      <c r="F45" s="335">
        <v>8719.6101997586666</v>
      </c>
      <c r="G45" s="333">
        <v>282573.21574568818</v>
      </c>
      <c r="H45" s="334"/>
      <c r="I45" s="334">
        <f>ROUND(G45/31,0)</f>
        <v>9115</v>
      </c>
      <c r="J45" s="334"/>
      <c r="K45" s="335">
        <v>8719.6101997586666</v>
      </c>
      <c r="L45" s="333">
        <v>293076.35931091802</v>
      </c>
      <c r="M45" s="334"/>
      <c r="N45" s="334">
        <f>ROUND(L45/31,0)</f>
        <v>9454</v>
      </c>
      <c r="O45" s="334"/>
      <c r="P45" s="335">
        <v>9342.4394997414329</v>
      </c>
      <c r="Q45" s="333">
        <v>293076.35931091802</v>
      </c>
      <c r="R45" s="334"/>
      <c r="S45" s="334">
        <f>ROUND(Q45/31,0)</f>
        <v>9454</v>
      </c>
      <c r="T45" s="334"/>
      <c r="U45" s="335">
        <v>9342.4394997414329</v>
      </c>
      <c r="V45" s="333">
        <v>293076.35931091802</v>
      </c>
      <c r="W45" s="334"/>
      <c r="X45" s="334">
        <f>ROUND(V45/31,0)</f>
        <v>9454</v>
      </c>
      <c r="Y45" s="334"/>
      <c r="Z45" s="335">
        <v>9342.4394997414329</v>
      </c>
      <c r="AC45" s="336" t="s">
        <v>354</v>
      </c>
      <c r="AD45" s="336" t="s">
        <v>365</v>
      </c>
    </row>
    <row r="46" spans="1:30" x14ac:dyDescent="0.2">
      <c r="A46" s="124" t="s">
        <v>135</v>
      </c>
      <c r="B46" s="132">
        <f>B33+B38+B43+B45</f>
        <v>1628903.0983172362</v>
      </c>
      <c r="C46" s="115"/>
      <c r="D46" s="115">
        <f>D33+D38+D43+D45</f>
        <v>52545</v>
      </c>
      <c r="E46" s="115"/>
      <c r="F46" s="156">
        <f>F33+F38+F43+F45</f>
        <v>53914.523470177046</v>
      </c>
      <c r="G46" s="132">
        <f>G33+G38+G43+G45</f>
        <v>1661880.7482477508</v>
      </c>
      <c r="H46" s="115"/>
      <c r="I46" s="115">
        <f>I33+I38+I43+I45</f>
        <v>53609</v>
      </c>
      <c r="J46" s="115"/>
      <c r="K46" s="156">
        <f>K33+K38+K43+K45</f>
        <v>54394.154583755924</v>
      </c>
      <c r="L46" s="132">
        <f>L33+L38+L43+L45</f>
        <v>1640469.0489520894</v>
      </c>
      <c r="M46" s="115"/>
      <c r="N46" s="115">
        <f>N33+N38+N43+N45</f>
        <v>52917</v>
      </c>
      <c r="O46" s="115"/>
      <c r="P46" s="156">
        <f>P33+P38+P43+P45</f>
        <v>54807.461450604111</v>
      </c>
      <c r="Q46" s="132">
        <f>Q33+Q38+Q43+Q45</f>
        <v>1655706.0783342267</v>
      </c>
      <c r="R46" s="115"/>
      <c r="S46" s="115">
        <f>S33+S38+S43+S45</f>
        <v>53410</v>
      </c>
      <c r="T46" s="115"/>
      <c r="U46" s="156">
        <f>U33+U38+U43+U45</f>
        <v>55278.567601512608</v>
      </c>
      <c r="V46" s="132">
        <f>V33+V38+V43+V45</f>
        <v>1655382.6880679033</v>
      </c>
      <c r="W46" s="115"/>
      <c r="X46" s="115">
        <f>X33+X38+X43+X45</f>
        <v>53399</v>
      </c>
      <c r="Y46" s="115"/>
      <c r="Z46" s="156">
        <f>Z33+Z38+Z43+Z45</f>
        <v>55259.762218442331</v>
      </c>
    </row>
    <row r="47" spans="1:30" x14ac:dyDescent="0.2">
      <c r="A47" s="140" t="s">
        <v>136</v>
      </c>
      <c r="B47" s="40">
        <f>ROUND(B46/((1-$B$6))-B46,0)</f>
        <v>2447</v>
      </c>
      <c r="C47" s="109"/>
      <c r="D47" s="42">
        <f>ROUND(D46/((1-$B$6))-D46,0)</f>
        <v>79</v>
      </c>
      <c r="E47" s="109"/>
      <c r="F47" s="43">
        <f>ROUND(F46/((1-$B$6))-F46,0)</f>
        <v>81</v>
      </c>
      <c r="G47" s="40">
        <f>ROUND(G46/((1-$B$6))-G46,0)</f>
        <v>2497</v>
      </c>
      <c r="H47" s="109"/>
      <c r="I47" s="42">
        <f>ROUND(I46/((1-$B$6))-I46,0)</f>
        <v>81</v>
      </c>
      <c r="J47" s="109"/>
      <c r="K47" s="43">
        <f>ROUND(K46/((1-$B$6))-K46,0)</f>
        <v>82</v>
      </c>
      <c r="L47" s="40">
        <f>ROUND(L46/((1-$B$6))-L46,0)</f>
        <v>2464</v>
      </c>
      <c r="M47" s="109"/>
      <c r="N47" s="42">
        <f>ROUND(N46/((1-$B$6))-N46,0)</f>
        <v>79</v>
      </c>
      <c r="O47" s="109"/>
      <c r="P47" s="43">
        <f>ROUND(P46/((1-$B$6))-P46,0)</f>
        <v>82</v>
      </c>
      <c r="Q47" s="40">
        <f>ROUND(Q46/((1-$B$6))-Q46,0)</f>
        <v>2487</v>
      </c>
      <c r="R47" s="109"/>
      <c r="S47" s="42">
        <f>ROUND(S46/((1-$B$6))-S46,0)</f>
        <v>80</v>
      </c>
      <c r="T47" s="109"/>
      <c r="U47" s="43">
        <f>ROUND(U46/((1-$B$6))-U46,0)</f>
        <v>83</v>
      </c>
      <c r="V47" s="40">
        <f>ROUND(V46/((1-$B$6))-V46,0)</f>
        <v>2487</v>
      </c>
      <c r="W47" s="109"/>
      <c r="X47" s="42">
        <f>ROUND(X46/((1-$B$6))-X46,0)</f>
        <v>80</v>
      </c>
      <c r="Y47" s="109"/>
      <c r="Z47" s="43">
        <f>ROUND(Z46/((1-$B$6))-Z46,0)</f>
        <v>83</v>
      </c>
    </row>
    <row r="48" spans="1:30" x14ac:dyDescent="0.2">
      <c r="A48" s="140" t="s">
        <v>137</v>
      </c>
      <c r="B48" s="133">
        <f>SUM(B46:B47)</f>
        <v>1631350.0983172362</v>
      </c>
      <c r="C48" s="109"/>
      <c r="D48" s="109">
        <f>SUM(D46:D47)</f>
        <v>52624</v>
      </c>
      <c r="E48" s="109"/>
      <c r="F48" s="43">
        <f>SUM(F46:F47)</f>
        <v>53995.523470177046</v>
      </c>
      <c r="G48" s="133">
        <f>SUM(G46:G47)</f>
        <v>1664377.7482477508</v>
      </c>
      <c r="H48" s="109"/>
      <c r="I48" s="109">
        <f>SUM(I46:I47)</f>
        <v>53690</v>
      </c>
      <c r="J48" s="109"/>
      <c r="K48" s="43">
        <f>SUM(K46:K47)</f>
        <v>54476.154583755924</v>
      </c>
      <c r="L48" s="133">
        <f>SUM(L46:L47)</f>
        <v>1642933.0489520894</v>
      </c>
      <c r="M48" s="109"/>
      <c r="N48" s="109">
        <f>SUM(N46:N47)</f>
        <v>52996</v>
      </c>
      <c r="O48" s="109"/>
      <c r="P48" s="43">
        <f>SUM(P46:P47)</f>
        <v>54889.461450604111</v>
      </c>
      <c r="Q48" s="133">
        <f>SUM(Q46:Q47)</f>
        <v>1658193.0783342267</v>
      </c>
      <c r="R48" s="109"/>
      <c r="S48" s="109">
        <f>SUM(S46:S47)</f>
        <v>53490</v>
      </c>
      <c r="T48" s="109"/>
      <c r="U48" s="43">
        <f>SUM(U46:U47)</f>
        <v>55361.567601512608</v>
      </c>
      <c r="V48" s="133">
        <f>SUM(V46:V47)</f>
        <v>1657869.6880679033</v>
      </c>
      <c r="W48" s="109"/>
      <c r="X48" s="109">
        <f>SUM(X46:X47)</f>
        <v>53479</v>
      </c>
      <c r="Y48" s="109"/>
      <c r="Z48" s="43">
        <f>SUM(Z46:Z47)</f>
        <v>55342.762218442331</v>
      </c>
    </row>
    <row r="49" spans="1:26" x14ac:dyDescent="0.2">
      <c r="A49" s="141"/>
      <c r="B49" s="132"/>
      <c r="C49" s="115"/>
      <c r="D49" s="115"/>
      <c r="E49" s="115"/>
      <c r="F49" s="156"/>
      <c r="G49" s="132"/>
      <c r="H49" s="115"/>
      <c r="I49" s="115"/>
      <c r="J49" s="115"/>
      <c r="K49" s="156"/>
      <c r="L49" s="132"/>
      <c r="M49" s="115"/>
      <c r="N49" s="115"/>
      <c r="O49" s="115"/>
      <c r="P49" s="156"/>
      <c r="Q49" s="132"/>
      <c r="R49" s="115"/>
      <c r="S49" s="115"/>
      <c r="T49" s="115"/>
      <c r="U49" s="156"/>
      <c r="V49" s="132"/>
      <c r="W49" s="115"/>
      <c r="X49" s="115"/>
      <c r="Y49" s="115"/>
      <c r="Z49" s="156"/>
    </row>
    <row r="50" spans="1:26" x14ac:dyDescent="0.2">
      <c r="A50" s="127" t="s">
        <v>77</v>
      </c>
      <c r="B50" s="26"/>
      <c r="C50" s="30"/>
      <c r="D50" s="30"/>
      <c r="E50" s="30"/>
      <c r="F50" s="31"/>
      <c r="G50" s="26"/>
      <c r="H50" s="30"/>
      <c r="I50" s="30"/>
      <c r="J50" s="30"/>
      <c r="K50" s="31"/>
      <c r="L50" s="26"/>
      <c r="M50" s="30"/>
      <c r="N50" s="30"/>
      <c r="O50" s="30"/>
      <c r="P50" s="31"/>
      <c r="Q50" s="26"/>
      <c r="R50" s="30"/>
      <c r="S50" s="30"/>
      <c r="T50" s="30"/>
      <c r="U50" s="31"/>
      <c r="V50" s="26"/>
      <c r="W50" s="30"/>
      <c r="X50" s="30"/>
      <c r="Y50" s="30"/>
      <c r="Z50" s="31"/>
    </row>
    <row r="51" spans="1:26" x14ac:dyDescent="0.2">
      <c r="A51" s="127" t="s">
        <v>138</v>
      </c>
      <c r="B51" s="26">
        <f>B21+B28+B46</f>
        <v>2179178.4735418372</v>
      </c>
      <c r="C51" s="30"/>
      <c r="D51" s="27">
        <f>D21+D28+D46</f>
        <v>70296</v>
      </c>
      <c r="E51" s="30"/>
      <c r="F51" s="32">
        <f>F21+F28+F46</f>
        <v>79781.102477684137</v>
      </c>
      <c r="G51" s="26">
        <f>G21+G28+G46</f>
        <v>2216661.6249230956</v>
      </c>
      <c r="H51" s="30"/>
      <c r="I51" s="27">
        <f>I21+I28+I46</f>
        <v>71505</v>
      </c>
      <c r="J51" s="30"/>
      <c r="K51" s="32">
        <f>K21+K28+K46</f>
        <v>80377.985706462874</v>
      </c>
      <c r="L51" s="26">
        <f>L21+L28+L46</f>
        <v>2192505.801421864</v>
      </c>
      <c r="M51" s="30"/>
      <c r="N51" s="27">
        <f>N21+N28+N46</f>
        <v>70724</v>
      </c>
      <c r="O51" s="30"/>
      <c r="P51" s="32">
        <f>P21+P28+P46</f>
        <v>80739.549260339976</v>
      </c>
      <c r="Q51" s="26">
        <f>Q21+Q28+Q46</f>
        <v>2209133.4715222139</v>
      </c>
      <c r="R51" s="30"/>
      <c r="S51" s="27">
        <f>S21+S28+S46</f>
        <v>71262</v>
      </c>
      <c r="T51" s="30"/>
      <c r="U51" s="32">
        <f>U21+U28+U46</f>
        <v>81251.717753166638</v>
      </c>
      <c r="V51" s="26">
        <f>V21+V28+V46</f>
        <v>2210092.6968601737</v>
      </c>
      <c r="W51" s="30"/>
      <c r="X51" s="27">
        <f>X21+X28+X46</f>
        <v>71292</v>
      </c>
      <c r="Y51" s="30"/>
      <c r="Z51" s="32">
        <f>Z21+Z28+Z46</f>
        <v>81265.447059007041</v>
      </c>
    </row>
    <row r="52" spans="1:26" x14ac:dyDescent="0.2">
      <c r="A52" s="129" t="s">
        <v>139</v>
      </c>
      <c r="B52" s="136">
        <f>B22+B29+B47</f>
        <v>3273</v>
      </c>
      <c r="C52" s="42"/>
      <c r="D52" s="112">
        <f>D22+D29+D47</f>
        <v>106</v>
      </c>
      <c r="E52" s="42"/>
      <c r="F52" s="119">
        <f>F22+F29+F47</f>
        <v>120</v>
      </c>
      <c r="G52" s="136">
        <f>G22+G29+G47</f>
        <v>3330</v>
      </c>
      <c r="H52" s="42"/>
      <c r="I52" s="112">
        <f>I22+I29+I47</f>
        <v>108</v>
      </c>
      <c r="J52" s="42"/>
      <c r="K52" s="119">
        <f>K22+K29+K47</f>
        <v>121</v>
      </c>
      <c r="L52" s="136">
        <f>L22+L29+L47</f>
        <v>3293</v>
      </c>
      <c r="M52" s="42"/>
      <c r="N52" s="112">
        <f>N22+N29+N47</f>
        <v>106</v>
      </c>
      <c r="O52" s="42"/>
      <c r="P52" s="119">
        <f>P22+P29+P47</f>
        <v>121</v>
      </c>
      <c r="Q52" s="136">
        <f>Q22+Q29+Q47</f>
        <v>3318</v>
      </c>
      <c r="R52" s="42"/>
      <c r="S52" s="112">
        <f>S22+S29+S47</f>
        <v>107</v>
      </c>
      <c r="T52" s="42"/>
      <c r="U52" s="119">
        <f>U22+U29+U47</f>
        <v>122</v>
      </c>
      <c r="V52" s="136">
        <f>V22+V29+V47</f>
        <v>3320</v>
      </c>
      <c r="W52" s="42"/>
      <c r="X52" s="112">
        <f>X22+X29+X47</f>
        <v>107</v>
      </c>
      <c r="Y52" s="42"/>
      <c r="Z52" s="119">
        <f>Z22+Z29+Z47</f>
        <v>122</v>
      </c>
    </row>
    <row r="53" spans="1:26" x14ac:dyDescent="0.2">
      <c r="A53" s="142" t="s">
        <v>140</v>
      </c>
      <c r="B53" s="136">
        <f>SUM(B51:B52)</f>
        <v>2182451.4735418372</v>
      </c>
      <c r="C53" s="42"/>
      <c r="D53" s="112">
        <f>SUM(D51:D52)</f>
        <v>70402</v>
      </c>
      <c r="E53" s="42"/>
      <c r="F53" s="119">
        <f>SUM(F51:F52)</f>
        <v>79901.102477684137</v>
      </c>
      <c r="G53" s="136">
        <f>SUM(G51:G52)</f>
        <v>2219991.6249230956</v>
      </c>
      <c r="H53" s="42"/>
      <c r="I53" s="112">
        <f>SUM(I51:I52)</f>
        <v>71613</v>
      </c>
      <c r="J53" s="42"/>
      <c r="K53" s="119">
        <f>SUM(K51:K52)</f>
        <v>80498.985706462874</v>
      </c>
      <c r="L53" s="136">
        <f>SUM(L51:L52)</f>
        <v>2195798.801421864</v>
      </c>
      <c r="M53" s="42"/>
      <c r="N53" s="112">
        <f>SUM(N51:N52)</f>
        <v>70830</v>
      </c>
      <c r="O53" s="42"/>
      <c r="P53" s="119">
        <f>SUM(P51:P52)</f>
        <v>80860.549260339976</v>
      </c>
      <c r="Q53" s="136">
        <f>SUM(Q51:Q52)</f>
        <v>2212451.4715222139</v>
      </c>
      <c r="R53" s="42"/>
      <c r="S53" s="112">
        <f>SUM(S51:S52)</f>
        <v>71369</v>
      </c>
      <c r="T53" s="42"/>
      <c r="U53" s="119">
        <f>SUM(U51:U52)</f>
        <v>81373.717753166638</v>
      </c>
      <c r="V53" s="136">
        <f>SUM(V51:V52)</f>
        <v>2213412.6968601737</v>
      </c>
      <c r="W53" s="42"/>
      <c r="X53" s="112">
        <f>SUM(X51:X52)</f>
        <v>71399</v>
      </c>
      <c r="Y53" s="42"/>
      <c r="Z53" s="119">
        <f>SUM(Z51:Z52)</f>
        <v>81387.447059007041</v>
      </c>
    </row>
    <row r="54" spans="1:26" x14ac:dyDescent="0.2">
      <c r="B54" s="110"/>
      <c r="C54" s="3"/>
      <c r="D54" s="3"/>
      <c r="E54" s="3"/>
      <c r="F54" s="137"/>
      <c r="G54" s="110"/>
      <c r="H54" s="3"/>
      <c r="I54" s="3"/>
      <c r="J54" s="3"/>
      <c r="K54" s="137"/>
      <c r="L54" s="110"/>
      <c r="M54" s="3"/>
      <c r="N54" s="3"/>
      <c r="O54" s="3"/>
      <c r="P54" s="137"/>
      <c r="Q54" s="110"/>
      <c r="R54" s="3"/>
      <c r="S54" s="3"/>
      <c r="T54" s="3"/>
      <c r="U54" s="137"/>
      <c r="V54" s="110"/>
      <c r="W54" s="3"/>
      <c r="X54" s="3"/>
      <c r="Y54" s="3"/>
      <c r="Z54" s="137"/>
    </row>
    <row r="55" spans="1:26" x14ac:dyDescent="0.2">
      <c r="B55" s="111">
        <f>B42/B43</f>
        <v>0.36530961165232295</v>
      </c>
      <c r="C55" s="3"/>
      <c r="D55" s="3"/>
      <c r="E55" s="3"/>
      <c r="F55" s="3"/>
      <c r="G55" s="111"/>
      <c r="H55" s="3"/>
      <c r="I55" s="3"/>
      <c r="J55" s="3"/>
      <c r="K55" s="3"/>
      <c r="L55" s="111"/>
      <c r="M55" s="3"/>
      <c r="N55" s="3"/>
      <c r="O55" s="3"/>
      <c r="P55" s="3"/>
      <c r="Q55" s="111"/>
      <c r="R55" s="3"/>
      <c r="S55" s="3"/>
      <c r="T55" s="3"/>
      <c r="U55" s="3"/>
      <c r="V55" s="111"/>
      <c r="W55" s="3"/>
      <c r="X55" s="3"/>
      <c r="Y55" s="3"/>
      <c r="Z55" s="3"/>
    </row>
    <row r="56" spans="1:26" x14ac:dyDescent="0.2">
      <c r="B56" s="110"/>
      <c r="C56" s="3"/>
      <c r="D56" s="3"/>
      <c r="E56" s="3"/>
      <c r="F56" s="3"/>
      <c r="G56" s="110"/>
      <c r="H56" s="3"/>
      <c r="I56" s="3"/>
      <c r="J56" s="3"/>
      <c r="K56" s="3"/>
      <c r="L56" s="110"/>
      <c r="M56" s="3"/>
      <c r="N56" s="3"/>
      <c r="O56" s="3"/>
      <c r="P56" s="3"/>
      <c r="Q56" s="110"/>
      <c r="R56" s="3"/>
      <c r="S56" s="3"/>
      <c r="T56" s="3"/>
      <c r="U56" s="3"/>
      <c r="V56" s="110"/>
      <c r="W56" s="3"/>
      <c r="X56" s="3"/>
      <c r="Y56" s="3"/>
      <c r="Z56" s="3"/>
    </row>
    <row r="57" spans="1:26" x14ac:dyDescent="0.2">
      <c r="B57" s="110"/>
      <c r="C57" s="3"/>
      <c r="D57" s="3"/>
      <c r="E57" s="3"/>
      <c r="F57" s="3"/>
      <c r="G57" s="110"/>
      <c r="H57" s="3"/>
      <c r="I57" s="3"/>
      <c r="J57" s="3"/>
      <c r="K57" s="3"/>
      <c r="L57" s="110"/>
      <c r="M57" s="3"/>
      <c r="N57" s="3"/>
      <c r="O57" s="3"/>
      <c r="P57" s="3"/>
      <c r="Q57" s="110"/>
      <c r="R57" s="3"/>
      <c r="S57" s="3"/>
      <c r="T57" s="3"/>
      <c r="U57" s="3"/>
      <c r="V57" s="110"/>
      <c r="W57" s="3"/>
      <c r="X57" s="3"/>
      <c r="Y57" s="3"/>
      <c r="Z57" s="3"/>
    </row>
    <row r="58" spans="1:26" x14ac:dyDescent="0.2">
      <c r="B58" s="110"/>
      <c r="C58" s="3"/>
      <c r="D58" s="3"/>
      <c r="E58" s="3"/>
      <c r="F58" s="3"/>
      <c r="G58" s="110"/>
      <c r="H58" s="3"/>
      <c r="I58" s="3"/>
      <c r="J58" s="3"/>
      <c r="K58" s="3"/>
      <c r="L58" s="110"/>
      <c r="M58" s="3"/>
      <c r="N58" s="3"/>
      <c r="O58" s="3"/>
      <c r="P58" s="3"/>
      <c r="Q58" s="110"/>
      <c r="R58" s="3"/>
      <c r="S58" s="3"/>
      <c r="T58" s="3"/>
      <c r="U58" s="3"/>
      <c r="V58" s="110"/>
      <c r="W58" s="3"/>
      <c r="X58" s="3"/>
      <c r="Y58" s="3"/>
      <c r="Z58" s="3"/>
    </row>
    <row r="59" spans="1:26" x14ac:dyDescent="0.2">
      <c r="B59" s="110"/>
      <c r="C59" s="3"/>
      <c r="D59" s="3"/>
      <c r="E59" s="3"/>
      <c r="F59" s="3"/>
      <c r="G59" s="110"/>
      <c r="H59" s="3"/>
      <c r="I59" s="3"/>
      <c r="J59" s="3"/>
      <c r="K59" s="3"/>
      <c r="L59" s="110"/>
      <c r="M59" s="3"/>
      <c r="N59" s="3"/>
      <c r="O59" s="3"/>
      <c r="P59" s="3"/>
      <c r="Q59" s="110"/>
      <c r="R59" s="3"/>
      <c r="S59" s="3"/>
      <c r="T59" s="3"/>
      <c r="U59" s="3"/>
      <c r="V59" s="110"/>
      <c r="W59" s="3"/>
      <c r="X59" s="3"/>
      <c r="Y59" s="3"/>
      <c r="Z59" s="3"/>
    </row>
    <row r="60" spans="1:26" x14ac:dyDescent="0.2">
      <c r="B60" s="110"/>
      <c r="C60" s="3"/>
      <c r="D60" s="3"/>
      <c r="E60" s="3"/>
      <c r="F60" s="3"/>
      <c r="G60" s="110"/>
      <c r="H60" s="3"/>
      <c r="I60" s="3"/>
      <c r="J60" s="3"/>
      <c r="K60" s="3"/>
      <c r="L60" s="110"/>
      <c r="M60" s="3"/>
      <c r="N60" s="3"/>
      <c r="O60" s="3"/>
      <c r="P60" s="3"/>
      <c r="Q60" s="110"/>
      <c r="R60" s="3"/>
      <c r="S60" s="3"/>
      <c r="T60" s="3"/>
      <c r="U60" s="3"/>
      <c r="V60" s="110"/>
      <c r="W60" s="3"/>
      <c r="X60" s="3"/>
      <c r="Y60" s="3"/>
      <c r="Z60" s="3"/>
    </row>
    <row r="61" spans="1:26" x14ac:dyDescent="0.2">
      <c r="B61" s="110"/>
      <c r="C61" s="3"/>
      <c r="D61" s="3"/>
      <c r="E61" s="3"/>
      <c r="F61" s="3"/>
      <c r="G61" s="110"/>
      <c r="H61" s="3"/>
      <c r="I61" s="3"/>
      <c r="J61" s="3"/>
      <c r="K61" s="3"/>
      <c r="L61" s="110"/>
      <c r="M61" s="3"/>
      <c r="N61" s="3"/>
      <c r="O61" s="3"/>
      <c r="P61" s="3"/>
      <c r="Q61" s="110"/>
      <c r="R61" s="3"/>
      <c r="S61" s="3"/>
      <c r="T61" s="3"/>
      <c r="U61" s="3"/>
      <c r="V61" s="110"/>
      <c r="W61" s="3"/>
      <c r="X61" s="3"/>
      <c r="Y61" s="3"/>
      <c r="Z61" s="3"/>
    </row>
    <row r="62" spans="1:26" x14ac:dyDescent="0.2">
      <c r="C62" s="3"/>
      <c r="D62" s="3"/>
      <c r="E62" s="3"/>
      <c r="F62" s="3"/>
      <c r="H62" s="3"/>
      <c r="I62" s="3"/>
      <c r="J62" s="3"/>
      <c r="K62" s="3"/>
      <c r="M62" s="3"/>
      <c r="N62" s="3"/>
      <c r="O62" s="3"/>
      <c r="P62" s="3"/>
      <c r="R62" s="3"/>
      <c r="S62" s="3"/>
      <c r="T62" s="3"/>
      <c r="U62" s="3"/>
      <c r="W62" s="3"/>
      <c r="X62" s="3"/>
      <c r="Y62" s="3"/>
      <c r="Z62" s="3"/>
    </row>
    <row r="63" spans="1:26" x14ac:dyDescent="0.2">
      <c r="C63" s="3"/>
      <c r="D63" s="3"/>
      <c r="E63" s="3"/>
      <c r="F63" s="3"/>
      <c r="H63" s="3"/>
      <c r="I63" s="3"/>
      <c r="J63" s="3"/>
      <c r="K63" s="3"/>
      <c r="M63" s="3"/>
      <c r="N63" s="3"/>
      <c r="O63" s="3"/>
      <c r="P63" s="3"/>
      <c r="R63" s="3"/>
      <c r="S63" s="3"/>
      <c r="T63" s="3"/>
      <c r="U63" s="3"/>
      <c r="W63" s="3"/>
      <c r="X63" s="3"/>
      <c r="Y63" s="3"/>
      <c r="Z63" s="3"/>
    </row>
    <row r="64" spans="1:26" x14ac:dyDescent="0.2">
      <c r="C64" s="3"/>
      <c r="D64" s="3"/>
      <c r="E64" s="3"/>
      <c r="F64" s="3"/>
      <c r="H64" s="3"/>
      <c r="I64" s="3"/>
      <c r="J64" s="3"/>
      <c r="K64" s="3"/>
      <c r="M64" s="3"/>
      <c r="N64" s="3"/>
      <c r="O64" s="3"/>
      <c r="P64" s="3"/>
      <c r="R64" s="3"/>
      <c r="S64" s="3"/>
      <c r="T64" s="3"/>
      <c r="U64" s="3"/>
      <c r="W64" s="3"/>
      <c r="X64" s="3"/>
      <c r="Y64" s="3"/>
      <c r="Z64" s="3"/>
    </row>
    <row r="65" spans="3:25" x14ac:dyDescent="0.2">
      <c r="C65" s="3"/>
      <c r="D65" s="3"/>
      <c r="E65" s="3"/>
      <c r="H65" s="3"/>
      <c r="I65" s="3"/>
      <c r="J65" s="3"/>
      <c r="M65" s="3"/>
      <c r="N65" s="3"/>
      <c r="O65" s="3"/>
      <c r="R65" s="3"/>
      <c r="S65" s="3"/>
      <c r="T65" s="3"/>
      <c r="W65" s="3"/>
      <c r="X65" s="3"/>
      <c r="Y65" s="3"/>
    </row>
  </sheetData>
  <printOptions horizontalCentered="1"/>
  <pageMargins left="0.35" right="0.35" top="0.75" bottom="0.35" header="0.5" footer="0.2"/>
  <pageSetup scale="70" orientation="landscape" blackAndWhite="1" r:id="rId1"/>
  <headerFooter alignWithMargins="0"/>
  <customProperties>
    <customPr name="_pios_id" r:id="rId2"/>
  </customPropertie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G64"/>
  <sheetViews>
    <sheetView topLeftCell="J1" zoomScale="80" zoomScaleNormal="80" workbookViewId="0">
      <selection activeCell="AG1" sqref="AG1:AG1048576"/>
    </sheetView>
  </sheetViews>
  <sheetFormatPr defaultColWidth="9.140625" defaultRowHeight="12.75" x14ac:dyDescent="0.2"/>
  <cols>
    <col min="1" max="1" width="42.85546875" style="50" customWidth="1"/>
    <col min="2" max="5" width="12.7109375" style="50" customWidth="1"/>
    <col min="6" max="6" width="14.7109375" style="50" customWidth="1"/>
    <col min="7" max="11" width="12.7109375" style="50" customWidth="1"/>
    <col min="12" max="12" width="14.7109375" style="50" customWidth="1"/>
    <col min="13" max="17" width="12.7109375" style="50" customWidth="1"/>
    <col min="18" max="18" width="14.7109375" style="50" customWidth="1"/>
    <col min="19" max="23" width="12.7109375" style="50" customWidth="1"/>
    <col min="24" max="24" width="14.7109375" style="50" customWidth="1"/>
    <col min="25" max="29" width="12.7109375" style="50" customWidth="1"/>
    <col min="30" max="30" width="14.7109375" style="50" customWidth="1"/>
    <col min="31" max="31" width="12.7109375" style="50" customWidth="1"/>
    <col min="32" max="16384" width="9.140625" style="50"/>
  </cols>
  <sheetData>
    <row r="1" spans="1:33" x14ac:dyDescent="0.2">
      <c r="A1" s="49" t="s">
        <v>0</v>
      </c>
      <c r="G1" s="52" t="str">
        <f>'Retail Sales Base Case'!G1</f>
        <v>2022 Master Estimate</v>
      </c>
    </row>
    <row r="2" spans="1:33" x14ac:dyDescent="0.2">
      <c r="A2" s="49" t="s">
        <v>18</v>
      </c>
      <c r="G2" s="143">
        <f ca="1">'Retail Sales Base Case'!G2</f>
        <v>44852.574980324076</v>
      </c>
    </row>
    <row r="3" spans="1:33" x14ac:dyDescent="0.2">
      <c r="A3" s="49" t="s">
        <v>1</v>
      </c>
    </row>
    <row r="4" spans="1:33" x14ac:dyDescent="0.2">
      <c r="A4" s="49" t="s">
        <v>2</v>
      </c>
    </row>
    <row r="5" spans="1:33" x14ac:dyDescent="0.2">
      <c r="A5" s="49" t="s">
        <v>3</v>
      </c>
      <c r="B5" s="53" t="str">
        <f>'Retail Sales Base Case'!B5</f>
        <v>FY 2023</v>
      </c>
      <c r="C5" s="54"/>
      <c r="D5" s="54"/>
      <c r="E5" s="54"/>
      <c r="F5" s="54"/>
      <c r="G5" s="55"/>
      <c r="H5" s="53" t="str">
        <f>'Retail Sales Base Case'!H5</f>
        <v>FY 2024</v>
      </c>
      <c r="I5" s="54"/>
      <c r="J5" s="54"/>
      <c r="K5" s="54"/>
      <c r="L5" s="54"/>
      <c r="M5" s="55"/>
      <c r="N5" s="53" t="str">
        <f>'Retail Sales Base Case'!N5</f>
        <v>FY 2025</v>
      </c>
      <c r="O5" s="54"/>
      <c r="P5" s="54"/>
      <c r="Q5" s="54"/>
      <c r="R5" s="54"/>
      <c r="S5" s="55"/>
      <c r="T5" s="53" t="str">
        <f>'Retail Sales Base Case'!T5</f>
        <v>FY 2026</v>
      </c>
      <c r="U5" s="54"/>
      <c r="V5" s="54"/>
      <c r="W5" s="54"/>
      <c r="X5" s="54"/>
      <c r="Y5" s="55"/>
      <c r="Z5" s="53" t="str">
        <f>'Retail Sales Base Case'!Z5</f>
        <v>FY 2027</v>
      </c>
      <c r="AA5" s="54"/>
      <c r="AB5" s="54"/>
      <c r="AC5" s="54"/>
      <c r="AD5" s="54"/>
      <c r="AE5" s="55"/>
    </row>
    <row r="6" spans="1:33" x14ac:dyDescent="0.2">
      <c r="A6" s="50" t="s">
        <v>4</v>
      </c>
      <c r="B6" s="148">
        <f>'Retail Sales Base Case'!B6</f>
        <v>1.5E-3</v>
      </c>
      <c r="C6" s="51"/>
      <c r="D6" s="51"/>
      <c r="E6" s="51"/>
      <c r="F6" s="51"/>
      <c r="G6" s="60"/>
      <c r="H6" s="150">
        <f>B6</f>
        <v>1.5E-3</v>
      </c>
      <c r="I6" s="51"/>
      <c r="J6" s="51"/>
      <c r="K6" s="51"/>
      <c r="L6" s="51"/>
      <c r="M6" s="60"/>
      <c r="N6" s="150">
        <f>H6</f>
        <v>1.5E-3</v>
      </c>
      <c r="O6" s="51"/>
      <c r="P6" s="51"/>
      <c r="Q6" s="51"/>
      <c r="R6" s="51"/>
      <c r="S6" s="60"/>
      <c r="T6" s="150">
        <f>N6</f>
        <v>1.5E-3</v>
      </c>
      <c r="U6" s="51"/>
      <c r="V6" s="51"/>
      <c r="W6" s="51"/>
      <c r="X6" s="51"/>
      <c r="Y6" s="60"/>
      <c r="Z6" s="150">
        <f>T6</f>
        <v>1.5E-3</v>
      </c>
      <c r="AA6" s="51"/>
      <c r="AB6" s="51"/>
      <c r="AC6" s="51"/>
      <c r="AD6" s="51"/>
      <c r="AE6" s="60"/>
    </row>
    <row r="7" spans="1:33" x14ac:dyDescent="0.2">
      <c r="A7" s="49"/>
      <c r="B7" s="59"/>
      <c r="C7" s="51"/>
      <c r="D7" s="51"/>
      <c r="E7" s="51"/>
      <c r="F7" s="51"/>
      <c r="G7" s="60"/>
      <c r="H7" s="59"/>
      <c r="I7" s="51"/>
      <c r="J7" s="51"/>
      <c r="K7" s="51"/>
      <c r="L7" s="51"/>
      <c r="M7" s="60"/>
      <c r="N7" s="59"/>
      <c r="O7" s="51"/>
      <c r="P7" s="51"/>
      <c r="Q7" s="51"/>
      <c r="R7" s="51"/>
      <c r="S7" s="60"/>
      <c r="T7" s="59"/>
      <c r="U7" s="51"/>
      <c r="V7" s="51"/>
      <c r="W7" s="51"/>
      <c r="X7" s="51"/>
      <c r="Y7" s="60"/>
      <c r="Z7" s="59"/>
      <c r="AA7" s="51"/>
      <c r="AB7" s="51"/>
      <c r="AC7" s="51"/>
      <c r="AD7" s="51"/>
      <c r="AE7" s="60"/>
    </row>
    <row r="8" spans="1:33" x14ac:dyDescent="0.2">
      <c r="B8" s="61" t="s">
        <v>5</v>
      </c>
      <c r="C8" s="51"/>
      <c r="D8" s="51"/>
      <c r="E8" s="51"/>
      <c r="F8" s="51"/>
      <c r="G8" s="60"/>
      <c r="H8" s="61" t="s">
        <v>5</v>
      </c>
      <c r="I8" s="51"/>
      <c r="J8" s="51"/>
      <c r="K8" s="51"/>
      <c r="L8" s="51"/>
      <c r="M8" s="60"/>
      <c r="N8" s="61" t="s">
        <v>5</v>
      </c>
      <c r="O8" s="51"/>
      <c r="P8" s="51"/>
      <c r="Q8" s="51"/>
      <c r="R8" s="51"/>
      <c r="S8" s="60"/>
      <c r="T8" s="61" t="s">
        <v>5</v>
      </c>
      <c r="U8" s="51"/>
      <c r="V8" s="51"/>
      <c r="W8" s="51"/>
      <c r="X8" s="51"/>
      <c r="Y8" s="60"/>
      <c r="Z8" s="61" t="s">
        <v>5</v>
      </c>
      <c r="AA8" s="51"/>
      <c r="AB8" s="51"/>
      <c r="AC8" s="51"/>
      <c r="AD8" s="51"/>
      <c r="AE8" s="60"/>
    </row>
    <row r="9" spans="1:33" x14ac:dyDescent="0.2">
      <c r="B9" s="11" t="s">
        <v>240</v>
      </c>
      <c r="C9" s="51"/>
      <c r="D9" s="51"/>
      <c r="E9" s="51"/>
      <c r="F9" s="51"/>
      <c r="G9" s="60"/>
      <c r="H9" s="11" t="s">
        <v>240</v>
      </c>
      <c r="I9" s="51"/>
      <c r="J9" s="51"/>
      <c r="K9" s="51"/>
      <c r="L9" s="51"/>
      <c r="M9" s="60"/>
      <c r="N9" s="11" t="s">
        <v>240</v>
      </c>
      <c r="O9" s="51"/>
      <c r="P9" s="51"/>
      <c r="Q9" s="51"/>
      <c r="R9" s="51"/>
      <c r="S9" s="60"/>
      <c r="T9" s="11" t="s">
        <v>240</v>
      </c>
      <c r="U9" s="51"/>
      <c r="V9" s="51"/>
      <c r="W9" s="51"/>
      <c r="X9" s="51"/>
      <c r="Y9" s="60"/>
      <c r="Z9" s="11" t="s">
        <v>240</v>
      </c>
      <c r="AA9" s="51"/>
      <c r="AB9" s="51"/>
      <c r="AC9" s="51"/>
      <c r="AD9" s="51"/>
      <c r="AE9" s="60"/>
    </row>
    <row r="10" spans="1:33" x14ac:dyDescent="0.2">
      <c r="B10" s="59"/>
      <c r="C10" s="51"/>
      <c r="D10" s="51"/>
      <c r="E10" s="62" t="s">
        <v>6</v>
      </c>
      <c r="F10" s="51"/>
      <c r="G10" s="63" t="s">
        <v>6</v>
      </c>
      <c r="H10" s="59"/>
      <c r="I10" s="51"/>
      <c r="J10" s="51"/>
      <c r="K10" s="62" t="s">
        <v>6</v>
      </c>
      <c r="L10" s="51"/>
      <c r="M10" s="63" t="s">
        <v>6</v>
      </c>
      <c r="N10" s="59"/>
      <c r="O10" s="51"/>
      <c r="P10" s="51"/>
      <c r="Q10" s="62" t="s">
        <v>6</v>
      </c>
      <c r="R10" s="51"/>
      <c r="S10" s="63" t="s">
        <v>6</v>
      </c>
      <c r="T10" s="59"/>
      <c r="U10" s="51"/>
      <c r="V10" s="51"/>
      <c r="W10" s="62" t="s">
        <v>6</v>
      </c>
      <c r="X10" s="51"/>
      <c r="Y10" s="63" t="s">
        <v>6</v>
      </c>
      <c r="Z10" s="59"/>
      <c r="AA10" s="51"/>
      <c r="AB10" s="51"/>
      <c r="AC10" s="62" t="s">
        <v>6</v>
      </c>
      <c r="AD10" s="51"/>
      <c r="AE10" s="63" t="s">
        <v>6</v>
      </c>
    </row>
    <row r="11" spans="1:33" x14ac:dyDescent="0.2">
      <c r="A11" s="52" t="s">
        <v>7</v>
      </c>
      <c r="B11" s="64">
        <f>'Retail Sales Base Case'!B11</f>
        <v>1116</v>
      </c>
      <c r="C11" s="51"/>
      <c r="D11" s="51"/>
      <c r="E11" s="62" t="s">
        <v>8</v>
      </c>
      <c r="F11" s="97"/>
      <c r="G11" s="63" t="s">
        <v>8</v>
      </c>
      <c r="H11" s="96">
        <f>B11</f>
        <v>1116</v>
      </c>
      <c r="I11" s="51"/>
      <c r="J11" s="51"/>
      <c r="K11" s="62" t="s">
        <v>8</v>
      </c>
      <c r="L11" s="97"/>
      <c r="M11" s="63" t="s">
        <v>8</v>
      </c>
      <c r="N11" s="96">
        <f>H11</f>
        <v>1116</v>
      </c>
      <c r="O11" s="51"/>
      <c r="P11" s="51"/>
      <c r="Q11" s="62" t="s">
        <v>8</v>
      </c>
      <c r="R11" s="97"/>
      <c r="S11" s="63" t="s">
        <v>8</v>
      </c>
      <c r="T11" s="96">
        <f>N11</f>
        <v>1116</v>
      </c>
      <c r="U11" s="51"/>
      <c r="V11" s="51"/>
      <c r="W11" s="62" t="s">
        <v>8</v>
      </c>
      <c r="X11" s="97"/>
      <c r="Y11" s="63" t="s">
        <v>8</v>
      </c>
      <c r="Z11" s="96">
        <f>T11</f>
        <v>1116</v>
      </c>
      <c r="AA11" s="51"/>
      <c r="AB11" s="51"/>
      <c r="AC11" s="62" t="s">
        <v>8</v>
      </c>
      <c r="AD11" s="97"/>
      <c r="AE11" s="63" t="s">
        <v>8</v>
      </c>
    </row>
    <row r="12" spans="1:33" x14ac:dyDescent="0.2">
      <c r="A12" s="52"/>
      <c r="B12" s="64"/>
      <c r="C12" s="51"/>
      <c r="D12" s="51"/>
      <c r="E12" s="66">
        <f>'Retail Sales Base Case'!E12</f>
        <v>2023</v>
      </c>
      <c r="F12" s="97"/>
      <c r="G12" s="67">
        <f>'Retail Sales Base Case'!G12</f>
        <v>2023</v>
      </c>
      <c r="H12" s="64"/>
      <c r="I12" s="51"/>
      <c r="J12" s="51"/>
      <c r="K12" s="66">
        <f>'Retail Sales Base Case'!K12</f>
        <v>2024</v>
      </c>
      <c r="L12" s="97"/>
      <c r="M12" s="67">
        <f>'Retail Sales Base Case'!M12</f>
        <v>2024</v>
      </c>
      <c r="N12" s="64"/>
      <c r="O12" s="51"/>
      <c r="P12" s="51"/>
      <c r="Q12" s="66">
        <f>'Retail Sales Base Case'!Q12</f>
        <v>2025</v>
      </c>
      <c r="R12" s="97"/>
      <c r="S12" s="67">
        <f>'Retail Sales Base Case'!S12</f>
        <v>2025</v>
      </c>
      <c r="T12" s="64"/>
      <c r="U12" s="51"/>
      <c r="V12" s="51"/>
      <c r="W12" s="66">
        <f>'Retail Sales Base Case'!W12</f>
        <v>2026</v>
      </c>
      <c r="X12" s="97"/>
      <c r="Y12" s="67">
        <f>'Retail Sales Base Case'!Y12</f>
        <v>2026</v>
      </c>
      <c r="Z12" s="64"/>
      <c r="AA12" s="51"/>
      <c r="AB12" s="51"/>
      <c r="AC12" s="66">
        <f>'Retail Sales Base Case'!AC12</f>
        <v>2027</v>
      </c>
      <c r="AD12" s="97"/>
      <c r="AE12" s="67">
        <f>'Retail Sales Base Case'!AE12</f>
        <v>2027</v>
      </c>
    </row>
    <row r="13" spans="1:33" x14ac:dyDescent="0.2">
      <c r="A13" s="52"/>
      <c r="B13" s="64"/>
      <c r="C13" s="97"/>
      <c r="D13" s="97"/>
      <c r="E13" s="171">
        <f>'Res Trans Base Case'!E12</f>
        <v>52</v>
      </c>
      <c r="F13" s="172" t="str">
        <f>'Res Trans Base Case'!F12</f>
        <v>MMT</v>
      </c>
      <c r="H13" s="64"/>
      <c r="I13" s="97"/>
      <c r="J13" s="97"/>
      <c r="K13" s="171">
        <f>'Res Trans Base Case'!K12</f>
        <v>52</v>
      </c>
      <c r="L13" s="172" t="str">
        <f>'Res Trans Base Case'!L12</f>
        <v>MMT</v>
      </c>
      <c r="N13" s="64"/>
      <c r="O13" s="97"/>
      <c r="P13" s="97"/>
      <c r="Q13" s="171">
        <f>'Res Trans Base Case'!Q12</f>
        <v>52</v>
      </c>
      <c r="R13" s="172" t="str">
        <f>'Res Trans Base Case'!R12</f>
        <v>MMT</v>
      </c>
      <c r="T13" s="64"/>
      <c r="U13" s="97"/>
      <c r="V13" s="97"/>
      <c r="W13" s="171">
        <f>'Res Trans Base Case'!W12</f>
        <v>52</v>
      </c>
      <c r="X13" s="172" t="str">
        <f>'Res Trans Base Case'!X12</f>
        <v>MMT</v>
      </c>
      <c r="Z13" s="64"/>
      <c r="AA13" s="97"/>
      <c r="AB13" s="97"/>
      <c r="AC13" s="171">
        <f>'Res Trans Base Case'!AC12</f>
        <v>52</v>
      </c>
      <c r="AD13" s="172" t="str">
        <f>'Res Trans Base Case'!AD12</f>
        <v>MMT</v>
      </c>
      <c r="AE13" s="60"/>
    </row>
    <row r="14" spans="1:33" x14ac:dyDescent="0.2">
      <c r="A14" s="49" t="s">
        <v>13</v>
      </c>
      <c r="B14" s="64"/>
      <c r="C14" s="66"/>
      <c r="D14" s="66"/>
      <c r="E14" s="62">
        <f>'Retail Sales Base Case'!E13</f>
        <v>62</v>
      </c>
      <c r="F14" s="172" t="str">
        <f>'Res Trans Base Case'!F13</f>
        <v>SATC</v>
      </c>
      <c r="G14" s="63">
        <f>'Retail Sales Base Case'!G13</f>
        <v>74</v>
      </c>
      <c r="H14" s="64"/>
      <c r="I14" s="66"/>
      <c r="J14" s="66"/>
      <c r="K14" s="62">
        <f>'Retail Sales Base Case'!K13</f>
        <v>62</v>
      </c>
      <c r="L14" s="172" t="str">
        <f>'Res Trans Base Case'!L13</f>
        <v>SATC</v>
      </c>
      <c r="M14" s="63">
        <f>'Retail Sales Base Case'!M13</f>
        <v>74</v>
      </c>
      <c r="N14" s="64"/>
      <c r="O14" s="66"/>
      <c r="P14" s="66"/>
      <c r="Q14" s="62">
        <f>'Retail Sales Base Case'!Q13</f>
        <v>62</v>
      </c>
      <c r="R14" s="172" t="str">
        <f>'Res Trans Base Case'!R13</f>
        <v>SATC</v>
      </c>
      <c r="S14" s="63">
        <f>'Retail Sales Base Case'!S13</f>
        <v>74</v>
      </c>
      <c r="T14" s="64"/>
      <c r="U14" s="66"/>
      <c r="V14" s="66"/>
      <c r="W14" s="62">
        <f>'Retail Sales Base Case'!W13</f>
        <v>62</v>
      </c>
      <c r="X14" s="172" t="str">
        <f>'Res Trans Base Case'!X13</f>
        <v>SATC</v>
      </c>
      <c r="Y14" s="63">
        <f>'Retail Sales Base Case'!Y13</f>
        <v>74</v>
      </c>
      <c r="Z14" s="64"/>
      <c r="AA14" s="66"/>
      <c r="AB14" s="66"/>
      <c r="AC14" s="62">
        <f>'Retail Sales Base Case'!AC13</f>
        <v>62</v>
      </c>
      <c r="AD14" s="172" t="str">
        <f>'Res Trans Base Case'!AD13</f>
        <v>SATC</v>
      </c>
      <c r="AE14" s="63">
        <f>'Retail Sales Base Case'!AE13</f>
        <v>74</v>
      </c>
    </row>
    <row r="15" spans="1:33" s="92" customFormat="1" x14ac:dyDescent="0.2">
      <c r="A15" s="92" t="s">
        <v>76</v>
      </c>
      <c r="B15" s="228">
        <f>'Retail Sales Base Case'!B14</f>
        <v>44927</v>
      </c>
      <c r="C15" s="229">
        <f>'Retail Sales Base Case'!C14</f>
        <v>45108</v>
      </c>
      <c r="D15" s="229">
        <f>'Retail Sales Base Case'!D14</f>
        <v>45139</v>
      </c>
      <c r="E15" s="230" t="s">
        <v>10</v>
      </c>
      <c r="F15" s="229"/>
      <c r="G15" s="231" t="s">
        <v>10</v>
      </c>
      <c r="H15" s="228">
        <f>'Retail Sales Base Case'!H14</f>
        <v>45293</v>
      </c>
      <c r="I15" s="229">
        <f>'Retail Sales Base Case'!I14</f>
        <v>45483</v>
      </c>
      <c r="J15" s="229">
        <f>'Retail Sales Base Case'!J14</f>
        <v>45514</v>
      </c>
      <c r="K15" s="230" t="s">
        <v>10</v>
      </c>
      <c r="L15" s="229"/>
      <c r="M15" s="231" t="s">
        <v>10</v>
      </c>
      <c r="N15" s="228">
        <f>'Retail Sales Base Case'!N14</f>
        <v>45668</v>
      </c>
      <c r="O15" s="229">
        <f>'Retail Sales Base Case'!O14</f>
        <v>45848</v>
      </c>
      <c r="P15" s="229">
        <f>'Retail Sales Base Case'!P14</f>
        <v>45879</v>
      </c>
      <c r="Q15" s="230" t="s">
        <v>10</v>
      </c>
      <c r="R15" s="229"/>
      <c r="S15" s="231" t="s">
        <v>10</v>
      </c>
      <c r="T15" s="228">
        <f>'Retail Sales Base Case'!T14</f>
        <v>46034</v>
      </c>
      <c r="U15" s="229">
        <f>'Retail Sales Base Case'!U14</f>
        <v>46214</v>
      </c>
      <c r="V15" s="229">
        <f>'Retail Sales Base Case'!V14</f>
        <v>46245</v>
      </c>
      <c r="W15" s="230" t="s">
        <v>10</v>
      </c>
      <c r="X15" s="229"/>
      <c r="Y15" s="231" t="s">
        <v>10</v>
      </c>
      <c r="Z15" s="228">
        <f>'Retail Sales Base Case'!Z14</f>
        <v>46399</v>
      </c>
      <c r="AA15" s="229">
        <f>'Retail Sales Base Case'!AA14</f>
        <v>46579</v>
      </c>
      <c r="AB15" s="229">
        <f>'Retail Sales Base Case'!AB14</f>
        <v>46610</v>
      </c>
      <c r="AC15" s="230" t="s">
        <v>10</v>
      </c>
      <c r="AD15" s="229"/>
      <c r="AE15" s="231" t="s">
        <v>10</v>
      </c>
      <c r="AG15" s="92" t="s">
        <v>364</v>
      </c>
    </row>
    <row r="16" spans="1:33" x14ac:dyDescent="0.2">
      <c r="A16" s="113" t="s">
        <v>78</v>
      </c>
      <c r="B16" s="69"/>
      <c r="C16" s="70"/>
      <c r="D16" s="70"/>
      <c r="E16" s="70"/>
      <c r="F16" s="70"/>
      <c r="G16" s="60"/>
      <c r="H16" s="69"/>
      <c r="I16" s="70"/>
      <c r="J16" s="70"/>
      <c r="K16" s="70"/>
      <c r="L16" s="70"/>
      <c r="M16" s="60"/>
      <c r="N16" s="69"/>
      <c r="O16" s="70"/>
      <c r="P16" s="70"/>
      <c r="Q16" s="70"/>
      <c r="R16" s="70"/>
      <c r="S16" s="60"/>
      <c r="T16" s="69"/>
      <c r="U16" s="70"/>
      <c r="V16" s="70"/>
      <c r="W16" s="70"/>
      <c r="X16" s="70"/>
      <c r="Y16" s="60"/>
      <c r="Z16" s="69"/>
      <c r="AA16" s="70"/>
      <c r="AB16" s="70"/>
      <c r="AC16" s="70"/>
      <c r="AD16" s="70"/>
      <c r="AE16" s="60"/>
    </row>
    <row r="17" spans="1:33" x14ac:dyDescent="0.2">
      <c r="A17" s="113" t="s">
        <v>141</v>
      </c>
      <c r="B17" s="214">
        <v>3706.6590900000001</v>
      </c>
      <c r="C17" s="215">
        <v>344.57399999999996</v>
      </c>
      <c r="D17" s="215">
        <v>344.57399999999996</v>
      </c>
      <c r="E17" s="75">
        <f>ROUND(((B17-((C17+D17)/62)*31)/$B$11*$E$13)+(C17+D17)/62,0)</f>
        <v>168</v>
      </c>
      <c r="F17" s="51"/>
      <c r="G17" s="76">
        <f>ROUND(((B17-((C17+D17)/62)*31)/$B$11*$G$14)+(C17+D17)/62,0)</f>
        <v>234</v>
      </c>
      <c r="H17" s="214">
        <v>3948.4036902556745</v>
      </c>
      <c r="I17" s="215">
        <v>367.04677180499993</v>
      </c>
      <c r="J17" s="215">
        <v>367.04677180499993</v>
      </c>
      <c r="K17" s="75">
        <f>ROUND(((H17-((I17+J17)/62)*31)/$B$11*$E$13)+(I17+J17)/62,0)</f>
        <v>179</v>
      </c>
      <c r="L17" s="51"/>
      <c r="M17" s="76">
        <f>ROUND(((H17-((I17+J17)/62)*31)/$B$11*$G$14)+(I17+J17)/62,0)</f>
        <v>249</v>
      </c>
      <c r="N17" s="214">
        <v>4156.2679499999995</v>
      </c>
      <c r="O17" s="215">
        <v>386.36999999999995</v>
      </c>
      <c r="P17" s="215">
        <v>386.36999999999995</v>
      </c>
      <c r="Q17" s="75">
        <f>ROUND(((N17-((O17+P17)/62)*31)/$B$11*$E$13)+(O17+P17)/62,0)</f>
        <v>188</v>
      </c>
      <c r="R17" s="51"/>
      <c r="S17" s="76">
        <f>ROUND(((N17-((O17+P17)/62)*31)/$B$11*$G$14)+(O17+P17)/62,0)</f>
        <v>262</v>
      </c>
      <c r="T17" s="214">
        <v>4338.0865199999998</v>
      </c>
      <c r="U17" s="215">
        <v>403.27199999999999</v>
      </c>
      <c r="V17" s="215">
        <v>403.27199999999999</v>
      </c>
      <c r="W17" s="75">
        <f>ROUND(((T17-((U17+V17)/62)*31)/$B$11*$E$13)+(U17+V17)/62,0)</f>
        <v>196</v>
      </c>
      <c r="X17" s="51"/>
      <c r="Y17" s="76">
        <f>ROUND(((T17-((U17+V17)/62)*31)/$B$11*$G$14)+(U17+V17)/62,0)</f>
        <v>274</v>
      </c>
      <c r="Z17" s="214">
        <v>4516.2261200000003</v>
      </c>
      <c r="AA17" s="215">
        <v>419.83199999999999</v>
      </c>
      <c r="AB17" s="215">
        <v>419.83199999999999</v>
      </c>
      <c r="AC17" s="75">
        <f>ROUND(((Z17-((AA17+AB17)/62)*31)/$B$11*$E$13)+(AA17+AB17)/62,0)</f>
        <v>204</v>
      </c>
      <c r="AD17" s="51"/>
      <c r="AE17" s="76">
        <f>ROUND(((Z17-((AA17+AB17)/62)*31)/$B$11*$G$14)+(AA17+AB17)/62,0)</f>
        <v>285</v>
      </c>
      <c r="AG17" s="50" t="s">
        <v>314</v>
      </c>
    </row>
    <row r="18" spans="1:33" x14ac:dyDescent="0.2">
      <c r="A18" s="121" t="s">
        <v>142</v>
      </c>
      <c r="B18" s="214">
        <v>13363.95534</v>
      </c>
      <c r="C18" s="215">
        <v>1242.3239999999998</v>
      </c>
      <c r="D18" s="215">
        <v>1242.3239999999998</v>
      </c>
      <c r="E18" s="75">
        <f>ROUND(((B18-((C18+D18)/62)*31)/$B$11*$E$13)+(C18+D18)/62,0)</f>
        <v>605</v>
      </c>
      <c r="F18" s="51"/>
      <c r="G18" s="76">
        <f>ROUND(((B18-((C18+D18)/62)*31)/$B$11*$G$14)+(C18+D18)/62,0)</f>
        <v>844</v>
      </c>
      <c r="H18" s="214">
        <v>13739.933623950597</v>
      </c>
      <c r="I18" s="215">
        <v>1277.2752426334284</v>
      </c>
      <c r="J18" s="215">
        <v>1277.2752426334284</v>
      </c>
      <c r="K18" s="75">
        <f>ROUND(((H18-((I18+J18)/62)*31)/$B$11*$E$13)+(I18+J18)/62,0)</f>
        <v>622</v>
      </c>
      <c r="L18" s="51"/>
      <c r="M18" s="76">
        <f>ROUND(((H18-((I18+J18)/62)*31)/$B$11*$G$14)+(I18+J18)/62,0)</f>
        <v>868</v>
      </c>
      <c r="N18" s="214">
        <v>14008.93687</v>
      </c>
      <c r="O18" s="215">
        <v>1302.2819999999999</v>
      </c>
      <c r="P18" s="215">
        <v>1302.2819999999999</v>
      </c>
      <c r="Q18" s="75">
        <f>ROUND(((N18-((O18+P18)/62)*31)/$B$11*$E$13)+(O18+P18)/62,0)</f>
        <v>634</v>
      </c>
      <c r="R18" s="51"/>
      <c r="S18" s="76">
        <f t="shared" ref="S18:S19" si="0">ROUND(((N18-((O18+P18)/62)*31)/$B$11*$G$14)+(O18+P18)/62,0)</f>
        <v>885</v>
      </c>
      <c r="T18" s="214">
        <v>14392.324269999999</v>
      </c>
      <c r="U18" s="215">
        <v>1337.9219999999998</v>
      </c>
      <c r="V18" s="215">
        <v>1337.9219999999998</v>
      </c>
      <c r="W18" s="75">
        <f>ROUND(((T18-((U18+V18)/62)*31)/$B$11*$E$13)+(U18+V18)/62,0)</f>
        <v>651</v>
      </c>
      <c r="X18" s="51"/>
      <c r="Y18" s="76">
        <f t="shared" ref="Y18:Y19" si="1">ROUND(((T18-((U18+V18)/62)*31)/$B$11*$G$14)+(U18+V18)/62,0)</f>
        <v>909</v>
      </c>
      <c r="Z18" s="214">
        <v>14754.993259999999</v>
      </c>
      <c r="AA18" s="215">
        <v>1371.636</v>
      </c>
      <c r="AB18" s="215">
        <v>1371.636</v>
      </c>
      <c r="AC18" s="75">
        <f>ROUND(((Z18-((AA18+AB18)/62)*31)/$B$11*$E$13)+(AA18+AB18)/62,0)</f>
        <v>668</v>
      </c>
      <c r="AD18" s="51"/>
      <c r="AE18" s="76">
        <f t="shared" ref="AE18:AE19" si="2">ROUND(((Z18-((AA18+AB18)/62)*31)/$B$11*$G$14)+(AA18+AB18)/62,0)</f>
        <v>932</v>
      </c>
      <c r="AG18" s="50" t="s">
        <v>316</v>
      </c>
    </row>
    <row r="19" spans="1:33" x14ac:dyDescent="0.2">
      <c r="A19" s="122" t="s">
        <v>143</v>
      </c>
      <c r="B19" s="224">
        <v>351297.29372999998</v>
      </c>
      <c r="C19" s="225">
        <v>32656.877999999997</v>
      </c>
      <c r="D19" s="225">
        <v>32656.877999999997</v>
      </c>
      <c r="E19" s="79">
        <f>ROUND(((B19-((C19+D19)/62)*31)/$B$11*$E$13)+(C19+D19)/62,0)</f>
        <v>15900</v>
      </c>
      <c r="F19" s="68"/>
      <c r="G19" s="81">
        <f>ROUND(((B19-((C19+D19)/62)*31)/$B$11*$G$14)+(C19+D19)/62,0)</f>
        <v>22182</v>
      </c>
      <c r="H19" s="224">
        <v>350854.49547878979</v>
      </c>
      <c r="I19" s="225">
        <v>32615.715119651999</v>
      </c>
      <c r="J19" s="225">
        <v>32615.715119651999</v>
      </c>
      <c r="K19" s="144">
        <f>ROUND(((H19-((I19+J19)/62)*31)/$B$11*$E$13)+(I19+J19)/62,0)</f>
        <v>15880</v>
      </c>
      <c r="L19" s="68"/>
      <c r="M19" s="149">
        <f>ROUND(((H19-((I19+J19)/62)*31)/$B$11*$G$14)+(I19+J19)/62,0)</f>
        <v>22154</v>
      </c>
      <c r="N19" s="224">
        <v>346371.73378999997</v>
      </c>
      <c r="O19" s="225">
        <v>32198.993999999999</v>
      </c>
      <c r="P19" s="225">
        <v>32198.993999999999</v>
      </c>
      <c r="Q19" s="144">
        <f>ROUND(((N19-((O19+P19)/62)*31)/$B$11*$E$13)+(O19+P19)/62,0)</f>
        <v>15678</v>
      </c>
      <c r="R19" s="68"/>
      <c r="S19" s="149">
        <f t="shared" si="0"/>
        <v>21871</v>
      </c>
      <c r="T19" s="224">
        <v>343667.49721</v>
      </c>
      <c r="U19" s="225">
        <v>31947.605999999996</v>
      </c>
      <c r="V19" s="225">
        <v>31947.605999999996</v>
      </c>
      <c r="W19" s="144">
        <f>ROUND(((T19-((U19+V19)/62)*31)/$B$11*$E$13)+(U19+V19)/62,0)</f>
        <v>15555</v>
      </c>
      <c r="X19" s="68"/>
      <c r="Y19" s="149">
        <f t="shared" si="1"/>
        <v>21700</v>
      </c>
      <c r="Z19" s="224">
        <v>340959.96892000001</v>
      </c>
      <c r="AA19" s="225">
        <v>31695.911999999997</v>
      </c>
      <c r="AB19" s="225">
        <v>31695.911999999997</v>
      </c>
      <c r="AC19" s="144">
        <f>ROUND(((Z19-((AA19+AB19)/62)*31)/$B$11*$E$13)+(AA19+AB19)/62,0)</f>
        <v>15433</v>
      </c>
      <c r="AD19" s="68"/>
      <c r="AE19" s="149">
        <f t="shared" si="2"/>
        <v>21529</v>
      </c>
      <c r="AG19" s="50" t="s">
        <v>362</v>
      </c>
    </row>
    <row r="20" spans="1:33" x14ac:dyDescent="0.2">
      <c r="A20" s="121" t="s">
        <v>144</v>
      </c>
      <c r="B20" s="73">
        <f>SUM(B17:B19)</f>
        <v>368367.90815999999</v>
      </c>
      <c r="C20" s="74">
        <f t="shared" ref="C20:E20" si="3">SUM(C17:C19)</f>
        <v>34243.775999999998</v>
      </c>
      <c r="D20" s="74">
        <f t="shared" si="3"/>
        <v>34243.775999999998</v>
      </c>
      <c r="E20" s="74">
        <f t="shared" si="3"/>
        <v>16673</v>
      </c>
      <c r="F20" s="51"/>
      <c r="G20" s="90">
        <f>SUM(G17:G19)</f>
        <v>23260</v>
      </c>
      <c r="H20" s="73">
        <f>SUM(H17:H19)</f>
        <v>368542.83279299608</v>
      </c>
      <c r="I20" s="74">
        <f t="shared" ref="I20:K20" si="4">SUM(I17:I19)</f>
        <v>34260.037134090424</v>
      </c>
      <c r="J20" s="74">
        <f t="shared" si="4"/>
        <v>34260.037134090424</v>
      </c>
      <c r="K20" s="74">
        <f t="shared" si="4"/>
        <v>16681</v>
      </c>
      <c r="L20" s="51"/>
      <c r="M20" s="90">
        <f>SUM(M17:M19)</f>
        <v>23271</v>
      </c>
      <c r="N20" s="73">
        <f>SUM(N17:N19)</f>
        <v>364536.93860999995</v>
      </c>
      <c r="O20" s="74">
        <f t="shared" ref="O20:Q20" si="5">SUM(O17:O19)</f>
        <v>33887.646000000001</v>
      </c>
      <c r="P20" s="74">
        <f t="shared" si="5"/>
        <v>33887.646000000001</v>
      </c>
      <c r="Q20" s="74">
        <f t="shared" si="5"/>
        <v>16500</v>
      </c>
      <c r="R20" s="51"/>
      <c r="S20" s="90">
        <f>SUM(S17:S19)</f>
        <v>23018</v>
      </c>
      <c r="T20" s="73">
        <f>SUM(T17:T19)</f>
        <v>362397.908</v>
      </c>
      <c r="U20" s="74">
        <f t="shared" ref="U20:W20" si="6">SUM(U17:U19)</f>
        <v>33688.799999999996</v>
      </c>
      <c r="V20" s="74">
        <f t="shared" si="6"/>
        <v>33688.799999999996</v>
      </c>
      <c r="W20" s="74">
        <f t="shared" si="6"/>
        <v>16402</v>
      </c>
      <c r="X20" s="51"/>
      <c r="Y20" s="90">
        <f>SUM(Y17:Y19)</f>
        <v>22883</v>
      </c>
      <c r="Z20" s="73">
        <f>SUM(Z17:Z19)</f>
        <v>360231.18830000004</v>
      </c>
      <c r="AA20" s="74">
        <f t="shared" ref="AA20:AC20" si="7">SUM(AA17:AA19)</f>
        <v>33487.379999999997</v>
      </c>
      <c r="AB20" s="74">
        <f t="shared" si="7"/>
        <v>33487.379999999997</v>
      </c>
      <c r="AC20" s="74">
        <f t="shared" si="7"/>
        <v>16305</v>
      </c>
      <c r="AD20" s="51"/>
      <c r="AE20" s="90">
        <f>SUM(AE17:AE19)</f>
        <v>22746</v>
      </c>
    </row>
    <row r="21" spans="1:33" x14ac:dyDescent="0.2">
      <c r="A21" s="122" t="s">
        <v>145</v>
      </c>
      <c r="B21" s="84">
        <f>ROUND(B20/((1-$B$6))-B20,0)</f>
        <v>553</v>
      </c>
      <c r="C21" s="80">
        <f t="shared" ref="C21:G21" si="8">ROUND(C20/((1-$B$6))-C20,0)</f>
        <v>51</v>
      </c>
      <c r="D21" s="80">
        <f t="shared" si="8"/>
        <v>51</v>
      </c>
      <c r="E21" s="80">
        <f t="shared" si="8"/>
        <v>25</v>
      </c>
      <c r="F21" s="92"/>
      <c r="G21" s="85">
        <f t="shared" si="8"/>
        <v>35</v>
      </c>
      <c r="H21" s="84">
        <f>ROUND(H20/((1-$B$6))-H20,0)</f>
        <v>554</v>
      </c>
      <c r="I21" s="80">
        <f t="shared" ref="I21:K21" si="9">ROUND(I20/((1-$B$6))-I20,0)</f>
        <v>51</v>
      </c>
      <c r="J21" s="80">
        <f t="shared" si="9"/>
        <v>51</v>
      </c>
      <c r="K21" s="80">
        <f t="shared" si="9"/>
        <v>25</v>
      </c>
      <c r="L21" s="92"/>
      <c r="M21" s="85">
        <f t="shared" ref="M21" si="10">ROUND(M20/((1-$B$6))-M20,0)</f>
        <v>35</v>
      </c>
      <c r="N21" s="84">
        <f>ROUND(N20/((1-$B$6))-N20,0)</f>
        <v>548</v>
      </c>
      <c r="O21" s="80">
        <f t="shared" ref="O21:Q21" si="11">ROUND(O20/((1-$B$6))-O20,0)</f>
        <v>51</v>
      </c>
      <c r="P21" s="80">
        <f t="shared" si="11"/>
        <v>51</v>
      </c>
      <c r="Q21" s="80">
        <f t="shared" si="11"/>
        <v>25</v>
      </c>
      <c r="R21" s="92"/>
      <c r="S21" s="85">
        <f t="shared" ref="S21" si="12">ROUND(S20/((1-$B$6))-S20,0)</f>
        <v>35</v>
      </c>
      <c r="T21" s="84">
        <f>ROUND(T20/((1-$B$6))-T20,0)</f>
        <v>544</v>
      </c>
      <c r="U21" s="80">
        <f t="shared" ref="U21:W21" si="13">ROUND(U20/((1-$B$6))-U20,0)</f>
        <v>51</v>
      </c>
      <c r="V21" s="80">
        <f t="shared" si="13"/>
        <v>51</v>
      </c>
      <c r="W21" s="80">
        <f t="shared" si="13"/>
        <v>25</v>
      </c>
      <c r="X21" s="92"/>
      <c r="Y21" s="85">
        <f t="shared" ref="Y21" si="14">ROUND(Y20/((1-$B$6))-Y20,0)</f>
        <v>34</v>
      </c>
      <c r="Z21" s="84">
        <f>ROUND(Z20/((1-$B$6))-Z20,0)</f>
        <v>541</v>
      </c>
      <c r="AA21" s="80">
        <f t="shared" ref="AA21:AC21" si="15">ROUND(AA20/((1-$B$6))-AA20,0)</f>
        <v>50</v>
      </c>
      <c r="AB21" s="80">
        <f t="shared" si="15"/>
        <v>50</v>
      </c>
      <c r="AC21" s="80">
        <f t="shared" si="15"/>
        <v>24</v>
      </c>
      <c r="AD21" s="92"/>
      <c r="AE21" s="85">
        <f t="shared" ref="AE21" si="16">ROUND(AE20/((1-$B$6))-AE20,0)</f>
        <v>34</v>
      </c>
    </row>
    <row r="22" spans="1:33" x14ac:dyDescent="0.2">
      <c r="A22" s="121" t="s">
        <v>146</v>
      </c>
      <c r="B22" s="73">
        <f>SUM(B20:B21)</f>
        <v>368920.90815999999</v>
      </c>
      <c r="C22" s="74">
        <f>SUM(C20:C21)</f>
        <v>34294.775999999998</v>
      </c>
      <c r="D22" s="74">
        <f>SUM(D20:D21)</f>
        <v>34294.775999999998</v>
      </c>
      <c r="E22" s="74">
        <f>SUM(E20:E21)</f>
        <v>16698</v>
      </c>
      <c r="F22" s="51"/>
      <c r="G22" s="90">
        <f>SUM(G20:G21)</f>
        <v>23295</v>
      </c>
      <c r="H22" s="73">
        <f>SUM(H20:H21)</f>
        <v>369096.83279299608</v>
      </c>
      <c r="I22" s="74">
        <f>SUM(I20:I21)</f>
        <v>34311.037134090424</v>
      </c>
      <c r="J22" s="74">
        <f>SUM(J20:J21)</f>
        <v>34311.037134090424</v>
      </c>
      <c r="K22" s="74">
        <f>SUM(K20:K21)</f>
        <v>16706</v>
      </c>
      <c r="L22" s="51"/>
      <c r="M22" s="90">
        <f>SUM(M20:M21)</f>
        <v>23306</v>
      </c>
      <c r="N22" s="73">
        <f>SUM(N20:N21)</f>
        <v>365084.93860999995</v>
      </c>
      <c r="O22" s="74">
        <f>SUM(O20:O21)</f>
        <v>33938.646000000001</v>
      </c>
      <c r="P22" s="74">
        <f>SUM(P20:P21)</f>
        <v>33938.646000000001</v>
      </c>
      <c r="Q22" s="74">
        <f>SUM(Q20:Q21)</f>
        <v>16525</v>
      </c>
      <c r="R22" s="51"/>
      <c r="S22" s="90">
        <f>SUM(S20:S21)</f>
        <v>23053</v>
      </c>
      <c r="T22" s="73">
        <f>SUM(T20:T21)</f>
        <v>362941.908</v>
      </c>
      <c r="U22" s="74">
        <f>SUM(U20:U21)</f>
        <v>33739.799999999996</v>
      </c>
      <c r="V22" s="74">
        <f>SUM(V20:V21)</f>
        <v>33739.799999999996</v>
      </c>
      <c r="W22" s="74">
        <f>SUM(W20:W21)</f>
        <v>16427</v>
      </c>
      <c r="X22" s="51"/>
      <c r="Y22" s="90">
        <f>SUM(Y20:Y21)</f>
        <v>22917</v>
      </c>
      <c r="Z22" s="73">
        <f>SUM(Z20:Z21)</f>
        <v>360772.18830000004</v>
      </c>
      <c r="AA22" s="74">
        <f>SUM(AA20:AA21)</f>
        <v>33537.379999999997</v>
      </c>
      <c r="AB22" s="74">
        <f>SUM(AB20:AB21)</f>
        <v>33537.379999999997</v>
      </c>
      <c r="AC22" s="74">
        <f>SUM(AC20:AC21)</f>
        <v>16329</v>
      </c>
      <c r="AD22" s="51"/>
      <c r="AE22" s="90">
        <f>SUM(AE20:AE21)</f>
        <v>22780</v>
      </c>
    </row>
    <row r="23" spans="1:33" x14ac:dyDescent="0.2">
      <c r="A23" s="98"/>
      <c r="B23" s="73"/>
      <c r="C23" s="82"/>
      <c r="D23" s="82"/>
      <c r="E23" s="82"/>
      <c r="F23" s="51"/>
      <c r="G23" s="60"/>
      <c r="H23" s="73"/>
      <c r="I23" s="82"/>
      <c r="J23" s="82"/>
      <c r="K23" s="82"/>
      <c r="L23" s="51"/>
      <c r="M23" s="60"/>
      <c r="N23" s="73"/>
      <c r="O23" s="82"/>
      <c r="P23" s="82"/>
      <c r="Q23" s="82"/>
      <c r="R23" s="51"/>
      <c r="S23" s="60"/>
      <c r="T23" s="73"/>
      <c r="U23" s="82"/>
      <c r="V23" s="82"/>
      <c r="W23" s="82"/>
      <c r="X23" s="51"/>
      <c r="Y23" s="60"/>
      <c r="Z23" s="73"/>
      <c r="AA23" s="82"/>
      <c r="AB23" s="82"/>
      <c r="AC23" s="82"/>
      <c r="AD23" s="51"/>
      <c r="AE23" s="60"/>
    </row>
    <row r="24" spans="1:33" x14ac:dyDescent="0.2">
      <c r="A24" s="71" t="s">
        <v>85</v>
      </c>
      <c r="B24" s="91"/>
      <c r="C24" s="82"/>
      <c r="D24" s="82"/>
      <c r="E24" s="82"/>
      <c r="F24" s="51"/>
      <c r="G24" s="60"/>
      <c r="H24" s="91"/>
      <c r="I24" s="82"/>
      <c r="J24" s="82"/>
      <c r="K24" s="82"/>
      <c r="L24" s="51"/>
      <c r="M24" s="60"/>
      <c r="N24" s="91"/>
      <c r="O24" s="82"/>
      <c r="P24" s="82"/>
      <c r="Q24" s="82"/>
      <c r="R24" s="51"/>
      <c r="S24" s="60"/>
      <c r="T24" s="91"/>
      <c r="U24" s="82"/>
      <c r="V24" s="82"/>
      <c r="W24" s="82"/>
      <c r="X24" s="51"/>
      <c r="Y24" s="60"/>
      <c r="Z24" s="91"/>
      <c r="AA24" s="82"/>
      <c r="AB24" s="82"/>
      <c r="AC24" s="82"/>
      <c r="AD24" s="51"/>
      <c r="AE24" s="60"/>
    </row>
    <row r="25" spans="1:33" x14ac:dyDescent="0.2">
      <c r="A25" s="72" t="s">
        <v>141</v>
      </c>
      <c r="B25" s="214">
        <v>1133.7036499999999</v>
      </c>
      <c r="C25" s="215">
        <v>105.38999999999999</v>
      </c>
      <c r="D25" s="215">
        <v>105.38999999999999</v>
      </c>
      <c r="E25" s="75">
        <f>ROUND(((B25-((C25+D25)/62)*31)/$B$11*$E$14)+(C25+D25)/62,0)</f>
        <v>61</v>
      </c>
      <c r="F25" s="82"/>
      <c r="G25" s="76">
        <f>ROUND(((B25-((C25+D25)/62)*31)/$B$11*$G$14)+(C25+D25)/62,0)</f>
        <v>72</v>
      </c>
      <c r="H25" s="214">
        <v>1150.6943567590172</v>
      </c>
      <c r="I25" s="215">
        <v>106.96946971885714</v>
      </c>
      <c r="J25" s="215">
        <v>106.96946971885714</v>
      </c>
      <c r="K25" s="75">
        <f>ROUND(((H25-((I25+J25)/62)*31)/$B$11*$E$14)+(I25+J25)/62,0)</f>
        <v>61</v>
      </c>
      <c r="L25" s="82"/>
      <c r="M25" s="76">
        <f>ROUND(((H25-((I25+J25)/62)*31)/$B$11*$G$14)+(I25+J25)/62,0)</f>
        <v>73</v>
      </c>
      <c r="N25" s="214">
        <v>1153.45391</v>
      </c>
      <c r="O25" s="215">
        <v>107.22599999999998</v>
      </c>
      <c r="P25" s="215">
        <v>107.22599999999998</v>
      </c>
      <c r="Q25" s="75">
        <f>ROUND(((N25-((O25+P25)/62)*31)/$B$11*$E$14)+(O25+P25)/62,0)</f>
        <v>62</v>
      </c>
      <c r="R25" s="82"/>
      <c r="S25" s="76">
        <f>ROUND(((N25-((O25+P25)/62)*31)/$B$11*$G$14)+(O25+P25)/62,0)</f>
        <v>73</v>
      </c>
      <c r="T25" s="214">
        <v>1159.2628099999999</v>
      </c>
      <c r="U25" s="215">
        <v>107.76599999999999</v>
      </c>
      <c r="V25" s="215">
        <v>107.76599999999999</v>
      </c>
      <c r="W25" s="75">
        <f>ROUND(((T25-((U25+V25)/62)*31)/$B$11*$E$14)+(U25+V25)/62,0)</f>
        <v>62</v>
      </c>
      <c r="X25" s="82"/>
      <c r="Y25" s="76">
        <f>ROUND(((T25-((U25+V25)/62)*31)/$B$11*$G$14)+(U25+V25)/62,0)</f>
        <v>73</v>
      </c>
      <c r="Z25" s="214">
        <v>1167.9761599999999</v>
      </c>
      <c r="AA25" s="215">
        <v>108.57599999999999</v>
      </c>
      <c r="AB25" s="215">
        <v>108.57599999999999</v>
      </c>
      <c r="AC25" s="75">
        <f>ROUND(((Z25-((AA25+AB25)/62)*31)/$B$11*$E$14)+(AA25+AB25)/62,0)</f>
        <v>62</v>
      </c>
      <c r="AD25" s="82"/>
      <c r="AE25" s="76">
        <f>ROUND(((Z25-((AA25+AB25)/62)*31)/$B$11*$G$14)+(AA25+AB25)/62,0)</f>
        <v>74</v>
      </c>
      <c r="AG25" s="50" t="s">
        <v>314</v>
      </c>
    </row>
    <row r="26" spans="1:33" x14ac:dyDescent="0.2">
      <c r="A26" s="71" t="s">
        <v>142</v>
      </c>
      <c r="B26" s="214">
        <v>1709.55927</v>
      </c>
      <c r="C26" s="215">
        <v>158.922</v>
      </c>
      <c r="D26" s="215">
        <v>158.922</v>
      </c>
      <c r="E26" s="75">
        <f t="shared" ref="E26" si="17">ROUND(((B26-((C26+D26)/62)*31)/$B$11*$E$14)+(C26+D26)/62,0)</f>
        <v>91</v>
      </c>
      <c r="F26" s="82"/>
      <c r="G26" s="76">
        <f t="shared" ref="G26:G27" si="18">ROUND(((B26-((C26+D26)/62)*31)/$B$11*$G$14)+(C26+D26)/62,0)</f>
        <v>108</v>
      </c>
      <c r="H26" s="214">
        <v>1588.1348221641399</v>
      </c>
      <c r="I26" s="215">
        <v>147.63428600399999</v>
      </c>
      <c r="J26" s="215">
        <v>147.63428600399999</v>
      </c>
      <c r="K26" s="75">
        <f t="shared" ref="K26:K27" si="19">ROUND(((H26-((I26+J26)/62)*31)/$B$11*$E$14)+(I26+J26)/62,0)</f>
        <v>85</v>
      </c>
      <c r="L26" s="82"/>
      <c r="M26" s="76">
        <f t="shared" ref="M26:M27" si="20">ROUND(((H26-((I26+J26)/62)*31)/$B$11*$G$14)+(I26+J26)/62,0)</f>
        <v>100</v>
      </c>
      <c r="N26" s="214">
        <v>1412.7244800000001</v>
      </c>
      <c r="O26" s="215">
        <v>131.328</v>
      </c>
      <c r="P26" s="215">
        <v>131.328</v>
      </c>
      <c r="Q26" s="75">
        <f t="shared" ref="Q26:Q27" si="21">ROUND(((N26-((O26+P26)/62)*31)/$B$11*$E$14)+(O26+P26)/62,0)</f>
        <v>75</v>
      </c>
      <c r="R26" s="82"/>
      <c r="S26" s="76">
        <f t="shared" ref="S26:S27" si="22">ROUND(((N26-((O26+P26)/62)*31)/$B$11*$G$14)+(O26+P26)/62,0)</f>
        <v>89</v>
      </c>
      <c r="T26" s="214">
        <v>1293.64203</v>
      </c>
      <c r="U26" s="215">
        <v>120.258</v>
      </c>
      <c r="V26" s="215">
        <v>120.258</v>
      </c>
      <c r="W26" s="75">
        <f t="shared" ref="W26:W27" si="23">ROUND(((T26-((U26+V26)/62)*31)/$B$11*$E$14)+(U26+V26)/62,0)</f>
        <v>69</v>
      </c>
      <c r="X26" s="82"/>
      <c r="Y26" s="76">
        <f t="shared" ref="Y26:Y27" si="24">ROUND(((T26-((U26+V26)/62)*31)/$B$11*$G$14)+(U26+V26)/62,0)</f>
        <v>82</v>
      </c>
      <c r="Z26" s="214">
        <v>1147.45138</v>
      </c>
      <c r="AA26" s="215">
        <v>106.66799999999999</v>
      </c>
      <c r="AB26" s="215">
        <v>106.66799999999999</v>
      </c>
      <c r="AC26" s="75">
        <f t="shared" ref="AC26:AC27" si="25">ROUND(((Z26-((AA26+AB26)/62)*31)/$B$11*$E$14)+(AA26+AB26)/62,0)</f>
        <v>61</v>
      </c>
      <c r="AD26" s="82"/>
      <c r="AE26" s="76">
        <f t="shared" ref="AE26:AE27" si="26">ROUND(((Z26-((AA26+AB26)/62)*31)/$B$11*$G$14)+(AA26+AB26)/62,0)</f>
        <v>72</v>
      </c>
      <c r="AG26" s="50" t="s">
        <v>318</v>
      </c>
    </row>
    <row r="27" spans="1:33" x14ac:dyDescent="0.2">
      <c r="A27" s="68" t="s">
        <v>147</v>
      </c>
      <c r="B27" s="216">
        <v>855.07007999999996</v>
      </c>
      <c r="C27" s="217">
        <v>79.488</v>
      </c>
      <c r="D27" s="217">
        <v>79.488</v>
      </c>
      <c r="E27" s="79">
        <f>ROUND(((B27-((C27+D27)/62)*31)/$B$11*$E$14)+(C27+D27)/62,0)</f>
        <v>46</v>
      </c>
      <c r="F27" s="80"/>
      <c r="G27" s="81">
        <f t="shared" si="18"/>
        <v>54</v>
      </c>
      <c r="H27" s="216">
        <v>912.53725166660422</v>
      </c>
      <c r="I27" s="217">
        <v>84.830194339714282</v>
      </c>
      <c r="J27" s="217">
        <v>84.830194339714282</v>
      </c>
      <c r="K27" s="79">
        <f t="shared" si="19"/>
        <v>49</v>
      </c>
      <c r="L27" s="80"/>
      <c r="M27" s="81">
        <f t="shared" si="20"/>
        <v>58</v>
      </c>
      <c r="N27" s="216">
        <v>959.63027999999997</v>
      </c>
      <c r="O27" s="217">
        <v>89.207999999999998</v>
      </c>
      <c r="P27" s="217">
        <v>89.207999999999998</v>
      </c>
      <c r="Q27" s="79">
        <f t="shared" si="21"/>
        <v>51</v>
      </c>
      <c r="R27" s="80"/>
      <c r="S27" s="81">
        <f t="shared" si="22"/>
        <v>61</v>
      </c>
      <c r="T27" s="216">
        <v>1011.91038</v>
      </c>
      <c r="U27" s="217">
        <v>94.067999999999998</v>
      </c>
      <c r="V27" s="217">
        <v>94.067999999999998</v>
      </c>
      <c r="W27" s="79">
        <f t="shared" si="23"/>
        <v>54</v>
      </c>
      <c r="X27" s="80"/>
      <c r="Y27" s="81">
        <f t="shared" si="24"/>
        <v>64</v>
      </c>
      <c r="Z27" s="216">
        <v>1064.5777399999999</v>
      </c>
      <c r="AA27" s="217">
        <v>98.963999999999999</v>
      </c>
      <c r="AB27" s="217">
        <v>98.963999999999999</v>
      </c>
      <c r="AC27" s="79">
        <f t="shared" si="25"/>
        <v>57</v>
      </c>
      <c r="AD27" s="80"/>
      <c r="AE27" s="81">
        <f t="shared" si="26"/>
        <v>67</v>
      </c>
      <c r="AG27" s="50" t="s">
        <v>326</v>
      </c>
    </row>
    <row r="28" spans="1:33" x14ac:dyDescent="0.2">
      <c r="A28" s="72" t="s">
        <v>148</v>
      </c>
      <c r="B28" s="73">
        <f>SUM(B25:B27)</f>
        <v>3698.3330000000001</v>
      </c>
      <c r="C28" s="74">
        <f t="shared" ref="C28:G28" si="27">SUM(C25:C27)</f>
        <v>343.8</v>
      </c>
      <c r="D28" s="74">
        <f t="shared" si="27"/>
        <v>343.8</v>
      </c>
      <c r="E28" s="74">
        <f t="shared" si="27"/>
        <v>198</v>
      </c>
      <c r="F28" s="82"/>
      <c r="G28" s="90">
        <f t="shared" si="27"/>
        <v>234</v>
      </c>
      <c r="H28" s="73">
        <f>SUM(H25:H27)</f>
        <v>3651.3664305897614</v>
      </c>
      <c r="I28" s="74">
        <f t="shared" ref="I28:K28" si="28">SUM(I25:I27)</f>
        <v>339.4339500625714</v>
      </c>
      <c r="J28" s="74">
        <f t="shared" si="28"/>
        <v>339.4339500625714</v>
      </c>
      <c r="K28" s="74">
        <f t="shared" si="28"/>
        <v>195</v>
      </c>
      <c r="L28" s="82"/>
      <c r="M28" s="90">
        <f t="shared" ref="M28" si="29">SUM(M25:M27)</f>
        <v>231</v>
      </c>
      <c r="N28" s="73">
        <f>SUM(N25:N27)</f>
        <v>3525.8086699999999</v>
      </c>
      <c r="O28" s="74">
        <f t="shared" ref="O28:Q28" si="30">SUM(O25:O27)</f>
        <v>327.76199999999994</v>
      </c>
      <c r="P28" s="74">
        <f t="shared" si="30"/>
        <v>327.76199999999994</v>
      </c>
      <c r="Q28" s="74">
        <f t="shared" si="30"/>
        <v>188</v>
      </c>
      <c r="R28" s="82"/>
      <c r="S28" s="90">
        <f t="shared" ref="S28" si="31">SUM(S25:S27)</f>
        <v>223</v>
      </c>
      <c r="T28" s="73">
        <f>SUM(T25:T27)</f>
        <v>3464.8152200000004</v>
      </c>
      <c r="U28" s="74">
        <f t="shared" ref="U28:W28" si="32">SUM(U25:U27)</f>
        <v>322.09199999999998</v>
      </c>
      <c r="V28" s="74">
        <f t="shared" si="32"/>
        <v>322.09199999999998</v>
      </c>
      <c r="W28" s="74">
        <f t="shared" si="32"/>
        <v>185</v>
      </c>
      <c r="X28" s="82"/>
      <c r="Y28" s="90">
        <f t="shared" ref="Y28" si="33">SUM(Y25:Y27)</f>
        <v>219</v>
      </c>
      <c r="Z28" s="73">
        <f>SUM(Z25:Z27)</f>
        <v>3380.0052799999994</v>
      </c>
      <c r="AA28" s="74">
        <f t="shared" ref="AA28:AC28" si="34">SUM(AA25:AA27)</f>
        <v>314.20799999999997</v>
      </c>
      <c r="AB28" s="74">
        <f t="shared" si="34"/>
        <v>314.20799999999997</v>
      </c>
      <c r="AC28" s="74">
        <f t="shared" si="34"/>
        <v>180</v>
      </c>
      <c r="AD28" s="82"/>
      <c r="AE28" s="90">
        <f t="shared" ref="AE28" si="35">SUM(AE25:AE27)</f>
        <v>213</v>
      </c>
    </row>
    <row r="29" spans="1:33" x14ac:dyDescent="0.2">
      <c r="A29" s="68" t="s">
        <v>149</v>
      </c>
      <c r="B29" s="84">
        <f t="shared" ref="B29:E29" si="36">ROUND(B28/((1-$B$6))-B28,0)</f>
        <v>6</v>
      </c>
      <c r="C29" s="80">
        <f t="shared" si="36"/>
        <v>1</v>
      </c>
      <c r="D29" s="80">
        <f t="shared" si="36"/>
        <v>1</v>
      </c>
      <c r="E29" s="80">
        <f t="shared" si="36"/>
        <v>0</v>
      </c>
      <c r="F29" s="80"/>
      <c r="G29" s="85">
        <f>ROUND(G28/((1-$B$6))-G28,0)</f>
        <v>0</v>
      </c>
      <c r="H29" s="84">
        <f t="shared" ref="H29:K29" si="37">ROUND(H28/((1-$B$6))-H28,0)</f>
        <v>5</v>
      </c>
      <c r="I29" s="80">
        <f t="shared" si="37"/>
        <v>1</v>
      </c>
      <c r="J29" s="80">
        <f t="shared" si="37"/>
        <v>1</v>
      </c>
      <c r="K29" s="80">
        <f t="shared" si="37"/>
        <v>0</v>
      </c>
      <c r="L29" s="80"/>
      <c r="M29" s="85">
        <f>ROUND(M28/((1-$B$6))-M28,0)</f>
        <v>0</v>
      </c>
      <c r="N29" s="84">
        <f t="shared" ref="N29:Q29" si="38">ROUND(N28/((1-$B$6))-N28,0)</f>
        <v>5</v>
      </c>
      <c r="O29" s="80">
        <f t="shared" si="38"/>
        <v>0</v>
      </c>
      <c r="P29" s="80">
        <f t="shared" si="38"/>
        <v>0</v>
      </c>
      <c r="Q29" s="80">
        <f t="shared" si="38"/>
        <v>0</v>
      </c>
      <c r="R29" s="80"/>
      <c r="S29" s="85">
        <f>ROUND(S28/((1-$B$6))-S28,0)</f>
        <v>0</v>
      </c>
      <c r="T29" s="84">
        <f t="shared" ref="T29:W29" si="39">ROUND(T28/((1-$B$6))-T28,0)</f>
        <v>5</v>
      </c>
      <c r="U29" s="80">
        <f t="shared" si="39"/>
        <v>0</v>
      </c>
      <c r="V29" s="80">
        <f t="shared" si="39"/>
        <v>0</v>
      </c>
      <c r="W29" s="80">
        <f t="shared" si="39"/>
        <v>0</v>
      </c>
      <c r="X29" s="80"/>
      <c r="Y29" s="85">
        <f>ROUND(Y28/((1-$B$6))-Y28,0)</f>
        <v>0</v>
      </c>
      <c r="Z29" s="84">
        <f t="shared" ref="Z29:AC29" si="40">ROUND(Z28/((1-$B$6))-Z28,0)</f>
        <v>5</v>
      </c>
      <c r="AA29" s="80">
        <f t="shared" si="40"/>
        <v>0</v>
      </c>
      <c r="AB29" s="80">
        <f t="shared" si="40"/>
        <v>0</v>
      </c>
      <c r="AC29" s="80">
        <f t="shared" si="40"/>
        <v>0</v>
      </c>
      <c r="AD29" s="80"/>
      <c r="AE29" s="85">
        <f>ROUND(AE28/((1-$B$6))-AE28,0)</f>
        <v>0</v>
      </c>
    </row>
    <row r="30" spans="1:33" x14ac:dyDescent="0.2">
      <c r="A30" s="72" t="s">
        <v>150</v>
      </c>
      <c r="B30" s="73">
        <f>SUM(B28:B29)</f>
        <v>3704.3330000000001</v>
      </c>
      <c r="C30" s="74">
        <f>SUM(C28:C29)</f>
        <v>344.8</v>
      </c>
      <c r="D30" s="74">
        <f>SUM(D28:D29)</f>
        <v>344.8</v>
      </c>
      <c r="E30" s="74">
        <f>SUM(E28:E29)</f>
        <v>198</v>
      </c>
      <c r="F30" s="82"/>
      <c r="G30" s="90">
        <f>SUM(G28:G29)</f>
        <v>234</v>
      </c>
      <c r="H30" s="73">
        <f>SUM(H28:H29)</f>
        <v>3656.3664305897614</v>
      </c>
      <c r="I30" s="74">
        <f>SUM(I28:I29)</f>
        <v>340.4339500625714</v>
      </c>
      <c r="J30" s="74">
        <f>SUM(J28:J29)</f>
        <v>340.4339500625714</v>
      </c>
      <c r="K30" s="74">
        <f>SUM(K28:K29)</f>
        <v>195</v>
      </c>
      <c r="L30" s="82"/>
      <c r="M30" s="90">
        <f>SUM(M28:M29)</f>
        <v>231</v>
      </c>
      <c r="N30" s="73">
        <f>SUM(N28:N29)</f>
        <v>3530.8086699999999</v>
      </c>
      <c r="O30" s="74">
        <f>SUM(O28:O29)</f>
        <v>327.76199999999994</v>
      </c>
      <c r="P30" s="74">
        <f>SUM(P28:P29)</f>
        <v>327.76199999999994</v>
      </c>
      <c r="Q30" s="74">
        <f>SUM(Q28:Q29)</f>
        <v>188</v>
      </c>
      <c r="R30" s="82"/>
      <c r="S30" s="90">
        <f>SUM(S28:S29)</f>
        <v>223</v>
      </c>
      <c r="T30" s="73">
        <f>SUM(T28:T29)</f>
        <v>3469.8152200000004</v>
      </c>
      <c r="U30" s="74">
        <f>SUM(U28:U29)</f>
        <v>322.09199999999998</v>
      </c>
      <c r="V30" s="74">
        <f>SUM(V28:V29)</f>
        <v>322.09199999999998</v>
      </c>
      <c r="W30" s="74">
        <f>SUM(W28:W29)</f>
        <v>185</v>
      </c>
      <c r="X30" s="82"/>
      <c r="Y30" s="90">
        <f>SUM(Y28:Y29)</f>
        <v>219</v>
      </c>
      <c r="Z30" s="73">
        <f>SUM(Z28:Z29)</f>
        <v>3385.0052799999994</v>
      </c>
      <c r="AA30" s="74">
        <f>SUM(AA28:AA29)</f>
        <v>314.20799999999997</v>
      </c>
      <c r="AB30" s="74">
        <f>SUM(AB28:AB29)</f>
        <v>314.20799999999997</v>
      </c>
      <c r="AC30" s="74">
        <f>SUM(AC28:AC29)</f>
        <v>180</v>
      </c>
      <c r="AD30" s="82"/>
      <c r="AE30" s="90">
        <f>SUM(AE28:AE29)</f>
        <v>213</v>
      </c>
    </row>
    <row r="31" spans="1:33" x14ac:dyDescent="0.2">
      <c r="A31" s="71"/>
      <c r="B31" s="73"/>
      <c r="C31" s="82"/>
      <c r="D31" s="82"/>
      <c r="E31" s="82"/>
      <c r="F31" s="82"/>
      <c r="G31" s="60"/>
      <c r="H31" s="73"/>
      <c r="I31" s="82"/>
      <c r="J31" s="82"/>
      <c r="K31" s="82"/>
      <c r="L31" s="82"/>
      <c r="M31" s="60"/>
      <c r="N31" s="73"/>
      <c r="O31" s="82"/>
      <c r="P31" s="82"/>
      <c r="Q31" s="82"/>
      <c r="R31" s="82"/>
      <c r="S31" s="60"/>
      <c r="T31" s="73"/>
      <c r="U31" s="82"/>
      <c r="V31" s="82"/>
      <c r="W31" s="82"/>
      <c r="X31" s="82"/>
      <c r="Y31" s="60"/>
      <c r="Z31" s="73"/>
      <c r="AA31" s="82"/>
      <c r="AB31" s="82"/>
      <c r="AC31" s="82"/>
      <c r="AD31" s="82"/>
      <c r="AE31" s="60"/>
    </row>
    <row r="32" spans="1:33" x14ac:dyDescent="0.2">
      <c r="A32" s="72" t="s">
        <v>104</v>
      </c>
      <c r="B32" s="73"/>
      <c r="C32" s="82"/>
      <c r="D32" s="82"/>
      <c r="E32" s="82"/>
      <c r="F32" s="82"/>
      <c r="G32" s="60"/>
      <c r="H32" s="73"/>
      <c r="I32" s="82"/>
      <c r="J32" s="82"/>
      <c r="K32" s="82"/>
      <c r="L32" s="82"/>
      <c r="M32" s="60"/>
      <c r="N32" s="73"/>
      <c r="O32" s="82"/>
      <c r="P32" s="82"/>
      <c r="Q32" s="82"/>
      <c r="R32" s="82"/>
      <c r="S32" s="60"/>
      <c r="T32" s="73"/>
      <c r="U32" s="82"/>
      <c r="V32" s="82"/>
      <c r="W32" s="82"/>
      <c r="X32" s="82"/>
      <c r="Y32" s="60"/>
      <c r="Z32" s="73"/>
      <c r="AA32" s="82"/>
      <c r="AB32" s="82"/>
      <c r="AC32" s="82"/>
      <c r="AD32" s="82"/>
      <c r="AE32" s="60"/>
    </row>
    <row r="33" spans="1:33" x14ac:dyDescent="0.2">
      <c r="A33" s="68" t="s">
        <v>151</v>
      </c>
      <c r="B33" s="216">
        <v>37153.337139999996</v>
      </c>
      <c r="C33" s="217">
        <v>3453.8039999999996</v>
      </c>
      <c r="D33" s="217">
        <v>3453.8039999999996</v>
      </c>
      <c r="E33" s="144">
        <f>ROUND(((B33-((C33+D33)/62)*31)/$B$11*$E$14)+(C33+D33)/62,0)</f>
        <v>1984</v>
      </c>
      <c r="F33" s="68"/>
      <c r="G33" s="149">
        <f>ROUND(((B33-((C33+D33)/62)*31)/$B$11*$G$14)+(C33+D33)/62,0)</f>
        <v>2346</v>
      </c>
      <c r="H33" s="216">
        <v>35511.40212870192</v>
      </c>
      <c r="I33" s="217">
        <v>3301.168405291714</v>
      </c>
      <c r="J33" s="217">
        <v>3301.168405291714</v>
      </c>
      <c r="K33" s="144">
        <f>ROUND(((H33-((I33+J33)/62)*31)/$B$11*$E$14)+(I33+J33)/62,0)</f>
        <v>1896</v>
      </c>
      <c r="L33" s="68"/>
      <c r="M33" s="149">
        <f>ROUND(((H33-((I33+J33)/62)*31)/$B$11*$G$14)+(I33+J33)/62,0)</f>
        <v>2242</v>
      </c>
      <c r="N33" s="216">
        <v>33553.755440000001</v>
      </c>
      <c r="O33" s="217">
        <v>3119.1839999999997</v>
      </c>
      <c r="P33" s="217">
        <v>3119.1839999999997</v>
      </c>
      <c r="Q33" s="144">
        <f>ROUND(((N33-((O33+P33)/62)*31)/$B$11*$E$14)+(O33+P33)/62,0)</f>
        <v>1791</v>
      </c>
      <c r="R33" s="68"/>
      <c r="S33" s="149">
        <f>ROUND(((N33-((O33+P33)/62)*31)/$B$11*$G$14)+(O33+P33)/62,0)</f>
        <v>2119</v>
      </c>
      <c r="T33" s="216">
        <v>31753.770959999998</v>
      </c>
      <c r="U33" s="217">
        <v>2951.8559999999998</v>
      </c>
      <c r="V33" s="217">
        <v>2951.8559999999998</v>
      </c>
      <c r="W33" s="144">
        <f>ROUND(((T33-((U33+V33)/62)*31)/$B$11*$E$14)+(U33+V33)/62,0)</f>
        <v>1695</v>
      </c>
      <c r="X33" s="68"/>
      <c r="Y33" s="149">
        <f>ROUND(((T33-((U33+V33)/62)*31)/$B$11*$G$14)+(U33+V33)/62,0)</f>
        <v>2005</v>
      </c>
      <c r="Z33" s="216">
        <v>29954.173739999998</v>
      </c>
      <c r="AA33" s="217">
        <v>2784.5639999999999</v>
      </c>
      <c r="AB33" s="217">
        <v>2784.5639999999999</v>
      </c>
      <c r="AC33" s="144">
        <f>ROUND(((Z33-((AA33+AB33)/62)*31)/$B$11*$E$14)+(AA33+AB33)/62,0)</f>
        <v>1599</v>
      </c>
      <c r="AD33" s="68"/>
      <c r="AE33" s="149">
        <f>ROUND(((Z33-((AA33+AB33)/62)*31)/$B$11*$G$14)+(AA33+AB33)/62,0)</f>
        <v>1891</v>
      </c>
      <c r="AG33" s="50" t="s">
        <v>324</v>
      </c>
    </row>
    <row r="34" spans="1:33" x14ac:dyDescent="0.2">
      <c r="A34" s="72" t="s">
        <v>151</v>
      </c>
      <c r="B34" s="73">
        <f>SUM(B33:B33)</f>
        <v>37153.337139999996</v>
      </c>
      <c r="C34" s="74">
        <f>SUM(C33:C33)</f>
        <v>3453.8039999999996</v>
      </c>
      <c r="D34" s="74">
        <f>SUM(D33:D33)</f>
        <v>3453.8039999999996</v>
      </c>
      <c r="E34" s="74">
        <f>SUM(E33:E33)</f>
        <v>1984</v>
      </c>
      <c r="F34" s="74"/>
      <c r="G34" s="90">
        <f>SUM(G33:G33)</f>
        <v>2346</v>
      </c>
      <c r="H34" s="73">
        <f>SUM(H33:H33)</f>
        <v>35511.40212870192</v>
      </c>
      <c r="I34" s="74">
        <f>SUM(I33:I33)</f>
        <v>3301.168405291714</v>
      </c>
      <c r="J34" s="74">
        <f>SUM(J33:J33)</f>
        <v>3301.168405291714</v>
      </c>
      <c r="K34" s="74">
        <f>SUM(K33:K33)</f>
        <v>1896</v>
      </c>
      <c r="L34" s="74"/>
      <c r="M34" s="90">
        <f>SUM(M33:M33)</f>
        <v>2242</v>
      </c>
      <c r="N34" s="73">
        <f>SUM(N33:N33)</f>
        <v>33553.755440000001</v>
      </c>
      <c r="O34" s="74">
        <f>SUM(O33:O33)</f>
        <v>3119.1839999999997</v>
      </c>
      <c r="P34" s="74">
        <f>SUM(P33:P33)</f>
        <v>3119.1839999999997</v>
      </c>
      <c r="Q34" s="74">
        <f>SUM(Q33:Q33)</f>
        <v>1791</v>
      </c>
      <c r="R34" s="74"/>
      <c r="S34" s="90">
        <f>SUM(S33:S33)</f>
        <v>2119</v>
      </c>
      <c r="T34" s="73">
        <f>SUM(T33:T33)</f>
        <v>31753.770959999998</v>
      </c>
      <c r="U34" s="74">
        <f>SUM(U33:U33)</f>
        <v>2951.8559999999998</v>
      </c>
      <c r="V34" s="74">
        <f>SUM(V33:V33)</f>
        <v>2951.8559999999998</v>
      </c>
      <c r="W34" s="74">
        <f>SUM(W33:W33)</f>
        <v>1695</v>
      </c>
      <c r="X34" s="74"/>
      <c r="Y34" s="90">
        <f>SUM(Y33:Y33)</f>
        <v>2005</v>
      </c>
      <c r="Z34" s="73">
        <f>SUM(Z33:Z33)</f>
        <v>29954.173739999998</v>
      </c>
      <c r="AA34" s="74">
        <f>SUM(AA33:AA33)</f>
        <v>2784.5639999999999</v>
      </c>
      <c r="AB34" s="74">
        <f>SUM(AB33:AB33)</f>
        <v>2784.5639999999999</v>
      </c>
      <c r="AC34" s="74">
        <f>SUM(AC33:AC33)</f>
        <v>1599</v>
      </c>
      <c r="AD34" s="74"/>
      <c r="AE34" s="90">
        <f>SUM(AE33:AE33)</f>
        <v>1891</v>
      </c>
    </row>
    <row r="35" spans="1:33" x14ac:dyDescent="0.2">
      <c r="A35" s="68" t="s">
        <v>152</v>
      </c>
      <c r="B35" s="84">
        <f t="shared" ref="B35:K35" si="41">ROUND(B34/((1-$B$6))-B34,0)</f>
        <v>56</v>
      </c>
      <c r="C35" s="80">
        <f t="shared" si="41"/>
        <v>5</v>
      </c>
      <c r="D35" s="80">
        <f t="shared" si="41"/>
        <v>5</v>
      </c>
      <c r="E35" s="80">
        <f t="shared" si="41"/>
        <v>3</v>
      </c>
      <c r="F35" s="80"/>
      <c r="G35" s="85">
        <f t="shared" si="41"/>
        <v>4</v>
      </c>
      <c r="H35" s="84">
        <f t="shared" si="41"/>
        <v>53</v>
      </c>
      <c r="I35" s="80">
        <f t="shared" si="41"/>
        <v>5</v>
      </c>
      <c r="J35" s="80">
        <f t="shared" si="41"/>
        <v>5</v>
      </c>
      <c r="K35" s="80">
        <f t="shared" si="41"/>
        <v>3</v>
      </c>
      <c r="L35" s="80"/>
      <c r="M35" s="85">
        <f t="shared" ref="M35:Q35" si="42">ROUND(M34/((1-$B$6))-M34,0)</f>
        <v>3</v>
      </c>
      <c r="N35" s="84">
        <f t="shared" si="42"/>
        <v>50</v>
      </c>
      <c r="O35" s="80">
        <f t="shared" si="42"/>
        <v>5</v>
      </c>
      <c r="P35" s="80">
        <f t="shared" si="42"/>
        <v>5</v>
      </c>
      <c r="Q35" s="80">
        <f t="shared" si="42"/>
        <v>3</v>
      </c>
      <c r="R35" s="80"/>
      <c r="S35" s="85">
        <f t="shared" ref="S35:W35" si="43">ROUND(S34/((1-$B$6))-S34,0)</f>
        <v>3</v>
      </c>
      <c r="T35" s="84">
        <f t="shared" si="43"/>
        <v>48</v>
      </c>
      <c r="U35" s="80">
        <f t="shared" si="43"/>
        <v>4</v>
      </c>
      <c r="V35" s="80">
        <f t="shared" si="43"/>
        <v>4</v>
      </c>
      <c r="W35" s="80">
        <f t="shared" si="43"/>
        <v>3</v>
      </c>
      <c r="X35" s="80"/>
      <c r="Y35" s="85">
        <f t="shared" ref="Y35:AC35" si="44">ROUND(Y34/((1-$B$6))-Y34,0)</f>
        <v>3</v>
      </c>
      <c r="Z35" s="84">
        <f t="shared" si="44"/>
        <v>45</v>
      </c>
      <c r="AA35" s="80">
        <f t="shared" si="44"/>
        <v>4</v>
      </c>
      <c r="AB35" s="80">
        <f t="shared" si="44"/>
        <v>4</v>
      </c>
      <c r="AC35" s="80">
        <f t="shared" si="44"/>
        <v>2</v>
      </c>
      <c r="AD35" s="80"/>
      <c r="AE35" s="85">
        <f t="shared" ref="AE35" si="45">ROUND(AE34/((1-$B$6))-AE34,0)</f>
        <v>3</v>
      </c>
    </row>
    <row r="36" spans="1:33" x14ac:dyDescent="0.2">
      <c r="A36" s="72" t="s">
        <v>153</v>
      </c>
      <c r="B36" s="73">
        <f>SUM(B34:B35)</f>
        <v>37209.337139999996</v>
      </c>
      <c r="C36" s="74">
        <f>SUM(C34:C35)</f>
        <v>3458.8039999999996</v>
      </c>
      <c r="D36" s="74">
        <f>SUM(D34:D35)</f>
        <v>3458.8039999999996</v>
      </c>
      <c r="E36" s="74">
        <f>SUM(E34:E35)</f>
        <v>1987</v>
      </c>
      <c r="F36" s="82"/>
      <c r="G36" s="90">
        <f>SUM(G34:G35)</f>
        <v>2350</v>
      </c>
      <c r="H36" s="73">
        <f>SUM(H34:H35)</f>
        <v>35564.40212870192</v>
      </c>
      <c r="I36" s="74">
        <f>SUM(I34:I35)</f>
        <v>3306.168405291714</v>
      </c>
      <c r="J36" s="74">
        <f>SUM(J34:J35)</f>
        <v>3306.168405291714</v>
      </c>
      <c r="K36" s="74">
        <f>SUM(K34:K35)</f>
        <v>1899</v>
      </c>
      <c r="L36" s="82"/>
      <c r="M36" s="90">
        <f>SUM(M34:M35)</f>
        <v>2245</v>
      </c>
      <c r="N36" s="73">
        <f>SUM(N34:N35)</f>
        <v>33603.755440000001</v>
      </c>
      <c r="O36" s="74">
        <f>SUM(O34:O35)</f>
        <v>3124.1839999999997</v>
      </c>
      <c r="P36" s="74">
        <f>SUM(P34:P35)</f>
        <v>3124.1839999999997</v>
      </c>
      <c r="Q36" s="74">
        <f>SUM(Q34:Q35)</f>
        <v>1794</v>
      </c>
      <c r="R36" s="82"/>
      <c r="S36" s="90">
        <f>SUM(S34:S35)</f>
        <v>2122</v>
      </c>
      <c r="T36" s="73">
        <f>SUM(T34:T35)</f>
        <v>31801.770959999998</v>
      </c>
      <c r="U36" s="74">
        <f>SUM(U34:U35)</f>
        <v>2955.8559999999998</v>
      </c>
      <c r="V36" s="74">
        <f>SUM(V34:V35)</f>
        <v>2955.8559999999998</v>
      </c>
      <c r="W36" s="74">
        <f>SUM(W34:W35)</f>
        <v>1698</v>
      </c>
      <c r="X36" s="82"/>
      <c r="Y36" s="90">
        <f>SUM(Y34:Y35)</f>
        <v>2008</v>
      </c>
      <c r="Z36" s="73">
        <f>SUM(Z34:Z35)</f>
        <v>29999.173739999998</v>
      </c>
      <c r="AA36" s="74">
        <f>SUM(AA34:AA35)</f>
        <v>2788.5639999999999</v>
      </c>
      <c r="AB36" s="74">
        <f>SUM(AB34:AB35)</f>
        <v>2788.5639999999999</v>
      </c>
      <c r="AC36" s="74">
        <f>SUM(AC34:AC35)</f>
        <v>1601</v>
      </c>
      <c r="AD36" s="82"/>
      <c r="AE36" s="90">
        <f>SUM(AE34:AE35)</f>
        <v>1894</v>
      </c>
    </row>
    <row r="37" spans="1:33" x14ac:dyDescent="0.2">
      <c r="A37" s="72"/>
      <c r="B37" s="73"/>
      <c r="C37" s="82"/>
      <c r="D37" s="82"/>
      <c r="E37" s="82"/>
      <c r="F37" s="82"/>
      <c r="G37" s="60"/>
      <c r="H37" s="73"/>
      <c r="I37" s="82"/>
      <c r="J37" s="82"/>
      <c r="K37" s="82"/>
      <c r="L37" s="82"/>
      <c r="M37" s="60"/>
      <c r="N37" s="73"/>
      <c r="O37" s="82"/>
      <c r="P37" s="82"/>
      <c r="Q37" s="82"/>
      <c r="R37" s="82"/>
      <c r="S37" s="60"/>
      <c r="T37" s="73"/>
      <c r="U37" s="82"/>
      <c r="V37" s="82"/>
      <c r="W37" s="82"/>
      <c r="X37" s="82"/>
      <c r="Y37" s="60"/>
      <c r="Z37" s="73"/>
      <c r="AA37" s="82"/>
      <c r="AB37" s="82"/>
      <c r="AC37" s="82"/>
      <c r="AD37" s="82"/>
      <c r="AE37" s="60"/>
    </row>
    <row r="38" spans="1:33" x14ac:dyDescent="0.2">
      <c r="A38" s="71" t="s">
        <v>77</v>
      </c>
      <c r="B38" s="91"/>
      <c r="C38" s="51"/>
      <c r="D38" s="51"/>
      <c r="E38" s="51"/>
      <c r="F38" s="51"/>
      <c r="G38" s="60"/>
      <c r="H38" s="91"/>
      <c r="I38" s="51"/>
      <c r="J38" s="51"/>
      <c r="K38" s="51"/>
      <c r="L38" s="51"/>
      <c r="M38" s="60"/>
      <c r="N38" s="91"/>
      <c r="O38" s="51"/>
      <c r="P38" s="51"/>
      <c r="Q38" s="51"/>
      <c r="R38" s="51"/>
      <c r="S38" s="60"/>
      <c r="T38" s="91"/>
      <c r="U38" s="51"/>
      <c r="V38" s="51"/>
      <c r="W38" s="51"/>
      <c r="X38" s="51"/>
      <c r="Y38" s="60"/>
      <c r="Z38" s="91"/>
      <c r="AA38" s="51"/>
      <c r="AB38" s="51"/>
      <c r="AC38" s="51"/>
      <c r="AD38" s="51"/>
      <c r="AE38" s="60"/>
    </row>
    <row r="39" spans="1:33" x14ac:dyDescent="0.2">
      <c r="A39" s="145" t="s">
        <v>154</v>
      </c>
      <c r="B39" s="73">
        <f>B20+B28+B34</f>
        <v>409219.57829999999</v>
      </c>
      <c r="C39" s="74">
        <f t="shared" ref="C39:E39" si="46">C20+C28+C34</f>
        <v>38041.379999999997</v>
      </c>
      <c r="D39" s="74">
        <f t="shared" si="46"/>
        <v>38041.379999999997</v>
      </c>
      <c r="E39" s="74">
        <f t="shared" si="46"/>
        <v>18855</v>
      </c>
      <c r="F39" s="51"/>
      <c r="G39" s="90">
        <f>G20+G28+G34</f>
        <v>25840</v>
      </c>
      <c r="H39" s="73">
        <f>H20+H28+H34</f>
        <v>407705.60135228775</v>
      </c>
      <c r="I39" s="74">
        <f t="shared" ref="I39:K39" si="47">I20+I28+I34</f>
        <v>37900.639489444708</v>
      </c>
      <c r="J39" s="74">
        <f t="shared" si="47"/>
        <v>37900.639489444708</v>
      </c>
      <c r="K39" s="74">
        <f t="shared" si="47"/>
        <v>18772</v>
      </c>
      <c r="L39" s="51"/>
      <c r="M39" s="90">
        <f>M20+M28+M34</f>
        <v>25744</v>
      </c>
      <c r="N39" s="73">
        <f>N20+N28+N34</f>
        <v>401616.50271999993</v>
      </c>
      <c r="O39" s="74">
        <f t="shared" ref="O39:Q39" si="48">O20+O28+O34</f>
        <v>37334.592000000004</v>
      </c>
      <c r="P39" s="74">
        <f t="shared" si="48"/>
        <v>37334.592000000004</v>
      </c>
      <c r="Q39" s="74">
        <f t="shared" si="48"/>
        <v>18479</v>
      </c>
      <c r="R39" s="51"/>
      <c r="S39" s="90">
        <f>S20+S28+S34</f>
        <v>25360</v>
      </c>
      <c r="T39" s="73">
        <f>T20+T28+T34</f>
        <v>397616.49417999998</v>
      </c>
      <c r="U39" s="74">
        <f t="shared" ref="U39:W39" si="49">U20+U28+U34</f>
        <v>36962.747999999992</v>
      </c>
      <c r="V39" s="74">
        <f t="shared" si="49"/>
        <v>36962.747999999992</v>
      </c>
      <c r="W39" s="74">
        <f t="shared" si="49"/>
        <v>18282</v>
      </c>
      <c r="X39" s="51"/>
      <c r="Y39" s="90">
        <f>Y20+Y28+Y34</f>
        <v>25107</v>
      </c>
      <c r="Z39" s="73">
        <f>Z20+Z28+Z34</f>
        <v>393565.36732000002</v>
      </c>
      <c r="AA39" s="74">
        <f t="shared" ref="AA39:AC39" si="50">AA20+AA28+AA34</f>
        <v>36586.151999999995</v>
      </c>
      <c r="AB39" s="74">
        <f t="shared" si="50"/>
        <v>36586.151999999995</v>
      </c>
      <c r="AC39" s="74">
        <f t="shared" si="50"/>
        <v>18084</v>
      </c>
      <c r="AD39" s="51"/>
      <c r="AE39" s="90">
        <f>AE20+AE28+AE34</f>
        <v>24850</v>
      </c>
    </row>
    <row r="40" spans="1:33" x14ac:dyDescent="0.2">
      <c r="A40" s="146" t="s">
        <v>155</v>
      </c>
      <c r="B40" s="84">
        <f>B21+B29+B35</f>
        <v>615</v>
      </c>
      <c r="C40" s="80">
        <f t="shared" ref="C40:E40" si="51">C21+C29+C35</f>
        <v>57</v>
      </c>
      <c r="D40" s="80">
        <f t="shared" si="51"/>
        <v>57</v>
      </c>
      <c r="E40" s="80">
        <f t="shared" si="51"/>
        <v>28</v>
      </c>
      <c r="F40" s="92"/>
      <c r="G40" s="85">
        <f>G21+G29+G35</f>
        <v>39</v>
      </c>
      <c r="H40" s="84">
        <f>H21+H29+H35</f>
        <v>612</v>
      </c>
      <c r="I40" s="80">
        <f t="shared" ref="I40:K40" si="52">I21+I29+I35</f>
        <v>57</v>
      </c>
      <c r="J40" s="80">
        <f t="shared" si="52"/>
        <v>57</v>
      </c>
      <c r="K40" s="80">
        <f t="shared" si="52"/>
        <v>28</v>
      </c>
      <c r="L40" s="92"/>
      <c r="M40" s="85">
        <f>M21+M29+M35</f>
        <v>38</v>
      </c>
      <c r="N40" s="84">
        <f>N21+N29+N35</f>
        <v>603</v>
      </c>
      <c r="O40" s="80">
        <f t="shared" ref="O40:Q40" si="53">O21+O29+O35</f>
        <v>56</v>
      </c>
      <c r="P40" s="80">
        <f t="shared" si="53"/>
        <v>56</v>
      </c>
      <c r="Q40" s="80">
        <f t="shared" si="53"/>
        <v>28</v>
      </c>
      <c r="R40" s="92"/>
      <c r="S40" s="85">
        <f>S21+S29+S35</f>
        <v>38</v>
      </c>
      <c r="T40" s="84">
        <f>T21+T29+T35</f>
        <v>597</v>
      </c>
      <c r="U40" s="80">
        <f t="shared" ref="U40:W40" si="54">U21+U29+U35</f>
        <v>55</v>
      </c>
      <c r="V40" s="80">
        <f t="shared" si="54"/>
        <v>55</v>
      </c>
      <c r="W40" s="80">
        <f t="shared" si="54"/>
        <v>28</v>
      </c>
      <c r="X40" s="92"/>
      <c r="Y40" s="85">
        <f>Y21+Y29+Y35</f>
        <v>37</v>
      </c>
      <c r="Z40" s="84">
        <f>Z21+Z29+Z35</f>
        <v>591</v>
      </c>
      <c r="AA40" s="80">
        <f t="shared" ref="AA40:AC40" si="55">AA21+AA29+AA35</f>
        <v>54</v>
      </c>
      <c r="AB40" s="80">
        <f t="shared" si="55"/>
        <v>54</v>
      </c>
      <c r="AC40" s="80">
        <f t="shared" si="55"/>
        <v>26</v>
      </c>
      <c r="AD40" s="92"/>
      <c r="AE40" s="85">
        <f>AE21+AE29+AE35</f>
        <v>37</v>
      </c>
    </row>
    <row r="41" spans="1:33" x14ac:dyDescent="0.2">
      <c r="A41" s="147" t="s">
        <v>156</v>
      </c>
      <c r="B41" s="77">
        <f>SUM(B39:B40)</f>
        <v>409834.57829999999</v>
      </c>
      <c r="C41" s="78">
        <f t="shared" ref="C41:E41" si="56">SUM(C39:C40)</f>
        <v>38098.379999999997</v>
      </c>
      <c r="D41" s="78">
        <f t="shared" si="56"/>
        <v>38098.379999999997</v>
      </c>
      <c r="E41" s="78">
        <f t="shared" si="56"/>
        <v>18883</v>
      </c>
      <c r="F41" s="92"/>
      <c r="G41" s="100">
        <f>SUM(G39:G40)</f>
        <v>25879</v>
      </c>
      <c r="H41" s="77">
        <f>SUM(H39:H40)</f>
        <v>408317.60135228775</v>
      </c>
      <c r="I41" s="78">
        <f t="shared" ref="I41" si="57">SUM(I39:I40)</f>
        <v>37957.639489444708</v>
      </c>
      <c r="J41" s="78">
        <f t="shared" ref="J41" si="58">SUM(J39:J40)</f>
        <v>37957.639489444708</v>
      </c>
      <c r="K41" s="78">
        <f t="shared" ref="K41" si="59">SUM(K39:K40)</f>
        <v>18800</v>
      </c>
      <c r="L41" s="92"/>
      <c r="M41" s="100">
        <f>SUM(M39:M40)</f>
        <v>25782</v>
      </c>
      <c r="N41" s="77">
        <f>SUM(N39:N40)</f>
        <v>402219.50271999993</v>
      </c>
      <c r="O41" s="78">
        <f t="shared" ref="O41" si="60">SUM(O39:O40)</f>
        <v>37390.592000000004</v>
      </c>
      <c r="P41" s="78">
        <f t="shared" ref="P41" si="61">SUM(P39:P40)</f>
        <v>37390.592000000004</v>
      </c>
      <c r="Q41" s="78">
        <f t="shared" ref="Q41" si="62">SUM(Q39:Q40)</f>
        <v>18507</v>
      </c>
      <c r="R41" s="92"/>
      <c r="S41" s="100">
        <f>SUM(S39:S40)</f>
        <v>25398</v>
      </c>
      <c r="T41" s="77">
        <f>SUM(T39:T40)</f>
        <v>398213.49417999998</v>
      </c>
      <c r="U41" s="78">
        <f t="shared" ref="U41" si="63">SUM(U39:U40)</f>
        <v>37017.747999999992</v>
      </c>
      <c r="V41" s="78">
        <f t="shared" ref="V41" si="64">SUM(V39:V40)</f>
        <v>37017.747999999992</v>
      </c>
      <c r="W41" s="78">
        <f t="shared" ref="W41" si="65">SUM(W39:W40)</f>
        <v>18310</v>
      </c>
      <c r="X41" s="92"/>
      <c r="Y41" s="100">
        <f>SUM(Y39:Y40)</f>
        <v>25144</v>
      </c>
      <c r="Z41" s="77">
        <f>SUM(Z39:Z40)</f>
        <v>394156.36732000002</v>
      </c>
      <c r="AA41" s="78">
        <f t="shared" ref="AA41" si="66">SUM(AA39:AA40)</f>
        <v>36640.151999999995</v>
      </c>
      <c r="AB41" s="78">
        <f t="shared" ref="AB41" si="67">SUM(AB39:AB40)</f>
        <v>36640.151999999995</v>
      </c>
      <c r="AC41" s="78">
        <f t="shared" ref="AC41" si="68">SUM(AC39:AC40)</f>
        <v>18110</v>
      </c>
      <c r="AD41" s="92"/>
      <c r="AE41" s="100">
        <f>SUM(AE39:AE40)</f>
        <v>24887</v>
      </c>
    </row>
    <row r="42" spans="1:33" x14ac:dyDescent="0.2">
      <c r="A42" s="72"/>
      <c r="B42" s="93"/>
    </row>
    <row r="43" spans="1:33" x14ac:dyDescent="0.2">
      <c r="A43" s="72"/>
      <c r="B43" s="93"/>
    </row>
    <row r="44" spans="1:33" x14ac:dyDescent="0.2">
      <c r="A44" s="72"/>
      <c r="B44" s="93"/>
    </row>
    <row r="45" spans="1:33" x14ac:dyDescent="0.2">
      <c r="A45" s="72"/>
      <c r="B45" s="93"/>
    </row>
    <row r="46" spans="1:33" x14ac:dyDescent="0.2">
      <c r="A46" s="72"/>
      <c r="B46" s="93"/>
    </row>
    <row r="47" spans="1:33" x14ac:dyDescent="0.2">
      <c r="A47" s="72"/>
    </row>
    <row r="48" spans="1:33" x14ac:dyDescent="0.2">
      <c r="A48" s="72"/>
    </row>
    <row r="49" spans="1:1" x14ac:dyDescent="0.2">
      <c r="A49" s="72"/>
    </row>
    <row r="50" spans="1:1" x14ac:dyDescent="0.2">
      <c r="A50" s="72"/>
    </row>
    <row r="51" spans="1:1" x14ac:dyDescent="0.2">
      <c r="A51" s="72"/>
    </row>
    <row r="52" spans="1:1" x14ac:dyDescent="0.2">
      <c r="A52" s="72"/>
    </row>
    <row r="53" spans="1:1" x14ac:dyDescent="0.2">
      <c r="A53" s="72"/>
    </row>
    <row r="54" spans="1:1" x14ac:dyDescent="0.2">
      <c r="A54" s="72"/>
    </row>
    <row r="55" spans="1:1" x14ac:dyDescent="0.2">
      <c r="A55" s="72"/>
    </row>
    <row r="56" spans="1:1" x14ac:dyDescent="0.2">
      <c r="A56" s="72"/>
    </row>
    <row r="57" spans="1:1" x14ac:dyDescent="0.2">
      <c r="A57" s="72"/>
    </row>
    <row r="58" spans="1:1" x14ac:dyDescent="0.2">
      <c r="A58" s="72"/>
    </row>
    <row r="59" spans="1:1" x14ac:dyDescent="0.2">
      <c r="A59" s="72"/>
    </row>
    <row r="60" spans="1:1" x14ac:dyDescent="0.2">
      <c r="A60" s="72"/>
    </row>
    <row r="61" spans="1:1" x14ac:dyDescent="0.2">
      <c r="A61" s="72"/>
    </row>
    <row r="62" spans="1:1" x14ac:dyDescent="0.2">
      <c r="A62" s="72"/>
    </row>
    <row r="63" spans="1:1" x14ac:dyDescent="0.2">
      <c r="A63" s="72"/>
    </row>
    <row r="64" spans="1:1" x14ac:dyDescent="0.2">
      <c r="A64" s="72"/>
    </row>
  </sheetData>
  <printOptions horizontalCentered="1"/>
  <pageMargins left="0.35" right="0.35" top="0.75" bottom="0.35" header="0.5" footer="0.2"/>
  <pageSetup scale="83" orientation="landscape" blackAndWhite="1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21"/>
  <sheetViews>
    <sheetView zoomScale="70" zoomScaleNormal="70" workbookViewId="0">
      <selection activeCell="T83" sqref="T83"/>
    </sheetView>
  </sheetViews>
  <sheetFormatPr defaultColWidth="9.140625" defaultRowHeight="12.75" x14ac:dyDescent="0.2"/>
  <cols>
    <col min="1" max="1" width="55.7109375" style="2" customWidth="1"/>
    <col min="2" max="2" width="14.85546875" style="2" bestFit="1" customWidth="1"/>
    <col min="3" max="4" width="11.7109375" style="2" customWidth="1"/>
    <col min="5" max="5" width="14.85546875" style="2" bestFit="1" customWidth="1"/>
    <col min="6" max="7" width="11.7109375" style="2" customWidth="1"/>
    <col min="8" max="8" width="14.85546875" style="2" bestFit="1" customWidth="1"/>
    <col min="9" max="10" width="11.7109375" style="2" customWidth="1"/>
    <col min="11" max="11" width="14.85546875" style="2" bestFit="1" customWidth="1"/>
    <col min="12" max="13" width="11.7109375" style="2" customWidth="1"/>
    <col min="14" max="14" width="14.85546875" style="2" bestFit="1" customWidth="1"/>
    <col min="15" max="15" width="11.7109375" style="2" customWidth="1"/>
    <col min="16" max="16" width="14" style="2" customWidth="1"/>
    <col min="17" max="16384" width="9.140625" style="2"/>
  </cols>
  <sheetData>
    <row r="1" spans="1:16" x14ac:dyDescent="0.2">
      <c r="A1" s="2" t="s">
        <v>74</v>
      </c>
      <c r="P1" s="197" t="s">
        <v>225</v>
      </c>
    </row>
    <row r="2" spans="1:16" x14ac:dyDescent="0.2">
      <c r="A2" s="2" t="s">
        <v>165</v>
      </c>
      <c r="P2" s="4" t="str">
        <f>'Retail Sales Base Case'!G1</f>
        <v>2022 Master Estimate</v>
      </c>
    </row>
    <row r="3" spans="1:16" x14ac:dyDescent="0.2">
      <c r="A3" s="2" t="s">
        <v>157</v>
      </c>
      <c r="H3" s="152"/>
      <c r="P3" s="196">
        <f ca="1">'Retail Sales Base Case'!G2</f>
        <v>44852.574980324076</v>
      </c>
    </row>
    <row r="4" spans="1:16" x14ac:dyDescent="0.2">
      <c r="A4" s="2" t="s">
        <v>4</v>
      </c>
      <c r="B4" s="158">
        <f>'Retail Sales Base Case'!B6</f>
        <v>1.5E-3</v>
      </c>
    </row>
    <row r="5" spans="1:16" x14ac:dyDescent="0.2">
      <c r="B5" s="354">
        <v>2023</v>
      </c>
      <c r="C5" s="355"/>
      <c r="D5" s="356"/>
      <c r="E5" s="357">
        <f>B5+1</f>
        <v>2024</v>
      </c>
      <c r="F5" s="358"/>
      <c r="G5" s="359"/>
      <c r="H5" s="357">
        <f>E5+1</f>
        <v>2025</v>
      </c>
      <c r="I5" s="358"/>
      <c r="J5" s="359"/>
      <c r="K5" s="357">
        <f>H5+1</f>
        <v>2026</v>
      </c>
      <c r="L5" s="358"/>
      <c r="M5" s="359"/>
      <c r="N5" s="357">
        <f>K5+1</f>
        <v>2027</v>
      </c>
      <c r="O5" s="358"/>
      <c r="P5" s="359"/>
    </row>
    <row r="6" spans="1:16" x14ac:dyDescent="0.2">
      <c r="B6" s="159" t="s">
        <v>219</v>
      </c>
      <c r="C6" s="137"/>
      <c r="D6" s="123"/>
      <c r="E6" s="159" t="s">
        <v>219</v>
      </c>
      <c r="F6" s="137"/>
      <c r="G6" s="123"/>
      <c r="H6" s="159" t="s">
        <v>219</v>
      </c>
      <c r="I6" s="137"/>
      <c r="J6" s="123"/>
      <c r="K6" s="159" t="s">
        <v>219</v>
      </c>
      <c r="L6" s="137"/>
      <c r="M6" s="123"/>
      <c r="N6" s="159" t="s">
        <v>219</v>
      </c>
      <c r="O6" s="137"/>
      <c r="P6" s="123"/>
    </row>
    <row r="7" spans="1:16" x14ac:dyDescent="0.2">
      <c r="B7" s="160" t="s">
        <v>220</v>
      </c>
      <c r="C7" s="19" t="s">
        <v>158</v>
      </c>
      <c r="D7" s="20" t="s">
        <v>158</v>
      </c>
      <c r="E7" s="160" t="s">
        <v>220</v>
      </c>
      <c r="F7" s="19" t="s">
        <v>158</v>
      </c>
      <c r="G7" s="20" t="s">
        <v>158</v>
      </c>
      <c r="H7" s="160" t="s">
        <v>220</v>
      </c>
      <c r="I7" s="19" t="s">
        <v>158</v>
      </c>
      <c r="J7" s="20" t="s">
        <v>158</v>
      </c>
      <c r="K7" s="160" t="s">
        <v>220</v>
      </c>
      <c r="L7" s="19" t="s">
        <v>158</v>
      </c>
      <c r="M7" s="20" t="s">
        <v>158</v>
      </c>
      <c r="N7" s="160" t="s">
        <v>220</v>
      </c>
      <c r="O7" s="19" t="s">
        <v>158</v>
      </c>
      <c r="P7" s="20" t="s">
        <v>158</v>
      </c>
    </row>
    <row r="8" spans="1:16" ht="15" customHeight="1" x14ac:dyDescent="0.2">
      <c r="B8" s="160" t="s">
        <v>159</v>
      </c>
      <c r="C8" s="19" t="s">
        <v>159</v>
      </c>
      <c r="D8" s="20" t="s">
        <v>160</v>
      </c>
      <c r="E8" s="160" t="s">
        <v>159</v>
      </c>
      <c r="F8" s="19" t="s">
        <v>159</v>
      </c>
      <c r="G8" s="20" t="s">
        <v>160</v>
      </c>
      <c r="H8" s="160" t="s">
        <v>159</v>
      </c>
      <c r="I8" s="19" t="s">
        <v>159</v>
      </c>
      <c r="J8" s="20" t="s">
        <v>160</v>
      </c>
      <c r="K8" s="160" t="s">
        <v>159</v>
      </c>
      <c r="L8" s="19" t="s">
        <v>159</v>
      </c>
      <c r="M8" s="20" t="s">
        <v>160</v>
      </c>
      <c r="N8" s="160" t="s">
        <v>159</v>
      </c>
      <c r="O8" s="19" t="s">
        <v>159</v>
      </c>
      <c r="P8" s="20" t="s">
        <v>160</v>
      </c>
    </row>
    <row r="9" spans="1:16" x14ac:dyDescent="0.2">
      <c r="B9" s="160" t="s">
        <v>161</v>
      </c>
      <c r="C9" s="19" t="s">
        <v>161</v>
      </c>
      <c r="D9" s="20" t="s">
        <v>221</v>
      </c>
      <c r="E9" s="160" t="s">
        <v>161</v>
      </c>
      <c r="F9" s="19" t="s">
        <v>161</v>
      </c>
      <c r="G9" s="20" t="s">
        <v>221</v>
      </c>
      <c r="H9" s="160" t="s">
        <v>161</v>
      </c>
      <c r="I9" s="19" t="s">
        <v>161</v>
      </c>
      <c r="J9" s="20" t="s">
        <v>221</v>
      </c>
      <c r="K9" s="160" t="s">
        <v>161</v>
      </c>
      <c r="L9" s="19" t="s">
        <v>161</v>
      </c>
      <c r="M9" s="20" t="s">
        <v>221</v>
      </c>
      <c r="N9" s="160" t="s">
        <v>161</v>
      </c>
      <c r="O9" s="19" t="s">
        <v>161</v>
      </c>
      <c r="P9" s="20" t="s">
        <v>221</v>
      </c>
    </row>
    <row r="10" spans="1:16" x14ac:dyDescent="0.2">
      <c r="B10" s="199" t="s">
        <v>227</v>
      </c>
      <c r="C10" s="161" t="str">
        <f>B10</f>
        <v>Jan 2023</v>
      </c>
      <c r="D10" s="20" t="s">
        <v>162</v>
      </c>
      <c r="E10" s="199" t="s">
        <v>229</v>
      </c>
      <c r="F10" s="161" t="str">
        <f>E10</f>
        <v>Jan 2024</v>
      </c>
      <c r="G10" s="20" t="s">
        <v>162</v>
      </c>
      <c r="H10" s="199" t="s">
        <v>231</v>
      </c>
      <c r="I10" s="161" t="str">
        <f>H10</f>
        <v>Jan 2025</v>
      </c>
      <c r="J10" s="20" t="s">
        <v>162</v>
      </c>
      <c r="K10" s="199" t="s">
        <v>234</v>
      </c>
      <c r="L10" s="161" t="str">
        <f>K10</f>
        <v>Jan 2026</v>
      </c>
      <c r="M10" s="20" t="s">
        <v>162</v>
      </c>
      <c r="N10" s="199" t="s">
        <v>239</v>
      </c>
      <c r="O10" s="161" t="str">
        <f>N10</f>
        <v>Jan 2027</v>
      </c>
      <c r="P10" s="20" t="s">
        <v>162</v>
      </c>
    </row>
    <row r="11" spans="1:16" ht="13.5" thickBot="1" x14ac:dyDescent="0.25">
      <c r="A11" s="151" t="s">
        <v>9</v>
      </c>
      <c r="B11" s="198"/>
      <c r="C11" s="137"/>
      <c r="D11" s="123"/>
      <c r="E11" s="198"/>
      <c r="F11" s="137"/>
      <c r="G11" s="123"/>
      <c r="H11" s="198"/>
      <c r="I11" s="137"/>
      <c r="J11" s="123"/>
      <c r="K11" s="198"/>
      <c r="L11" s="137"/>
      <c r="M11" s="123"/>
      <c r="N11" s="198"/>
      <c r="O11" s="137"/>
      <c r="P11" s="123"/>
    </row>
    <row r="12" spans="1:16" x14ac:dyDescent="0.2">
      <c r="A12" s="152" t="s">
        <v>11</v>
      </c>
      <c r="B12" s="232">
        <f>'Retail Sales Base Case'!E16</f>
        <v>185541</v>
      </c>
      <c r="C12" s="233">
        <f>'Retail Sales Base Case'!G16</f>
        <v>219435</v>
      </c>
      <c r="D12" s="31">
        <f>C12-B12</f>
        <v>33894</v>
      </c>
      <c r="E12" s="232">
        <f>'Retail Sales Base Case'!K16</f>
        <v>188709</v>
      </c>
      <c r="F12" s="233">
        <f>'Retail Sales Base Case'!M16</f>
        <v>223181</v>
      </c>
      <c r="G12" s="31">
        <f>F12-E12</f>
        <v>34472</v>
      </c>
      <c r="H12" s="232">
        <f>'Retail Sales Base Case'!Q16</f>
        <v>189617</v>
      </c>
      <c r="I12" s="233">
        <f>'Retail Sales Base Case'!S16</f>
        <v>224255</v>
      </c>
      <c r="J12" s="31">
        <f>I12-H12</f>
        <v>34638</v>
      </c>
      <c r="K12" s="232">
        <f>'Retail Sales Base Case'!W16</f>
        <v>191644</v>
      </c>
      <c r="L12" s="233">
        <f>'Retail Sales Base Case'!Y16</f>
        <v>226653</v>
      </c>
      <c r="M12" s="31">
        <f>L12-K12</f>
        <v>35009</v>
      </c>
      <c r="N12" s="232">
        <f>'Retail Sales Base Case'!AC16</f>
        <v>193739</v>
      </c>
      <c r="O12" s="233">
        <f>'Retail Sales Base Case'!AE16</f>
        <v>229130</v>
      </c>
      <c r="P12" s="31">
        <f>O12-N12</f>
        <v>35391</v>
      </c>
    </row>
    <row r="13" spans="1:16" x14ac:dyDescent="0.2">
      <c r="A13" s="152" t="s">
        <v>12</v>
      </c>
      <c r="B13" s="232">
        <f>'Retail Sales Base Case'!E17</f>
        <v>30548</v>
      </c>
      <c r="C13" s="233">
        <f>'Retail Sales Base Case'!G17</f>
        <v>36128</v>
      </c>
      <c r="D13" s="31">
        <f t="shared" ref="D13:D15" si="0">C13-B13</f>
        <v>5580</v>
      </c>
      <c r="E13" s="232">
        <f>'Retail Sales Base Case'!K17</f>
        <v>30891</v>
      </c>
      <c r="F13" s="233">
        <f>'Retail Sales Base Case'!M17</f>
        <v>36534</v>
      </c>
      <c r="G13" s="31">
        <f t="shared" ref="G13:G15" si="1">F13-E13</f>
        <v>5643</v>
      </c>
      <c r="H13" s="232">
        <f>'Retail Sales Base Case'!Q17</f>
        <v>30863</v>
      </c>
      <c r="I13" s="233">
        <f>'Retail Sales Base Case'!S17</f>
        <v>36501</v>
      </c>
      <c r="J13" s="31">
        <f t="shared" ref="J13:J15" si="2">I13-H13</f>
        <v>5638</v>
      </c>
      <c r="K13" s="232">
        <f>'Retail Sales Base Case'!W17</f>
        <v>31020</v>
      </c>
      <c r="L13" s="233">
        <f>'Retail Sales Base Case'!Y17</f>
        <v>36687</v>
      </c>
      <c r="M13" s="31">
        <f t="shared" ref="M13:M15" si="3">L13-K13</f>
        <v>5667</v>
      </c>
      <c r="N13" s="232">
        <f>'Retail Sales Base Case'!AC17</f>
        <v>31179</v>
      </c>
      <c r="O13" s="233">
        <f>'Retail Sales Base Case'!AE17</f>
        <v>36874</v>
      </c>
      <c r="P13" s="31">
        <f t="shared" ref="P13:P15" si="4">O13-N13</f>
        <v>5695</v>
      </c>
    </row>
    <row r="14" spans="1:16" x14ac:dyDescent="0.2">
      <c r="A14" s="152" t="s">
        <v>94</v>
      </c>
      <c r="B14" s="232">
        <f>'Retail Sales Base Case'!E18</f>
        <v>2189</v>
      </c>
      <c r="C14" s="233">
        <f>'Retail Sales Base Case'!G18</f>
        <v>2189</v>
      </c>
      <c r="D14" s="31">
        <f t="shared" si="0"/>
        <v>0</v>
      </c>
      <c r="E14" s="232">
        <f>'Retail Sales Base Case'!K18</f>
        <v>2211</v>
      </c>
      <c r="F14" s="233">
        <f>'Retail Sales Base Case'!M18</f>
        <v>2211</v>
      </c>
      <c r="G14" s="31">
        <f t="shared" si="1"/>
        <v>0</v>
      </c>
      <c r="H14" s="232">
        <f>'Retail Sales Base Case'!Q18</f>
        <v>2202</v>
      </c>
      <c r="I14" s="233">
        <f>'Retail Sales Base Case'!S18</f>
        <v>2202</v>
      </c>
      <c r="J14" s="31">
        <f t="shared" si="2"/>
        <v>0</v>
      </c>
      <c r="K14" s="232">
        <f>'Retail Sales Base Case'!W18</f>
        <v>2211</v>
      </c>
      <c r="L14" s="233">
        <f>'Retail Sales Base Case'!Y18</f>
        <v>2211</v>
      </c>
      <c r="M14" s="31">
        <f t="shared" si="3"/>
        <v>0</v>
      </c>
      <c r="N14" s="232">
        <f>'Retail Sales Base Case'!AC18</f>
        <v>2217</v>
      </c>
      <c r="O14" s="233">
        <f>'Retail Sales Base Case'!AE18</f>
        <v>2217</v>
      </c>
      <c r="P14" s="31">
        <f t="shared" si="4"/>
        <v>0</v>
      </c>
    </row>
    <row r="15" spans="1:16" x14ac:dyDescent="0.2">
      <c r="A15" s="153" t="s">
        <v>13</v>
      </c>
      <c r="B15" s="232">
        <f>'Retail Sales Base Case'!E19</f>
        <v>2461</v>
      </c>
      <c r="C15" s="233">
        <f>'Retail Sales Base Case'!G19</f>
        <v>2911</v>
      </c>
      <c r="D15" s="31">
        <f t="shared" si="0"/>
        <v>450</v>
      </c>
      <c r="E15" s="232">
        <f>'Retail Sales Base Case'!K19</f>
        <v>2422</v>
      </c>
      <c r="F15" s="233">
        <f>'Retail Sales Base Case'!M19</f>
        <v>2865</v>
      </c>
      <c r="G15" s="31">
        <f t="shared" si="1"/>
        <v>443</v>
      </c>
      <c r="H15" s="232">
        <f>'Retail Sales Base Case'!Q19</f>
        <v>2352</v>
      </c>
      <c r="I15" s="233">
        <f>'Retail Sales Base Case'!S19</f>
        <v>2782</v>
      </c>
      <c r="J15" s="31">
        <f t="shared" si="2"/>
        <v>430</v>
      </c>
      <c r="K15" s="232">
        <f>'Retail Sales Base Case'!W19</f>
        <v>2291</v>
      </c>
      <c r="L15" s="233">
        <f>'Retail Sales Base Case'!Y19</f>
        <v>2709</v>
      </c>
      <c r="M15" s="31">
        <f t="shared" si="3"/>
        <v>418</v>
      </c>
      <c r="N15" s="232">
        <f>'Retail Sales Base Case'!AC19</f>
        <v>2239</v>
      </c>
      <c r="O15" s="233">
        <f>'Retail Sales Base Case'!AE19</f>
        <v>2648</v>
      </c>
      <c r="P15" s="31">
        <f t="shared" si="4"/>
        <v>409</v>
      </c>
    </row>
    <row r="16" spans="1:16" x14ac:dyDescent="0.2">
      <c r="A16" s="152" t="s">
        <v>166</v>
      </c>
      <c r="B16" s="163">
        <f>SUM(B12:B15)</f>
        <v>220739</v>
      </c>
      <c r="C16" s="155">
        <f>SUM(C12:C15)</f>
        <v>260663</v>
      </c>
      <c r="D16" s="156">
        <f t="shared" ref="D16:P16" si="5">SUM(D12:D15)</f>
        <v>39924</v>
      </c>
      <c r="E16" s="163">
        <f>SUM(E12:E15)</f>
        <v>224233</v>
      </c>
      <c r="F16" s="155">
        <f>SUM(F12:F15)</f>
        <v>264791</v>
      </c>
      <c r="G16" s="156">
        <f t="shared" si="5"/>
        <v>40558</v>
      </c>
      <c r="H16" s="163">
        <f>SUM(H12:H15)</f>
        <v>225034</v>
      </c>
      <c r="I16" s="155">
        <f>SUM(I12:I15)</f>
        <v>265740</v>
      </c>
      <c r="J16" s="156">
        <f t="shared" si="5"/>
        <v>40706</v>
      </c>
      <c r="K16" s="163">
        <f>SUM(K12:K15)</f>
        <v>227166</v>
      </c>
      <c r="L16" s="155">
        <f>SUM(L12:L15)</f>
        <v>268260</v>
      </c>
      <c r="M16" s="156">
        <f t="shared" si="5"/>
        <v>41094</v>
      </c>
      <c r="N16" s="163">
        <f>SUM(N12:N15)</f>
        <v>229374</v>
      </c>
      <c r="O16" s="155">
        <f>SUM(O12:O15)</f>
        <v>270869</v>
      </c>
      <c r="P16" s="156">
        <f t="shared" si="5"/>
        <v>41495</v>
      </c>
    </row>
    <row r="17" spans="1:16" x14ac:dyDescent="0.2">
      <c r="A17" s="153" t="s">
        <v>14</v>
      </c>
      <c r="B17" s="234">
        <f>'Retail Sales Base Case'!E20</f>
        <v>55</v>
      </c>
      <c r="C17" s="235">
        <f>'Retail Sales Base Case'!G20</f>
        <v>55</v>
      </c>
      <c r="D17" s="43">
        <f>C17-B17</f>
        <v>0</v>
      </c>
      <c r="E17" s="234">
        <f>'Retail Sales Base Case'!K20</f>
        <v>55</v>
      </c>
      <c r="F17" s="235">
        <f>'Retail Sales Base Case'!M20</f>
        <v>55</v>
      </c>
      <c r="G17" s="43">
        <f>F17-E17</f>
        <v>0</v>
      </c>
      <c r="H17" s="234">
        <f>'Retail Sales Base Case'!Q20</f>
        <v>55</v>
      </c>
      <c r="I17" s="235">
        <f>'Retail Sales Base Case'!S20</f>
        <v>55</v>
      </c>
      <c r="J17" s="43">
        <f>I17-H17</f>
        <v>0</v>
      </c>
      <c r="K17" s="234">
        <f>'Retail Sales Base Case'!W20</f>
        <v>55</v>
      </c>
      <c r="L17" s="235">
        <f>'Retail Sales Base Case'!Y20</f>
        <v>55</v>
      </c>
      <c r="M17" s="43">
        <f>L17-K17</f>
        <v>0</v>
      </c>
      <c r="N17" s="234">
        <f>'Retail Sales Base Case'!AC20</f>
        <v>55</v>
      </c>
      <c r="O17" s="235">
        <f>'Retail Sales Base Case'!AE20</f>
        <v>55</v>
      </c>
      <c r="P17" s="43">
        <f>O17-N17</f>
        <v>0</v>
      </c>
    </row>
    <row r="18" spans="1:16" x14ac:dyDescent="0.2">
      <c r="A18" s="152" t="s">
        <v>15</v>
      </c>
      <c r="B18" s="163">
        <f>SUM(B16:B17)</f>
        <v>220794</v>
      </c>
      <c r="C18" s="155">
        <f>SUM(C16:C17)</f>
        <v>260718</v>
      </c>
      <c r="D18" s="156">
        <f t="shared" ref="D18:P18" si="6">SUM(D16:D17)</f>
        <v>39924</v>
      </c>
      <c r="E18" s="163">
        <f>SUM(E16:E17)</f>
        <v>224288</v>
      </c>
      <c r="F18" s="155">
        <f>SUM(F16:F17)</f>
        <v>264846</v>
      </c>
      <c r="G18" s="156">
        <f t="shared" si="6"/>
        <v>40558</v>
      </c>
      <c r="H18" s="163">
        <f>SUM(H16:H17)</f>
        <v>225089</v>
      </c>
      <c r="I18" s="155">
        <f>SUM(I16:I17)</f>
        <v>265795</v>
      </c>
      <c r="J18" s="156">
        <f t="shared" si="6"/>
        <v>40706</v>
      </c>
      <c r="K18" s="163">
        <f>SUM(K16:K17)</f>
        <v>227221</v>
      </c>
      <c r="L18" s="155">
        <f>SUM(L16:L17)</f>
        <v>268315</v>
      </c>
      <c r="M18" s="156">
        <f t="shared" si="6"/>
        <v>41094</v>
      </c>
      <c r="N18" s="163">
        <f>SUM(N16:N17)</f>
        <v>229429</v>
      </c>
      <c r="O18" s="155">
        <f>SUM(O16:O17)</f>
        <v>270924</v>
      </c>
      <c r="P18" s="156">
        <f t="shared" si="6"/>
        <v>41495</v>
      </c>
    </row>
    <row r="19" spans="1:16" x14ac:dyDescent="0.2">
      <c r="A19" s="153" t="s">
        <v>167</v>
      </c>
      <c r="B19" s="40">
        <f>ROUND(B18/((1-$B$4))-B18,0)</f>
        <v>332</v>
      </c>
      <c r="C19" s="42">
        <f>ROUND(C18/((1-$B$4))-C18,0)</f>
        <v>392</v>
      </c>
      <c r="D19" s="43">
        <f>C19-B19</f>
        <v>60</v>
      </c>
      <c r="E19" s="40">
        <f>ROUND(E18/((1-$B$4))-E18,0)</f>
        <v>337</v>
      </c>
      <c r="F19" s="42">
        <f>ROUND(F18/((1-$B$4))-F18,0)</f>
        <v>398</v>
      </c>
      <c r="G19" s="43">
        <f>F19-E19</f>
        <v>61</v>
      </c>
      <c r="H19" s="40">
        <f>ROUND(H18/((1-$B$4))-H18,0)</f>
        <v>338</v>
      </c>
      <c r="I19" s="42">
        <f>ROUND(I18/((1-$B$4))-I18,0)</f>
        <v>399</v>
      </c>
      <c r="J19" s="43">
        <f>I19-H19</f>
        <v>61</v>
      </c>
      <c r="K19" s="40">
        <f>ROUND(K18/((1-$B$4))-K18,0)</f>
        <v>341</v>
      </c>
      <c r="L19" s="42">
        <f>ROUND(L18/((1-$B$4))-L18,0)</f>
        <v>403</v>
      </c>
      <c r="M19" s="43">
        <f>L19-K19</f>
        <v>62</v>
      </c>
      <c r="N19" s="40">
        <f>ROUND(N18/((1-$B$4))-N18,0)</f>
        <v>345</v>
      </c>
      <c r="O19" s="42">
        <f>ROUND(O18/((1-$B$4))-O18,0)</f>
        <v>407</v>
      </c>
      <c r="P19" s="43">
        <f>O19-N19</f>
        <v>62</v>
      </c>
    </row>
    <row r="20" spans="1:16" s="110" customFormat="1" x14ac:dyDescent="0.2">
      <c r="A20" s="175" t="s">
        <v>17</v>
      </c>
      <c r="B20" s="26">
        <f>'Retail Sales Base Case'!E23</f>
        <v>221126</v>
      </c>
      <c r="C20" s="27">
        <f>'Retail Sales Base Case'!G23</f>
        <v>261110</v>
      </c>
      <c r="D20" s="32">
        <f>C20-B20</f>
        <v>39984</v>
      </c>
      <c r="E20" s="26">
        <f>'Retail Sales Base Case'!K23</f>
        <v>224625</v>
      </c>
      <c r="F20" s="27">
        <f>'Retail Sales Base Case'!M23</f>
        <v>265244</v>
      </c>
      <c r="G20" s="32">
        <f>F20-E20</f>
        <v>40619</v>
      </c>
      <c r="H20" s="26">
        <f>'Retail Sales Base Case'!Q23</f>
        <v>225427</v>
      </c>
      <c r="I20" s="27">
        <f>'Retail Sales Base Case'!S23</f>
        <v>266194</v>
      </c>
      <c r="J20" s="32">
        <f>I20-H20</f>
        <v>40767</v>
      </c>
      <c r="K20" s="26">
        <f>'Retail Sales Base Case'!W23</f>
        <v>227562</v>
      </c>
      <c r="L20" s="27">
        <f>'Retail Sales Base Case'!Y23</f>
        <v>268718</v>
      </c>
      <c r="M20" s="32">
        <f>L20-K20</f>
        <v>41156</v>
      </c>
      <c r="N20" s="26">
        <f>'Retail Sales Base Case'!AC23</f>
        <v>229774</v>
      </c>
      <c r="O20" s="27">
        <f>'Retail Sales Base Case'!AE23</f>
        <v>271331</v>
      </c>
      <c r="P20" s="32">
        <f>O20-N20</f>
        <v>41557</v>
      </c>
    </row>
    <row r="21" spans="1:16" x14ac:dyDescent="0.2">
      <c r="A21" s="152"/>
      <c r="B21" s="162"/>
      <c r="C21" s="3"/>
      <c r="D21" s="10"/>
      <c r="E21" s="162"/>
      <c r="F21" s="3"/>
      <c r="G21" s="10"/>
      <c r="H21" s="162"/>
      <c r="I21" s="3"/>
      <c r="J21" s="10"/>
      <c r="K21" s="162"/>
      <c r="L21" s="3"/>
      <c r="M21" s="10"/>
      <c r="N21" s="162"/>
      <c r="O21" s="3"/>
      <c r="P21" s="10"/>
    </row>
    <row r="22" spans="1:16" x14ac:dyDescent="0.2">
      <c r="A22" s="145"/>
      <c r="B22" s="162"/>
      <c r="C22" s="3"/>
      <c r="D22" s="10"/>
      <c r="E22" s="162"/>
      <c r="F22" s="3"/>
      <c r="G22" s="10"/>
      <c r="H22" s="162"/>
      <c r="I22" s="3"/>
      <c r="J22" s="10"/>
      <c r="K22" s="162"/>
      <c r="L22" s="3"/>
      <c r="M22" s="10"/>
      <c r="N22" s="162"/>
      <c r="O22" s="3"/>
      <c r="P22" s="10"/>
    </row>
    <row r="23" spans="1:16" ht="13.5" thickBot="1" x14ac:dyDescent="0.25">
      <c r="A23" s="154" t="s">
        <v>76</v>
      </c>
      <c r="B23" s="162"/>
      <c r="C23" s="30"/>
      <c r="D23" s="31"/>
      <c r="E23" s="162"/>
      <c r="F23" s="30"/>
      <c r="G23" s="31"/>
      <c r="H23" s="162"/>
      <c r="I23" s="30"/>
      <c r="J23" s="31"/>
      <c r="K23" s="162"/>
      <c r="L23" s="30"/>
      <c r="M23" s="31"/>
      <c r="N23" s="162"/>
      <c r="O23" s="30"/>
      <c r="P23" s="31"/>
    </row>
    <row r="24" spans="1:16" x14ac:dyDescent="0.2">
      <c r="A24" s="145" t="s">
        <v>168</v>
      </c>
      <c r="B24" s="232">
        <f>'Res Trans Base Case'!E20</f>
        <v>2220</v>
      </c>
      <c r="C24" s="233">
        <f>'Res Trans Base Case'!G20</f>
        <v>3097</v>
      </c>
      <c r="D24" s="31">
        <f t="shared" ref="D24:G29" si="7">C24-B24</f>
        <v>877</v>
      </c>
      <c r="E24" s="232">
        <f>'Res Trans Base Case'!K20</f>
        <v>2305</v>
      </c>
      <c r="F24" s="233">
        <f>'Res Trans Base Case'!M20</f>
        <v>3215</v>
      </c>
      <c r="G24" s="31">
        <f t="shared" ref="G24:G27" si="8">F24-E24</f>
        <v>910</v>
      </c>
      <c r="H24" s="232">
        <f>'Res Trans Base Case'!Q20</f>
        <v>2352</v>
      </c>
      <c r="I24" s="233">
        <f>'Res Trans Base Case'!S20</f>
        <v>3280</v>
      </c>
      <c r="J24" s="31">
        <f t="shared" ref="J24:J27" si="9">I24-H24</f>
        <v>928</v>
      </c>
      <c r="K24" s="232">
        <f>'Res Trans Base Case'!W20</f>
        <v>2390</v>
      </c>
      <c r="L24" s="233">
        <f>'Res Trans Base Case'!Y20</f>
        <v>3334</v>
      </c>
      <c r="M24" s="31">
        <f t="shared" ref="M24:M27" si="10">L24-K24</f>
        <v>944</v>
      </c>
      <c r="N24" s="232">
        <f>'Res Trans Base Case'!AC20</f>
        <v>2445</v>
      </c>
      <c r="O24" s="233">
        <f>'Res Trans Base Case'!AE20</f>
        <v>3410</v>
      </c>
      <c r="P24" s="31">
        <f t="shared" ref="P24:P27" si="11">O24-N24</f>
        <v>965</v>
      </c>
    </row>
    <row r="25" spans="1:16" x14ac:dyDescent="0.2">
      <c r="A25" s="145" t="s">
        <v>169</v>
      </c>
      <c r="B25" s="232">
        <f>'Com Trans Base Case'!E22</f>
        <v>32720</v>
      </c>
      <c r="C25" s="233">
        <f>'Com Trans Base Case'!G22</f>
        <v>45646</v>
      </c>
      <c r="D25" s="31">
        <f t="shared" si="7"/>
        <v>12926</v>
      </c>
      <c r="E25" s="232">
        <f>'Com Trans Base Case'!K22</f>
        <v>33787</v>
      </c>
      <c r="F25" s="233">
        <f>'Com Trans Base Case'!M22</f>
        <v>47137</v>
      </c>
      <c r="G25" s="31">
        <f t="shared" si="8"/>
        <v>13350</v>
      </c>
      <c r="H25" s="232">
        <f>'Com Trans Base Case'!Q22</f>
        <v>34488</v>
      </c>
      <c r="I25" s="233">
        <f>'Com Trans Base Case'!S22</f>
        <v>48113</v>
      </c>
      <c r="J25" s="31">
        <f t="shared" si="9"/>
        <v>13625</v>
      </c>
      <c r="K25" s="232">
        <f>'Com Trans Base Case'!W22</f>
        <v>35368</v>
      </c>
      <c r="L25" s="233">
        <f>'Com Trans Base Case'!Y22</f>
        <v>49339</v>
      </c>
      <c r="M25" s="31">
        <f t="shared" si="10"/>
        <v>13971</v>
      </c>
      <c r="N25" s="232">
        <f>'Com Trans Base Case'!AC22</f>
        <v>36278</v>
      </c>
      <c r="O25" s="233">
        <f>'Com Trans Base Case'!AE22</f>
        <v>50611</v>
      </c>
      <c r="P25" s="31">
        <f t="shared" si="11"/>
        <v>14333</v>
      </c>
    </row>
    <row r="26" spans="1:16" x14ac:dyDescent="0.2">
      <c r="A26" s="145" t="s">
        <v>170</v>
      </c>
      <c r="B26" s="232">
        <f>'Ind Trans Base Case'!D21</f>
        <v>17683</v>
      </c>
      <c r="C26" s="233">
        <f>'Ind Trans Base Case'!F21</f>
        <v>25765.579007507095</v>
      </c>
      <c r="D26" s="31">
        <f t="shared" si="7"/>
        <v>8082.5790075070945</v>
      </c>
      <c r="E26" s="232">
        <f>'Ind Trans Base Case'!I21</f>
        <v>17828</v>
      </c>
      <c r="F26" s="233">
        <f>'Ind Trans Base Case'!K21</f>
        <v>25882.83112270695</v>
      </c>
      <c r="G26" s="31">
        <f t="shared" si="8"/>
        <v>8054.8311227069498</v>
      </c>
      <c r="H26" s="232">
        <f>'Ind Trans Base Case'!N21</f>
        <v>17740</v>
      </c>
      <c r="I26" s="233">
        <f>'Ind Trans Base Case'!P21</f>
        <v>25833.087809735862</v>
      </c>
      <c r="J26" s="31">
        <f t="shared" si="9"/>
        <v>8093.0878097358618</v>
      </c>
      <c r="K26" s="232">
        <f>'Ind Trans Base Case'!S21</f>
        <v>17786</v>
      </c>
      <c r="L26" s="233">
        <f>'Ind Trans Base Case'!U21</f>
        <v>25875.150151654027</v>
      </c>
      <c r="M26" s="31">
        <f t="shared" si="10"/>
        <v>8089.1501516540266</v>
      </c>
      <c r="N26" s="232">
        <f>'Ind Trans Base Case'!X21</f>
        <v>17828</v>
      </c>
      <c r="O26" s="233">
        <f>'Ind Trans Base Case'!Z21</f>
        <v>25908.684840564703</v>
      </c>
      <c r="P26" s="31">
        <f t="shared" si="11"/>
        <v>8080.6848405647033</v>
      </c>
    </row>
    <row r="27" spans="1:16" x14ac:dyDescent="0.2">
      <c r="A27" s="146" t="s">
        <v>171</v>
      </c>
      <c r="B27" s="232">
        <f>'Pub Trans Base Case'!E20</f>
        <v>16673</v>
      </c>
      <c r="C27" s="233">
        <f>'Pub Trans Base Case'!G20</f>
        <v>23260</v>
      </c>
      <c r="D27" s="31">
        <f t="shared" si="7"/>
        <v>6587</v>
      </c>
      <c r="E27" s="232">
        <f>'Pub Trans Base Case'!K20</f>
        <v>16681</v>
      </c>
      <c r="F27" s="233">
        <f>'Pub Trans Base Case'!M20</f>
        <v>23271</v>
      </c>
      <c r="G27" s="31">
        <f t="shared" si="8"/>
        <v>6590</v>
      </c>
      <c r="H27" s="232">
        <f>'Pub Trans Base Case'!Q20</f>
        <v>16500</v>
      </c>
      <c r="I27" s="233">
        <f>'Pub Trans Base Case'!S20</f>
        <v>23018</v>
      </c>
      <c r="J27" s="31">
        <f t="shared" si="9"/>
        <v>6518</v>
      </c>
      <c r="K27" s="232">
        <f>'Pub Trans Base Case'!W20</f>
        <v>16402</v>
      </c>
      <c r="L27" s="233">
        <f>'Pub Trans Base Case'!Y20</f>
        <v>22883</v>
      </c>
      <c r="M27" s="31">
        <f t="shared" si="10"/>
        <v>6481</v>
      </c>
      <c r="N27" s="232">
        <f>'Pub Trans Base Case'!AC20</f>
        <v>16305</v>
      </c>
      <c r="O27" s="233">
        <f>'Pub Trans Base Case'!AE20</f>
        <v>22746</v>
      </c>
      <c r="P27" s="31">
        <f t="shared" si="11"/>
        <v>6441</v>
      </c>
    </row>
    <row r="28" spans="1:16" x14ac:dyDescent="0.2">
      <c r="A28" s="145" t="s">
        <v>172</v>
      </c>
      <c r="B28" s="163">
        <f>SUM(B24:B27)</f>
        <v>69296</v>
      </c>
      <c r="C28" s="155">
        <f t="shared" ref="C28:P28" si="12">SUM(C24:C27)</f>
        <v>97768.579007507098</v>
      </c>
      <c r="D28" s="156">
        <f t="shared" si="12"/>
        <v>28472.579007507095</v>
      </c>
      <c r="E28" s="163">
        <f t="shared" si="12"/>
        <v>70601</v>
      </c>
      <c r="F28" s="155">
        <f t="shared" si="12"/>
        <v>99505.83112270695</v>
      </c>
      <c r="G28" s="156">
        <f t="shared" si="12"/>
        <v>28904.83112270695</v>
      </c>
      <c r="H28" s="163">
        <f t="shared" si="12"/>
        <v>71080</v>
      </c>
      <c r="I28" s="155">
        <f t="shared" si="12"/>
        <v>100244.08780973587</v>
      </c>
      <c r="J28" s="156">
        <f t="shared" si="12"/>
        <v>29164.087809735862</v>
      </c>
      <c r="K28" s="163">
        <f t="shared" si="12"/>
        <v>71946</v>
      </c>
      <c r="L28" s="155">
        <f t="shared" si="12"/>
        <v>101431.15015165403</v>
      </c>
      <c r="M28" s="156">
        <f t="shared" si="12"/>
        <v>29485.150151654027</v>
      </c>
      <c r="N28" s="163">
        <f t="shared" si="12"/>
        <v>72856</v>
      </c>
      <c r="O28" s="155">
        <f t="shared" si="12"/>
        <v>102675.6848405647</v>
      </c>
      <c r="P28" s="156">
        <f t="shared" si="12"/>
        <v>29819.684840564703</v>
      </c>
    </row>
    <row r="29" spans="1:16" x14ac:dyDescent="0.2">
      <c r="A29" s="146" t="s">
        <v>173</v>
      </c>
      <c r="B29" s="40">
        <f>ROUND(B28/((1-$B$4))-B28,0)</f>
        <v>104</v>
      </c>
      <c r="C29" s="42">
        <f>ROUND(C28/((1-$B$4))-C28,0)</f>
        <v>147</v>
      </c>
      <c r="D29" s="43">
        <f t="shared" si="7"/>
        <v>43</v>
      </c>
      <c r="E29" s="40">
        <f>ROUND(E28/((1-$B$4))-E28,0)</f>
        <v>106</v>
      </c>
      <c r="F29" s="42">
        <f>ROUND(F28/((1-$B$4))-F28,0)</f>
        <v>149</v>
      </c>
      <c r="G29" s="43">
        <f t="shared" si="7"/>
        <v>43</v>
      </c>
      <c r="H29" s="40">
        <f>ROUND(H28/((1-$B$4))-H28,0)</f>
        <v>107</v>
      </c>
      <c r="I29" s="42">
        <f>ROUND(I28/((1-$B$4))-I28,0)</f>
        <v>151</v>
      </c>
      <c r="J29" s="43">
        <f t="shared" ref="J29" si="13">I29-H29</f>
        <v>44</v>
      </c>
      <c r="K29" s="40">
        <f>ROUND(K28/((1-$B$4))-K28,0)</f>
        <v>108</v>
      </c>
      <c r="L29" s="42">
        <f>ROUND(L28/((1-$B$4))-L28,0)</f>
        <v>152</v>
      </c>
      <c r="M29" s="43">
        <f t="shared" ref="M29" si="14">L29-K29</f>
        <v>44</v>
      </c>
      <c r="N29" s="40">
        <f>ROUND(N28/((1-$B$4))-N28,0)</f>
        <v>109</v>
      </c>
      <c r="O29" s="42">
        <f>ROUND(O28/((1-$B$4))-O28,0)</f>
        <v>154</v>
      </c>
      <c r="P29" s="43">
        <f t="shared" ref="P29" si="15">O29-N29</f>
        <v>45</v>
      </c>
    </row>
    <row r="30" spans="1:16" x14ac:dyDescent="0.2">
      <c r="A30" s="145" t="s">
        <v>174</v>
      </c>
      <c r="B30" s="162">
        <f>SUM(B28:B29)</f>
        <v>69400</v>
      </c>
      <c r="C30" s="30">
        <f t="shared" ref="C30:P30" si="16">SUM(C28:C29)</f>
        <v>97915.579007507098</v>
      </c>
      <c r="D30" s="31">
        <f t="shared" si="16"/>
        <v>28515.579007507095</v>
      </c>
      <c r="E30" s="162">
        <f t="shared" si="16"/>
        <v>70707</v>
      </c>
      <c r="F30" s="30">
        <f t="shared" si="16"/>
        <v>99654.83112270695</v>
      </c>
      <c r="G30" s="31">
        <f t="shared" si="16"/>
        <v>28947.83112270695</v>
      </c>
      <c r="H30" s="162">
        <f t="shared" si="16"/>
        <v>71187</v>
      </c>
      <c r="I30" s="30">
        <f t="shared" si="16"/>
        <v>100395.08780973587</v>
      </c>
      <c r="J30" s="31">
        <f t="shared" si="16"/>
        <v>29208.087809735862</v>
      </c>
      <c r="K30" s="162">
        <f t="shared" si="16"/>
        <v>72054</v>
      </c>
      <c r="L30" s="30">
        <f t="shared" si="16"/>
        <v>101583.15015165403</v>
      </c>
      <c r="M30" s="31">
        <f t="shared" si="16"/>
        <v>29529.150151654027</v>
      </c>
      <c r="N30" s="162">
        <f t="shared" si="16"/>
        <v>72965</v>
      </c>
      <c r="O30" s="30">
        <f t="shared" si="16"/>
        <v>102829.6848405647</v>
      </c>
      <c r="P30" s="31">
        <f t="shared" si="16"/>
        <v>29864.684840564703</v>
      </c>
    </row>
    <row r="31" spans="1:16" x14ac:dyDescent="0.2">
      <c r="A31" s="145"/>
      <c r="B31" s="162"/>
      <c r="C31" s="30"/>
      <c r="D31" s="31"/>
      <c r="E31" s="162"/>
      <c r="F31" s="30"/>
      <c r="G31" s="31"/>
      <c r="H31" s="162"/>
      <c r="I31" s="30"/>
      <c r="J31" s="31"/>
      <c r="K31" s="162"/>
      <c r="L31" s="30"/>
      <c r="M31" s="31"/>
      <c r="N31" s="162"/>
      <c r="O31" s="30"/>
      <c r="P31" s="31"/>
    </row>
    <row r="32" spans="1:16" x14ac:dyDescent="0.2">
      <c r="A32" s="145"/>
      <c r="B32" s="162"/>
      <c r="C32" s="30"/>
      <c r="D32" s="31"/>
      <c r="E32" s="162"/>
      <c r="F32" s="30"/>
      <c r="G32" s="31"/>
      <c r="H32" s="162"/>
      <c r="I32" s="30"/>
      <c r="J32" s="31"/>
      <c r="K32" s="162"/>
      <c r="L32" s="30"/>
      <c r="M32" s="31"/>
      <c r="N32" s="162"/>
      <c r="O32" s="30"/>
      <c r="P32" s="31"/>
    </row>
    <row r="33" spans="1:16" x14ac:dyDescent="0.2">
      <c r="A33" s="145" t="s">
        <v>175</v>
      </c>
      <c r="B33" s="232">
        <f>'Res Trans Base Case'!E27</f>
        <v>17488</v>
      </c>
      <c r="C33" s="233">
        <f>'Res Trans Base Case'!G27</f>
        <v>20682</v>
      </c>
      <c r="D33" s="31">
        <f t="shared" ref="D33:D38" si="17">C33-B33</f>
        <v>3194</v>
      </c>
      <c r="E33" s="232">
        <f>'Res Trans Base Case'!K27</f>
        <v>16905</v>
      </c>
      <c r="F33" s="233">
        <f>'Res Trans Base Case'!M27</f>
        <v>19993</v>
      </c>
      <c r="G33" s="31">
        <f t="shared" ref="G33:G36" si="18">F33-E33</f>
        <v>3088</v>
      </c>
      <c r="H33" s="232">
        <f>'Res Trans Base Case'!Q27</f>
        <v>16119</v>
      </c>
      <c r="I33" s="233">
        <f>'Res Trans Base Case'!S27</f>
        <v>19064</v>
      </c>
      <c r="J33" s="31">
        <f t="shared" ref="J33:J36" si="19">I33-H33</f>
        <v>2945</v>
      </c>
      <c r="K33" s="232">
        <f>'Res Trans Base Case'!W27</f>
        <v>15431</v>
      </c>
      <c r="L33" s="233">
        <f>'Res Trans Base Case'!Y27</f>
        <v>18249</v>
      </c>
      <c r="M33" s="31">
        <f t="shared" ref="M33:M36" si="20">L33-K33</f>
        <v>2818</v>
      </c>
      <c r="N33" s="232">
        <f>'Res Trans Base Case'!AC27</f>
        <v>14741</v>
      </c>
      <c r="O33" s="233">
        <f>'Res Trans Base Case'!AE27</f>
        <v>17433</v>
      </c>
      <c r="P33" s="31">
        <f t="shared" ref="P33:P36" si="21">O33-N33</f>
        <v>2692</v>
      </c>
    </row>
    <row r="34" spans="1:16" x14ac:dyDescent="0.2">
      <c r="A34" s="145" t="s">
        <v>176</v>
      </c>
      <c r="B34" s="232">
        <f>'Com Trans Base Case'!E31</f>
        <v>3050</v>
      </c>
      <c r="C34" s="233">
        <f>'Com Trans Base Case'!G31</f>
        <v>3608</v>
      </c>
      <c r="D34" s="31">
        <f t="shared" si="17"/>
        <v>558</v>
      </c>
      <c r="E34" s="232">
        <f>'Com Trans Base Case'!K31</f>
        <v>2802</v>
      </c>
      <c r="F34" s="233">
        <f>'Com Trans Base Case'!M31</f>
        <v>3313</v>
      </c>
      <c r="G34" s="31">
        <f t="shared" si="18"/>
        <v>511</v>
      </c>
      <c r="H34" s="232">
        <f>'Com Trans Base Case'!Q31</f>
        <v>2523</v>
      </c>
      <c r="I34" s="233">
        <f>'Com Trans Base Case'!S31</f>
        <v>2985</v>
      </c>
      <c r="J34" s="31">
        <f t="shared" si="19"/>
        <v>462</v>
      </c>
      <c r="K34" s="232">
        <f>'Com Trans Base Case'!W31</f>
        <v>2251</v>
      </c>
      <c r="L34" s="233">
        <f>'Com Trans Base Case'!Y31</f>
        <v>2662</v>
      </c>
      <c r="M34" s="31">
        <f t="shared" si="20"/>
        <v>411</v>
      </c>
      <c r="N34" s="232">
        <f>'Com Trans Base Case'!AC31</f>
        <v>1973</v>
      </c>
      <c r="O34" s="233">
        <f>'Com Trans Base Case'!AE31</f>
        <v>2334</v>
      </c>
      <c r="P34" s="31">
        <f t="shared" si="21"/>
        <v>361</v>
      </c>
    </row>
    <row r="35" spans="1:16" x14ac:dyDescent="0.2">
      <c r="A35" s="145" t="s">
        <v>177</v>
      </c>
      <c r="B35" s="232">
        <f>'Ind Trans Base Case'!D28</f>
        <v>68</v>
      </c>
      <c r="C35" s="233">
        <f>'Ind Trans Base Case'!F28</f>
        <v>101</v>
      </c>
      <c r="D35" s="31">
        <f t="shared" si="17"/>
        <v>33</v>
      </c>
      <c r="E35" s="232">
        <f>'Ind Trans Base Case'!I28</f>
        <v>68</v>
      </c>
      <c r="F35" s="233">
        <f>'Ind Trans Base Case'!K28</f>
        <v>101</v>
      </c>
      <c r="G35" s="31">
        <f t="shared" si="18"/>
        <v>33</v>
      </c>
      <c r="H35" s="232">
        <f>'Ind Trans Base Case'!N28</f>
        <v>67</v>
      </c>
      <c r="I35" s="233">
        <f>'Ind Trans Base Case'!P28</f>
        <v>99</v>
      </c>
      <c r="J35" s="31">
        <f t="shared" si="19"/>
        <v>32</v>
      </c>
      <c r="K35" s="232">
        <f>'Ind Trans Base Case'!S28</f>
        <v>66</v>
      </c>
      <c r="L35" s="233">
        <f>'Ind Trans Base Case'!U28</f>
        <v>98</v>
      </c>
      <c r="M35" s="31">
        <f t="shared" si="20"/>
        <v>32</v>
      </c>
      <c r="N35" s="232">
        <f>'Ind Trans Base Case'!X28</f>
        <v>65</v>
      </c>
      <c r="O35" s="233">
        <f>'Ind Trans Base Case'!Z28</f>
        <v>97</v>
      </c>
      <c r="P35" s="31">
        <f t="shared" si="21"/>
        <v>32</v>
      </c>
    </row>
    <row r="36" spans="1:16" x14ac:dyDescent="0.2">
      <c r="A36" s="146" t="s">
        <v>178</v>
      </c>
      <c r="B36" s="232">
        <f>'Pub Trans Base Case'!E28</f>
        <v>198</v>
      </c>
      <c r="C36" s="233">
        <f>'Pub Trans Base Case'!G28</f>
        <v>234</v>
      </c>
      <c r="D36" s="31">
        <f t="shared" si="17"/>
        <v>36</v>
      </c>
      <c r="E36" s="232">
        <f>'Pub Trans Base Case'!K28</f>
        <v>195</v>
      </c>
      <c r="F36" s="233">
        <f>'Pub Trans Base Case'!M28</f>
        <v>231</v>
      </c>
      <c r="G36" s="31">
        <f t="shared" si="18"/>
        <v>36</v>
      </c>
      <c r="H36" s="232">
        <f>'Pub Trans Base Case'!Q28</f>
        <v>188</v>
      </c>
      <c r="I36" s="233">
        <f>'Pub Trans Base Case'!S28</f>
        <v>223</v>
      </c>
      <c r="J36" s="31">
        <f t="shared" si="19"/>
        <v>35</v>
      </c>
      <c r="K36" s="232">
        <f>'Pub Trans Base Case'!W28</f>
        <v>185</v>
      </c>
      <c r="L36" s="233">
        <f>'Pub Trans Base Case'!Y28</f>
        <v>219</v>
      </c>
      <c r="M36" s="31">
        <f t="shared" si="20"/>
        <v>34</v>
      </c>
      <c r="N36" s="232">
        <f>'Pub Trans Base Case'!AC28</f>
        <v>180</v>
      </c>
      <c r="O36" s="233">
        <f>'Pub Trans Base Case'!AE28</f>
        <v>213</v>
      </c>
      <c r="P36" s="31">
        <f t="shared" si="21"/>
        <v>33</v>
      </c>
    </row>
    <row r="37" spans="1:16" x14ac:dyDescent="0.2">
      <c r="A37" s="145" t="s">
        <v>179</v>
      </c>
      <c r="B37" s="163">
        <f>SUM(B33:B36)</f>
        <v>20804</v>
      </c>
      <c r="C37" s="155">
        <f t="shared" ref="C37:P37" si="22">SUM(C33:C36)</f>
        <v>24625</v>
      </c>
      <c r="D37" s="156">
        <f t="shared" si="22"/>
        <v>3821</v>
      </c>
      <c r="E37" s="163">
        <f t="shared" si="22"/>
        <v>19970</v>
      </c>
      <c r="F37" s="155">
        <f t="shared" si="22"/>
        <v>23638</v>
      </c>
      <c r="G37" s="156">
        <f t="shared" si="22"/>
        <v>3668</v>
      </c>
      <c r="H37" s="163">
        <f t="shared" si="22"/>
        <v>18897</v>
      </c>
      <c r="I37" s="155">
        <f t="shared" si="22"/>
        <v>22371</v>
      </c>
      <c r="J37" s="156">
        <f t="shared" si="22"/>
        <v>3474</v>
      </c>
      <c r="K37" s="163">
        <f t="shared" si="22"/>
        <v>17933</v>
      </c>
      <c r="L37" s="155">
        <f t="shared" si="22"/>
        <v>21228</v>
      </c>
      <c r="M37" s="156">
        <f t="shared" si="22"/>
        <v>3295</v>
      </c>
      <c r="N37" s="163">
        <f t="shared" si="22"/>
        <v>16959</v>
      </c>
      <c r="O37" s="155">
        <f t="shared" si="22"/>
        <v>20077</v>
      </c>
      <c r="P37" s="156">
        <f t="shared" si="22"/>
        <v>3118</v>
      </c>
    </row>
    <row r="38" spans="1:16" x14ac:dyDescent="0.2">
      <c r="A38" s="146" t="s">
        <v>180</v>
      </c>
      <c r="B38" s="40">
        <f>ROUND(B37/((1-$B$4))-B37,0)</f>
        <v>31</v>
      </c>
      <c r="C38" s="42">
        <f>ROUND(C37/((1-$B$4))-C37,0)</f>
        <v>37</v>
      </c>
      <c r="D38" s="43">
        <f t="shared" si="17"/>
        <v>6</v>
      </c>
      <c r="E38" s="40">
        <f>ROUND(E37/((1-$B$4))-E37,0)</f>
        <v>30</v>
      </c>
      <c r="F38" s="42">
        <f>ROUND(F37/((1-$B$4))-F37,0)</f>
        <v>36</v>
      </c>
      <c r="G38" s="43">
        <f t="shared" ref="G38" si="23">F38-E38</f>
        <v>6</v>
      </c>
      <c r="H38" s="40">
        <f>ROUND(H37/((1-$B$4))-H37,0)</f>
        <v>28</v>
      </c>
      <c r="I38" s="42">
        <f>ROUND(I37/((1-$B$4))-I37,0)</f>
        <v>34</v>
      </c>
      <c r="J38" s="43">
        <f t="shared" ref="J38" si="24">I38-H38</f>
        <v>6</v>
      </c>
      <c r="K38" s="40">
        <f>ROUND(K37/((1-$B$4))-K37,0)</f>
        <v>27</v>
      </c>
      <c r="L38" s="42">
        <f>ROUND(L37/((1-$B$4))-L37,0)</f>
        <v>32</v>
      </c>
      <c r="M38" s="43">
        <f t="shared" ref="M38" si="25">L38-K38</f>
        <v>5</v>
      </c>
      <c r="N38" s="40">
        <f>ROUND(N37/((1-$B$4))-N37,0)</f>
        <v>25</v>
      </c>
      <c r="O38" s="42">
        <f>ROUND(O37/((1-$B$4))-O37,0)</f>
        <v>30</v>
      </c>
      <c r="P38" s="43">
        <f t="shared" ref="P38" si="26">O38-N38</f>
        <v>5</v>
      </c>
    </row>
    <row r="39" spans="1:16" x14ac:dyDescent="0.2">
      <c r="A39" s="145" t="s">
        <v>181</v>
      </c>
      <c r="B39" s="162">
        <f>SUM(B37:B38)</f>
        <v>20835</v>
      </c>
      <c r="C39" s="30">
        <f t="shared" ref="C39:P39" si="27">SUM(C37:C38)</f>
        <v>24662</v>
      </c>
      <c r="D39" s="31">
        <f t="shared" si="27"/>
        <v>3827</v>
      </c>
      <c r="E39" s="162">
        <f t="shared" si="27"/>
        <v>20000</v>
      </c>
      <c r="F39" s="30">
        <f t="shared" si="27"/>
        <v>23674</v>
      </c>
      <c r="G39" s="31">
        <f t="shared" si="27"/>
        <v>3674</v>
      </c>
      <c r="H39" s="162">
        <f t="shared" si="27"/>
        <v>18925</v>
      </c>
      <c r="I39" s="30">
        <f t="shared" si="27"/>
        <v>22405</v>
      </c>
      <c r="J39" s="31">
        <f t="shared" si="27"/>
        <v>3480</v>
      </c>
      <c r="K39" s="162">
        <f t="shared" si="27"/>
        <v>17960</v>
      </c>
      <c r="L39" s="30">
        <f t="shared" si="27"/>
        <v>21260</v>
      </c>
      <c r="M39" s="31">
        <f t="shared" si="27"/>
        <v>3300</v>
      </c>
      <c r="N39" s="162">
        <f t="shared" si="27"/>
        <v>16984</v>
      </c>
      <c r="O39" s="30">
        <f t="shared" si="27"/>
        <v>20107</v>
      </c>
      <c r="P39" s="31">
        <f t="shared" si="27"/>
        <v>3123</v>
      </c>
    </row>
    <row r="40" spans="1:16" x14ac:dyDescent="0.2">
      <c r="A40" s="145"/>
      <c r="B40" s="12"/>
      <c r="C40" s="3"/>
      <c r="D40" s="10"/>
      <c r="E40" s="12"/>
      <c r="F40" s="3"/>
      <c r="G40" s="10"/>
      <c r="H40" s="12"/>
      <c r="I40" s="3"/>
      <c r="J40" s="10"/>
      <c r="K40" s="12"/>
      <c r="L40" s="3"/>
      <c r="M40" s="10"/>
      <c r="N40" s="12"/>
      <c r="O40" s="3"/>
      <c r="P40" s="10"/>
    </row>
    <row r="41" spans="1:16" x14ac:dyDescent="0.2">
      <c r="A41" s="145"/>
      <c r="B41" s="12"/>
      <c r="C41" s="3"/>
      <c r="D41" s="10"/>
      <c r="E41" s="12"/>
      <c r="F41" s="3"/>
      <c r="G41" s="10"/>
      <c r="H41" s="12"/>
      <c r="I41" s="3"/>
      <c r="J41" s="10"/>
      <c r="K41" s="12"/>
      <c r="L41" s="3"/>
      <c r="M41" s="10"/>
      <c r="N41" s="12"/>
      <c r="O41" s="3"/>
      <c r="P41" s="10"/>
    </row>
    <row r="42" spans="1:16" x14ac:dyDescent="0.2">
      <c r="A42" s="145" t="s">
        <v>182</v>
      </c>
      <c r="B42" s="232">
        <f>'Res Trans Base Case'!E33</f>
        <v>0</v>
      </c>
      <c r="C42" s="233">
        <f>'Res Trans Base Case'!G33</f>
        <v>0</v>
      </c>
      <c r="D42" s="31">
        <f t="shared" ref="D42:D47" si="28">C42-B42</f>
        <v>0</v>
      </c>
      <c r="E42" s="232">
        <f>'Res Trans Base Case'!K33</f>
        <v>0</v>
      </c>
      <c r="F42" s="233">
        <f>'Res Trans Base Case'!M33</f>
        <v>0</v>
      </c>
      <c r="G42" s="31">
        <f t="shared" ref="G42:G45" si="29">F42-E42</f>
        <v>0</v>
      </c>
      <c r="H42" s="232">
        <f>'Res Trans Base Case'!Q33</f>
        <v>0</v>
      </c>
      <c r="I42" s="233">
        <f>'Res Trans Base Case'!S33</f>
        <v>0</v>
      </c>
      <c r="J42" s="31">
        <f t="shared" ref="J42:J45" si="30">I42-H42</f>
        <v>0</v>
      </c>
      <c r="K42" s="232">
        <f>'Res Trans Base Case'!W33</f>
        <v>0</v>
      </c>
      <c r="L42" s="233">
        <f>'Res Trans Base Case'!Y33</f>
        <v>0</v>
      </c>
      <c r="M42" s="31">
        <f t="shared" ref="M42:M45" si="31">L42-K42</f>
        <v>0</v>
      </c>
      <c r="N42" s="232">
        <f>'Res Trans Base Case'!AC33</f>
        <v>0</v>
      </c>
      <c r="O42" s="233">
        <f>'Res Trans Base Case'!AE33</f>
        <v>0</v>
      </c>
      <c r="P42" s="31">
        <f t="shared" ref="P42:P45" si="32">O42-N42</f>
        <v>0</v>
      </c>
    </row>
    <row r="43" spans="1:16" x14ac:dyDescent="0.2">
      <c r="A43" s="145" t="s">
        <v>183</v>
      </c>
      <c r="B43" s="232">
        <f>'Com Trans Base Case'!E37</f>
        <v>7775</v>
      </c>
      <c r="C43" s="233">
        <f>'Com Trans Base Case'!G37</f>
        <v>9195</v>
      </c>
      <c r="D43" s="31">
        <f t="shared" si="28"/>
        <v>1420</v>
      </c>
      <c r="E43" s="232">
        <f>'Com Trans Base Case'!K37</f>
        <v>7834</v>
      </c>
      <c r="F43" s="233">
        <f>'Com Trans Base Case'!M37</f>
        <v>9265</v>
      </c>
      <c r="G43" s="31">
        <f t="shared" si="29"/>
        <v>1431</v>
      </c>
      <c r="H43" s="232">
        <f>'Com Trans Base Case'!Q37</f>
        <v>7952</v>
      </c>
      <c r="I43" s="233">
        <f>'Com Trans Base Case'!S37</f>
        <v>9404</v>
      </c>
      <c r="J43" s="31">
        <f t="shared" si="30"/>
        <v>1452</v>
      </c>
      <c r="K43" s="232">
        <f>'Com Trans Base Case'!W37</f>
        <v>8421</v>
      </c>
      <c r="L43" s="233">
        <f>'Com Trans Base Case'!Y37</f>
        <v>9960</v>
      </c>
      <c r="M43" s="31">
        <f t="shared" si="31"/>
        <v>1539</v>
      </c>
      <c r="N43" s="232">
        <f>'Com Trans Base Case'!AC37</f>
        <v>8452</v>
      </c>
      <c r="O43" s="233">
        <f>'Com Trans Base Case'!AE37</f>
        <v>9996</v>
      </c>
      <c r="P43" s="31">
        <f t="shared" si="32"/>
        <v>1544</v>
      </c>
    </row>
    <row r="44" spans="1:16" x14ac:dyDescent="0.2">
      <c r="A44" s="145" t="s">
        <v>184</v>
      </c>
      <c r="B44" s="232">
        <f>'Ind Trans Base Case'!D46</f>
        <v>52545</v>
      </c>
      <c r="C44" s="233">
        <f>'Ind Trans Base Case'!F46</f>
        <v>53914.523470177046</v>
      </c>
      <c r="D44" s="31">
        <f t="shared" si="28"/>
        <v>1369.523470177046</v>
      </c>
      <c r="E44" s="232">
        <f>'Ind Trans Base Case'!I46</f>
        <v>53609</v>
      </c>
      <c r="F44" s="233">
        <f>'Ind Trans Base Case'!K46</f>
        <v>54394.154583755924</v>
      </c>
      <c r="G44" s="31">
        <f t="shared" si="29"/>
        <v>785.15458375592425</v>
      </c>
      <c r="H44" s="232">
        <f>'Ind Trans Base Case'!N46</f>
        <v>52917</v>
      </c>
      <c r="I44" s="233">
        <f>'Ind Trans Base Case'!P46</f>
        <v>54807.461450604111</v>
      </c>
      <c r="J44" s="31">
        <f t="shared" si="30"/>
        <v>1890.4614506041107</v>
      </c>
      <c r="K44" s="232">
        <f>'Ind Trans Base Case'!S46</f>
        <v>53410</v>
      </c>
      <c r="L44" s="233">
        <f>'Ind Trans Base Case'!U46</f>
        <v>55278.567601512608</v>
      </c>
      <c r="M44" s="31">
        <f t="shared" si="31"/>
        <v>1868.5676015126082</v>
      </c>
      <c r="N44" s="232">
        <f>'Ind Trans Base Case'!X46</f>
        <v>53399</v>
      </c>
      <c r="O44" s="233">
        <f>'Ind Trans Base Case'!Z46</f>
        <v>55259.762218442331</v>
      </c>
      <c r="P44" s="31">
        <f t="shared" si="32"/>
        <v>1860.7622184423308</v>
      </c>
    </row>
    <row r="45" spans="1:16" x14ac:dyDescent="0.2">
      <c r="A45" s="146" t="s">
        <v>185</v>
      </c>
      <c r="B45" s="232">
        <f>'Pub Trans Base Case'!E34</f>
        <v>1984</v>
      </c>
      <c r="C45" s="233">
        <f>'Pub Trans Base Case'!G34</f>
        <v>2346</v>
      </c>
      <c r="D45" s="31">
        <f t="shared" si="28"/>
        <v>362</v>
      </c>
      <c r="E45" s="232">
        <f>'Pub Trans Base Case'!K34</f>
        <v>1896</v>
      </c>
      <c r="F45" s="233">
        <f>'Pub Trans Base Case'!M34</f>
        <v>2242</v>
      </c>
      <c r="G45" s="31">
        <f t="shared" si="29"/>
        <v>346</v>
      </c>
      <c r="H45" s="232">
        <f>'Pub Trans Base Case'!Q34</f>
        <v>1791</v>
      </c>
      <c r="I45" s="233">
        <f>'Pub Trans Base Case'!S34</f>
        <v>2119</v>
      </c>
      <c r="J45" s="31">
        <f t="shared" si="30"/>
        <v>328</v>
      </c>
      <c r="K45" s="232">
        <f>'Pub Trans Base Case'!W34</f>
        <v>1695</v>
      </c>
      <c r="L45" s="233">
        <f>'Pub Trans Base Case'!Y34</f>
        <v>2005</v>
      </c>
      <c r="M45" s="31">
        <f t="shared" si="31"/>
        <v>310</v>
      </c>
      <c r="N45" s="232">
        <f>'Pub Trans Base Case'!AC34</f>
        <v>1599</v>
      </c>
      <c r="O45" s="233">
        <f>'Pub Trans Base Case'!AE34</f>
        <v>1891</v>
      </c>
      <c r="P45" s="31">
        <f t="shared" si="32"/>
        <v>292</v>
      </c>
    </row>
    <row r="46" spans="1:16" x14ac:dyDescent="0.2">
      <c r="A46" s="145" t="s">
        <v>186</v>
      </c>
      <c r="B46" s="163">
        <f>SUM(B42:B45)</f>
        <v>62304</v>
      </c>
      <c r="C46" s="155">
        <f t="shared" ref="C46:P46" si="33">SUM(C42:C45)</f>
        <v>65455.523470177046</v>
      </c>
      <c r="D46" s="156">
        <f t="shared" si="33"/>
        <v>3151.523470177046</v>
      </c>
      <c r="E46" s="163">
        <f t="shared" si="33"/>
        <v>63339</v>
      </c>
      <c r="F46" s="155">
        <f t="shared" si="33"/>
        <v>65901.154583755924</v>
      </c>
      <c r="G46" s="156">
        <f t="shared" si="33"/>
        <v>2562.1545837559242</v>
      </c>
      <c r="H46" s="163">
        <f t="shared" si="33"/>
        <v>62660</v>
      </c>
      <c r="I46" s="155">
        <f t="shared" si="33"/>
        <v>66330.461450604111</v>
      </c>
      <c r="J46" s="156">
        <f t="shared" si="33"/>
        <v>3670.4614506041107</v>
      </c>
      <c r="K46" s="163">
        <f t="shared" si="33"/>
        <v>63526</v>
      </c>
      <c r="L46" s="155">
        <f t="shared" si="33"/>
        <v>67243.567601512608</v>
      </c>
      <c r="M46" s="156">
        <f t="shared" si="33"/>
        <v>3717.5676015126082</v>
      </c>
      <c r="N46" s="163">
        <f t="shared" si="33"/>
        <v>63450</v>
      </c>
      <c r="O46" s="155">
        <f t="shared" si="33"/>
        <v>67146.762218442338</v>
      </c>
      <c r="P46" s="156">
        <f t="shared" si="33"/>
        <v>3696.7622184423308</v>
      </c>
    </row>
    <row r="47" spans="1:16" x14ac:dyDescent="0.2">
      <c r="A47" s="146" t="s">
        <v>187</v>
      </c>
      <c r="B47" s="40">
        <f>ROUND(B46/((1-$B$4))-B46,0)</f>
        <v>94</v>
      </c>
      <c r="C47" s="42">
        <f>ROUND(C46/((1-$B$4))-C46,0)</f>
        <v>98</v>
      </c>
      <c r="D47" s="43">
        <f t="shared" si="28"/>
        <v>4</v>
      </c>
      <c r="E47" s="40">
        <f>ROUND(E46/((1-$B$4))-E46,0)</f>
        <v>95</v>
      </c>
      <c r="F47" s="42">
        <f>ROUND(F46/((1-$B$4))-F46,0)</f>
        <v>99</v>
      </c>
      <c r="G47" s="43">
        <f t="shared" ref="G47" si="34">F47-E47</f>
        <v>4</v>
      </c>
      <c r="H47" s="40">
        <f>ROUND(H46/((1-$B$4))-H46,0)</f>
        <v>94</v>
      </c>
      <c r="I47" s="42">
        <f>ROUND(I46/((1-$B$4))-I46,0)</f>
        <v>100</v>
      </c>
      <c r="J47" s="43">
        <f t="shared" ref="J47" si="35">I47-H47</f>
        <v>6</v>
      </c>
      <c r="K47" s="40">
        <f>ROUND(K46/((1-$B$4))-K46,0)</f>
        <v>95</v>
      </c>
      <c r="L47" s="42">
        <f>ROUND(L46/((1-$B$4))-L46,0)</f>
        <v>101</v>
      </c>
      <c r="M47" s="43">
        <f t="shared" ref="M47" si="36">L47-K47</f>
        <v>6</v>
      </c>
      <c r="N47" s="40">
        <f>ROUND(N46/((1-$B$4))-N46,0)</f>
        <v>95</v>
      </c>
      <c r="O47" s="42">
        <f>ROUND(O46/((1-$B$4))-O46,0)</f>
        <v>101</v>
      </c>
      <c r="P47" s="43">
        <f t="shared" ref="P47" si="37">O47-N47</f>
        <v>6</v>
      </c>
    </row>
    <row r="48" spans="1:16" ht="13.5" thickBot="1" x14ac:dyDescent="0.25">
      <c r="A48" s="145" t="s">
        <v>188</v>
      </c>
      <c r="B48" s="162">
        <f>SUM(B46:B47)</f>
        <v>62398</v>
      </c>
      <c r="C48" s="30">
        <f t="shared" ref="C48:P48" si="38">SUM(C46:C47)</f>
        <v>65553.523470177053</v>
      </c>
      <c r="D48" s="31">
        <f t="shared" si="38"/>
        <v>3155.523470177046</v>
      </c>
      <c r="E48" s="162">
        <f t="shared" si="38"/>
        <v>63434</v>
      </c>
      <c r="F48" s="30">
        <f t="shared" si="38"/>
        <v>66000.154583755924</v>
      </c>
      <c r="G48" s="31">
        <f t="shared" si="38"/>
        <v>2566.1545837559242</v>
      </c>
      <c r="H48" s="162">
        <f t="shared" si="38"/>
        <v>62754</v>
      </c>
      <c r="I48" s="30">
        <f t="shared" si="38"/>
        <v>66430.461450604111</v>
      </c>
      <c r="J48" s="31">
        <f t="shared" si="38"/>
        <v>3676.4614506041107</v>
      </c>
      <c r="K48" s="162">
        <f t="shared" si="38"/>
        <v>63621</v>
      </c>
      <c r="L48" s="30">
        <f t="shared" si="38"/>
        <v>67344.567601512608</v>
      </c>
      <c r="M48" s="31">
        <f t="shared" si="38"/>
        <v>3723.5676015126082</v>
      </c>
      <c r="N48" s="162">
        <f t="shared" si="38"/>
        <v>63545</v>
      </c>
      <c r="O48" s="30">
        <f t="shared" si="38"/>
        <v>67247.762218442338</v>
      </c>
      <c r="P48" s="31">
        <f t="shared" si="38"/>
        <v>3702.7622184423308</v>
      </c>
    </row>
    <row r="49" spans="1:16" s="110" customFormat="1" ht="13.5" thickBot="1" x14ac:dyDescent="0.25">
      <c r="A49" s="181" t="s">
        <v>244</v>
      </c>
      <c r="B49" s="182">
        <f t="shared" ref="B49:P49" si="39">B48*1.048</f>
        <v>65393.103999999999</v>
      </c>
      <c r="C49" s="183">
        <f t="shared" si="39"/>
        <v>68700.092596745555</v>
      </c>
      <c r="D49" s="184">
        <f t="shared" si="39"/>
        <v>3306.9885967455443</v>
      </c>
      <c r="E49" s="182">
        <f t="shared" si="39"/>
        <v>66478.832000000009</v>
      </c>
      <c r="F49" s="183">
        <f t="shared" si="39"/>
        <v>69168.162003776219</v>
      </c>
      <c r="G49" s="184">
        <f t="shared" si="39"/>
        <v>2689.3300037762087</v>
      </c>
      <c r="H49" s="182">
        <f t="shared" si="39"/>
        <v>65766.191999999995</v>
      </c>
      <c r="I49" s="183">
        <f t="shared" si="39"/>
        <v>69619.123600233113</v>
      </c>
      <c r="J49" s="184">
        <f t="shared" si="39"/>
        <v>3852.9316002331084</v>
      </c>
      <c r="K49" s="182">
        <f t="shared" si="39"/>
        <v>66674.808000000005</v>
      </c>
      <c r="L49" s="183">
        <f t="shared" si="39"/>
        <v>70577.106846385213</v>
      </c>
      <c r="M49" s="184">
        <f t="shared" si="39"/>
        <v>3902.2988463852134</v>
      </c>
      <c r="N49" s="182">
        <f t="shared" si="39"/>
        <v>66595.16</v>
      </c>
      <c r="O49" s="183">
        <f t="shared" si="39"/>
        <v>70475.654804927573</v>
      </c>
      <c r="P49" s="184">
        <f t="shared" si="39"/>
        <v>3880.4948049275627</v>
      </c>
    </row>
    <row r="50" spans="1:16" x14ac:dyDescent="0.2">
      <c r="A50" s="145"/>
      <c r="B50" s="12"/>
      <c r="C50" s="3"/>
      <c r="D50" s="10"/>
      <c r="E50" s="12"/>
      <c r="F50" s="3"/>
      <c r="G50" s="10"/>
      <c r="H50" s="12"/>
      <c r="I50" s="3"/>
      <c r="J50" s="10"/>
      <c r="K50" s="12"/>
      <c r="L50" s="3"/>
      <c r="M50" s="10"/>
      <c r="N50" s="12"/>
      <c r="O50" s="3"/>
      <c r="P50" s="10"/>
    </row>
    <row r="51" spans="1:16" x14ac:dyDescent="0.2">
      <c r="A51" s="145"/>
      <c r="B51" s="12"/>
      <c r="C51" s="3"/>
      <c r="D51" s="10"/>
      <c r="E51" s="12"/>
      <c r="F51" s="3"/>
      <c r="G51" s="10"/>
      <c r="H51" s="12"/>
      <c r="I51" s="3"/>
      <c r="J51" s="10"/>
      <c r="K51" s="12"/>
      <c r="L51" s="3"/>
      <c r="M51" s="10"/>
      <c r="N51" s="12"/>
      <c r="O51" s="3"/>
      <c r="P51" s="10"/>
    </row>
    <row r="52" spans="1:16" x14ac:dyDescent="0.2">
      <c r="A52" s="145" t="s">
        <v>91</v>
      </c>
      <c r="B52" s="162">
        <f t="shared" ref="B52:P52" si="40">B24+B33+B42</f>
        <v>19708</v>
      </c>
      <c r="C52" s="30">
        <f t="shared" si="40"/>
        <v>23779</v>
      </c>
      <c r="D52" s="31">
        <f t="shared" si="40"/>
        <v>4071</v>
      </c>
      <c r="E52" s="162">
        <f t="shared" si="40"/>
        <v>19210</v>
      </c>
      <c r="F52" s="30">
        <f t="shared" si="40"/>
        <v>23208</v>
      </c>
      <c r="G52" s="31">
        <f t="shared" si="40"/>
        <v>3998</v>
      </c>
      <c r="H52" s="162">
        <f t="shared" si="40"/>
        <v>18471</v>
      </c>
      <c r="I52" s="30">
        <f t="shared" si="40"/>
        <v>22344</v>
      </c>
      <c r="J52" s="31">
        <f t="shared" si="40"/>
        <v>3873</v>
      </c>
      <c r="K52" s="162">
        <f t="shared" si="40"/>
        <v>17821</v>
      </c>
      <c r="L52" s="30">
        <f t="shared" si="40"/>
        <v>21583</v>
      </c>
      <c r="M52" s="31">
        <f t="shared" si="40"/>
        <v>3762</v>
      </c>
      <c r="N52" s="162">
        <f t="shared" si="40"/>
        <v>17186</v>
      </c>
      <c r="O52" s="30">
        <f t="shared" si="40"/>
        <v>20843</v>
      </c>
      <c r="P52" s="31">
        <f t="shared" si="40"/>
        <v>3657</v>
      </c>
    </row>
    <row r="53" spans="1:16" x14ac:dyDescent="0.2">
      <c r="A53" s="145" t="s">
        <v>189</v>
      </c>
      <c r="B53" s="162">
        <f t="shared" ref="B53:P53" si="41">B25+B34+B43</f>
        <v>43545</v>
      </c>
      <c r="C53" s="30">
        <f t="shared" si="41"/>
        <v>58449</v>
      </c>
      <c r="D53" s="31">
        <f t="shared" si="41"/>
        <v>14904</v>
      </c>
      <c r="E53" s="162">
        <f t="shared" si="41"/>
        <v>44423</v>
      </c>
      <c r="F53" s="30">
        <f t="shared" si="41"/>
        <v>59715</v>
      </c>
      <c r="G53" s="31">
        <f t="shared" si="41"/>
        <v>15292</v>
      </c>
      <c r="H53" s="162">
        <f t="shared" si="41"/>
        <v>44963</v>
      </c>
      <c r="I53" s="30">
        <f t="shared" si="41"/>
        <v>60502</v>
      </c>
      <c r="J53" s="31">
        <f t="shared" si="41"/>
        <v>15539</v>
      </c>
      <c r="K53" s="162">
        <f t="shared" si="41"/>
        <v>46040</v>
      </c>
      <c r="L53" s="30">
        <f t="shared" si="41"/>
        <v>61961</v>
      </c>
      <c r="M53" s="31">
        <f t="shared" si="41"/>
        <v>15921</v>
      </c>
      <c r="N53" s="162">
        <f t="shared" si="41"/>
        <v>46703</v>
      </c>
      <c r="O53" s="30">
        <f t="shared" si="41"/>
        <v>62941</v>
      </c>
      <c r="P53" s="31">
        <f t="shared" si="41"/>
        <v>16238</v>
      </c>
    </row>
    <row r="54" spans="1:16" x14ac:dyDescent="0.2">
      <c r="A54" s="145" t="s">
        <v>190</v>
      </c>
      <c r="B54" s="162">
        <f t="shared" ref="B54:P54" si="42">B26+B35+B44</f>
        <v>70296</v>
      </c>
      <c r="C54" s="30">
        <f t="shared" si="42"/>
        <v>79781.102477684137</v>
      </c>
      <c r="D54" s="31">
        <f t="shared" si="42"/>
        <v>9485.1024776841405</v>
      </c>
      <c r="E54" s="162">
        <f t="shared" si="42"/>
        <v>71505</v>
      </c>
      <c r="F54" s="30">
        <f t="shared" si="42"/>
        <v>80377.985706462874</v>
      </c>
      <c r="G54" s="31">
        <f t="shared" si="42"/>
        <v>8872.9857064628741</v>
      </c>
      <c r="H54" s="162">
        <f t="shared" si="42"/>
        <v>70724</v>
      </c>
      <c r="I54" s="30">
        <f t="shared" si="42"/>
        <v>80739.549260339976</v>
      </c>
      <c r="J54" s="31">
        <f t="shared" si="42"/>
        <v>10015.549260339973</v>
      </c>
      <c r="K54" s="162">
        <f t="shared" si="42"/>
        <v>71262</v>
      </c>
      <c r="L54" s="30">
        <f t="shared" si="42"/>
        <v>81251.717753166638</v>
      </c>
      <c r="M54" s="31">
        <f t="shared" si="42"/>
        <v>9989.7177531666348</v>
      </c>
      <c r="N54" s="162">
        <f t="shared" si="42"/>
        <v>71292</v>
      </c>
      <c r="O54" s="30">
        <f t="shared" si="42"/>
        <v>81265.447059007041</v>
      </c>
      <c r="P54" s="31">
        <f t="shared" si="42"/>
        <v>9973.4470590070341</v>
      </c>
    </row>
    <row r="55" spans="1:16" x14ac:dyDescent="0.2">
      <c r="A55" s="146" t="s">
        <v>191</v>
      </c>
      <c r="B55" s="162">
        <f t="shared" ref="B55:P55" si="43">B27+B36+B45</f>
        <v>18855</v>
      </c>
      <c r="C55" s="30">
        <f t="shared" si="43"/>
        <v>25840</v>
      </c>
      <c r="D55" s="31">
        <f t="shared" si="43"/>
        <v>6985</v>
      </c>
      <c r="E55" s="162">
        <f t="shared" si="43"/>
        <v>18772</v>
      </c>
      <c r="F55" s="30">
        <f t="shared" si="43"/>
        <v>25744</v>
      </c>
      <c r="G55" s="31">
        <f t="shared" si="43"/>
        <v>6972</v>
      </c>
      <c r="H55" s="162">
        <f t="shared" si="43"/>
        <v>18479</v>
      </c>
      <c r="I55" s="30">
        <f t="shared" si="43"/>
        <v>25360</v>
      </c>
      <c r="J55" s="31">
        <f t="shared" si="43"/>
        <v>6881</v>
      </c>
      <c r="K55" s="162">
        <f t="shared" si="43"/>
        <v>18282</v>
      </c>
      <c r="L55" s="30">
        <f t="shared" si="43"/>
        <v>25107</v>
      </c>
      <c r="M55" s="31">
        <f t="shared" si="43"/>
        <v>6825</v>
      </c>
      <c r="N55" s="162">
        <f t="shared" si="43"/>
        <v>18084</v>
      </c>
      <c r="O55" s="30">
        <f t="shared" si="43"/>
        <v>24850</v>
      </c>
      <c r="P55" s="31">
        <f t="shared" si="43"/>
        <v>6766</v>
      </c>
    </row>
    <row r="56" spans="1:16" x14ac:dyDescent="0.2">
      <c r="A56" s="145" t="s">
        <v>163</v>
      </c>
      <c r="B56" s="163">
        <f t="shared" ref="B56:P56" si="44">B28+B37+B46</f>
        <v>152404</v>
      </c>
      <c r="C56" s="155">
        <f t="shared" si="44"/>
        <v>187849.10247768415</v>
      </c>
      <c r="D56" s="156">
        <f t="shared" si="44"/>
        <v>35445.102477684137</v>
      </c>
      <c r="E56" s="163">
        <f t="shared" si="44"/>
        <v>153910</v>
      </c>
      <c r="F56" s="155">
        <f t="shared" si="44"/>
        <v>189044.98570646287</v>
      </c>
      <c r="G56" s="156">
        <f t="shared" si="44"/>
        <v>35134.985706462874</v>
      </c>
      <c r="H56" s="163">
        <f t="shared" si="44"/>
        <v>152637</v>
      </c>
      <c r="I56" s="155">
        <f t="shared" si="44"/>
        <v>188945.54926033999</v>
      </c>
      <c r="J56" s="156">
        <f t="shared" si="44"/>
        <v>36308.549260339976</v>
      </c>
      <c r="K56" s="163">
        <f t="shared" si="44"/>
        <v>153405</v>
      </c>
      <c r="L56" s="155">
        <f t="shared" si="44"/>
        <v>189902.71775316662</v>
      </c>
      <c r="M56" s="156">
        <f t="shared" si="44"/>
        <v>36497.717753166638</v>
      </c>
      <c r="N56" s="163">
        <f t="shared" si="44"/>
        <v>153265</v>
      </c>
      <c r="O56" s="155">
        <f t="shared" si="44"/>
        <v>189899.44705900704</v>
      </c>
      <c r="P56" s="156">
        <f t="shared" si="44"/>
        <v>36634.447059007034</v>
      </c>
    </row>
    <row r="57" spans="1:16" x14ac:dyDescent="0.2">
      <c r="A57" s="146" t="s">
        <v>192</v>
      </c>
      <c r="B57" s="40">
        <f t="shared" ref="B57:P57" si="45">B29+B38+B47</f>
        <v>229</v>
      </c>
      <c r="C57" s="42">
        <f t="shared" si="45"/>
        <v>282</v>
      </c>
      <c r="D57" s="43">
        <f t="shared" si="45"/>
        <v>53</v>
      </c>
      <c r="E57" s="40">
        <f t="shared" si="45"/>
        <v>231</v>
      </c>
      <c r="F57" s="42">
        <f t="shared" si="45"/>
        <v>284</v>
      </c>
      <c r="G57" s="43">
        <f t="shared" si="45"/>
        <v>53</v>
      </c>
      <c r="H57" s="40">
        <f t="shared" si="45"/>
        <v>229</v>
      </c>
      <c r="I57" s="42">
        <f t="shared" si="45"/>
        <v>285</v>
      </c>
      <c r="J57" s="43">
        <f t="shared" si="45"/>
        <v>56</v>
      </c>
      <c r="K57" s="40">
        <f t="shared" si="45"/>
        <v>230</v>
      </c>
      <c r="L57" s="42">
        <f t="shared" si="45"/>
        <v>285</v>
      </c>
      <c r="M57" s="43">
        <f t="shared" si="45"/>
        <v>55</v>
      </c>
      <c r="N57" s="40">
        <f t="shared" si="45"/>
        <v>229</v>
      </c>
      <c r="O57" s="42">
        <f t="shared" si="45"/>
        <v>285</v>
      </c>
      <c r="P57" s="43">
        <f t="shared" si="45"/>
        <v>56</v>
      </c>
    </row>
    <row r="58" spans="1:16" x14ac:dyDescent="0.2">
      <c r="A58" s="145" t="s">
        <v>164</v>
      </c>
      <c r="B58" s="162">
        <f t="shared" ref="B58:P58" si="46">B30+B39+B48</f>
        <v>152633</v>
      </c>
      <c r="C58" s="30">
        <f t="shared" si="46"/>
        <v>188131.10247768415</v>
      </c>
      <c r="D58" s="31">
        <f t="shared" si="46"/>
        <v>35498.102477684137</v>
      </c>
      <c r="E58" s="162">
        <f t="shared" si="46"/>
        <v>154141</v>
      </c>
      <c r="F58" s="30">
        <f t="shared" si="46"/>
        <v>189328.98570646287</v>
      </c>
      <c r="G58" s="31">
        <f t="shared" si="46"/>
        <v>35187.985706462874</v>
      </c>
      <c r="H58" s="162">
        <f t="shared" si="46"/>
        <v>152866</v>
      </c>
      <c r="I58" s="30">
        <f t="shared" si="46"/>
        <v>189230.54926033999</v>
      </c>
      <c r="J58" s="31">
        <f t="shared" si="46"/>
        <v>36364.549260339976</v>
      </c>
      <c r="K58" s="162">
        <f t="shared" si="46"/>
        <v>153635</v>
      </c>
      <c r="L58" s="30">
        <f t="shared" si="46"/>
        <v>190187.71775316662</v>
      </c>
      <c r="M58" s="31">
        <f t="shared" si="46"/>
        <v>36552.717753166638</v>
      </c>
      <c r="N58" s="162">
        <f t="shared" si="46"/>
        <v>153494</v>
      </c>
      <c r="O58" s="30">
        <f t="shared" si="46"/>
        <v>190184.44705900704</v>
      </c>
      <c r="P58" s="31">
        <f t="shared" si="46"/>
        <v>36690.447059007034</v>
      </c>
    </row>
    <row r="59" spans="1:16" x14ac:dyDescent="0.2">
      <c r="A59" s="145"/>
      <c r="B59" s="12"/>
      <c r="C59" s="3"/>
      <c r="D59" s="10"/>
      <c r="E59" s="12"/>
      <c r="F59" s="3"/>
      <c r="G59" s="10"/>
      <c r="H59" s="12"/>
      <c r="I59" s="3"/>
      <c r="J59" s="10"/>
      <c r="K59" s="12"/>
      <c r="L59" s="3"/>
      <c r="M59" s="10"/>
      <c r="N59" s="12"/>
      <c r="O59" s="3"/>
      <c r="P59" s="10"/>
    </row>
    <row r="60" spans="1:16" x14ac:dyDescent="0.2">
      <c r="A60" s="145" t="s">
        <v>193</v>
      </c>
      <c r="B60" s="40">
        <f t="shared" ref="B60:P60" si="47">B20+B58</f>
        <v>373759</v>
      </c>
      <c r="C60" s="42">
        <f t="shared" si="47"/>
        <v>449241.10247768415</v>
      </c>
      <c r="D60" s="43">
        <f t="shared" si="47"/>
        <v>75482.102477684137</v>
      </c>
      <c r="E60" s="40">
        <f t="shared" si="47"/>
        <v>378766</v>
      </c>
      <c r="F60" s="42">
        <f t="shared" si="47"/>
        <v>454572.98570646287</v>
      </c>
      <c r="G60" s="43">
        <f t="shared" si="47"/>
        <v>75806.985706462874</v>
      </c>
      <c r="H60" s="40">
        <f t="shared" si="47"/>
        <v>378293</v>
      </c>
      <c r="I60" s="42">
        <f t="shared" si="47"/>
        <v>455424.54926033999</v>
      </c>
      <c r="J60" s="43">
        <f t="shared" si="47"/>
        <v>77131.549260339976</v>
      </c>
      <c r="K60" s="40">
        <f t="shared" si="47"/>
        <v>381197</v>
      </c>
      <c r="L60" s="42">
        <f t="shared" si="47"/>
        <v>458905.71775316662</v>
      </c>
      <c r="M60" s="43">
        <f t="shared" si="47"/>
        <v>77708.717753166638</v>
      </c>
      <c r="N60" s="40">
        <f t="shared" si="47"/>
        <v>383268</v>
      </c>
      <c r="O60" s="42">
        <f t="shared" si="47"/>
        <v>461515.44705900701</v>
      </c>
      <c r="P60" s="43">
        <f t="shared" si="47"/>
        <v>78247.447059007041</v>
      </c>
    </row>
    <row r="61" spans="1:16" ht="13.5" thickBot="1" x14ac:dyDescent="0.25">
      <c r="A61" s="151" t="s">
        <v>9</v>
      </c>
      <c r="B61" s="12"/>
      <c r="C61" s="3"/>
      <c r="D61" s="10"/>
      <c r="E61" s="12"/>
      <c r="F61" s="3"/>
      <c r="G61" s="10"/>
      <c r="H61" s="12"/>
      <c r="I61" s="3"/>
      <c r="J61" s="10"/>
      <c r="K61" s="12"/>
      <c r="L61" s="3"/>
      <c r="M61" s="10"/>
      <c r="N61" s="12"/>
      <c r="O61" s="3"/>
      <c r="P61" s="10"/>
    </row>
    <row r="62" spans="1:16" x14ac:dyDescent="0.2">
      <c r="A62" s="152" t="s">
        <v>11</v>
      </c>
      <c r="B62" s="162">
        <f>B12</f>
        <v>185541</v>
      </c>
      <c r="C62" s="30">
        <f t="shared" ref="C62:D62" si="48">C12</f>
        <v>219435</v>
      </c>
      <c r="D62" s="31">
        <f t="shared" si="48"/>
        <v>33894</v>
      </c>
      <c r="E62" s="162">
        <f>E12</f>
        <v>188709</v>
      </c>
      <c r="F62" s="30">
        <f t="shared" ref="F62:G62" si="49">F12</f>
        <v>223181</v>
      </c>
      <c r="G62" s="31">
        <f t="shared" si="49"/>
        <v>34472</v>
      </c>
      <c r="H62" s="162">
        <f>H12</f>
        <v>189617</v>
      </c>
      <c r="I62" s="30">
        <f t="shared" ref="I62:J62" si="50">I12</f>
        <v>224255</v>
      </c>
      <c r="J62" s="31">
        <f t="shared" si="50"/>
        <v>34638</v>
      </c>
      <c r="K62" s="162">
        <f>K12</f>
        <v>191644</v>
      </c>
      <c r="L62" s="30">
        <f t="shared" ref="L62:M62" si="51">L12</f>
        <v>226653</v>
      </c>
      <c r="M62" s="31">
        <f t="shared" si="51"/>
        <v>35009</v>
      </c>
      <c r="N62" s="162">
        <f>N12</f>
        <v>193739</v>
      </c>
      <c r="O62" s="30">
        <f t="shared" ref="O62:P62" si="52">O12</f>
        <v>229130</v>
      </c>
      <c r="P62" s="31">
        <f t="shared" si="52"/>
        <v>35391</v>
      </c>
    </row>
    <row r="63" spans="1:16" x14ac:dyDescent="0.2">
      <c r="A63" s="152" t="s">
        <v>12</v>
      </c>
      <c r="B63" s="162">
        <f t="shared" ref="B63:D63" si="53">B13</f>
        <v>30548</v>
      </c>
      <c r="C63" s="30">
        <f t="shared" si="53"/>
        <v>36128</v>
      </c>
      <c r="D63" s="31">
        <f t="shared" si="53"/>
        <v>5580</v>
      </c>
      <c r="E63" s="162">
        <f t="shared" ref="E63:P63" si="54">E13</f>
        <v>30891</v>
      </c>
      <c r="F63" s="30">
        <f t="shared" si="54"/>
        <v>36534</v>
      </c>
      <c r="G63" s="31">
        <f t="shared" si="54"/>
        <v>5643</v>
      </c>
      <c r="H63" s="162">
        <f t="shared" si="54"/>
        <v>30863</v>
      </c>
      <c r="I63" s="30">
        <f t="shared" si="54"/>
        <v>36501</v>
      </c>
      <c r="J63" s="31">
        <f t="shared" si="54"/>
        <v>5638</v>
      </c>
      <c r="K63" s="162">
        <f t="shared" si="54"/>
        <v>31020</v>
      </c>
      <c r="L63" s="30">
        <f t="shared" si="54"/>
        <v>36687</v>
      </c>
      <c r="M63" s="31">
        <f t="shared" si="54"/>
        <v>5667</v>
      </c>
      <c r="N63" s="162">
        <f t="shared" si="54"/>
        <v>31179</v>
      </c>
      <c r="O63" s="30">
        <f t="shared" si="54"/>
        <v>36874</v>
      </c>
      <c r="P63" s="31">
        <f t="shared" si="54"/>
        <v>5695</v>
      </c>
    </row>
    <row r="64" spans="1:16" x14ac:dyDescent="0.2">
      <c r="A64" s="152" t="s">
        <v>94</v>
      </c>
      <c r="B64" s="162">
        <f t="shared" ref="B64:D64" si="55">B14</f>
        <v>2189</v>
      </c>
      <c r="C64" s="30">
        <f t="shared" si="55"/>
        <v>2189</v>
      </c>
      <c r="D64" s="31">
        <f t="shared" si="55"/>
        <v>0</v>
      </c>
      <c r="E64" s="162">
        <f t="shared" ref="E64:P64" si="56">E14</f>
        <v>2211</v>
      </c>
      <c r="F64" s="30">
        <f t="shared" si="56"/>
        <v>2211</v>
      </c>
      <c r="G64" s="31">
        <f t="shared" si="56"/>
        <v>0</v>
      </c>
      <c r="H64" s="162">
        <f t="shared" si="56"/>
        <v>2202</v>
      </c>
      <c r="I64" s="30">
        <f t="shared" si="56"/>
        <v>2202</v>
      </c>
      <c r="J64" s="31">
        <f t="shared" si="56"/>
        <v>0</v>
      </c>
      <c r="K64" s="162">
        <f t="shared" si="56"/>
        <v>2211</v>
      </c>
      <c r="L64" s="30">
        <f t="shared" si="56"/>
        <v>2211</v>
      </c>
      <c r="M64" s="31">
        <f t="shared" si="56"/>
        <v>0</v>
      </c>
      <c r="N64" s="162">
        <f t="shared" si="56"/>
        <v>2217</v>
      </c>
      <c r="O64" s="30">
        <f t="shared" si="56"/>
        <v>2217</v>
      </c>
      <c r="P64" s="31">
        <f t="shared" si="56"/>
        <v>0</v>
      </c>
    </row>
    <row r="65" spans="1:16" x14ac:dyDescent="0.2">
      <c r="A65" s="153" t="s">
        <v>13</v>
      </c>
      <c r="B65" s="162">
        <f t="shared" ref="B65:D65" si="57">B15</f>
        <v>2461</v>
      </c>
      <c r="C65" s="30">
        <f t="shared" si="57"/>
        <v>2911</v>
      </c>
      <c r="D65" s="31">
        <f t="shared" si="57"/>
        <v>450</v>
      </c>
      <c r="E65" s="162">
        <f t="shared" ref="E65:P65" si="58">E15</f>
        <v>2422</v>
      </c>
      <c r="F65" s="30">
        <f t="shared" si="58"/>
        <v>2865</v>
      </c>
      <c r="G65" s="31">
        <f t="shared" si="58"/>
        <v>443</v>
      </c>
      <c r="H65" s="162">
        <f t="shared" si="58"/>
        <v>2352</v>
      </c>
      <c r="I65" s="30">
        <f t="shared" si="58"/>
        <v>2782</v>
      </c>
      <c r="J65" s="31">
        <f t="shared" si="58"/>
        <v>430</v>
      </c>
      <c r="K65" s="162">
        <f t="shared" si="58"/>
        <v>2291</v>
      </c>
      <c r="L65" s="30">
        <f t="shared" si="58"/>
        <v>2709</v>
      </c>
      <c r="M65" s="31">
        <f t="shared" si="58"/>
        <v>418</v>
      </c>
      <c r="N65" s="162">
        <f t="shared" si="58"/>
        <v>2239</v>
      </c>
      <c r="O65" s="30">
        <f t="shared" si="58"/>
        <v>2648</v>
      </c>
      <c r="P65" s="31">
        <f t="shared" si="58"/>
        <v>409</v>
      </c>
    </row>
    <row r="66" spans="1:16" x14ac:dyDescent="0.2">
      <c r="A66" s="152" t="s">
        <v>166</v>
      </c>
      <c r="B66" s="163">
        <f t="shared" ref="B66:D66" si="59">B16</f>
        <v>220739</v>
      </c>
      <c r="C66" s="155">
        <f t="shared" si="59"/>
        <v>260663</v>
      </c>
      <c r="D66" s="156">
        <f t="shared" si="59"/>
        <v>39924</v>
      </c>
      <c r="E66" s="163">
        <f t="shared" ref="E66:P66" si="60">E16</f>
        <v>224233</v>
      </c>
      <c r="F66" s="155">
        <f t="shared" si="60"/>
        <v>264791</v>
      </c>
      <c r="G66" s="156">
        <f t="shared" si="60"/>
        <v>40558</v>
      </c>
      <c r="H66" s="163">
        <f t="shared" si="60"/>
        <v>225034</v>
      </c>
      <c r="I66" s="155">
        <f t="shared" si="60"/>
        <v>265740</v>
      </c>
      <c r="J66" s="156">
        <f t="shared" si="60"/>
        <v>40706</v>
      </c>
      <c r="K66" s="163">
        <f t="shared" si="60"/>
        <v>227166</v>
      </c>
      <c r="L66" s="155">
        <f t="shared" si="60"/>
        <v>268260</v>
      </c>
      <c r="M66" s="156">
        <f t="shared" si="60"/>
        <v>41094</v>
      </c>
      <c r="N66" s="163">
        <f t="shared" si="60"/>
        <v>229374</v>
      </c>
      <c r="O66" s="155">
        <f t="shared" si="60"/>
        <v>270869</v>
      </c>
      <c r="P66" s="156">
        <f t="shared" si="60"/>
        <v>41495</v>
      </c>
    </row>
    <row r="67" spans="1:16" x14ac:dyDescent="0.2">
      <c r="A67" s="153" t="s">
        <v>14</v>
      </c>
      <c r="B67" s="40">
        <f t="shared" ref="B67:D67" si="61">B17</f>
        <v>55</v>
      </c>
      <c r="C67" s="42">
        <f t="shared" si="61"/>
        <v>55</v>
      </c>
      <c r="D67" s="43">
        <f t="shared" si="61"/>
        <v>0</v>
      </c>
      <c r="E67" s="40">
        <f t="shared" ref="E67:P67" si="62">E17</f>
        <v>55</v>
      </c>
      <c r="F67" s="42">
        <f t="shared" si="62"/>
        <v>55</v>
      </c>
      <c r="G67" s="43">
        <f t="shared" si="62"/>
        <v>0</v>
      </c>
      <c r="H67" s="40">
        <f t="shared" si="62"/>
        <v>55</v>
      </c>
      <c r="I67" s="42">
        <f t="shared" si="62"/>
        <v>55</v>
      </c>
      <c r="J67" s="43">
        <f t="shared" si="62"/>
        <v>0</v>
      </c>
      <c r="K67" s="40">
        <f t="shared" si="62"/>
        <v>55</v>
      </c>
      <c r="L67" s="42">
        <f t="shared" si="62"/>
        <v>55</v>
      </c>
      <c r="M67" s="43">
        <f t="shared" si="62"/>
        <v>0</v>
      </c>
      <c r="N67" s="40">
        <f t="shared" si="62"/>
        <v>55</v>
      </c>
      <c r="O67" s="42">
        <f t="shared" si="62"/>
        <v>55</v>
      </c>
      <c r="P67" s="43">
        <f t="shared" si="62"/>
        <v>0</v>
      </c>
    </row>
    <row r="68" spans="1:16" x14ac:dyDescent="0.2">
      <c r="A68" s="152" t="s">
        <v>15</v>
      </c>
      <c r="B68" s="163">
        <f t="shared" ref="B68:D68" si="63">B18</f>
        <v>220794</v>
      </c>
      <c r="C68" s="155">
        <f t="shared" si="63"/>
        <v>260718</v>
      </c>
      <c r="D68" s="156">
        <f t="shared" si="63"/>
        <v>39924</v>
      </c>
      <c r="E68" s="163">
        <f t="shared" ref="E68:P68" si="64">E18</f>
        <v>224288</v>
      </c>
      <c r="F68" s="155">
        <f t="shared" si="64"/>
        <v>264846</v>
      </c>
      <c r="G68" s="156">
        <f t="shared" si="64"/>
        <v>40558</v>
      </c>
      <c r="H68" s="163">
        <f t="shared" si="64"/>
        <v>225089</v>
      </c>
      <c r="I68" s="155">
        <f t="shared" si="64"/>
        <v>265795</v>
      </c>
      <c r="J68" s="156">
        <f t="shared" si="64"/>
        <v>40706</v>
      </c>
      <c r="K68" s="163">
        <f t="shared" si="64"/>
        <v>227221</v>
      </c>
      <c r="L68" s="155">
        <f t="shared" si="64"/>
        <v>268315</v>
      </c>
      <c r="M68" s="156">
        <f t="shared" si="64"/>
        <v>41094</v>
      </c>
      <c r="N68" s="163">
        <f t="shared" si="64"/>
        <v>229429</v>
      </c>
      <c r="O68" s="155">
        <f t="shared" si="64"/>
        <v>270924</v>
      </c>
      <c r="P68" s="156">
        <f t="shared" si="64"/>
        <v>41495</v>
      </c>
    </row>
    <row r="69" spans="1:16" x14ac:dyDescent="0.2">
      <c r="A69" s="153" t="s">
        <v>167</v>
      </c>
      <c r="B69" s="40">
        <f t="shared" ref="B69:D69" si="65">B19</f>
        <v>332</v>
      </c>
      <c r="C69" s="42">
        <f t="shared" si="65"/>
        <v>392</v>
      </c>
      <c r="D69" s="43">
        <f t="shared" si="65"/>
        <v>60</v>
      </c>
      <c r="E69" s="40">
        <f t="shared" ref="E69:P69" si="66">E19</f>
        <v>337</v>
      </c>
      <c r="F69" s="42">
        <f t="shared" si="66"/>
        <v>398</v>
      </c>
      <c r="G69" s="43">
        <f t="shared" si="66"/>
        <v>61</v>
      </c>
      <c r="H69" s="40">
        <f t="shared" si="66"/>
        <v>338</v>
      </c>
      <c r="I69" s="42">
        <f t="shared" si="66"/>
        <v>399</v>
      </c>
      <c r="J69" s="43">
        <f t="shared" si="66"/>
        <v>61</v>
      </c>
      <c r="K69" s="40">
        <f t="shared" si="66"/>
        <v>341</v>
      </c>
      <c r="L69" s="42">
        <f t="shared" si="66"/>
        <v>403</v>
      </c>
      <c r="M69" s="43">
        <f t="shared" si="66"/>
        <v>62</v>
      </c>
      <c r="N69" s="40">
        <f t="shared" si="66"/>
        <v>345</v>
      </c>
      <c r="O69" s="42">
        <f t="shared" si="66"/>
        <v>407</v>
      </c>
      <c r="P69" s="43">
        <f t="shared" si="66"/>
        <v>62</v>
      </c>
    </row>
    <row r="70" spans="1:16" s="110" customFormat="1" ht="13.5" thickBot="1" x14ac:dyDescent="0.25">
      <c r="A70" s="175" t="s">
        <v>17</v>
      </c>
      <c r="B70" s="26">
        <f t="shared" ref="B70:D70" si="67">B20</f>
        <v>221126</v>
      </c>
      <c r="C70" s="27">
        <f t="shared" si="67"/>
        <v>261110</v>
      </c>
      <c r="D70" s="32">
        <f t="shared" si="67"/>
        <v>39984</v>
      </c>
      <c r="E70" s="26">
        <f t="shared" ref="E70:P70" si="68">E20</f>
        <v>224625</v>
      </c>
      <c r="F70" s="27">
        <f t="shared" si="68"/>
        <v>265244</v>
      </c>
      <c r="G70" s="32">
        <f t="shared" si="68"/>
        <v>40619</v>
      </c>
      <c r="H70" s="26">
        <f t="shared" si="68"/>
        <v>225427</v>
      </c>
      <c r="I70" s="27">
        <f t="shared" si="68"/>
        <v>266194</v>
      </c>
      <c r="J70" s="32">
        <f t="shared" si="68"/>
        <v>40767</v>
      </c>
      <c r="K70" s="26">
        <f t="shared" si="68"/>
        <v>227562</v>
      </c>
      <c r="L70" s="27">
        <f t="shared" si="68"/>
        <v>268718</v>
      </c>
      <c r="M70" s="32">
        <f t="shared" si="68"/>
        <v>41156</v>
      </c>
      <c r="N70" s="26">
        <f t="shared" si="68"/>
        <v>229774</v>
      </c>
      <c r="O70" s="27">
        <f t="shared" si="68"/>
        <v>271331</v>
      </c>
      <c r="P70" s="32">
        <f t="shared" si="68"/>
        <v>41557</v>
      </c>
    </row>
    <row r="71" spans="1:16" ht="13.5" thickBot="1" x14ac:dyDescent="0.25">
      <c r="A71" s="176" t="s">
        <v>241</v>
      </c>
      <c r="B71" s="177">
        <f t="shared" ref="B71:P71" si="69">B70*1.048</f>
        <v>231740.04800000001</v>
      </c>
      <c r="C71" s="178">
        <f t="shared" si="69"/>
        <v>273643.28000000003</v>
      </c>
      <c r="D71" s="179">
        <f t="shared" si="69"/>
        <v>41903.232000000004</v>
      </c>
      <c r="E71" s="177">
        <f t="shared" si="69"/>
        <v>235407</v>
      </c>
      <c r="F71" s="178">
        <f t="shared" si="69"/>
        <v>277975.712</v>
      </c>
      <c r="G71" s="179">
        <f t="shared" si="69"/>
        <v>42568.712</v>
      </c>
      <c r="H71" s="177">
        <f t="shared" si="69"/>
        <v>236247.49600000001</v>
      </c>
      <c r="I71" s="178">
        <f t="shared" si="69"/>
        <v>278971.31200000003</v>
      </c>
      <c r="J71" s="179">
        <f t="shared" si="69"/>
        <v>42723.815999999999</v>
      </c>
      <c r="K71" s="177">
        <f t="shared" si="69"/>
        <v>238484.97600000002</v>
      </c>
      <c r="L71" s="178">
        <f t="shared" si="69"/>
        <v>281616.46400000004</v>
      </c>
      <c r="M71" s="179">
        <f t="shared" si="69"/>
        <v>43131.488000000005</v>
      </c>
      <c r="N71" s="177">
        <f t="shared" si="69"/>
        <v>240803.152</v>
      </c>
      <c r="O71" s="178">
        <f t="shared" si="69"/>
        <v>284354.88800000004</v>
      </c>
      <c r="P71" s="179">
        <f t="shared" si="69"/>
        <v>43551.736000000004</v>
      </c>
    </row>
    <row r="72" spans="1:16" x14ac:dyDescent="0.2">
      <c r="A72" s="152"/>
      <c r="B72" s="162"/>
      <c r="C72" s="3"/>
      <c r="D72" s="10"/>
      <c r="E72" s="162"/>
      <c r="F72" s="3"/>
      <c r="G72" s="10"/>
      <c r="H72" s="162"/>
      <c r="I72" s="3"/>
      <c r="J72" s="10"/>
      <c r="K72" s="162"/>
      <c r="L72" s="3"/>
      <c r="M72" s="10"/>
      <c r="N72" s="162"/>
      <c r="O72" s="3"/>
      <c r="P72" s="10"/>
    </row>
    <row r="73" spans="1:16" x14ac:dyDescent="0.2">
      <c r="A73" s="145"/>
      <c r="B73" s="162"/>
      <c r="C73" s="3"/>
      <c r="D73" s="10"/>
      <c r="E73" s="162"/>
      <c r="F73" s="3"/>
      <c r="G73" s="10"/>
      <c r="H73" s="162"/>
      <c r="I73" s="3"/>
      <c r="J73" s="10"/>
      <c r="K73" s="162"/>
      <c r="L73" s="3"/>
      <c r="M73" s="10"/>
      <c r="N73" s="162"/>
      <c r="O73" s="3"/>
      <c r="P73" s="10"/>
    </row>
    <row r="74" spans="1:16" ht="13.5" thickBot="1" x14ac:dyDescent="0.25">
      <c r="A74" s="154" t="s">
        <v>76</v>
      </c>
      <c r="B74" s="162"/>
      <c r="C74" s="30"/>
      <c r="D74" s="31"/>
      <c r="E74" s="162"/>
      <c r="F74" s="30"/>
      <c r="G74" s="31"/>
      <c r="H74" s="162"/>
      <c r="I74" s="30"/>
      <c r="J74" s="31"/>
      <c r="K74" s="162"/>
      <c r="L74" s="30"/>
      <c r="M74" s="31"/>
      <c r="N74" s="162"/>
      <c r="O74" s="30"/>
      <c r="P74" s="31"/>
    </row>
    <row r="75" spans="1:16" x14ac:dyDescent="0.2">
      <c r="A75" s="145" t="s">
        <v>168</v>
      </c>
      <c r="B75" s="162">
        <f>B24</f>
        <v>2220</v>
      </c>
      <c r="C75" s="30">
        <f t="shared" ref="C75:D75" si="70">C24</f>
        <v>3097</v>
      </c>
      <c r="D75" s="31">
        <f t="shared" si="70"/>
        <v>877</v>
      </c>
      <c r="E75" s="162">
        <f>E24</f>
        <v>2305</v>
      </c>
      <c r="F75" s="30">
        <f t="shared" ref="F75:G75" si="71">F24</f>
        <v>3215</v>
      </c>
      <c r="G75" s="31">
        <f t="shared" si="71"/>
        <v>910</v>
      </c>
      <c r="H75" s="162">
        <f>H24</f>
        <v>2352</v>
      </c>
      <c r="I75" s="30">
        <f t="shared" ref="I75:J75" si="72">I24</f>
        <v>3280</v>
      </c>
      <c r="J75" s="31">
        <f t="shared" si="72"/>
        <v>928</v>
      </c>
      <c r="K75" s="162">
        <f>K24</f>
        <v>2390</v>
      </c>
      <c r="L75" s="30">
        <f t="shared" ref="L75:M75" si="73">L24</f>
        <v>3334</v>
      </c>
      <c r="M75" s="31">
        <f t="shared" si="73"/>
        <v>944</v>
      </c>
      <c r="N75" s="162">
        <f>N24</f>
        <v>2445</v>
      </c>
      <c r="O75" s="30">
        <f t="shared" ref="O75:P75" si="74">O24</f>
        <v>3410</v>
      </c>
      <c r="P75" s="31">
        <f t="shared" si="74"/>
        <v>965</v>
      </c>
    </row>
    <row r="76" spans="1:16" x14ac:dyDescent="0.2">
      <c r="A76" s="145" t="s">
        <v>169</v>
      </c>
      <c r="B76" s="162">
        <f t="shared" ref="B76:D76" si="75">B25</f>
        <v>32720</v>
      </c>
      <c r="C76" s="30">
        <f t="shared" si="75"/>
        <v>45646</v>
      </c>
      <c r="D76" s="31">
        <f t="shared" si="75"/>
        <v>12926</v>
      </c>
      <c r="E76" s="162">
        <f t="shared" ref="E76:P76" si="76">E25</f>
        <v>33787</v>
      </c>
      <c r="F76" s="30">
        <f t="shared" si="76"/>
        <v>47137</v>
      </c>
      <c r="G76" s="31">
        <f t="shared" si="76"/>
        <v>13350</v>
      </c>
      <c r="H76" s="162">
        <f t="shared" si="76"/>
        <v>34488</v>
      </c>
      <c r="I76" s="30">
        <f t="shared" si="76"/>
        <v>48113</v>
      </c>
      <c r="J76" s="31">
        <f t="shared" si="76"/>
        <v>13625</v>
      </c>
      <c r="K76" s="162">
        <f t="shared" si="76"/>
        <v>35368</v>
      </c>
      <c r="L76" s="30">
        <f t="shared" si="76"/>
        <v>49339</v>
      </c>
      <c r="M76" s="31">
        <f t="shared" si="76"/>
        <v>13971</v>
      </c>
      <c r="N76" s="162">
        <f t="shared" si="76"/>
        <v>36278</v>
      </c>
      <c r="O76" s="30">
        <f t="shared" si="76"/>
        <v>50611</v>
      </c>
      <c r="P76" s="31">
        <f t="shared" si="76"/>
        <v>14333</v>
      </c>
    </row>
    <row r="77" spans="1:16" x14ac:dyDescent="0.2">
      <c r="A77" s="145" t="s">
        <v>170</v>
      </c>
      <c r="B77" s="162">
        <f t="shared" ref="B77:D77" si="77">B26</f>
        <v>17683</v>
      </c>
      <c r="C77" s="30">
        <f t="shared" si="77"/>
        <v>25765.579007507095</v>
      </c>
      <c r="D77" s="31">
        <f t="shared" si="77"/>
        <v>8082.5790075070945</v>
      </c>
      <c r="E77" s="162">
        <f t="shared" ref="E77:P77" si="78">E26</f>
        <v>17828</v>
      </c>
      <c r="F77" s="30">
        <f t="shared" si="78"/>
        <v>25882.83112270695</v>
      </c>
      <c r="G77" s="31">
        <f t="shared" si="78"/>
        <v>8054.8311227069498</v>
      </c>
      <c r="H77" s="162">
        <f t="shared" si="78"/>
        <v>17740</v>
      </c>
      <c r="I77" s="30">
        <f t="shared" si="78"/>
        <v>25833.087809735862</v>
      </c>
      <c r="J77" s="31">
        <f t="shared" si="78"/>
        <v>8093.0878097358618</v>
      </c>
      <c r="K77" s="162">
        <f t="shared" si="78"/>
        <v>17786</v>
      </c>
      <c r="L77" s="30">
        <f t="shared" si="78"/>
        <v>25875.150151654027</v>
      </c>
      <c r="M77" s="31">
        <f t="shared" si="78"/>
        <v>8089.1501516540266</v>
      </c>
      <c r="N77" s="162">
        <f t="shared" si="78"/>
        <v>17828</v>
      </c>
      <c r="O77" s="30">
        <f t="shared" si="78"/>
        <v>25908.684840564703</v>
      </c>
      <c r="P77" s="31">
        <f t="shared" si="78"/>
        <v>8080.6848405647033</v>
      </c>
    </row>
    <row r="78" spans="1:16" x14ac:dyDescent="0.2">
      <c r="A78" s="146" t="s">
        <v>171</v>
      </c>
      <c r="B78" s="162">
        <f t="shared" ref="B78:D78" si="79">B27</f>
        <v>16673</v>
      </c>
      <c r="C78" s="30">
        <f t="shared" si="79"/>
        <v>23260</v>
      </c>
      <c r="D78" s="31">
        <f t="shared" si="79"/>
        <v>6587</v>
      </c>
      <c r="E78" s="162">
        <f t="shared" ref="E78:P78" si="80">E27</f>
        <v>16681</v>
      </c>
      <c r="F78" s="30">
        <f t="shared" si="80"/>
        <v>23271</v>
      </c>
      <c r="G78" s="31">
        <f t="shared" si="80"/>
        <v>6590</v>
      </c>
      <c r="H78" s="162">
        <f t="shared" si="80"/>
        <v>16500</v>
      </c>
      <c r="I78" s="30">
        <f t="shared" si="80"/>
        <v>23018</v>
      </c>
      <c r="J78" s="31">
        <f t="shared" si="80"/>
        <v>6518</v>
      </c>
      <c r="K78" s="162">
        <f t="shared" si="80"/>
        <v>16402</v>
      </c>
      <c r="L78" s="30">
        <f t="shared" si="80"/>
        <v>22883</v>
      </c>
      <c r="M78" s="31">
        <f t="shared" si="80"/>
        <v>6481</v>
      </c>
      <c r="N78" s="162">
        <f t="shared" si="80"/>
        <v>16305</v>
      </c>
      <c r="O78" s="30">
        <f t="shared" si="80"/>
        <v>22746</v>
      </c>
      <c r="P78" s="31">
        <f t="shared" si="80"/>
        <v>6441</v>
      </c>
    </row>
    <row r="79" spans="1:16" x14ac:dyDescent="0.2">
      <c r="A79" s="145" t="s">
        <v>172</v>
      </c>
      <c r="B79" s="163">
        <f t="shared" ref="B79:D79" si="81">B28</f>
        <v>69296</v>
      </c>
      <c r="C79" s="155">
        <f t="shared" si="81"/>
        <v>97768.579007507098</v>
      </c>
      <c r="D79" s="156">
        <f t="shared" si="81"/>
        <v>28472.579007507095</v>
      </c>
      <c r="E79" s="163">
        <f t="shared" ref="E79:P79" si="82">E28</f>
        <v>70601</v>
      </c>
      <c r="F79" s="155">
        <f t="shared" si="82"/>
        <v>99505.83112270695</v>
      </c>
      <c r="G79" s="156">
        <f t="shared" si="82"/>
        <v>28904.83112270695</v>
      </c>
      <c r="H79" s="163">
        <f t="shared" si="82"/>
        <v>71080</v>
      </c>
      <c r="I79" s="155">
        <f t="shared" si="82"/>
        <v>100244.08780973587</v>
      </c>
      <c r="J79" s="156">
        <f t="shared" si="82"/>
        <v>29164.087809735862</v>
      </c>
      <c r="K79" s="163">
        <f t="shared" si="82"/>
        <v>71946</v>
      </c>
      <c r="L79" s="155">
        <f t="shared" si="82"/>
        <v>101431.15015165403</v>
      </c>
      <c r="M79" s="156">
        <f t="shared" si="82"/>
        <v>29485.150151654027</v>
      </c>
      <c r="N79" s="163">
        <f t="shared" si="82"/>
        <v>72856</v>
      </c>
      <c r="O79" s="155">
        <f t="shared" si="82"/>
        <v>102675.6848405647</v>
      </c>
      <c r="P79" s="156">
        <f t="shared" si="82"/>
        <v>29819.684840564703</v>
      </c>
    </row>
    <row r="80" spans="1:16" x14ac:dyDescent="0.2">
      <c r="A80" s="146" t="s">
        <v>173</v>
      </c>
      <c r="B80" s="40">
        <f t="shared" ref="B80:D80" si="83">B29</f>
        <v>104</v>
      </c>
      <c r="C80" s="42">
        <f t="shared" si="83"/>
        <v>147</v>
      </c>
      <c r="D80" s="43">
        <f t="shared" si="83"/>
        <v>43</v>
      </c>
      <c r="E80" s="40">
        <f t="shared" ref="E80:P80" si="84">E29</f>
        <v>106</v>
      </c>
      <c r="F80" s="42">
        <f t="shared" si="84"/>
        <v>149</v>
      </c>
      <c r="G80" s="43">
        <f t="shared" si="84"/>
        <v>43</v>
      </c>
      <c r="H80" s="40">
        <f t="shared" si="84"/>
        <v>107</v>
      </c>
      <c r="I80" s="42">
        <f t="shared" si="84"/>
        <v>151</v>
      </c>
      <c r="J80" s="43">
        <f t="shared" si="84"/>
        <v>44</v>
      </c>
      <c r="K80" s="40">
        <f t="shared" si="84"/>
        <v>108</v>
      </c>
      <c r="L80" s="42">
        <f t="shared" si="84"/>
        <v>152</v>
      </c>
      <c r="M80" s="43">
        <f t="shared" si="84"/>
        <v>44</v>
      </c>
      <c r="N80" s="40">
        <f t="shared" si="84"/>
        <v>109</v>
      </c>
      <c r="O80" s="42">
        <f t="shared" si="84"/>
        <v>154</v>
      </c>
      <c r="P80" s="43">
        <f t="shared" si="84"/>
        <v>45</v>
      </c>
    </row>
    <row r="81" spans="1:16" ht="13.5" thickBot="1" x14ac:dyDescent="0.25">
      <c r="A81" s="145" t="s">
        <v>174</v>
      </c>
      <c r="B81" s="162">
        <f t="shared" ref="B81:D81" si="85">B30</f>
        <v>69400</v>
      </c>
      <c r="C81" s="30">
        <f t="shared" si="85"/>
        <v>97915.579007507098</v>
      </c>
      <c r="D81" s="31">
        <f t="shared" si="85"/>
        <v>28515.579007507095</v>
      </c>
      <c r="E81" s="162">
        <f t="shared" ref="E81:P81" si="86">E30</f>
        <v>70707</v>
      </c>
      <c r="F81" s="30">
        <f t="shared" si="86"/>
        <v>99654.83112270695</v>
      </c>
      <c r="G81" s="31">
        <f t="shared" si="86"/>
        <v>28947.83112270695</v>
      </c>
      <c r="H81" s="162">
        <f t="shared" si="86"/>
        <v>71187</v>
      </c>
      <c r="I81" s="30">
        <f t="shared" si="86"/>
        <v>100395.08780973587</v>
      </c>
      <c r="J81" s="31">
        <f t="shared" si="86"/>
        <v>29208.087809735862</v>
      </c>
      <c r="K81" s="162">
        <f t="shared" si="86"/>
        <v>72054</v>
      </c>
      <c r="L81" s="30">
        <f t="shared" si="86"/>
        <v>101583.15015165403</v>
      </c>
      <c r="M81" s="31">
        <f t="shared" si="86"/>
        <v>29529.150151654027</v>
      </c>
      <c r="N81" s="162">
        <f t="shared" si="86"/>
        <v>72965</v>
      </c>
      <c r="O81" s="30">
        <f t="shared" si="86"/>
        <v>102829.6848405647</v>
      </c>
      <c r="P81" s="31">
        <f t="shared" si="86"/>
        <v>29864.684840564703</v>
      </c>
    </row>
    <row r="82" spans="1:16" ht="13.5" thickBot="1" x14ac:dyDescent="0.25">
      <c r="A82" s="176" t="s">
        <v>242</v>
      </c>
      <c r="B82" s="177">
        <f t="shared" ref="B82:P82" si="87">B81*1.048</f>
        <v>72731.199999999997</v>
      </c>
      <c r="C82" s="178">
        <f t="shared" si="87"/>
        <v>102615.52679986744</v>
      </c>
      <c r="D82" s="179">
        <f t="shared" si="87"/>
        <v>29884.326799867435</v>
      </c>
      <c r="E82" s="177">
        <f t="shared" si="87"/>
        <v>74100.936000000002</v>
      </c>
      <c r="F82" s="178">
        <f t="shared" si="87"/>
        <v>104438.26301659689</v>
      </c>
      <c r="G82" s="179">
        <f t="shared" si="87"/>
        <v>30337.327016596886</v>
      </c>
      <c r="H82" s="177">
        <f t="shared" si="87"/>
        <v>74603.97600000001</v>
      </c>
      <c r="I82" s="178">
        <f t="shared" si="87"/>
        <v>105214.0520246032</v>
      </c>
      <c r="J82" s="179">
        <f t="shared" si="87"/>
        <v>30610.076024603186</v>
      </c>
      <c r="K82" s="177">
        <f t="shared" si="87"/>
        <v>75512.592000000004</v>
      </c>
      <c r="L82" s="178">
        <f t="shared" si="87"/>
        <v>106459.14135893343</v>
      </c>
      <c r="M82" s="179">
        <f t="shared" si="87"/>
        <v>30946.549358933422</v>
      </c>
      <c r="N82" s="177">
        <f t="shared" si="87"/>
        <v>76467.320000000007</v>
      </c>
      <c r="O82" s="178">
        <f t="shared" si="87"/>
        <v>107765.50971291181</v>
      </c>
      <c r="P82" s="179">
        <f t="shared" si="87"/>
        <v>31298.189712911812</v>
      </c>
    </row>
    <row r="83" spans="1:16" x14ac:dyDescent="0.2">
      <c r="A83" s="145"/>
      <c r="B83" s="162"/>
      <c r="C83" s="30"/>
      <c r="D83" s="31"/>
      <c r="E83" s="162"/>
      <c r="F83" s="30"/>
      <c r="G83" s="31"/>
      <c r="H83" s="162"/>
      <c r="I83" s="30"/>
      <c r="J83" s="31"/>
      <c r="K83" s="162"/>
      <c r="L83" s="30"/>
      <c r="M83" s="31"/>
      <c r="N83" s="162"/>
      <c r="O83" s="30"/>
      <c r="P83" s="31"/>
    </row>
    <row r="84" spans="1:16" x14ac:dyDescent="0.2">
      <c r="A84" s="145"/>
      <c r="B84" s="162"/>
      <c r="C84" s="30"/>
      <c r="D84" s="31"/>
      <c r="E84" s="162"/>
      <c r="F84" s="30"/>
      <c r="G84" s="31"/>
      <c r="H84" s="162"/>
      <c r="I84" s="30"/>
      <c r="J84" s="31"/>
      <c r="K84" s="162"/>
      <c r="L84" s="30"/>
      <c r="M84" s="31"/>
      <c r="N84" s="162"/>
      <c r="O84" s="30"/>
      <c r="P84" s="31"/>
    </row>
    <row r="85" spans="1:16" x14ac:dyDescent="0.2">
      <c r="A85" s="145" t="s">
        <v>175</v>
      </c>
      <c r="B85" s="162">
        <f>B33</f>
        <v>17488</v>
      </c>
      <c r="C85" s="30">
        <f t="shared" ref="C85:D85" si="88">C33</f>
        <v>20682</v>
      </c>
      <c r="D85" s="31">
        <f t="shared" si="88"/>
        <v>3194</v>
      </c>
      <c r="E85" s="162">
        <f>E33</f>
        <v>16905</v>
      </c>
      <c r="F85" s="30">
        <f t="shared" ref="F85:G85" si="89">F33</f>
        <v>19993</v>
      </c>
      <c r="G85" s="31">
        <f t="shared" si="89"/>
        <v>3088</v>
      </c>
      <c r="H85" s="162">
        <f>H33</f>
        <v>16119</v>
      </c>
      <c r="I85" s="30">
        <f t="shared" ref="I85:J85" si="90">I33</f>
        <v>19064</v>
      </c>
      <c r="J85" s="31">
        <f t="shared" si="90"/>
        <v>2945</v>
      </c>
      <c r="K85" s="162">
        <f>K33</f>
        <v>15431</v>
      </c>
      <c r="L85" s="30">
        <f t="shared" ref="L85:M85" si="91">L33</f>
        <v>18249</v>
      </c>
      <c r="M85" s="31">
        <f t="shared" si="91"/>
        <v>2818</v>
      </c>
      <c r="N85" s="162">
        <f>N33</f>
        <v>14741</v>
      </c>
      <c r="O85" s="30">
        <f t="shared" ref="O85:P85" si="92">O33</f>
        <v>17433</v>
      </c>
      <c r="P85" s="31">
        <f t="shared" si="92"/>
        <v>2692</v>
      </c>
    </row>
    <row r="86" spans="1:16" x14ac:dyDescent="0.2">
      <c r="A86" s="145" t="s">
        <v>176</v>
      </c>
      <c r="B86" s="162">
        <f t="shared" ref="B86:D86" si="93">B34</f>
        <v>3050</v>
      </c>
      <c r="C86" s="30">
        <f t="shared" si="93"/>
        <v>3608</v>
      </c>
      <c r="D86" s="31">
        <f t="shared" si="93"/>
        <v>558</v>
      </c>
      <c r="E86" s="162">
        <f t="shared" ref="E86:P86" si="94">E34</f>
        <v>2802</v>
      </c>
      <c r="F86" s="30">
        <f t="shared" si="94"/>
        <v>3313</v>
      </c>
      <c r="G86" s="31">
        <f t="shared" si="94"/>
        <v>511</v>
      </c>
      <c r="H86" s="162">
        <f t="shared" si="94"/>
        <v>2523</v>
      </c>
      <c r="I86" s="30">
        <f t="shared" si="94"/>
        <v>2985</v>
      </c>
      <c r="J86" s="31">
        <f t="shared" si="94"/>
        <v>462</v>
      </c>
      <c r="K86" s="162">
        <f t="shared" si="94"/>
        <v>2251</v>
      </c>
      <c r="L86" s="30">
        <f t="shared" si="94"/>
        <v>2662</v>
      </c>
      <c r="M86" s="31">
        <f t="shared" si="94"/>
        <v>411</v>
      </c>
      <c r="N86" s="162">
        <f t="shared" si="94"/>
        <v>1973</v>
      </c>
      <c r="O86" s="30">
        <f t="shared" si="94"/>
        <v>2334</v>
      </c>
      <c r="P86" s="31">
        <f t="shared" si="94"/>
        <v>361</v>
      </c>
    </row>
    <row r="87" spans="1:16" x14ac:dyDescent="0.2">
      <c r="A87" s="145" t="s">
        <v>177</v>
      </c>
      <c r="B87" s="162">
        <f t="shared" ref="B87:D87" si="95">B35</f>
        <v>68</v>
      </c>
      <c r="C87" s="30">
        <f t="shared" si="95"/>
        <v>101</v>
      </c>
      <c r="D87" s="31">
        <f t="shared" si="95"/>
        <v>33</v>
      </c>
      <c r="E87" s="162">
        <f t="shared" ref="E87:P87" si="96">E35</f>
        <v>68</v>
      </c>
      <c r="F87" s="30">
        <f t="shared" si="96"/>
        <v>101</v>
      </c>
      <c r="G87" s="31">
        <f t="shared" si="96"/>
        <v>33</v>
      </c>
      <c r="H87" s="162">
        <f t="shared" si="96"/>
        <v>67</v>
      </c>
      <c r="I87" s="30">
        <f t="shared" si="96"/>
        <v>99</v>
      </c>
      <c r="J87" s="31">
        <f t="shared" si="96"/>
        <v>32</v>
      </c>
      <c r="K87" s="162">
        <f t="shared" si="96"/>
        <v>66</v>
      </c>
      <c r="L87" s="30">
        <f t="shared" si="96"/>
        <v>98</v>
      </c>
      <c r="M87" s="31">
        <f t="shared" si="96"/>
        <v>32</v>
      </c>
      <c r="N87" s="162">
        <f t="shared" si="96"/>
        <v>65</v>
      </c>
      <c r="O87" s="30">
        <f t="shared" si="96"/>
        <v>97</v>
      </c>
      <c r="P87" s="31">
        <f t="shared" si="96"/>
        <v>32</v>
      </c>
    </row>
    <row r="88" spans="1:16" x14ac:dyDescent="0.2">
      <c r="A88" s="146" t="s">
        <v>178</v>
      </c>
      <c r="B88" s="162">
        <f t="shared" ref="B88:D88" si="97">B36</f>
        <v>198</v>
      </c>
      <c r="C88" s="30">
        <f t="shared" si="97"/>
        <v>234</v>
      </c>
      <c r="D88" s="31">
        <f t="shared" si="97"/>
        <v>36</v>
      </c>
      <c r="E88" s="162">
        <f t="shared" ref="E88:P88" si="98">E36</f>
        <v>195</v>
      </c>
      <c r="F88" s="30">
        <f t="shared" si="98"/>
        <v>231</v>
      </c>
      <c r="G88" s="31">
        <f t="shared" si="98"/>
        <v>36</v>
      </c>
      <c r="H88" s="162">
        <f t="shared" si="98"/>
        <v>188</v>
      </c>
      <c r="I88" s="30">
        <f t="shared" si="98"/>
        <v>223</v>
      </c>
      <c r="J88" s="31">
        <f t="shared" si="98"/>
        <v>35</v>
      </c>
      <c r="K88" s="162">
        <f t="shared" si="98"/>
        <v>185</v>
      </c>
      <c r="L88" s="30">
        <f t="shared" si="98"/>
        <v>219</v>
      </c>
      <c r="M88" s="31">
        <f t="shared" si="98"/>
        <v>34</v>
      </c>
      <c r="N88" s="162">
        <f t="shared" si="98"/>
        <v>180</v>
      </c>
      <c r="O88" s="30">
        <f t="shared" si="98"/>
        <v>213</v>
      </c>
      <c r="P88" s="31">
        <f t="shared" si="98"/>
        <v>33</v>
      </c>
    </row>
    <row r="89" spans="1:16" x14ac:dyDescent="0.2">
      <c r="A89" s="145" t="s">
        <v>179</v>
      </c>
      <c r="B89" s="163">
        <f t="shared" ref="B89:D89" si="99">B37</f>
        <v>20804</v>
      </c>
      <c r="C89" s="155">
        <f t="shared" si="99"/>
        <v>24625</v>
      </c>
      <c r="D89" s="156">
        <f t="shared" si="99"/>
        <v>3821</v>
      </c>
      <c r="E89" s="163">
        <f t="shared" ref="E89:P89" si="100">E37</f>
        <v>19970</v>
      </c>
      <c r="F89" s="155">
        <f t="shared" si="100"/>
        <v>23638</v>
      </c>
      <c r="G89" s="156">
        <f t="shared" si="100"/>
        <v>3668</v>
      </c>
      <c r="H89" s="163">
        <f t="shared" si="100"/>
        <v>18897</v>
      </c>
      <c r="I89" s="155">
        <f t="shared" si="100"/>
        <v>22371</v>
      </c>
      <c r="J89" s="156">
        <f t="shared" si="100"/>
        <v>3474</v>
      </c>
      <c r="K89" s="163">
        <f t="shared" si="100"/>
        <v>17933</v>
      </c>
      <c r="L89" s="155">
        <f t="shared" si="100"/>
        <v>21228</v>
      </c>
      <c r="M89" s="156">
        <f t="shared" si="100"/>
        <v>3295</v>
      </c>
      <c r="N89" s="163">
        <f t="shared" si="100"/>
        <v>16959</v>
      </c>
      <c r="O89" s="155">
        <f t="shared" si="100"/>
        <v>20077</v>
      </c>
      <c r="P89" s="156">
        <f t="shared" si="100"/>
        <v>3118</v>
      </c>
    </row>
    <row r="90" spans="1:16" x14ac:dyDescent="0.2">
      <c r="A90" s="146" t="s">
        <v>180</v>
      </c>
      <c r="B90" s="40">
        <f t="shared" ref="B90:D90" si="101">B38</f>
        <v>31</v>
      </c>
      <c r="C90" s="42">
        <f t="shared" si="101"/>
        <v>37</v>
      </c>
      <c r="D90" s="43">
        <f t="shared" si="101"/>
        <v>6</v>
      </c>
      <c r="E90" s="40">
        <f t="shared" ref="E90:P90" si="102">E38</f>
        <v>30</v>
      </c>
      <c r="F90" s="42">
        <f t="shared" si="102"/>
        <v>36</v>
      </c>
      <c r="G90" s="43">
        <f t="shared" si="102"/>
        <v>6</v>
      </c>
      <c r="H90" s="40">
        <f t="shared" si="102"/>
        <v>28</v>
      </c>
      <c r="I90" s="42">
        <f t="shared" si="102"/>
        <v>34</v>
      </c>
      <c r="J90" s="43">
        <f t="shared" si="102"/>
        <v>6</v>
      </c>
      <c r="K90" s="40">
        <f t="shared" si="102"/>
        <v>27</v>
      </c>
      <c r="L90" s="42">
        <f t="shared" si="102"/>
        <v>32</v>
      </c>
      <c r="M90" s="43">
        <f t="shared" si="102"/>
        <v>5</v>
      </c>
      <c r="N90" s="40">
        <f t="shared" si="102"/>
        <v>25</v>
      </c>
      <c r="O90" s="42">
        <f t="shared" si="102"/>
        <v>30</v>
      </c>
      <c r="P90" s="43">
        <f t="shared" si="102"/>
        <v>5</v>
      </c>
    </row>
    <row r="91" spans="1:16" ht="13.5" thickBot="1" x14ac:dyDescent="0.25">
      <c r="A91" s="145" t="s">
        <v>181</v>
      </c>
      <c r="B91" s="162">
        <f t="shared" ref="B91:D91" si="103">B39</f>
        <v>20835</v>
      </c>
      <c r="C91" s="30">
        <f t="shared" si="103"/>
        <v>24662</v>
      </c>
      <c r="D91" s="31">
        <f t="shared" si="103"/>
        <v>3827</v>
      </c>
      <c r="E91" s="162">
        <f t="shared" ref="E91:P91" si="104">E39</f>
        <v>20000</v>
      </c>
      <c r="F91" s="30">
        <f t="shared" si="104"/>
        <v>23674</v>
      </c>
      <c r="G91" s="31">
        <f t="shared" si="104"/>
        <v>3674</v>
      </c>
      <c r="H91" s="162">
        <f t="shared" si="104"/>
        <v>18925</v>
      </c>
      <c r="I91" s="30">
        <f t="shared" si="104"/>
        <v>22405</v>
      </c>
      <c r="J91" s="31">
        <f t="shared" si="104"/>
        <v>3480</v>
      </c>
      <c r="K91" s="162">
        <f t="shared" si="104"/>
        <v>17960</v>
      </c>
      <c r="L91" s="30">
        <f t="shared" si="104"/>
        <v>21260</v>
      </c>
      <c r="M91" s="31">
        <f t="shared" si="104"/>
        <v>3300</v>
      </c>
      <c r="N91" s="162">
        <f t="shared" si="104"/>
        <v>16984</v>
      </c>
      <c r="O91" s="30">
        <f t="shared" si="104"/>
        <v>20107</v>
      </c>
      <c r="P91" s="31">
        <f t="shared" si="104"/>
        <v>3123</v>
      </c>
    </row>
    <row r="92" spans="1:16" ht="13.5" thickBot="1" x14ac:dyDescent="0.25">
      <c r="A92" s="176" t="s">
        <v>243</v>
      </c>
      <c r="B92" s="177">
        <f t="shared" ref="B92:P92" si="105">B91*1.048</f>
        <v>21835.08</v>
      </c>
      <c r="C92" s="178">
        <f t="shared" si="105"/>
        <v>25845.776000000002</v>
      </c>
      <c r="D92" s="179">
        <f t="shared" si="105"/>
        <v>4010.6960000000004</v>
      </c>
      <c r="E92" s="177">
        <f t="shared" si="105"/>
        <v>20960</v>
      </c>
      <c r="F92" s="178">
        <f t="shared" si="105"/>
        <v>24810.352000000003</v>
      </c>
      <c r="G92" s="179">
        <f t="shared" si="105"/>
        <v>3850.3520000000003</v>
      </c>
      <c r="H92" s="177">
        <f t="shared" si="105"/>
        <v>19833.400000000001</v>
      </c>
      <c r="I92" s="178">
        <f t="shared" si="105"/>
        <v>23480.440000000002</v>
      </c>
      <c r="J92" s="179">
        <f t="shared" si="105"/>
        <v>3647.04</v>
      </c>
      <c r="K92" s="177">
        <f t="shared" si="105"/>
        <v>18822.080000000002</v>
      </c>
      <c r="L92" s="178">
        <f t="shared" si="105"/>
        <v>22280.48</v>
      </c>
      <c r="M92" s="179">
        <f t="shared" si="105"/>
        <v>3458.4</v>
      </c>
      <c r="N92" s="177">
        <f t="shared" si="105"/>
        <v>17799.232</v>
      </c>
      <c r="O92" s="178">
        <f t="shared" si="105"/>
        <v>21072.136000000002</v>
      </c>
      <c r="P92" s="179">
        <f t="shared" si="105"/>
        <v>3272.904</v>
      </c>
    </row>
    <row r="93" spans="1:16" x14ac:dyDescent="0.2">
      <c r="A93" s="145"/>
      <c r="B93" s="12"/>
      <c r="C93" s="3"/>
      <c r="D93" s="10"/>
      <c r="E93" s="12"/>
      <c r="F93" s="3"/>
      <c r="G93" s="10"/>
      <c r="H93" s="12"/>
      <c r="I93" s="3"/>
      <c r="J93" s="10"/>
      <c r="K93" s="12"/>
      <c r="L93" s="3"/>
      <c r="M93" s="10"/>
      <c r="N93" s="12"/>
      <c r="O93" s="3"/>
      <c r="P93" s="10"/>
    </row>
    <row r="94" spans="1:16" x14ac:dyDescent="0.2">
      <c r="A94" s="145"/>
      <c r="B94" s="12"/>
      <c r="C94" s="3"/>
      <c r="D94" s="10"/>
      <c r="E94" s="12"/>
      <c r="F94" s="3"/>
      <c r="G94" s="10"/>
      <c r="H94" s="12"/>
      <c r="I94" s="3"/>
      <c r="J94" s="10"/>
      <c r="K94" s="12"/>
      <c r="L94" s="3"/>
      <c r="M94" s="10"/>
      <c r="N94" s="12"/>
      <c r="O94" s="3"/>
      <c r="P94" s="10"/>
    </row>
    <row r="95" spans="1:16" x14ac:dyDescent="0.2">
      <c r="A95" s="145" t="s">
        <v>182</v>
      </c>
      <c r="B95" s="162">
        <f>B42</f>
        <v>0</v>
      </c>
      <c r="C95" s="30">
        <f t="shared" ref="C95:D95" si="106">C42</f>
        <v>0</v>
      </c>
      <c r="D95" s="31">
        <f t="shared" si="106"/>
        <v>0</v>
      </c>
      <c r="E95" s="162">
        <f>E42</f>
        <v>0</v>
      </c>
      <c r="F95" s="30">
        <f t="shared" ref="F95:G95" si="107">F42</f>
        <v>0</v>
      </c>
      <c r="G95" s="31">
        <f t="shared" si="107"/>
        <v>0</v>
      </c>
      <c r="H95" s="162">
        <f>H42</f>
        <v>0</v>
      </c>
      <c r="I95" s="30">
        <f t="shared" ref="I95:J95" si="108">I42</f>
        <v>0</v>
      </c>
      <c r="J95" s="31">
        <f t="shared" si="108"/>
        <v>0</v>
      </c>
      <c r="K95" s="162">
        <f>K42</f>
        <v>0</v>
      </c>
      <c r="L95" s="30">
        <f t="shared" ref="L95:M95" si="109">L42</f>
        <v>0</v>
      </c>
      <c r="M95" s="31">
        <f t="shared" si="109"/>
        <v>0</v>
      </c>
      <c r="N95" s="162">
        <f>N42</f>
        <v>0</v>
      </c>
      <c r="O95" s="30">
        <f t="shared" ref="O95:P95" si="110">O42</f>
        <v>0</v>
      </c>
      <c r="P95" s="31">
        <f t="shared" si="110"/>
        <v>0</v>
      </c>
    </row>
    <row r="96" spans="1:16" x14ac:dyDescent="0.2">
      <c r="A96" s="145" t="s">
        <v>183</v>
      </c>
      <c r="B96" s="162">
        <f t="shared" ref="B96:D96" si="111">B43</f>
        <v>7775</v>
      </c>
      <c r="C96" s="30">
        <f t="shared" si="111"/>
        <v>9195</v>
      </c>
      <c r="D96" s="31">
        <f t="shared" si="111"/>
        <v>1420</v>
      </c>
      <c r="E96" s="162">
        <f t="shared" ref="E96:P96" si="112">E43</f>
        <v>7834</v>
      </c>
      <c r="F96" s="30">
        <f t="shared" si="112"/>
        <v>9265</v>
      </c>
      <c r="G96" s="31">
        <f t="shared" si="112"/>
        <v>1431</v>
      </c>
      <c r="H96" s="162">
        <f t="shared" si="112"/>
        <v>7952</v>
      </c>
      <c r="I96" s="30">
        <f t="shared" si="112"/>
        <v>9404</v>
      </c>
      <c r="J96" s="31">
        <f t="shared" si="112"/>
        <v>1452</v>
      </c>
      <c r="K96" s="162">
        <f t="shared" si="112"/>
        <v>8421</v>
      </c>
      <c r="L96" s="30">
        <f t="shared" si="112"/>
        <v>9960</v>
      </c>
      <c r="M96" s="31">
        <f t="shared" si="112"/>
        <v>1539</v>
      </c>
      <c r="N96" s="162">
        <f t="shared" si="112"/>
        <v>8452</v>
      </c>
      <c r="O96" s="30">
        <f t="shared" si="112"/>
        <v>9996</v>
      </c>
      <c r="P96" s="31">
        <f t="shared" si="112"/>
        <v>1544</v>
      </c>
    </row>
    <row r="97" spans="1:16" x14ac:dyDescent="0.2">
      <c r="A97" s="145" t="s">
        <v>184</v>
      </c>
      <c r="B97" s="162">
        <f t="shared" ref="B97:D97" si="113">B44</f>
        <v>52545</v>
      </c>
      <c r="C97" s="30">
        <f t="shared" si="113"/>
        <v>53914.523470177046</v>
      </c>
      <c r="D97" s="31">
        <f t="shared" si="113"/>
        <v>1369.523470177046</v>
      </c>
      <c r="E97" s="162">
        <f t="shared" ref="E97:P97" si="114">E44</f>
        <v>53609</v>
      </c>
      <c r="F97" s="30">
        <f t="shared" si="114"/>
        <v>54394.154583755924</v>
      </c>
      <c r="G97" s="31">
        <f t="shared" si="114"/>
        <v>785.15458375592425</v>
      </c>
      <c r="H97" s="162">
        <f t="shared" si="114"/>
        <v>52917</v>
      </c>
      <c r="I97" s="30">
        <f t="shared" si="114"/>
        <v>54807.461450604111</v>
      </c>
      <c r="J97" s="31">
        <f t="shared" si="114"/>
        <v>1890.4614506041107</v>
      </c>
      <c r="K97" s="162">
        <f t="shared" si="114"/>
        <v>53410</v>
      </c>
      <c r="L97" s="30">
        <f t="shared" si="114"/>
        <v>55278.567601512608</v>
      </c>
      <c r="M97" s="31">
        <f t="shared" si="114"/>
        <v>1868.5676015126082</v>
      </c>
      <c r="N97" s="162">
        <f t="shared" si="114"/>
        <v>53399</v>
      </c>
      <c r="O97" s="30">
        <f t="shared" si="114"/>
        <v>55259.762218442331</v>
      </c>
      <c r="P97" s="31">
        <f t="shared" si="114"/>
        <v>1860.7622184423308</v>
      </c>
    </row>
    <row r="98" spans="1:16" x14ac:dyDescent="0.2">
      <c r="A98" s="146" t="s">
        <v>185</v>
      </c>
      <c r="B98" s="162">
        <f t="shared" ref="B98:D98" si="115">B45</f>
        <v>1984</v>
      </c>
      <c r="C98" s="30">
        <f t="shared" si="115"/>
        <v>2346</v>
      </c>
      <c r="D98" s="31">
        <f t="shared" si="115"/>
        <v>362</v>
      </c>
      <c r="E98" s="162">
        <f t="shared" ref="E98:P98" si="116">E45</f>
        <v>1896</v>
      </c>
      <c r="F98" s="30">
        <f t="shared" si="116"/>
        <v>2242</v>
      </c>
      <c r="G98" s="31">
        <f t="shared" si="116"/>
        <v>346</v>
      </c>
      <c r="H98" s="162">
        <f t="shared" si="116"/>
        <v>1791</v>
      </c>
      <c r="I98" s="30">
        <f t="shared" si="116"/>
        <v>2119</v>
      </c>
      <c r="J98" s="31">
        <f t="shared" si="116"/>
        <v>328</v>
      </c>
      <c r="K98" s="162">
        <f t="shared" si="116"/>
        <v>1695</v>
      </c>
      <c r="L98" s="30">
        <f t="shared" si="116"/>
        <v>2005</v>
      </c>
      <c r="M98" s="31">
        <f t="shared" si="116"/>
        <v>310</v>
      </c>
      <c r="N98" s="162">
        <f t="shared" si="116"/>
        <v>1599</v>
      </c>
      <c r="O98" s="30">
        <f t="shared" si="116"/>
        <v>1891</v>
      </c>
      <c r="P98" s="31">
        <f t="shared" si="116"/>
        <v>292</v>
      </c>
    </row>
    <row r="99" spans="1:16" x14ac:dyDescent="0.2">
      <c r="A99" s="145" t="s">
        <v>186</v>
      </c>
      <c r="B99" s="163">
        <f t="shared" ref="B99:D99" si="117">B46</f>
        <v>62304</v>
      </c>
      <c r="C99" s="155">
        <f t="shared" si="117"/>
        <v>65455.523470177046</v>
      </c>
      <c r="D99" s="156">
        <f t="shared" si="117"/>
        <v>3151.523470177046</v>
      </c>
      <c r="E99" s="163">
        <f t="shared" ref="E99:P99" si="118">E46</f>
        <v>63339</v>
      </c>
      <c r="F99" s="155">
        <f t="shared" si="118"/>
        <v>65901.154583755924</v>
      </c>
      <c r="G99" s="156">
        <f t="shared" si="118"/>
        <v>2562.1545837559242</v>
      </c>
      <c r="H99" s="163">
        <f t="shared" si="118"/>
        <v>62660</v>
      </c>
      <c r="I99" s="155">
        <f t="shared" si="118"/>
        <v>66330.461450604111</v>
      </c>
      <c r="J99" s="156">
        <f t="shared" si="118"/>
        <v>3670.4614506041107</v>
      </c>
      <c r="K99" s="163">
        <f t="shared" si="118"/>
        <v>63526</v>
      </c>
      <c r="L99" s="155">
        <f t="shared" si="118"/>
        <v>67243.567601512608</v>
      </c>
      <c r="M99" s="156">
        <f t="shared" si="118"/>
        <v>3717.5676015126082</v>
      </c>
      <c r="N99" s="163">
        <f t="shared" si="118"/>
        <v>63450</v>
      </c>
      <c r="O99" s="155">
        <f t="shared" si="118"/>
        <v>67146.762218442338</v>
      </c>
      <c r="P99" s="156">
        <f t="shared" si="118"/>
        <v>3696.7622184423308</v>
      </c>
    </row>
    <row r="100" spans="1:16" x14ac:dyDescent="0.2">
      <c r="A100" s="146" t="s">
        <v>187</v>
      </c>
      <c r="B100" s="40">
        <f t="shared" ref="B100:D100" si="119">B47</f>
        <v>94</v>
      </c>
      <c r="C100" s="42">
        <f t="shared" si="119"/>
        <v>98</v>
      </c>
      <c r="D100" s="43">
        <f t="shared" si="119"/>
        <v>4</v>
      </c>
      <c r="E100" s="40">
        <f t="shared" ref="E100:P100" si="120">E47</f>
        <v>95</v>
      </c>
      <c r="F100" s="42">
        <f t="shared" si="120"/>
        <v>99</v>
      </c>
      <c r="G100" s="43">
        <f t="shared" si="120"/>
        <v>4</v>
      </c>
      <c r="H100" s="40">
        <f t="shared" si="120"/>
        <v>94</v>
      </c>
      <c r="I100" s="42">
        <f t="shared" si="120"/>
        <v>100</v>
      </c>
      <c r="J100" s="43">
        <f t="shared" si="120"/>
        <v>6</v>
      </c>
      <c r="K100" s="40">
        <f t="shared" si="120"/>
        <v>95</v>
      </c>
      <c r="L100" s="42">
        <f t="shared" si="120"/>
        <v>101</v>
      </c>
      <c r="M100" s="43">
        <f t="shared" si="120"/>
        <v>6</v>
      </c>
      <c r="N100" s="40">
        <f t="shared" si="120"/>
        <v>95</v>
      </c>
      <c r="O100" s="42">
        <f t="shared" si="120"/>
        <v>101</v>
      </c>
      <c r="P100" s="43">
        <f t="shared" si="120"/>
        <v>6</v>
      </c>
    </row>
    <row r="101" spans="1:16" ht="13.5" thickBot="1" x14ac:dyDescent="0.25">
      <c r="A101" s="145" t="s">
        <v>188</v>
      </c>
      <c r="B101" s="162">
        <f t="shared" ref="B101:D101" si="121">B48</f>
        <v>62398</v>
      </c>
      <c r="C101" s="30">
        <f t="shared" si="121"/>
        <v>65553.523470177053</v>
      </c>
      <c r="D101" s="31">
        <f t="shared" si="121"/>
        <v>3155.523470177046</v>
      </c>
      <c r="E101" s="162">
        <f t="shared" ref="E101:P101" si="122">E48</f>
        <v>63434</v>
      </c>
      <c r="F101" s="30">
        <f t="shared" si="122"/>
        <v>66000.154583755924</v>
      </c>
      <c r="G101" s="31">
        <f t="shared" si="122"/>
        <v>2566.1545837559242</v>
      </c>
      <c r="H101" s="162">
        <f t="shared" si="122"/>
        <v>62754</v>
      </c>
      <c r="I101" s="30">
        <f t="shared" si="122"/>
        <v>66430.461450604111</v>
      </c>
      <c r="J101" s="31">
        <f t="shared" si="122"/>
        <v>3676.4614506041107</v>
      </c>
      <c r="K101" s="162">
        <f t="shared" si="122"/>
        <v>63621</v>
      </c>
      <c r="L101" s="30">
        <f t="shared" si="122"/>
        <v>67344.567601512608</v>
      </c>
      <c r="M101" s="31">
        <f t="shared" si="122"/>
        <v>3723.5676015126082</v>
      </c>
      <c r="N101" s="162">
        <f t="shared" si="122"/>
        <v>63545</v>
      </c>
      <c r="O101" s="30">
        <f t="shared" si="122"/>
        <v>67247.762218442338</v>
      </c>
      <c r="P101" s="31">
        <f t="shared" si="122"/>
        <v>3702.7622184423308</v>
      </c>
    </row>
    <row r="102" spans="1:16" s="110" customFormat="1" ht="13.5" thickBot="1" x14ac:dyDescent="0.25">
      <c r="A102" s="181" t="s">
        <v>245</v>
      </c>
      <c r="B102" s="182">
        <f t="shared" ref="B102:D102" si="123">B49</f>
        <v>65393.103999999999</v>
      </c>
      <c r="C102" s="183">
        <f t="shared" si="123"/>
        <v>68700.092596745555</v>
      </c>
      <c r="D102" s="184">
        <f t="shared" si="123"/>
        <v>3306.9885967455443</v>
      </c>
      <c r="E102" s="182">
        <f t="shared" ref="E102:P102" si="124">E49</f>
        <v>66478.832000000009</v>
      </c>
      <c r="F102" s="183">
        <f t="shared" si="124"/>
        <v>69168.162003776219</v>
      </c>
      <c r="G102" s="184">
        <f t="shared" si="124"/>
        <v>2689.3300037762087</v>
      </c>
      <c r="H102" s="182">
        <f t="shared" si="124"/>
        <v>65766.191999999995</v>
      </c>
      <c r="I102" s="183">
        <f t="shared" si="124"/>
        <v>69619.123600233113</v>
      </c>
      <c r="J102" s="184">
        <f t="shared" si="124"/>
        <v>3852.9316002331084</v>
      </c>
      <c r="K102" s="182">
        <f t="shared" si="124"/>
        <v>66674.808000000005</v>
      </c>
      <c r="L102" s="183">
        <f t="shared" si="124"/>
        <v>70577.106846385213</v>
      </c>
      <c r="M102" s="184">
        <f t="shared" si="124"/>
        <v>3902.2988463852134</v>
      </c>
      <c r="N102" s="182">
        <f t="shared" si="124"/>
        <v>66595.16</v>
      </c>
      <c r="O102" s="183">
        <f t="shared" si="124"/>
        <v>70475.654804927573</v>
      </c>
      <c r="P102" s="184">
        <f t="shared" si="124"/>
        <v>3880.4948049275627</v>
      </c>
    </row>
    <row r="103" spans="1:16" s="110" customFormat="1" ht="13.5" thickBot="1" x14ac:dyDescent="0.25">
      <c r="A103" s="176" t="s">
        <v>222</v>
      </c>
      <c r="B103" s="177"/>
      <c r="C103" s="178">
        <f>C102*0.02</f>
        <v>1374.0018519349112</v>
      </c>
      <c r="D103" s="179"/>
      <c r="E103" s="177"/>
      <c r="F103" s="178">
        <f>F102*0.02</f>
        <v>1383.3632400755243</v>
      </c>
      <c r="G103" s="179"/>
      <c r="H103" s="177"/>
      <c r="I103" s="178">
        <f>I102*0.02</f>
        <v>1392.3824720046623</v>
      </c>
      <c r="J103" s="179"/>
      <c r="K103" s="177"/>
      <c r="L103" s="178">
        <f>L102*0.02</f>
        <v>1411.5421369277044</v>
      </c>
      <c r="M103" s="179"/>
      <c r="N103" s="177"/>
      <c r="O103" s="178">
        <f>O102*0.02</f>
        <v>1409.5130960985514</v>
      </c>
      <c r="P103" s="180"/>
    </row>
    <row r="104" spans="1:16" x14ac:dyDescent="0.2">
      <c r="A104" s="145"/>
      <c r="B104" s="12"/>
      <c r="C104" s="3"/>
      <c r="D104" s="10"/>
      <c r="E104" s="12"/>
      <c r="F104" s="3"/>
      <c r="G104" s="10"/>
      <c r="H104" s="12"/>
      <c r="I104" s="3"/>
      <c r="J104" s="10"/>
      <c r="K104" s="12"/>
      <c r="L104" s="3"/>
      <c r="M104" s="10"/>
      <c r="N104" s="12"/>
      <c r="O104" s="3"/>
      <c r="P104" s="10"/>
    </row>
    <row r="105" spans="1:16" x14ac:dyDescent="0.2">
      <c r="A105" s="145"/>
      <c r="B105" s="12"/>
      <c r="C105" s="3"/>
      <c r="D105" s="10"/>
      <c r="E105" s="12"/>
      <c r="F105" s="3"/>
      <c r="G105" s="10"/>
      <c r="H105" s="12"/>
      <c r="I105" s="3"/>
      <c r="J105" s="10"/>
      <c r="K105" s="12"/>
      <c r="L105" s="3"/>
      <c r="M105" s="10"/>
      <c r="N105" s="12"/>
      <c r="O105" s="3"/>
      <c r="P105" s="10"/>
    </row>
    <row r="106" spans="1:16" x14ac:dyDescent="0.2">
      <c r="A106" s="145" t="s">
        <v>91</v>
      </c>
      <c r="B106" s="162">
        <f>B52</f>
        <v>19708</v>
      </c>
      <c r="C106" s="30">
        <f t="shared" ref="C106:D106" si="125">C52</f>
        <v>23779</v>
      </c>
      <c r="D106" s="31">
        <f t="shared" si="125"/>
        <v>4071</v>
      </c>
      <c r="E106" s="162">
        <f>E52</f>
        <v>19210</v>
      </c>
      <c r="F106" s="30">
        <f t="shared" ref="F106:G106" si="126">F52</f>
        <v>23208</v>
      </c>
      <c r="G106" s="31">
        <f t="shared" si="126"/>
        <v>3998</v>
      </c>
      <c r="H106" s="162">
        <f>H52</f>
        <v>18471</v>
      </c>
      <c r="I106" s="30">
        <f t="shared" ref="I106:J106" si="127">I52</f>
        <v>22344</v>
      </c>
      <c r="J106" s="31">
        <f t="shared" si="127"/>
        <v>3873</v>
      </c>
      <c r="K106" s="162">
        <f>K52</f>
        <v>17821</v>
      </c>
      <c r="L106" s="30">
        <f t="shared" ref="L106:M106" si="128">L52</f>
        <v>21583</v>
      </c>
      <c r="M106" s="31">
        <f t="shared" si="128"/>
        <v>3762</v>
      </c>
      <c r="N106" s="162">
        <f>N52</f>
        <v>17186</v>
      </c>
      <c r="O106" s="30">
        <f t="shared" ref="O106:P106" si="129">O52</f>
        <v>20843</v>
      </c>
      <c r="P106" s="31">
        <f t="shared" si="129"/>
        <v>3657</v>
      </c>
    </row>
    <row r="107" spans="1:16" x14ac:dyDescent="0.2">
      <c r="A107" s="145" t="s">
        <v>189</v>
      </c>
      <c r="B107" s="162">
        <f t="shared" ref="B107:D112" si="130">B53</f>
        <v>43545</v>
      </c>
      <c r="C107" s="30">
        <f t="shared" si="130"/>
        <v>58449</v>
      </c>
      <c r="D107" s="31">
        <f t="shared" si="130"/>
        <v>14904</v>
      </c>
      <c r="E107" s="162">
        <f t="shared" ref="E107:P107" si="131">E53</f>
        <v>44423</v>
      </c>
      <c r="F107" s="30">
        <f t="shared" si="131"/>
        <v>59715</v>
      </c>
      <c r="G107" s="31">
        <f t="shared" si="131"/>
        <v>15292</v>
      </c>
      <c r="H107" s="162">
        <f t="shared" si="131"/>
        <v>44963</v>
      </c>
      <c r="I107" s="30">
        <f t="shared" si="131"/>
        <v>60502</v>
      </c>
      <c r="J107" s="31">
        <f t="shared" si="131"/>
        <v>15539</v>
      </c>
      <c r="K107" s="162">
        <f t="shared" si="131"/>
        <v>46040</v>
      </c>
      <c r="L107" s="30">
        <f t="shared" si="131"/>
        <v>61961</v>
      </c>
      <c r="M107" s="31">
        <f t="shared" si="131"/>
        <v>15921</v>
      </c>
      <c r="N107" s="162">
        <f t="shared" si="131"/>
        <v>46703</v>
      </c>
      <c r="O107" s="30">
        <f t="shared" si="131"/>
        <v>62941</v>
      </c>
      <c r="P107" s="31">
        <f t="shared" si="131"/>
        <v>16238</v>
      </c>
    </row>
    <row r="108" spans="1:16" x14ac:dyDescent="0.2">
      <c r="A108" s="145" t="s">
        <v>190</v>
      </c>
      <c r="B108" s="162">
        <f t="shared" si="130"/>
        <v>70296</v>
      </c>
      <c r="C108" s="30">
        <f t="shared" si="130"/>
        <v>79781.102477684137</v>
      </c>
      <c r="D108" s="31">
        <f t="shared" si="130"/>
        <v>9485.1024776841405</v>
      </c>
      <c r="E108" s="162">
        <f t="shared" ref="E108:P108" si="132">E54</f>
        <v>71505</v>
      </c>
      <c r="F108" s="30">
        <f t="shared" si="132"/>
        <v>80377.985706462874</v>
      </c>
      <c r="G108" s="31">
        <f t="shared" si="132"/>
        <v>8872.9857064628741</v>
      </c>
      <c r="H108" s="162">
        <f t="shared" si="132"/>
        <v>70724</v>
      </c>
      <c r="I108" s="30">
        <f t="shared" si="132"/>
        <v>80739.549260339976</v>
      </c>
      <c r="J108" s="31">
        <f t="shared" si="132"/>
        <v>10015.549260339973</v>
      </c>
      <c r="K108" s="162">
        <f t="shared" si="132"/>
        <v>71262</v>
      </c>
      <c r="L108" s="30">
        <f t="shared" si="132"/>
        <v>81251.717753166638</v>
      </c>
      <c r="M108" s="31">
        <f t="shared" si="132"/>
        <v>9989.7177531666348</v>
      </c>
      <c r="N108" s="162">
        <f t="shared" si="132"/>
        <v>71292</v>
      </c>
      <c r="O108" s="30">
        <f t="shared" si="132"/>
        <v>81265.447059007041</v>
      </c>
      <c r="P108" s="31">
        <f t="shared" si="132"/>
        <v>9973.4470590070341</v>
      </c>
    </row>
    <row r="109" spans="1:16" x14ac:dyDescent="0.2">
      <c r="A109" s="146" t="s">
        <v>191</v>
      </c>
      <c r="B109" s="162">
        <f t="shared" si="130"/>
        <v>18855</v>
      </c>
      <c r="C109" s="30">
        <f t="shared" si="130"/>
        <v>25840</v>
      </c>
      <c r="D109" s="31">
        <f t="shared" si="130"/>
        <v>6985</v>
      </c>
      <c r="E109" s="162">
        <f t="shared" ref="E109:P109" si="133">E55</f>
        <v>18772</v>
      </c>
      <c r="F109" s="30">
        <f t="shared" si="133"/>
        <v>25744</v>
      </c>
      <c r="G109" s="31">
        <f t="shared" si="133"/>
        <v>6972</v>
      </c>
      <c r="H109" s="162">
        <f t="shared" si="133"/>
        <v>18479</v>
      </c>
      <c r="I109" s="30">
        <f t="shared" si="133"/>
        <v>25360</v>
      </c>
      <c r="J109" s="31">
        <f t="shared" si="133"/>
        <v>6881</v>
      </c>
      <c r="K109" s="162">
        <f t="shared" si="133"/>
        <v>18282</v>
      </c>
      <c r="L109" s="30">
        <f t="shared" si="133"/>
        <v>25107</v>
      </c>
      <c r="M109" s="31">
        <f t="shared" si="133"/>
        <v>6825</v>
      </c>
      <c r="N109" s="162">
        <f t="shared" si="133"/>
        <v>18084</v>
      </c>
      <c r="O109" s="30">
        <f t="shared" si="133"/>
        <v>24850</v>
      </c>
      <c r="P109" s="31">
        <f t="shared" si="133"/>
        <v>6766</v>
      </c>
    </row>
    <row r="110" spans="1:16" x14ac:dyDescent="0.2">
      <c r="A110" s="145" t="s">
        <v>163</v>
      </c>
      <c r="B110" s="163">
        <f t="shared" si="130"/>
        <v>152404</v>
      </c>
      <c r="C110" s="155">
        <f t="shared" si="130"/>
        <v>187849.10247768415</v>
      </c>
      <c r="D110" s="156">
        <f t="shared" si="130"/>
        <v>35445.102477684137</v>
      </c>
      <c r="E110" s="163">
        <f t="shared" ref="E110:P110" si="134">E56</f>
        <v>153910</v>
      </c>
      <c r="F110" s="155">
        <f t="shared" si="134"/>
        <v>189044.98570646287</v>
      </c>
      <c r="G110" s="156">
        <f t="shared" si="134"/>
        <v>35134.985706462874</v>
      </c>
      <c r="H110" s="163">
        <f t="shared" si="134"/>
        <v>152637</v>
      </c>
      <c r="I110" s="155">
        <f t="shared" si="134"/>
        <v>188945.54926033999</v>
      </c>
      <c r="J110" s="156">
        <f t="shared" si="134"/>
        <v>36308.549260339976</v>
      </c>
      <c r="K110" s="163">
        <f t="shared" si="134"/>
        <v>153405</v>
      </c>
      <c r="L110" s="155">
        <f t="shared" si="134"/>
        <v>189902.71775316662</v>
      </c>
      <c r="M110" s="156">
        <f t="shared" si="134"/>
        <v>36497.717753166638</v>
      </c>
      <c r="N110" s="163">
        <f t="shared" si="134"/>
        <v>153265</v>
      </c>
      <c r="O110" s="155">
        <f t="shared" si="134"/>
        <v>189899.44705900704</v>
      </c>
      <c r="P110" s="156">
        <f t="shared" si="134"/>
        <v>36634.447059007034</v>
      </c>
    </row>
    <row r="111" spans="1:16" x14ac:dyDescent="0.2">
      <c r="A111" s="146" t="s">
        <v>192</v>
      </c>
      <c r="B111" s="40">
        <f t="shared" si="130"/>
        <v>229</v>
      </c>
      <c r="C111" s="42">
        <f t="shared" si="130"/>
        <v>282</v>
      </c>
      <c r="D111" s="43">
        <f t="shared" si="130"/>
        <v>53</v>
      </c>
      <c r="E111" s="40">
        <f t="shared" ref="E111:P111" si="135">E57</f>
        <v>231</v>
      </c>
      <c r="F111" s="42">
        <f t="shared" si="135"/>
        <v>284</v>
      </c>
      <c r="G111" s="43">
        <f t="shared" si="135"/>
        <v>53</v>
      </c>
      <c r="H111" s="40">
        <f t="shared" si="135"/>
        <v>229</v>
      </c>
      <c r="I111" s="42">
        <f t="shared" si="135"/>
        <v>285</v>
      </c>
      <c r="J111" s="43">
        <f t="shared" si="135"/>
        <v>56</v>
      </c>
      <c r="K111" s="40">
        <f t="shared" si="135"/>
        <v>230</v>
      </c>
      <c r="L111" s="42">
        <f t="shared" si="135"/>
        <v>285</v>
      </c>
      <c r="M111" s="43">
        <f t="shared" si="135"/>
        <v>55</v>
      </c>
      <c r="N111" s="40">
        <f t="shared" si="135"/>
        <v>229</v>
      </c>
      <c r="O111" s="42">
        <f t="shared" si="135"/>
        <v>285</v>
      </c>
      <c r="P111" s="43">
        <f t="shared" si="135"/>
        <v>56</v>
      </c>
    </row>
    <row r="112" spans="1:16" x14ac:dyDescent="0.2">
      <c r="A112" s="145" t="s">
        <v>164</v>
      </c>
      <c r="B112" s="162">
        <f t="shared" si="130"/>
        <v>152633</v>
      </c>
      <c r="C112" s="30">
        <f t="shared" si="130"/>
        <v>188131.10247768415</v>
      </c>
      <c r="D112" s="31">
        <f t="shared" si="130"/>
        <v>35498.102477684137</v>
      </c>
      <c r="E112" s="162">
        <f t="shared" ref="E112:P112" si="136">E58</f>
        <v>154141</v>
      </c>
      <c r="F112" s="30">
        <f t="shared" si="136"/>
        <v>189328.98570646287</v>
      </c>
      <c r="G112" s="31">
        <f t="shared" si="136"/>
        <v>35187.985706462874</v>
      </c>
      <c r="H112" s="162">
        <f t="shared" si="136"/>
        <v>152866</v>
      </c>
      <c r="I112" s="30">
        <f t="shared" si="136"/>
        <v>189230.54926033999</v>
      </c>
      <c r="J112" s="31">
        <f t="shared" si="136"/>
        <v>36364.549260339976</v>
      </c>
      <c r="K112" s="162">
        <f t="shared" si="136"/>
        <v>153635</v>
      </c>
      <c r="L112" s="30">
        <f t="shared" si="136"/>
        <v>190187.71775316662</v>
      </c>
      <c r="M112" s="31">
        <f t="shared" si="136"/>
        <v>36552.717753166638</v>
      </c>
      <c r="N112" s="162">
        <f t="shared" si="136"/>
        <v>153494</v>
      </c>
      <c r="O112" s="30">
        <f t="shared" si="136"/>
        <v>190184.44705900704</v>
      </c>
      <c r="P112" s="31">
        <f t="shared" si="136"/>
        <v>36690.447059007034</v>
      </c>
    </row>
    <row r="113" spans="1:16" x14ac:dyDescent="0.2">
      <c r="A113" s="145"/>
      <c r="B113" s="12"/>
      <c r="C113" s="3"/>
      <c r="D113" s="10"/>
      <c r="E113" s="12"/>
      <c r="F113" s="3"/>
      <c r="G113" s="10"/>
      <c r="H113" s="12"/>
      <c r="I113" s="3"/>
      <c r="J113" s="10"/>
      <c r="K113" s="12"/>
      <c r="L113" s="3"/>
      <c r="M113" s="10"/>
      <c r="N113" s="12"/>
      <c r="O113" s="3"/>
      <c r="P113" s="10"/>
    </row>
    <row r="114" spans="1:16" x14ac:dyDescent="0.2">
      <c r="A114" s="145" t="s">
        <v>193</v>
      </c>
      <c r="B114" s="40">
        <f>B60</f>
        <v>373759</v>
      </c>
      <c r="C114" s="42">
        <f t="shared" ref="C114:D114" si="137">C60</f>
        <v>449241.10247768415</v>
      </c>
      <c r="D114" s="43">
        <f t="shared" si="137"/>
        <v>75482.102477684137</v>
      </c>
      <c r="E114" s="40">
        <f>E60</f>
        <v>378766</v>
      </c>
      <c r="F114" s="42">
        <f t="shared" ref="F114:G114" si="138">F60</f>
        <v>454572.98570646287</v>
      </c>
      <c r="G114" s="43">
        <f t="shared" si="138"/>
        <v>75806.985706462874</v>
      </c>
      <c r="H114" s="40">
        <f>H60</f>
        <v>378293</v>
      </c>
      <c r="I114" s="42">
        <f t="shared" ref="I114:J114" si="139">I60</f>
        <v>455424.54926033999</v>
      </c>
      <c r="J114" s="43">
        <f t="shared" si="139"/>
        <v>77131.549260339976</v>
      </c>
      <c r="K114" s="40">
        <f>K60</f>
        <v>381197</v>
      </c>
      <c r="L114" s="42">
        <f t="shared" ref="L114:M114" si="140">L60</f>
        <v>458905.71775316662</v>
      </c>
      <c r="M114" s="43">
        <f t="shared" si="140"/>
        <v>77708.717753166638</v>
      </c>
      <c r="N114" s="40">
        <f>N60</f>
        <v>383268</v>
      </c>
      <c r="O114" s="42">
        <f t="shared" ref="O114:P114" si="141">O60</f>
        <v>461515.44705900701</v>
      </c>
      <c r="P114" s="43">
        <f t="shared" si="141"/>
        <v>78247.447059007041</v>
      </c>
    </row>
    <row r="115" spans="1:16" x14ac:dyDescent="0.2">
      <c r="A115" s="189"/>
      <c r="B115" s="190"/>
      <c r="C115" s="191"/>
      <c r="D115" s="192"/>
      <c r="E115" s="190"/>
      <c r="F115" s="191"/>
      <c r="G115" s="192"/>
      <c r="H115" s="190"/>
      <c r="I115" s="191"/>
      <c r="J115" s="192"/>
      <c r="K115" s="190"/>
      <c r="L115" s="191"/>
      <c r="M115" s="192"/>
      <c r="N115" s="190"/>
      <c r="O115" s="191"/>
      <c r="P115" s="192"/>
    </row>
    <row r="116" spans="1:16" x14ac:dyDescent="0.2">
      <c r="A116" s="189"/>
      <c r="B116" s="193"/>
      <c r="C116" s="194"/>
      <c r="D116" s="195"/>
      <c r="E116" s="193"/>
      <c r="F116" s="194"/>
      <c r="G116" s="195"/>
      <c r="H116" s="193"/>
      <c r="I116" s="194"/>
      <c r="J116" s="195"/>
      <c r="K116" s="193"/>
      <c r="L116" s="194"/>
      <c r="M116" s="195"/>
      <c r="N116" s="193"/>
      <c r="O116" s="194"/>
      <c r="P116" s="195"/>
    </row>
    <row r="117" spans="1:16" x14ac:dyDescent="0.2">
      <c r="A117" s="185" t="s">
        <v>17</v>
      </c>
      <c r="B117" s="187">
        <f>C71</f>
        <v>273643.28000000003</v>
      </c>
      <c r="C117" s="3"/>
      <c r="D117" s="10"/>
      <c r="E117" s="187">
        <f>F71</f>
        <v>277975.712</v>
      </c>
      <c r="F117" s="3"/>
      <c r="G117" s="10"/>
      <c r="H117" s="187">
        <f>I71</f>
        <v>278971.31200000003</v>
      </c>
      <c r="I117" s="3"/>
      <c r="J117" s="10"/>
      <c r="K117" s="187">
        <f>L71</f>
        <v>281616.46400000004</v>
      </c>
      <c r="L117" s="3"/>
      <c r="M117" s="10"/>
      <c r="N117" s="187">
        <f>O71</f>
        <v>284354.88800000004</v>
      </c>
      <c r="O117" s="3"/>
      <c r="P117" s="10"/>
    </row>
    <row r="118" spans="1:16" x14ac:dyDescent="0.2">
      <c r="A118" s="185" t="s">
        <v>174</v>
      </c>
      <c r="B118" s="187">
        <f>D82</f>
        <v>29884.326799867435</v>
      </c>
      <c r="C118" s="3"/>
      <c r="D118" s="10"/>
      <c r="E118" s="187">
        <f>G82</f>
        <v>30337.327016596886</v>
      </c>
      <c r="F118" s="3"/>
      <c r="G118" s="10"/>
      <c r="H118" s="187">
        <f>J82</f>
        <v>30610.076024603186</v>
      </c>
      <c r="I118" s="3"/>
      <c r="J118" s="10"/>
      <c r="K118" s="187">
        <f>M82</f>
        <v>30946.549358933422</v>
      </c>
      <c r="L118" s="3"/>
      <c r="M118" s="10"/>
      <c r="N118" s="187">
        <f>P82</f>
        <v>31298.189712911812</v>
      </c>
      <c r="O118" s="3"/>
      <c r="P118" s="10"/>
    </row>
    <row r="119" spans="1:16" x14ac:dyDescent="0.2">
      <c r="A119" s="185" t="s">
        <v>181</v>
      </c>
      <c r="B119" s="187">
        <f>C92</f>
        <v>25845.776000000002</v>
      </c>
      <c r="C119" s="3"/>
      <c r="D119" s="10"/>
      <c r="E119" s="187">
        <f>F92</f>
        <v>24810.352000000003</v>
      </c>
      <c r="F119" s="3"/>
      <c r="G119" s="10"/>
      <c r="H119" s="187">
        <f>I92</f>
        <v>23480.440000000002</v>
      </c>
      <c r="I119" s="3"/>
      <c r="J119" s="10"/>
      <c r="K119" s="187">
        <f>L92</f>
        <v>22280.48</v>
      </c>
      <c r="L119" s="3"/>
      <c r="M119" s="10"/>
      <c r="N119" s="187">
        <f>O92</f>
        <v>21072.136000000002</v>
      </c>
      <c r="O119" s="3"/>
      <c r="P119" s="10"/>
    </row>
    <row r="120" spans="1:16" x14ac:dyDescent="0.2">
      <c r="A120" s="185" t="s">
        <v>222</v>
      </c>
      <c r="B120" s="187">
        <f>C103</f>
        <v>1374.0018519349112</v>
      </c>
      <c r="C120" s="3"/>
      <c r="D120" s="10"/>
      <c r="E120" s="187">
        <f>F103</f>
        <v>1383.3632400755243</v>
      </c>
      <c r="F120" s="3"/>
      <c r="G120" s="10"/>
      <c r="H120" s="187">
        <f>I103</f>
        <v>1392.3824720046623</v>
      </c>
      <c r="I120" s="3"/>
      <c r="J120" s="10"/>
      <c r="K120" s="187">
        <f>L103</f>
        <v>1411.5421369277044</v>
      </c>
      <c r="L120" s="3"/>
      <c r="M120" s="10"/>
      <c r="N120" s="187">
        <f>O103</f>
        <v>1409.5130960985514</v>
      </c>
      <c r="O120" s="3"/>
      <c r="P120" s="10"/>
    </row>
    <row r="121" spans="1:16" x14ac:dyDescent="0.2">
      <c r="A121" s="2" t="s">
        <v>223</v>
      </c>
      <c r="B121" s="188">
        <f>SUM(B117:B120)</f>
        <v>330747.38465180242</v>
      </c>
      <c r="C121" s="41" t="s">
        <v>224</v>
      </c>
      <c r="D121" s="186"/>
      <c r="E121" s="188">
        <f>SUM(E117:E120)</f>
        <v>334506.7542566724</v>
      </c>
      <c r="F121" s="41" t="s">
        <v>224</v>
      </c>
      <c r="G121" s="186"/>
      <c r="H121" s="188">
        <f>SUM(H117:H120)</f>
        <v>334454.21049660794</v>
      </c>
      <c r="I121" s="41" t="s">
        <v>224</v>
      </c>
      <c r="J121" s="186"/>
      <c r="K121" s="188">
        <f>SUM(K117:K120)</f>
        <v>336255.03549586114</v>
      </c>
      <c r="L121" s="41" t="s">
        <v>224</v>
      </c>
      <c r="M121" s="186"/>
      <c r="N121" s="188">
        <f>SUM(N117:N120)</f>
        <v>338134.72680901038</v>
      </c>
      <c r="O121" s="41" t="s">
        <v>224</v>
      </c>
      <c r="P121" s="186"/>
    </row>
  </sheetData>
  <mergeCells count="5">
    <mergeCell ref="B5:D5"/>
    <mergeCell ref="E5:G5"/>
    <mergeCell ref="H5:J5"/>
    <mergeCell ref="K5:M5"/>
    <mergeCell ref="N5:P5"/>
  </mergeCells>
  <printOptions horizontalCentered="1"/>
  <pageMargins left="0.35" right="0.35" top="0.75" bottom="0.35" header="0.5" footer="0.2"/>
  <pageSetup scale="52" fitToHeight="2" orientation="landscape" blackAndWhite="1" r:id="rId1"/>
  <headerFooter alignWithMargins="0"/>
  <rowBreaks count="1" manualBreakCount="1">
    <brk id="60" max="15" man="1"/>
  </rowBreaks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42"/>
  <sheetViews>
    <sheetView topLeftCell="A10" zoomScale="80" zoomScaleNormal="80" workbookViewId="0">
      <selection activeCell="B54" sqref="B54"/>
    </sheetView>
  </sheetViews>
  <sheetFormatPr defaultColWidth="9.140625" defaultRowHeight="12.75" x14ac:dyDescent="0.2"/>
  <cols>
    <col min="1" max="1" width="48" style="2" customWidth="1"/>
    <col min="2" max="16" width="11.7109375" style="2" customWidth="1"/>
    <col min="17" max="16384" width="9.140625" style="2"/>
  </cols>
  <sheetData>
    <row r="1" spans="1:16" ht="15" customHeight="1" x14ac:dyDescent="0.2">
      <c r="A1" s="2" t="s">
        <v>74</v>
      </c>
      <c r="D1" s="4" t="str">
        <f>'Retail Sales Base Case'!G1</f>
        <v>2022 Master Estimate</v>
      </c>
    </row>
    <row r="2" spans="1:16" ht="15" customHeight="1" x14ac:dyDescent="0.2">
      <c r="A2" s="2" t="s">
        <v>165</v>
      </c>
      <c r="D2" s="157">
        <f ca="1">'Retail Sales Base Case'!G2</f>
        <v>44852.574980324076</v>
      </c>
    </row>
    <row r="3" spans="1:16" ht="15" customHeight="1" x14ac:dyDescent="0.2">
      <c r="A3" s="2" t="s">
        <v>157</v>
      </c>
    </row>
    <row r="4" spans="1:16" ht="15" customHeight="1" x14ac:dyDescent="0.2">
      <c r="A4" s="2" t="s">
        <v>4</v>
      </c>
      <c r="B4" s="158">
        <f>'Retail Sales Base Case'!B6</f>
        <v>1.5E-3</v>
      </c>
    </row>
    <row r="5" spans="1:16" ht="15" customHeight="1" x14ac:dyDescent="0.2"/>
    <row r="6" spans="1:16" ht="15" customHeight="1" x14ac:dyDescent="0.2">
      <c r="B6" s="159" t="s">
        <v>219</v>
      </c>
      <c r="C6" s="137"/>
      <c r="D6" s="123"/>
      <c r="E6" s="159" t="s">
        <v>219</v>
      </c>
      <c r="F6" s="137"/>
      <c r="G6" s="123"/>
      <c r="H6" s="159" t="s">
        <v>219</v>
      </c>
      <c r="I6" s="137"/>
      <c r="J6" s="123"/>
      <c r="K6" s="159" t="s">
        <v>219</v>
      </c>
      <c r="L6" s="137"/>
      <c r="M6" s="123"/>
      <c r="N6" s="159" t="s">
        <v>219</v>
      </c>
      <c r="O6" s="137"/>
      <c r="P6" s="123"/>
    </row>
    <row r="7" spans="1:16" ht="15" customHeight="1" x14ac:dyDescent="0.2">
      <c r="B7" s="160" t="s">
        <v>220</v>
      </c>
      <c r="C7" s="19" t="s">
        <v>158</v>
      </c>
      <c r="D7" s="20" t="s">
        <v>158</v>
      </c>
      <c r="E7" s="160" t="s">
        <v>220</v>
      </c>
      <c r="F7" s="19" t="s">
        <v>158</v>
      </c>
      <c r="G7" s="20" t="s">
        <v>158</v>
      </c>
      <c r="H7" s="160" t="s">
        <v>220</v>
      </c>
      <c r="I7" s="19" t="s">
        <v>158</v>
      </c>
      <c r="J7" s="20" t="s">
        <v>158</v>
      </c>
      <c r="K7" s="160" t="s">
        <v>220</v>
      </c>
      <c r="L7" s="19" t="s">
        <v>158</v>
      </c>
      <c r="M7" s="20" t="s">
        <v>158</v>
      </c>
      <c r="N7" s="160" t="s">
        <v>220</v>
      </c>
      <c r="O7" s="19" t="s">
        <v>158</v>
      </c>
      <c r="P7" s="20" t="s">
        <v>158</v>
      </c>
    </row>
    <row r="8" spans="1:16" ht="15" customHeight="1" x14ac:dyDescent="0.2">
      <c r="B8" s="160" t="s">
        <v>159</v>
      </c>
      <c r="C8" s="19" t="s">
        <v>159</v>
      </c>
      <c r="D8" s="20" t="s">
        <v>160</v>
      </c>
      <c r="E8" s="160" t="s">
        <v>159</v>
      </c>
      <c r="F8" s="19" t="s">
        <v>159</v>
      </c>
      <c r="G8" s="20" t="s">
        <v>160</v>
      </c>
      <c r="H8" s="160" t="s">
        <v>159</v>
      </c>
      <c r="I8" s="19" t="s">
        <v>159</v>
      </c>
      <c r="J8" s="20" t="s">
        <v>160</v>
      </c>
      <c r="K8" s="160" t="s">
        <v>159</v>
      </c>
      <c r="L8" s="19" t="s">
        <v>159</v>
      </c>
      <c r="M8" s="20" t="s">
        <v>160</v>
      </c>
      <c r="N8" s="160" t="s">
        <v>159</v>
      </c>
      <c r="O8" s="19" t="s">
        <v>159</v>
      </c>
      <c r="P8" s="20" t="s">
        <v>160</v>
      </c>
    </row>
    <row r="9" spans="1:16" ht="15" customHeight="1" x14ac:dyDescent="0.2">
      <c r="B9" s="160" t="s">
        <v>161</v>
      </c>
      <c r="C9" s="19" t="s">
        <v>161</v>
      </c>
      <c r="D9" s="20" t="s">
        <v>221</v>
      </c>
      <c r="E9" s="160" t="s">
        <v>161</v>
      </c>
      <c r="F9" s="19" t="s">
        <v>161</v>
      </c>
      <c r="G9" s="20" t="s">
        <v>221</v>
      </c>
      <c r="H9" s="160" t="s">
        <v>161</v>
      </c>
      <c r="I9" s="19" t="s">
        <v>161</v>
      </c>
      <c r="J9" s="20" t="s">
        <v>221</v>
      </c>
      <c r="K9" s="160" t="s">
        <v>161</v>
      </c>
      <c r="L9" s="19" t="s">
        <v>161</v>
      </c>
      <c r="M9" s="20" t="s">
        <v>221</v>
      </c>
      <c r="N9" s="160" t="s">
        <v>161</v>
      </c>
      <c r="O9" s="19" t="s">
        <v>161</v>
      </c>
      <c r="P9" s="20" t="s">
        <v>221</v>
      </c>
    </row>
    <row r="10" spans="1:16" ht="15" customHeight="1" x14ac:dyDescent="0.2">
      <c r="B10" s="199" t="s">
        <v>227</v>
      </c>
      <c r="C10" s="161" t="str">
        <f>B10</f>
        <v>Jan 2023</v>
      </c>
      <c r="D10" s="20" t="s">
        <v>162</v>
      </c>
      <c r="E10" s="199" t="s">
        <v>229</v>
      </c>
      <c r="F10" s="161" t="str">
        <f>E10</f>
        <v>Jan 2024</v>
      </c>
      <c r="G10" s="20" t="s">
        <v>162</v>
      </c>
      <c r="H10" s="199" t="s">
        <v>231</v>
      </c>
      <c r="I10" s="161" t="str">
        <f>H10</f>
        <v>Jan 2025</v>
      </c>
      <c r="J10" s="20" t="s">
        <v>162</v>
      </c>
      <c r="K10" s="199" t="s">
        <v>234</v>
      </c>
      <c r="L10" s="161" t="str">
        <f>K10</f>
        <v>Jan 2026</v>
      </c>
      <c r="M10" s="20" t="s">
        <v>162</v>
      </c>
      <c r="N10" s="199" t="s">
        <v>239</v>
      </c>
      <c r="O10" s="161" t="str">
        <f>N10</f>
        <v>Jan 2027</v>
      </c>
      <c r="P10" s="20" t="s">
        <v>162</v>
      </c>
    </row>
    <row r="11" spans="1:16" ht="15" customHeight="1" thickBot="1" x14ac:dyDescent="0.25">
      <c r="A11" s="151" t="s">
        <v>193</v>
      </c>
      <c r="B11" s="12"/>
      <c r="C11" s="3"/>
      <c r="D11" s="10"/>
      <c r="E11" s="12"/>
      <c r="F11" s="3"/>
      <c r="G11" s="10"/>
      <c r="H11" s="12"/>
      <c r="I11" s="3"/>
      <c r="J11" s="10"/>
      <c r="K11" s="12"/>
      <c r="L11" s="3"/>
      <c r="M11" s="10"/>
      <c r="N11" s="12"/>
      <c r="O11" s="3"/>
      <c r="P11" s="10"/>
    </row>
    <row r="12" spans="1:16" ht="15" customHeight="1" x14ac:dyDescent="0.2">
      <c r="A12" s="152" t="s">
        <v>194</v>
      </c>
      <c r="B12" s="232">
        <f>'Retail Sales Base Case'!E16</f>
        <v>185541</v>
      </c>
      <c r="C12" s="233">
        <f>'Retail Sales Base Case'!G16</f>
        <v>219435</v>
      </c>
      <c r="D12" s="31">
        <f>C12-B12</f>
        <v>33894</v>
      </c>
      <c r="E12" s="232">
        <f>'Retail Sales Base Case'!K16</f>
        <v>188709</v>
      </c>
      <c r="F12" s="233">
        <f>'Retail Sales Base Case'!M16</f>
        <v>223181</v>
      </c>
      <c r="G12" s="31">
        <f>F12-E12</f>
        <v>34472</v>
      </c>
      <c r="H12" s="232">
        <f>'Retail Sales Base Case'!Q16</f>
        <v>189617</v>
      </c>
      <c r="I12" s="233">
        <f>'Retail Sales Base Case'!S16</f>
        <v>224255</v>
      </c>
      <c r="J12" s="31">
        <f>I12-H12</f>
        <v>34638</v>
      </c>
      <c r="K12" s="232">
        <f>'Retail Sales Base Case'!W16</f>
        <v>191644</v>
      </c>
      <c r="L12" s="233">
        <f>'Retail Sales Base Case'!Y16</f>
        <v>226653</v>
      </c>
      <c r="M12" s="31">
        <f>L12-K12</f>
        <v>35009</v>
      </c>
      <c r="N12" s="232">
        <f>'Retail Sales Base Case'!AC16</f>
        <v>193739</v>
      </c>
      <c r="O12" s="233">
        <f>'Retail Sales Base Case'!AE16</f>
        <v>229130</v>
      </c>
      <c r="P12" s="31">
        <f>O12-N12</f>
        <v>35391</v>
      </c>
    </row>
    <row r="13" spans="1:16" ht="15" customHeight="1" x14ac:dyDescent="0.2">
      <c r="A13" s="152" t="s">
        <v>168</v>
      </c>
      <c r="B13" s="232">
        <f>'Res Trans Base Case'!E20</f>
        <v>2220</v>
      </c>
      <c r="C13" s="233">
        <f>'Res Trans Base Case'!G20</f>
        <v>3097</v>
      </c>
      <c r="D13" s="31">
        <f t="shared" ref="D13:D17" si="0">C13-B13</f>
        <v>877</v>
      </c>
      <c r="E13" s="232">
        <f>'Res Trans Base Case'!K20</f>
        <v>2305</v>
      </c>
      <c r="F13" s="233">
        <f>'Res Trans Base Case'!M20</f>
        <v>3215</v>
      </c>
      <c r="G13" s="31">
        <f t="shared" ref="G13:G15" si="1">F13-E13</f>
        <v>910</v>
      </c>
      <c r="H13" s="232">
        <f>'Res Trans Base Case'!Q20</f>
        <v>2352</v>
      </c>
      <c r="I13" s="233">
        <f>'Res Trans Base Case'!S20</f>
        <v>3280</v>
      </c>
      <c r="J13" s="31">
        <f t="shared" ref="J13:J15" si="2">I13-H13</f>
        <v>928</v>
      </c>
      <c r="K13" s="232">
        <f>'Res Trans Base Case'!W20</f>
        <v>2390</v>
      </c>
      <c r="L13" s="233">
        <f>'Res Trans Base Case'!Y20</f>
        <v>3334</v>
      </c>
      <c r="M13" s="31">
        <f t="shared" ref="M13:M15" si="3">L13-K13</f>
        <v>944</v>
      </c>
      <c r="N13" s="232">
        <f>'Res Trans Base Case'!AC20</f>
        <v>2445</v>
      </c>
      <c r="O13" s="233">
        <f>'Res Trans Base Case'!AE20</f>
        <v>3410</v>
      </c>
      <c r="P13" s="31">
        <f t="shared" ref="P13:P15" si="4">O13-N13</f>
        <v>965</v>
      </c>
    </row>
    <row r="14" spans="1:16" ht="15" customHeight="1" x14ac:dyDescent="0.2">
      <c r="A14" s="152" t="s">
        <v>175</v>
      </c>
      <c r="B14" s="232">
        <f>'Res Trans Base Case'!E27</f>
        <v>17488</v>
      </c>
      <c r="C14" s="233">
        <f>'Res Trans Base Case'!G27</f>
        <v>20682</v>
      </c>
      <c r="D14" s="31">
        <f t="shared" si="0"/>
        <v>3194</v>
      </c>
      <c r="E14" s="232">
        <f>'Res Trans Base Case'!K27</f>
        <v>16905</v>
      </c>
      <c r="F14" s="233">
        <f>'Res Trans Base Case'!M27</f>
        <v>19993</v>
      </c>
      <c r="G14" s="31">
        <f t="shared" si="1"/>
        <v>3088</v>
      </c>
      <c r="H14" s="232">
        <f>'Res Trans Base Case'!Q27</f>
        <v>16119</v>
      </c>
      <c r="I14" s="233">
        <f>'Res Trans Base Case'!S27</f>
        <v>19064</v>
      </c>
      <c r="J14" s="31">
        <f t="shared" si="2"/>
        <v>2945</v>
      </c>
      <c r="K14" s="232">
        <f>'Res Trans Base Case'!W27</f>
        <v>15431</v>
      </c>
      <c r="L14" s="233">
        <f>'Res Trans Base Case'!Y27</f>
        <v>18249</v>
      </c>
      <c r="M14" s="31">
        <f t="shared" si="3"/>
        <v>2818</v>
      </c>
      <c r="N14" s="232">
        <f>'Res Trans Base Case'!AC27</f>
        <v>14741</v>
      </c>
      <c r="O14" s="233">
        <f>'Res Trans Base Case'!AE27</f>
        <v>17433</v>
      </c>
      <c r="P14" s="31">
        <f t="shared" si="4"/>
        <v>2692</v>
      </c>
    </row>
    <row r="15" spans="1:16" ht="15" customHeight="1" x14ac:dyDescent="0.2">
      <c r="A15" s="153" t="s">
        <v>182</v>
      </c>
      <c r="B15" s="232">
        <f>'Res Trans Base Case'!E33</f>
        <v>0</v>
      </c>
      <c r="C15" s="233">
        <f>'Res Trans Base Case'!G33</f>
        <v>0</v>
      </c>
      <c r="D15" s="31">
        <f t="shared" si="0"/>
        <v>0</v>
      </c>
      <c r="E15" s="232">
        <f>'Res Trans Base Case'!K33</f>
        <v>0</v>
      </c>
      <c r="F15" s="233">
        <f>'Res Trans Base Case'!M33</f>
        <v>0</v>
      </c>
      <c r="G15" s="31">
        <f t="shared" si="1"/>
        <v>0</v>
      </c>
      <c r="H15" s="232">
        <f>'Res Trans Base Case'!Q33</f>
        <v>0</v>
      </c>
      <c r="I15" s="233">
        <f>'Res Trans Base Case'!S33</f>
        <v>0</v>
      </c>
      <c r="J15" s="31">
        <f t="shared" si="2"/>
        <v>0</v>
      </c>
      <c r="K15" s="232">
        <f>'Res Trans Base Case'!W33</f>
        <v>0</v>
      </c>
      <c r="L15" s="233">
        <f>'Res Trans Base Case'!Y33</f>
        <v>0</v>
      </c>
      <c r="M15" s="31">
        <f t="shared" si="3"/>
        <v>0</v>
      </c>
      <c r="N15" s="232">
        <f>'Res Trans Base Case'!AC33</f>
        <v>0</v>
      </c>
      <c r="O15" s="233">
        <f>'Res Trans Base Case'!AE33</f>
        <v>0</v>
      </c>
      <c r="P15" s="31">
        <f t="shared" si="4"/>
        <v>0</v>
      </c>
    </row>
    <row r="16" spans="1:16" ht="15" customHeight="1" x14ac:dyDescent="0.2">
      <c r="A16" s="152" t="s">
        <v>214</v>
      </c>
      <c r="B16" s="163">
        <f>SUM(B12:B15)</f>
        <v>205249</v>
      </c>
      <c r="C16" s="155">
        <f t="shared" ref="C16:P16" si="5">SUM(C12:C15)</f>
        <v>243214</v>
      </c>
      <c r="D16" s="156">
        <f t="shared" si="5"/>
        <v>37965</v>
      </c>
      <c r="E16" s="163">
        <f t="shared" si="5"/>
        <v>207919</v>
      </c>
      <c r="F16" s="155">
        <f t="shared" si="5"/>
        <v>246389</v>
      </c>
      <c r="G16" s="156">
        <f t="shared" si="5"/>
        <v>38470</v>
      </c>
      <c r="H16" s="163">
        <f t="shared" si="5"/>
        <v>208088</v>
      </c>
      <c r="I16" s="155">
        <f t="shared" si="5"/>
        <v>246599</v>
      </c>
      <c r="J16" s="156">
        <f t="shared" si="5"/>
        <v>38511</v>
      </c>
      <c r="K16" s="163">
        <f t="shared" si="5"/>
        <v>209465</v>
      </c>
      <c r="L16" s="155">
        <f t="shared" si="5"/>
        <v>248236</v>
      </c>
      <c r="M16" s="156">
        <f t="shared" si="5"/>
        <v>38771</v>
      </c>
      <c r="N16" s="163">
        <f t="shared" si="5"/>
        <v>210925</v>
      </c>
      <c r="O16" s="155">
        <f t="shared" si="5"/>
        <v>249973</v>
      </c>
      <c r="P16" s="156">
        <f t="shared" si="5"/>
        <v>39048</v>
      </c>
    </row>
    <row r="17" spans="1:16" ht="15" customHeight="1" x14ac:dyDescent="0.2">
      <c r="A17" s="153" t="s">
        <v>195</v>
      </c>
      <c r="B17" s="162">
        <f>ROUND(B16/((1-$B$4))-B16,0)</f>
        <v>308</v>
      </c>
      <c r="C17" s="30">
        <f>ROUND(C16/((1-$B$4))-C16,0)</f>
        <v>365</v>
      </c>
      <c r="D17" s="31">
        <f t="shared" si="0"/>
        <v>57</v>
      </c>
      <c r="E17" s="162">
        <f>ROUND(E16/((1-$B$4))-E16,0)</f>
        <v>312</v>
      </c>
      <c r="F17" s="30">
        <f>ROUND(F16/((1-$B$4))-F16,0)</f>
        <v>370</v>
      </c>
      <c r="G17" s="31">
        <f t="shared" ref="G17" si="6">F17-E17</f>
        <v>58</v>
      </c>
      <c r="H17" s="162">
        <f>ROUND(H16/((1-$B$4))-H16,0)</f>
        <v>313</v>
      </c>
      <c r="I17" s="30">
        <f>ROUND(I16/((1-$B$4))-I16,0)</f>
        <v>370</v>
      </c>
      <c r="J17" s="31">
        <f t="shared" ref="J17" si="7">I17-H17</f>
        <v>57</v>
      </c>
      <c r="K17" s="162">
        <f>ROUND(K16/((1-$B$4))-K16,0)</f>
        <v>315</v>
      </c>
      <c r="L17" s="30">
        <f>ROUND(L16/((1-$B$4))-L16,0)</f>
        <v>373</v>
      </c>
      <c r="M17" s="31">
        <f t="shared" ref="M17" si="8">L17-K17</f>
        <v>58</v>
      </c>
      <c r="N17" s="162">
        <f>ROUND(N16/((1-$B$4))-N16,0)</f>
        <v>317</v>
      </c>
      <c r="O17" s="30">
        <f>ROUND(O16/((1-$B$4))-O16,0)</f>
        <v>376</v>
      </c>
      <c r="P17" s="31">
        <f t="shared" ref="P17" si="9">O17-N17</f>
        <v>59</v>
      </c>
    </row>
    <row r="18" spans="1:16" ht="15" customHeight="1" x14ac:dyDescent="0.2">
      <c r="A18" s="152" t="s">
        <v>196</v>
      </c>
      <c r="B18" s="163">
        <f>SUM(B16:B17)</f>
        <v>205557</v>
      </c>
      <c r="C18" s="155">
        <f t="shared" ref="C18:P18" si="10">SUM(C16:C17)</f>
        <v>243579</v>
      </c>
      <c r="D18" s="156">
        <f t="shared" si="10"/>
        <v>38022</v>
      </c>
      <c r="E18" s="163">
        <f t="shared" si="10"/>
        <v>208231</v>
      </c>
      <c r="F18" s="155">
        <f t="shared" si="10"/>
        <v>246759</v>
      </c>
      <c r="G18" s="156">
        <f t="shared" si="10"/>
        <v>38528</v>
      </c>
      <c r="H18" s="163">
        <f t="shared" si="10"/>
        <v>208401</v>
      </c>
      <c r="I18" s="155">
        <f t="shared" si="10"/>
        <v>246969</v>
      </c>
      <c r="J18" s="156">
        <f t="shared" si="10"/>
        <v>38568</v>
      </c>
      <c r="K18" s="163">
        <f t="shared" si="10"/>
        <v>209780</v>
      </c>
      <c r="L18" s="155">
        <f t="shared" si="10"/>
        <v>248609</v>
      </c>
      <c r="M18" s="156">
        <f t="shared" si="10"/>
        <v>38829</v>
      </c>
      <c r="N18" s="163">
        <f t="shared" si="10"/>
        <v>211242</v>
      </c>
      <c r="O18" s="155">
        <f t="shared" si="10"/>
        <v>250349</v>
      </c>
      <c r="P18" s="156">
        <f t="shared" si="10"/>
        <v>39107</v>
      </c>
    </row>
    <row r="19" spans="1:16" ht="15" customHeight="1" x14ac:dyDescent="0.2">
      <c r="A19" s="152"/>
      <c r="B19" s="162"/>
      <c r="C19" s="30"/>
      <c r="D19" s="31"/>
      <c r="E19" s="162"/>
      <c r="F19" s="30"/>
      <c r="G19" s="31"/>
      <c r="H19" s="162"/>
      <c r="I19" s="30"/>
      <c r="J19" s="31"/>
      <c r="K19" s="162"/>
      <c r="L19" s="30"/>
      <c r="M19" s="31"/>
      <c r="N19" s="162"/>
      <c r="O19" s="30"/>
      <c r="P19" s="31"/>
    </row>
    <row r="20" spans="1:16" ht="15" customHeight="1" x14ac:dyDescent="0.2">
      <c r="A20" s="152" t="s">
        <v>197</v>
      </c>
      <c r="B20" s="232">
        <f>'Retail Sales Base Case'!E17</f>
        <v>30548</v>
      </c>
      <c r="C20" s="233">
        <f>'Retail Sales Base Case'!G17</f>
        <v>36128</v>
      </c>
      <c r="D20" s="31">
        <f>C20-B20</f>
        <v>5580</v>
      </c>
      <c r="E20" s="232">
        <f>'Retail Sales Base Case'!K17</f>
        <v>30891</v>
      </c>
      <c r="F20" s="233">
        <f>'Retail Sales Base Case'!M17</f>
        <v>36534</v>
      </c>
      <c r="G20" s="31">
        <f>F20-E20</f>
        <v>5643</v>
      </c>
      <c r="H20" s="232">
        <f>'Retail Sales Base Case'!Q17</f>
        <v>30863</v>
      </c>
      <c r="I20" s="233">
        <f>'Retail Sales Base Case'!S17</f>
        <v>36501</v>
      </c>
      <c r="J20" s="31">
        <f>I20-H20</f>
        <v>5638</v>
      </c>
      <c r="K20" s="232">
        <f>'Retail Sales Base Case'!W17</f>
        <v>31020</v>
      </c>
      <c r="L20" s="233">
        <f>'Retail Sales Base Case'!Y17</f>
        <v>36687</v>
      </c>
      <c r="M20" s="31">
        <f>L20-K20</f>
        <v>5667</v>
      </c>
      <c r="N20" s="232">
        <f>'Retail Sales Base Case'!AC17</f>
        <v>31179</v>
      </c>
      <c r="O20" s="233">
        <f>'Retail Sales Base Case'!AE17</f>
        <v>36874</v>
      </c>
      <c r="P20" s="31">
        <f>O20-N20</f>
        <v>5695</v>
      </c>
    </row>
    <row r="21" spans="1:16" ht="15" customHeight="1" x14ac:dyDescent="0.2">
      <c r="A21" s="152" t="s">
        <v>169</v>
      </c>
      <c r="B21" s="232">
        <f>'Com Trans Base Case'!E22</f>
        <v>32720</v>
      </c>
      <c r="C21" s="233">
        <f>'Com Trans Base Case'!G22</f>
        <v>45646</v>
      </c>
      <c r="D21" s="31">
        <f t="shared" ref="D21:D23" si="11">C21-B21</f>
        <v>12926</v>
      </c>
      <c r="E21" s="232">
        <f>'Com Trans Base Case'!K22</f>
        <v>33787</v>
      </c>
      <c r="F21" s="233">
        <f>'Com Trans Base Case'!M22</f>
        <v>47137</v>
      </c>
      <c r="G21" s="31">
        <f t="shared" ref="G21:G23" si="12">F21-E21</f>
        <v>13350</v>
      </c>
      <c r="H21" s="232">
        <f>'Com Trans Base Case'!Q22</f>
        <v>34488</v>
      </c>
      <c r="I21" s="233">
        <f>'Com Trans Base Case'!S22</f>
        <v>48113</v>
      </c>
      <c r="J21" s="31">
        <f t="shared" ref="J21:J23" si="13">I21-H21</f>
        <v>13625</v>
      </c>
      <c r="K21" s="232">
        <f>'Com Trans Base Case'!W22</f>
        <v>35368</v>
      </c>
      <c r="L21" s="233">
        <f>'Com Trans Base Case'!Y22</f>
        <v>49339</v>
      </c>
      <c r="M21" s="31">
        <f t="shared" ref="M21:M23" si="14">L21-K21</f>
        <v>13971</v>
      </c>
      <c r="N21" s="232">
        <f>'Com Trans Base Case'!AC22</f>
        <v>36278</v>
      </c>
      <c r="O21" s="233">
        <f>'Com Trans Base Case'!AE22</f>
        <v>50611</v>
      </c>
      <c r="P21" s="31">
        <f t="shared" ref="P21:P23" si="15">O21-N21</f>
        <v>14333</v>
      </c>
    </row>
    <row r="22" spans="1:16" ht="15" customHeight="1" x14ac:dyDescent="0.2">
      <c r="A22" s="145" t="s">
        <v>176</v>
      </c>
      <c r="B22" s="232">
        <f>'Com Trans Base Case'!E31</f>
        <v>3050</v>
      </c>
      <c r="C22" s="233">
        <f>'Com Trans Base Case'!G31</f>
        <v>3608</v>
      </c>
      <c r="D22" s="31">
        <f t="shared" si="11"/>
        <v>558</v>
      </c>
      <c r="E22" s="232">
        <f>'Com Trans Base Case'!K31</f>
        <v>2802</v>
      </c>
      <c r="F22" s="233">
        <f>'Com Trans Base Case'!M31</f>
        <v>3313</v>
      </c>
      <c r="G22" s="31">
        <f t="shared" si="12"/>
        <v>511</v>
      </c>
      <c r="H22" s="232">
        <f>'Com Trans Base Case'!Q31</f>
        <v>2523</v>
      </c>
      <c r="I22" s="233">
        <f>'Com Trans Base Case'!S31</f>
        <v>2985</v>
      </c>
      <c r="J22" s="31">
        <f t="shared" si="13"/>
        <v>462</v>
      </c>
      <c r="K22" s="232">
        <f>'Com Trans Base Case'!W31</f>
        <v>2251</v>
      </c>
      <c r="L22" s="233">
        <f>'Com Trans Base Case'!Y31</f>
        <v>2662</v>
      </c>
      <c r="M22" s="31">
        <f t="shared" si="14"/>
        <v>411</v>
      </c>
      <c r="N22" s="232">
        <f>'Com Trans Base Case'!AC31</f>
        <v>1973</v>
      </c>
      <c r="O22" s="233">
        <f>'Com Trans Base Case'!AE31</f>
        <v>2334</v>
      </c>
      <c r="P22" s="31">
        <f t="shared" si="15"/>
        <v>361</v>
      </c>
    </row>
    <row r="23" spans="1:16" ht="15" customHeight="1" x14ac:dyDescent="0.2">
      <c r="A23" s="153" t="s">
        <v>183</v>
      </c>
      <c r="B23" s="232">
        <f>'Com Trans Base Case'!E37</f>
        <v>7775</v>
      </c>
      <c r="C23" s="233">
        <f>'Com Trans Base Case'!G37</f>
        <v>9195</v>
      </c>
      <c r="D23" s="31">
        <f t="shared" si="11"/>
        <v>1420</v>
      </c>
      <c r="E23" s="232">
        <f>'Com Trans Base Case'!K37</f>
        <v>7834</v>
      </c>
      <c r="F23" s="233">
        <f>'Com Trans Base Case'!M37</f>
        <v>9265</v>
      </c>
      <c r="G23" s="31">
        <f t="shared" si="12"/>
        <v>1431</v>
      </c>
      <c r="H23" s="232">
        <f>'Com Trans Base Case'!Q37</f>
        <v>7952</v>
      </c>
      <c r="I23" s="233">
        <f>'Com Trans Base Case'!S37</f>
        <v>9404</v>
      </c>
      <c r="J23" s="31">
        <f t="shared" si="13"/>
        <v>1452</v>
      </c>
      <c r="K23" s="232">
        <f>'Com Trans Base Case'!W37</f>
        <v>8421</v>
      </c>
      <c r="L23" s="233">
        <f>'Com Trans Base Case'!Y37</f>
        <v>9960</v>
      </c>
      <c r="M23" s="31">
        <f t="shared" si="14"/>
        <v>1539</v>
      </c>
      <c r="N23" s="232">
        <f>'Com Trans Base Case'!AC37</f>
        <v>8452</v>
      </c>
      <c r="O23" s="233">
        <f>'Com Trans Base Case'!AE37</f>
        <v>9996</v>
      </c>
      <c r="P23" s="31">
        <f t="shared" si="15"/>
        <v>1544</v>
      </c>
    </row>
    <row r="24" spans="1:16" ht="15" customHeight="1" x14ac:dyDescent="0.2">
      <c r="A24" s="152" t="s">
        <v>215</v>
      </c>
      <c r="B24" s="163">
        <f>SUM(B20:B23)</f>
        <v>74093</v>
      </c>
      <c r="C24" s="155">
        <f t="shared" ref="C24" si="16">SUM(C20:C23)</f>
        <v>94577</v>
      </c>
      <c r="D24" s="156">
        <f t="shared" ref="D24" si="17">SUM(D20:D23)</f>
        <v>20484</v>
      </c>
      <c r="E24" s="163">
        <f t="shared" ref="E24" si="18">SUM(E20:E23)</f>
        <v>75314</v>
      </c>
      <c r="F24" s="155">
        <f t="shared" ref="F24" si="19">SUM(F20:F23)</f>
        <v>96249</v>
      </c>
      <c r="G24" s="156">
        <f t="shared" ref="G24" si="20">SUM(G20:G23)</f>
        <v>20935</v>
      </c>
      <c r="H24" s="163">
        <f t="shared" ref="H24" si="21">SUM(H20:H23)</f>
        <v>75826</v>
      </c>
      <c r="I24" s="155">
        <f t="shared" ref="I24" si="22">SUM(I20:I23)</f>
        <v>97003</v>
      </c>
      <c r="J24" s="156">
        <f t="shared" ref="J24" si="23">SUM(J20:J23)</f>
        <v>21177</v>
      </c>
      <c r="K24" s="163">
        <f t="shared" ref="K24" si="24">SUM(K20:K23)</f>
        <v>77060</v>
      </c>
      <c r="L24" s="155">
        <f t="shared" ref="L24" si="25">SUM(L20:L23)</f>
        <v>98648</v>
      </c>
      <c r="M24" s="156">
        <f t="shared" ref="M24" si="26">SUM(M20:M23)</f>
        <v>21588</v>
      </c>
      <c r="N24" s="163">
        <f t="shared" ref="N24" si="27">SUM(N20:N23)</f>
        <v>77882</v>
      </c>
      <c r="O24" s="155">
        <f t="shared" ref="O24" si="28">SUM(O20:O23)</f>
        <v>99815</v>
      </c>
      <c r="P24" s="156">
        <f t="shared" ref="P24" si="29">SUM(P20:P23)</f>
        <v>21933</v>
      </c>
    </row>
    <row r="25" spans="1:16" ht="15" customHeight="1" x14ac:dyDescent="0.2">
      <c r="A25" s="153" t="s">
        <v>198</v>
      </c>
      <c r="B25" s="162">
        <f>ROUND(B24/((1-$B$4))-B24,0)</f>
        <v>111</v>
      </c>
      <c r="C25" s="30">
        <f>ROUND(C24/((1-$B$4))-C24,0)</f>
        <v>142</v>
      </c>
      <c r="D25" s="31">
        <f t="shared" ref="D25" si="30">C25-B25</f>
        <v>31</v>
      </c>
      <c r="E25" s="162">
        <f>ROUND(E24/((1-$B$4))-E24,0)</f>
        <v>113</v>
      </c>
      <c r="F25" s="30">
        <f>ROUND(F24/((1-$B$4))-F24,0)</f>
        <v>145</v>
      </c>
      <c r="G25" s="31">
        <f t="shared" ref="G25" si="31">F25-E25</f>
        <v>32</v>
      </c>
      <c r="H25" s="162">
        <f>ROUND(H24/((1-$B$4))-H24,0)</f>
        <v>114</v>
      </c>
      <c r="I25" s="30">
        <f>ROUND(I24/((1-$B$4))-I24,0)</f>
        <v>146</v>
      </c>
      <c r="J25" s="31">
        <f t="shared" ref="J25" si="32">I25-H25</f>
        <v>32</v>
      </c>
      <c r="K25" s="162">
        <f>ROUND(K24/((1-$B$4))-K24,0)</f>
        <v>116</v>
      </c>
      <c r="L25" s="30">
        <f>ROUND(L24/((1-$B$4))-L24,0)</f>
        <v>148</v>
      </c>
      <c r="M25" s="31">
        <f t="shared" ref="M25" si="33">L25-K25</f>
        <v>32</v>
      </c>
      <c r="N25" s="162">
        <f>ROUND(N24/((1-$B$4))-N24,0)</f>
        <v>117</v>
      </c>
      <c r="O25" s="30">
        <f>ROUND(O24/((1-$B$4))-O24,0)</f>
        <v>150</v>
      </c>
      <c r="P25" s="31">
        <f t="shared" ref="P25" si="34">O25-N25</f>
        <v>33</v>
      </c>
    </row>
    <row r="26" spans="1:16" ht="15" customHeight="1" x14ac:dyDescent="0.2">
      <c r="A26" s="152" t="s">
        <v>199</v>
      </c>
      <c r="B26" s="163">
        <f>SUM(B24:B25)</f>
        <v>74204</v>
      </c>
      <c r="C26" s="155">
        <f t="shared" ref="C26" si="35">SUM(C24:C25)</f>
        <v>94719</v>
      </c>
      <c r="D26" s="156">
        <f t="shared" ref="D26" si="36">SUM(D24:D25)</f>
        <v>20515</v>
      </c>
      <c r="E26" s="163">
        <f t="shared" ref="E26" si="37">SUM(E24:E25)</f>
        <v>75427</v>
      </c>
      <c r="F26" s="155">
        <f t="shared" ref="F26" si="38">SUM(F24:F25)</f>
        <v>96394</v>
      </c>
      <c r="G26" s="156">
        <f t="shared" ref="G26" si="39">SUM(G24:G25)</f>
        <v>20967</v>
      </c>
      <c r="H26" s="163">
        <f t="shared" ref="H26" si="40">SUM(H24:H25)</f>
        <v>75940</v>
      </c>
      <c r="I26" s="155">
        <f t="shared" ref="I26" si="41">SUM(I24:I25)</f>
        <v>97149</v>
      </c>
      <c r="J26" s="156">
        <f t="shared" ref="J26" si="42">SUM(J24:J25)</f>
        <v>21209</v>
      </c>
      <c r="K26" s="163">
        <f t="shared" ref="K26" si="43">SUM(K24:K25)</f>
        <v>77176</v>
      </c>
      <c r="L26" s="155">
        <f t="shared" ref="L26" si="44">SUM(L24:L25)</f>
        <v>98796</v>
      </c>
      <c r="M26" s="156">
        <f t="shared" ref="M26" si="45">SUM(M24:M25)</f>
        <v>21620</v>
      </c>
      <c r="N26" s="163">
        <f t="shared" ref="N26" si="46">SUM(N24:N25)</f>
        <v>77999</v>
      </c>
      <c r="O26" s="155">
        <f t="shared" ref="O26" si="47">SUM(O24:O25)</f>
        <v>99965</v>
      </c>
      <c r="P26" s="156">
        <f t="shared" ref="P26" si="48">SUM(P24:P25)</f>
        <v>21966</v>
      </c>
    </row>
    <row r="27" spans="1:16" ht="15" customHeight="1" x14ac:dyDescent="0.2">
      <c r="A27" s="152"/>
      <c r="B27" s="26"/>
      <c r="C27" s="27"/>
      <c r="D27" s="31"/>
      <c r="E27" s="162"/>
      <c r="F27" s="30"/>
      <c r="G27" s="31"/>
      <c r="H27" s="162"/>
      <c r="I27" s="30"/>
      <c r="J27" s="31"/>
      <c r="K27" s="162"/>
      <c r="L27" s="30"/>
      <c r="M27" s="31"/>
      <c r="N27" s="162"/>
      <c r="O27" s="30"/>
      <c r="P27" s="31"/>
    </row>
    <row r="28" spans="1:16" ht="15" customHeight="1" x14ac:dyDescent="0.2">
      <c r="A28" s="152" t="s">
        <v>200</v>
      </c>
      <c r="B28" s="236">
        <f>'Retail Sales Base Case'!E18</f>
        <v>2189</v>
      </c>
      <c r="C28" s="237">
        <f>'Retail Sales Base Case'!G18</f>
        <v>2189</v>
      </c>
      <c r="D28" s="31">
        <f>C28-B28</f>
        <v>0</v>
      </c>
      <c r="E28" s="236">
        <f>'Retail Sales Base Case'!K18</f>
        <v>2211</v>
      </c>
      <c r="F28" s="237">
        <f>'Retail Sales Base Case'!M18</f>
        <v>2211</v>
      </c>
      <c r="G28" s="31">
        <f>F28-E28</f>
        <v>0</v>
      </c>
      <c r="H28" s="236">
        <f>'Retail Sales Base Case'!Q18</f>
        <v>2202</v>
      </c>
      <c r="I28" s="237">
        <f>'Retail Sales Base Case'!S18</f>
        <v>2202</v>
      </c>
      <c r="J28" s="31">
        <f>I28-H28</f>
        <v>0</v>
      </c>
      <c r="K28" s="236">
        <f>'Retail Sales Base Case'!W18</f>
        <v>2211</v>
      </c>
      <c r="L28" s="237">
        <f>'Retail Sales Base Case'!Y18</f>
        <v>2211</v>
      </c>
      <c r="M28" s="31">
        <f>L28-K28</f>
        <v>0</v>
      </c>
      <c r="N28" s="236">
        <f>'Retail Sales Base Case'!AC18</f>
        <v>2217</v>
      </c>
      <c r="O28" s="237">
        <f>'Retail Sales Base Case'!AE18</f>
        <v>2217</v>
      </c>
      <c r="P28" s="31">
        <f>O28-N28</f>
        <v>0</v>
      </c>
    </row>
    <row r="29" spans="1:16" ht="15" customHeight="1" x14ac:dyDescent="0.2">
      <c r="A29" s="152" t="s">
        <v>170</v>
      </c>
      <c r="B29" s="236">
        <f>'Ind Trans Base Case'!D21</f>
        <v>17683</v>
      </c>
      <c r="C29" s="237">
        <f>'Ind Trans Base Case'!F21</f>
        <v>25765.579007507095</v>
      </c>
      <c r="D29" s="31">
        <f t="shared" ref="D29:D31" si="49">C29-B29</f>
        <v>8082.5790075070945</v>
      </c>
      <c r="E29" s="236">
        <f>'Ind Trans Base Case'!I21</f>
        <v>17828</v>
      </c>
      <c r="F29" s="237">
        <f>'Ind Trans Base Case'!K21</f>
        <v>25882.83112270695</v>
      </c>
      <c r="G29" s="31">
        <f t="shared" ref="G29:G31" si="50">F29-E29</f>
        <v>8054.8311227069498</v>
      </c>
      <c r="H29" s="236">
        <f>'Ind Trans Base Case'!N21</f>
        <v>17740</v>
      </c>
      <c r="I29" s="237">
        <f>'Ind Trans Base Case'!P21</f>
        <v>25833.087809735862</v>
      </c>
      <c r="J29" s="31">
        <f t="shared" ref="J29:J31" si="51">I29-H29</f>
        <v>8093.0878097358618</v>
      </c>
      <c r="K29" s="236">
        <f>'Ind Trans Base Case'!S21</f>
        <v>17786</v>
      </c>
      <c r="L29" s="237">
        <f>'Ind Trans Base Case'!U21</f>
        <v>25875.150151654027</v>
      </c>
      <c r="M29" s="31">
        <f t="shared" ref="M29:M31" si="52">L29-K29</f>
        <v>8089.1501516540266</v>
      </c>
      <c r="N29" s="236">
        <f>'Ind Trans Base Case'!X21</f>
        <v>17828</v>
      </c>
      <c r="O29" s="237">
        <f>'Ind Trans Base Case'!Z21</f>
        <v>25908.684840564703</v>
      </c>
      <c r="P29" s="31">
        <f t="shared" ref="P29:P31" si="53">O29-N29</f>
        <v>8080.6848405647033</v>
      </c>
    </row>
    <row r="30" spans="1:16" ht="15" customHeight="1" x14ac:dyDescent="0.2">
      <c r="A30" s="152" t="s">
        <v>177</v>
      </c>
      <c r="B30" s="236">
        <f>'Ind Trans Base Case'!D28</f>
        <v>68</v>
      </c>
      <c r="C30" s="237">
        <f>'Ind Trans Base Case'!F28</f>
        <v>101</v>
      </c>
      <c r="D30" s="31">
        <f t="shared" si="49"/>
        <v>33</v>
      </c>
      <c r="E30" s="236">
        <f>'Ind Trans Base Case'!I28</f>
        <v>68</v>
      </c>
      <c r="F30" s="237">
        <f>'Ind Trans Base Case'!K28</f>
        <v>101</v>
      </c>
      <c r="G30" s="31">
        <f t="shared" si="50"/>
        <v>33</v>
      </c>
      <c r="H30" s="236">
        <f>'Ind Trans Base Case'!N28</f>
        <v>67</v>
      </c>
      <c r="I30" s="237">
        <f>'Ind Trans Base Case'!P28</f>
        <v>99</v>
      </c>
      <c r="J30" s="31">
        <f t="shared" si="51"/>
        <v>32</v>
      </c>
      <c r="K30" s="236">
        <f>'Ind Trans Base Case'!S28</f>
        <v>66</v>
      </c>
      <c r="L30" s="237">
        <f>'Ind Trans Base Case'!U28</f>
        <v>98</v>
      </c>
      <c r="M30" s="31">
        <f t="shared" si="52"/>
        <v>32</v>
      </c>
      <c r="N30" s="236">
        <f>'Ind Trans Base Case'!X28</f>
        <v>65</v>
      </c>
      <c r="O30" s="237">
        <f>'Ind Trans Base Case'!Z28</f>
        <v>97</v>
      </c>
      <c r="P30" s="31">
        <f t="shared" si="53"/>
        <v>32</v>
      </c>
    </row>
    <row r="31" spans="1:16" ht="15" customHeight="1" x14ac:dyDescent="0.2">
      <c r="A31" s="153" t="s">
        <v>184</v>
      </c>
      <c r="B31" s="236">
        <f>'Ind Trans Base Case'!D46</f>
        <v>52545</v>
      </c>
      <c r="C31" s="237">
        <f>'Ind Trans Base Case'!F46</f>
        <v>53914.523470177046</v>
      </c>
      <c r="D31" s="31">
        <f t="shared" si="49"/>
        <v>1369.523470177046</v>
      </c>
      <c r="E31" s="236">
        <f>'Ind Trans Base Case'!I46</f>
        <v>53609</v>
      </c>
      <c r="F31" s="237">
        <f>'Ind Trans Base Case'!K46</f>
        <v>54394.154583755924</v>
      </c>
      <c r="G31" s="31">
        <f t="shared" si="50"/>
        <v>785.15458375592425</v>
      </c>
      <c r="H31" s="236">
        <f>'Ind Trans Base Case'!N46</f>
        <v>52917</v>
      </c>
      <c r="I31" s="237">
        <f>'Ind Trans Base Case'!P46</f>
        <v>54807.461450604111</v>
      </c>
      <c r="J31" s="31">
        <f t="shared" si="51"/>
        <v>1890.4614506041107</v>
      </c>
      <c r="K31" s="236">
        <f>'Ind Trans Base Case'!S46</f>
        <v>53410</v>
      </c>
      <c r="L31" s="237">
        <f>'Ind Trans Base Case'!U46</f>
        <v>55278.567601512608</v>
      </c>
      <c r="M31" s="31">
        <f t="shared" si="52"/>
        <v>1868.5676015126082</v>
      </c>
      <c r="N31" s="236">
        <f>'Ind Trans Base Case'!X46</f>
        <v>53399</v>
      </c>
      <c r="O31" s="237">
        <f>'Ind Trans Base Case'!Z46</f>
        <v>55259.762218442331</v>
      </c>
      <c r="P31" s="31">
        <f t="shared" si="53"/>
        <v>1860.7622184423308</v>
      </c>
    </row>
    <row r="32" spans="1:16" ht="15" customHeight="1" x14ac:dyDescent="0.2">
      <c r="A32" s="152" t="s">
        <v>201</v>
      </c>
      <c r="B32" s="163">
        <f>SUM(B28:B31)</f>
        <v>72485</v>
      </c>
      <c r="C32" s="155">
        <f t="shared" ref="C32" si="54">SUM(C28:C31)</f>
        <v>81970.102477684137</v>
      </c>
      <c r="D32" s="156">
        <f t="shared" ref="D32" si="55">SUM(D28:D31)</f>
        <v>9485.1024776841405</v>
      </c>
      <c r="E32" s="163">
        <f t="shared" ref="E32" si="56">SUM(E28:E31)</f>
        <v>73716</v>
      </c>
      <c r="F32" s="155">
        <f t="shared" ref="F32" si="57">SUM(F28:F31)</f>
        <v>82588.985706462874</v>
      </c>
      <c r="G32" s="156">
        <f t="shared" ref="G32" si="58">SUM(G28:G31)</f>
        <v>8872.9857064628741</v>
      </c>
      <c r="H32" s="163">
        <f t="shared" ref="H32" si="59">SUM(H28:H31)</f>
        <v>72926</v>
      </c>
      <c r="I32" s="155">
        <f t="shared" ref="I32" si="60">SUM(I28:I31)</f>
        <v>82941.549260339976</v>
      </c>
      <c r="J32" s="156">
        <f t="shared" ref="J32" si="61">SUM(J28:J31)</f>
        <v>10015.549260339973</v>
      </c>
      <c r="K32" s="163">
        <f t="shared" ref="K32" si="62">SUM(K28:K31)</f>
        <v>73473</v>
      </c>
      <c r="L32" s="155">
        <f t="shared" ref="L32" si="63">SUM(L28:L31)</f>
        <v>83462.717753166638</v>
      </c>
      <c r="M32" s="156">
        <f t="shared" ref="M32" si="64">SUM(M28:M31)</f>
        <v>9989.7177531666348</v>
      </c>
      <c r="N32" s="163">
        <f t="shared" ref="N32" si="65">SUM(N28:N31)</f>
        <v>73509</v>
      </c>
      <c r="O32" s="155">
        <f t="shared" ref="O32" si="66">SUM(O28:O31)</f>
        <v>83482.447059007041</v>
      </c>
      <c r="P32" s="156">
        <f t="shared" ref="P32" si="67">SUM(P28:P31)</f>
        <v>9973.4470590070341</v>
      </c>
    </row>
    <row r="33" spans="1:16" ht="15" customHeight="1" x14ac:dyDescent="0.2">
      <c r="A33" s="153" t="s">
        <v>202</v>
      </c>
      <c r="B33" s="162">
        <f>ROUND(B32/((1-$B$4))-B32,0)</f>
        <v>109</v>
      </c>
      <c r="C33" s="30">
        <f>ROUND(C32/((1-$B$4))-C32,0)</f>
        <v>123</v>
      </c>
      <c r="D33" s="31">
        <f t="shared" ref="D33" si="68">C33-B33</f>
        <v>14</v>
      </c>
      <c r="E33" s="162">
        <f>ROUND(E32/((1-$B$4))-E32,0)</f>
        <v>111</v>
      </c>
      <c r="F33" s="30">
        <f>ROUND(F32/((1-$B$4))-F32,0)</f>
        <v>124</v>
      </c>
      <c r="G33" s="31">
        <f t="shared" ref="G33" si="69">F33-E33</f>
        <v>13</v>
      </c>
      <c r="H33" s="162">
        <f>ROUND(H32/((1-$B$4))-H32,0)</f>
        <v>110</v>
      </c>
      <c r="I33" s="30">
        <f>ROUND(I32/((1-$B$4))-I32,0)</f>
        <v>125</v>
      </c>
      <c r="J33" s="31">
        <f t="shared" ref="J33" si="70">I33-H33</f>
        <v>15</v>
      </c>
      <c r="K33" s="162">
        <f>ROUND(K32/((1-$B$4))-K32,0)</f>
        <v>110</v>
      </c>
      <c r="L33" s="30">
        <f>ROUND(L32/((1-$B$4))-L32,0)</f>
        <v>125</v>
      </c>
      <c r="M33" s="31">
        <f t="shared" ref="M33" si="71">L33-K33</f>
        <v>15</v>
      </c>
      <c r="N33" s="162">
        <f>ROUND(N32/((1-$B$4))-N32,0)</f>
        <v>110</v>
      </c>
      <c r="O33" s="30">
        <f>ROUND(O32/((1-$B$4))-O32,0)</f>
        <v>125</v>
      </c>
      <c r="P33" s="31">
        <f t="shared" ref="P33" si="72">O33-N33</f>
        <v>15</v>
      </c>
    </row>
    <row r="34" spans="1:16" ht="15" customHeight="1" x14ac:dyDescent="0.2">
      <c r="A34" s="152" t="s">
        <v>203</v>
      </c>
      <c r="B34" s="163">
        <f>SUM(B32:B33)</f>
        <v>72594</v>
      </c>
      <c r="C34" s="155">
        <f t="shared" ref="C34" si="73">SUM(C32:C33)</f>
        <v>82093.102477684137</v>
      </c>
      <c r="D34" s="156">
        <f t="shared" ref="D34" si="74">SUM(D32:D33)</f>
        <v>9499.1024776841405</v>
      </c>
      <c r="E34" s="163">
        <f t="shared" ref="E34" si="75">SUM(E32:E33)</f>
        <v>73827</v>
      </c>
      <c r="F34" s="155">
        <f t="shared" ref="F34" si="76">SUM(F32:F33)</f>
        <v>82712.985706462874</v>
      </c>
      <c r="G34" s="156">
        <f t="shared" ref="G34" si="77">SUM(G32:G33)</f>
        <v>8885.9857064628741</v>
      </c>
      <c r="H34" s="163">
        <f t="shared" ref="H34" si="78">SUM(H32:H33)</f>
        <v>73036</v>
      </c>
      <c r="I34" s="155">
        <f t="shared" ref="I34" si="79">SUM(I32:I33)</f>
        <v>83066.549260339976</v>
      </c>
      <c r="J34" s="156">
        <f t="shared" ref="J34" si="80">SUM(J32:J33)</f>
        <v>10030.549260339973</v>
      </c>
      <c r="K34" s="163">
        <f t="shared" ref="K34" si="81">SUM(K32:K33)</f>
        <v>73583</v>
      </c>
      <c r="L34" s="155">
        <f t="shared" ref="L34" si="82">SUM(L32:L33)</f>
        <v>83587.717753166638</v>
      </c>
      <c r="M34" s="156">
        <f t="shared" ref="M34" si="83">SUM(M32:M33)</f>
        <v>10004.717753166635</v>
      </c>
      <c r="N34" s="163">
        <f t="shared" ref="N34" si="84">SUM(N32:N33)</f>
        <v>73619</v>
      </c>
      <c r="O34" s="155">
        <f t="shared" ref="O34" si="85">SUM(O32:O33)</f>
        <v>83607.447059007041</v>
      </c>
      <c r="P34" s="156">
        <f t="shared" ref="P34" si="86">SUM(P32:P33)</f>
        <v>9988.4470590070341</v>
      </c>
    </row>
    <row r="35" spans="1:16" ht="15" customHeight="1" x14ac:dyDescent="0.2">
      <c r="A35" s="152"/>
      <c r="B35" s="26"/>
      <c r="C35" s="27"/>
      <c r="D35" s="32"/>
      <c r="E35" s="162"/>
      <c r="F35" s="30"/>
      <c r="G35" s="31"/>
      <c r="H35" s="162"/>
      <c r="I35" s="30"/>
      <c r="J35" s="31"/>
      <c r="K35" s="162"/>
      <c r="L35" s="30"/>
      <c r="M35" s="31"/>
      <c r="N35" s="162"/>
      <c r="O35" s="30"/>
      <c r="P35" s="31"/>
    </row>
    <row r="36" spans="1:16" ht="15" customHeight="1" x14ac:dyDescent="0.2">
      <c r="A36" s="152" t="s">
        <v>204</v>
      </c>
      <c r="B36" s="232">
        <f>'Retail Sales Base Case'!E19</f>
        <v>2461</v>
      </c>
      <c r="C36" s="233">
        <f>'Retail Sales Base Case'!G19</f>
        <v>2911</v>
      </c>
      <c r="D36" s="31">
        <f>C36-B36</f>
        <v>450</v>
      </c>
      <c r="E36" s="232">
        <f>'Retail Sales Base Case'!K19</f>
        <v>2422</v>
      </c>
      <c r="F36" s="233">
        <f>'Retail Sales Base Case'!M19</f>
        <v>2865</v>
      </c>
      <c r="G36" s="31">
        <f>F36-E36</f>
        <v>443</v>
      </c>
      <c r="H36" s="232">
        <f>'Retail Sales Base Case'!Q19</f>
        <v>2352</v>
      </c>
      <c r="I36" s="233">
        <f>'Retail Sales Base Case'!S19</f>
        <v>2782</v>
      </c>
      <c r="J36" s="31">
        <f>I36-H36</f>
        <v>430</v>
      </c>
      <c r="K36" s="232">
        <f>'Retail Sales Base Case'!W19</f>
        <v>2291</v>
      </c>
      <c r="L36" s="233">
        <f>'Retail Sales Base Case'!Y19</f>
        <v>2709</v>
      </c>
      <c r="M36" s="31">
        <f>L36-K36</f>
        <v>418</v>
      </c>
      <c r="N36" s="232">
        <f>'Retail Sales Base Case'!AC19</f>
        <v>2239</v>
      </c>
      <c r="O36" s="233">
        <f>'Retail Sales Base Case'!AE19</f>
        <v>2648</v>
      </c>
      <c r="P36" s="31">
        <f>O36-N36</f>
        <v>409</v>
      </c>
    </row>
    <row r="37" spans="1:16" ht="15" customHeight="1" x14ac:dyDescent="0.2">
      <c r="A37" s="152" t="s">
        <v>171</v>
      </c>
      <c r="B37" s="236">
        <f>'Pub Trans Base Case'!E20</f>
        <v>16673</v>
      </c>
      <c r="C37" s="237">
        <f>'Pub Trans Base Case'!G20</f>
        <v>23260</v>
      </c>
      <c r="D37" s="32">
        <f t="shared" ref="D37:D39" si="87">C37-B37</f>
        <v>6587</v>
      </c>
      <c r="E37" s="236">
        <f>'Pub Trans Base Case'!K20</f>
        <v>16681</v>
      </c>
      <c r="F37" s="237">
        <f>'Pub Trans Base Case'!M20</f>
        <v>23271</v>
      </c>
      <c r="G37" s="32">
        <f t="shared" ref="G37:G39" si="88">F37-E37</f>
        <v>6590</v>
      </c>
      <c r="H37" s="236">
        <f>'Pub Trans Base Case'!Q20</f>
        <v>16500</v>
      </c>
      <c r="I37" s="237">
        <f>'Pub Trans Base Case'!S20</f>
        <v>23018</v>
      </c>
      <c r="J37" s="32">
        <f t="shared" ref="J37:J39" si="89">I37-H37</f>
        <v>6518</v>
      </c>
      <c r="K37" s="236">
        <f>'Pub Trans Base Case'!W20</f>
        <v>16402</v>
      </c>
      <c r="L37" s="237">
        <f>'Pub Trans Base Case'!Y20</f>
        <v>22883</v>
      </c>
      <c r="M37" s="32">
        <f t="shared" ref="M37:M39" si="90">L37-K37</f>
        <v>6481</v>
      </c>
      <c r="N37" s="236">
        <f>'Pub Trans Base Case'!AC20</f>
        <v>16305</v>
      </c>
      <c r="O37" s="237">
        <f>'Pub Trans Base Case'!AE20</f>
        <v>22746</v>
      </c>
      <c r="P37" s="32">
        <f t="shared" ref="P37:P39" si="91">O37-N37</f>
        <v>6441</v>
      </c>
    </row>
    <row r="38" spans="1:16" ht="15" customHeight="1" x14ac:dyDescent="0.2">
      <c r="A38" s="152" t="s">
        <v>178</v>
      </c>
      <c r="B38" s="236">
        <f>'Pub Trans Base Case'!E28</f>
        <v>198</v>
      </c>
      <c r="C38" s="233">
        <f>'Pub Trans Base Case'!G28</f>
        <v>234</v>
      </c>
      <c r="D38" s="31">
        <f t="shared" si="87"/>
        <v>36</v>
      </c>
      <c r="E38" s="236">
        <f>'Pub Trans Base Case'!K28</f>
        <v>195</v>
      </c>
      <c r="F38" s="233">
        <f>'Pub Trans Base Case'!M28</f>
        <v>231</v>
      </c>
      <c r="G38" s="31">
        <f t="shared" si="88"/>
        <v>36</v>
      </c>
      <c r="H38" s="236">
        <f>'Pub Trans Base Case'!Q28</f>
        <v>188</v>
      </c>
      <c r="I38" s="233">
        <f>'Pub Trans Base Case'!S28</f>
        <v>223</v>
      </c>
      <c r="J38" s="31">
        <f t="shared" si="89"/>
        <v>35</v>
      </c>
      <c r="K38" s="236">
        <f>'Pub Trans Base Case'!W28</f>
        <v>185</v>
      </c>
      <c r="L38" s="233">
        <f>'Pub Trans Base Case'!Y28</f>
        <v>219</v>
      </c>
      <c r="M38" s="31">
        <f t="shared" si="90"/>
        <v>34</v>
      </c>
      <c r="N38" s="236">
        <f>'Pub Trans Base Case'!AC28</f>
        <v>180</v>
      </c>
      <c r="O38" s="233">
        <f>'Pub Trans Base Case'!AE28</f>
        <v>213</v>
      </c>
      <c r="P38" s="31">
        <f t="shared" si="91"/>
        <v>33</v>
      </c>
    </row>
    <row r="39" spans="1:16" ht="15" customHeight="1" x14ac:dyDescent="0.2">
      <c r="A39" s="153" t="s">
        <v>185</v>
      </c>
      <c r="B39" s="236">
        <f>'Pub Trans Base Case'!E34</f>
        <v>1984</v>
      </c>
      <c r="C39" s="237">
        <f>'Pub Trans Base Case'!G34</f>
        <v>2346</v>
      </c>
      <c r="D39" s="31">
        <f t="shared" si="87"/>
        <v>362</v>
      </c>
      <c r="E39" s="236">
        <f>'Pub Trans Base Case'!K34</f>
        <v>1896</v>
      </c>
      <c r="F39" s="237">
        <f>'Pub Trans Base Case'!M34</f>
        <v>2242</v>
      </c>
      <c r="G39" s="31">
        <f t="shared" si="88"/>
        <v>346</v>
      </c>
      <c r="H39" s="236">
        <f>'Pub Trans Base Case'!Q34</f>
        <v>1791</v>
      </c>
      <c r="I39" s="237">
        <f>'Pub Trans Base Case'!S34</f>
        <v>2119</v>
      </c>
      <c r="J39" s="31">
        <f t="shared" si="89"/>
        <v>328</v>
      </c>
      <c r="K39" s="236">
        <f>'Pub Trans Base Case'!W34</f>
        <v>1695</v>
      </c>
      <c r="L39" s="237">
        <f>'Pub Trans Base Case'!Y34</f>
        <v>2005</v>
      </c>
      <c r="M39" s="31">
        <f t="shared" si="90"/>
        <v>310</v>
      </c>
      <c r="N39" s="236">
        <f>'Pub Trans Base Case'!AC34</f>
        <v>1599</v>
      </c>
      <c r="O39" s="237">
        <f>'Pub Trans Base Case'!AE34</f>
        <v>1891</v>
      </c>
      <c r="P39" s="31">
        <f t="shared" si="91"/>
        <v>292</v>
      </c>
    </row>
    <row r="40" spans="1:16" ht="15" customHeight="1" x14ac:dyDescent="0.2">
      <c r="A40" s="152" t="s">
        <v>205</v>
      </c>
      <c r="B40" s="163">
        <f>SUM(B36:B39)</f>
        <v>21316</v>
      </c>
      <c r="C40" s="155">
        <f t="shared" ref="C40" si="92">SUM(C36:C39)</f>
        <v>28751</v>
      </c>
      <c r="D40" s="156">
        <f t="shared" ref="D40" si="93">SUM(D36:D39)</f>
        <v>7435</v>
      </c>
      <c r="E40" s="163">
        <f t="shared" ref="E40" si="94">SUM(E36:E39)</f>
        <v>21194</v>
      </c>
      <c r="F40" s="155">
        <f t="shared" ref="F40" si="95">SUM(F36:F39)</f>
        <v>28609</v>
      </c>
      <c r="G40" s="156">
        <f t="shared" ref="G40" si="96">SUM(G36:G39)</f>
        <v>7415</v>
      </c>
      <c r="H40" s="163">
        <f t="shared" ref="H40" si="97">SUM(H36:H39)</f>
        <v>20831</v>
      </c>
      <c r="I40" s="155">
        <f t="shared" ref="I40" si="98">SUM(I36:I39)</f>
        <v>28142</v>
      </c>
      <c r="J40" s="156">
        <f t="shared" ref="J40" si="99">SUM(J36:J39)</f>
        <v>7311</v>
      </c>
      <c r="K40" s="163">
        <f t="shared" ref="K40" si="100">SUM(K36:K39)</f>
        <v>20573</v>
      </c>
      <c r="L40" s="155">
        <f t="shared" ref="L40" si="101">SUM(L36:L39)</f>
        <v>27816</v>
      </c>
      <c r="M40" s="156">
        <f t="shared" ref="M40" si="102">SUM(M36:M39)</f>
        <v>7243</v>
      </c>
      <c r="N40" s="163">
        <f t="shared" ref="N40" si="103">SUM(N36:N39)</f>
        <v>20323</v>
      </c>
      <c r="O40" s="155">
        <f t="shared" ref="O40" si="104">SUM(O36:O39)</f>
        <v>27498</v>
      </c>
      <c r="P40" s="156">
        <f t="shared" ref="P40" si="105">SUM(P36:P39)</f>
        <v>7175</v>
      </c>
    </row>
    <row r="41" spans="1:16" ht="15" customHeight="1" x14ac:dyDescent="0.2">
      <c r="A41" s="153" t="s">
        <v>206</v>
      </c>
      <c r="B41" s="162">
        <f>ROUND(B40/((1-$B$4))-B40,0)</f>
        <v>32</v>
      </c>
      <c r="C41" s="30">
        <f>ROUND(C40/((1-$B$4))-C40,0)</f>
        <v>43</v>
      </c>
      <c r="D41" s="31">
        <f t="shared" ref="D41" si="106">C41-B41</f>
        <v>11</v>
      </c>
      <c r="E41" s="162">
        <f>ROUND(E40/((1-$B$4))-E40,0)</f>
        <v>32</v>
      </c>
      <c r="F41" s="30">
        <f>ROUND(F40/((1-$B$4))-F40,0)</f>
        <v>43</v>
      </c>
      <c r="G41" s="31">
        <f t="shared" ref="G41" si="107">F41-E41</f>
        <v>11</v>
      </c>
      <c r="H41" s="162">
        <f>ROUND(H40/((1-$B$4))-H40,0)</f>
        <v>31</v>
      </c>
      <c r="I41" s="30">
        <f>ROUND(I40/((1-$B$4))-I40,0)</f>
        <v>42</v>
      </c>
      <c r="J41" s="31">
        <f t="shared" ref="J41" si="108">I41-H41</f>
        <v>11</v>
      </c>
      <c r="K41" s="162">
        <f>ROUND(K40/((1-$B$4))-K40,0)</f>
        <v>31</v>
      </c>
      <c r="L41" s="30">
        <f>ROUND(L40/((1-$B$4))-L40,0)</f>
        <v>42</v>
      </c>
      <c r="M41" s="31">
        <f t="shared" ref="M41" si="109">L41-K41</f>
        <v>11</v>
      </c>
      <c r="N41" s="162">
        <f>ROUND(N40/((1-$B$4))-N40,0)</f>
        <v>31</v>
      </c>
      <c r="O41" s="30">
        <f>ROUND(O40/((1-$B$4))-O40,0)</f>
        <v>41</v>
      </c>
      <c r="P41" s="31">
        <f t="shared" ref="P41" si="110">O41-N41</f>
        <v>10</v>
      </c>
    </row>
    <row r="42" spans="1:16" ht="15" customHeight="1" x14ac:dyDescent="0.2">
      <c r="A42" s="152" t="s">
        <v>207</v>
      </c>
      <c r="B42" s="163">
        <f>SUM(B40:B41)</f>
        <v>21348</v>
      </c>
      <c r="C42" s="155">
        <f t="shared" ref="C42" si="111">SUM(C40:C41)</f>
        <v>28794</v>
      </c>
      <c r="D42" s="156">
        <f t="shared" ref="D42" si="112">SUM(D40:D41)</f>
        <v>7446</v>
      </c>
      <c r="E42" s="163">
        <f t="shared" ref="E42" si="113">SUM(E40:E41)</f>
        <v>21226</v>
      </c>
      <c r="F42" s="155">
        <f t="shared" ref="F42" si="114">SUM(F40:F41)</f>
        <v>28652</v>
      </c>
      <c r="G42" s="156">
        <f t="shared" ref="G42" si="115">SUM(G40:G41)</f>
        <v>7426</v>
      </c>
      <c r="H42" s="163">
        <f t="shared" ref="H42" si="116">SUM(H40:H41)</f>
        <v>20862</v>
      </c>
      <c r="I42" s="155">
        <f t="shared" ref="I42" si="117">SUM(I40:I41)</f>
        <v>28184</v>
      </c>
      <c r="J42" s="156">
        <f t="shared" ref="J42" si="118">SUM(J40:J41)</f>
        <v>7322</v>
      </c>
      <c r="K42" s="163">
        <f t="shared" ref="K42" si="119">SUM(K40:K41)</f>
        <v>20604</v>
      </c>
      <c r="L42" s="155">
        <f t="shared" ref="L42" si="120">SUM(L40:L41)</f>
        <v>27858</v>
      </c>
      <c r="M42" s="156">
        <f t="shared" ref="M42" si="121">SUM(M40:M41)</f>
        <v>7254</v>
      </c>
      <c r="N42" s="163">
        <f t="shared" ref="N42" si="122">SUM(N40:N41)</f>
        <v>20354</v>
      </c>
      <c r="O42" s="155">
        <f t="shared" ref="O42" si="123">SUM(O40:O41)</f>
        <v>27539</v>
      </c>
      <c r="P42" s="156">
        <f t="shared" ref="P42" si="124">SUM(P40:P41)</f>
        <v>7185</v>
      </c>
    </row>
    <row r="43" spans="1:16" ht="15" customHeight="1" x14ac:dyDescent="0.2">
      <c r="A43" s="152"/>
      <c r="B43" s="162"/>
      <c r="C43" s="30"/>
      <c r="D43" s="31"/>
      <c r="E43" s="162"/>
      <c r="F43" s="30"/>
      <c r="G43" s="31"/>
      <c r="H43" s="162"/>
      <c r="I43" s="30"/>
      <c r="J43" s="31"/>
      <c r="K43" s="162"/>
      <c r="L43" s="30"/>
      <c r="M43" s="31"/>
      <c r="N43" s="162"/>
      <c r="O43" s="30"/>
      <c r="P43" s="31"/>
    </row>
    <row r="44" spans="1:16" ht="15" customHeight="1" x14ac:dyDescent="0.2">
      <c r="A44" s="152" t="s">
        <v>208</v>
      </c>
      <c r="B44" s="162">
        <f>B16+B24+B32+B40</f>
        <v>373143</v>
      </c>
      <c r="C44" s="30">
        <f t="shared" ref="C44:P44" si="125">C16+C24+C32+C40</f>
        <v>448512.10247768415</v>
      </c>
      <c r="D44" s="31">
        <f t="shared" si="125"/>
        <v>75369.102477684137</v>
      </c>
      <c r="E44" s="162">
        <f t="shared" si="125"/>
        <v>378143</v>
      </c>
      <c r="F44" s="30">
        <f t="shared" si="125"/>
        <v>453835.98570646287</v>
      </c>
      <c r="G44" s="31">
        <f t="shared" si="125"/>
        <v>75692.985706462874</v>
      </c>
      <c r="H44" s="162">
        <f t="shared" si="125"/>
        <v>377671</v>
      </c>
      <c r="I44" s="30">
        <f t="shared" si="125"/>
        <v>454685.54926033999</v>
      </c>
      <c r="J44" s="31">
        <f t="shared" si="125"/>
        <v>77014.549260339976</v>
      </c>
      <c r="K44" s="162">
        <f t="shared" si="125"/>
        <v>380571</v>
      </c>
      <c r="L44" s="30">
        <f t="shared" si="125"/>
        <v>458162.71775316662</v>
      </c>
      <c r="M44" s="31">
        <f t="shared" si="125"/>
        <v>77591.717753166638</v>
      </c>
      <c r="N44" s="162">
        <f t="shared" si="125"/>
        <v>382639</v>
      </c>
      <c r="O44" s="30">
        <f t="shared" si="125"/>
        <v>460768.44705900701</v>
      </c>
      <c r="P44" s="31">
        <f t="shared" si="125"/>
        <v>78129.447059007041</v>
      </c>
    </row>
    <row r="45" spans="1:16" ht="15" customHeight="1" x14ac:dyDescent="0.2">
      <c r="A45" s="153" t="s">
        <v>209</v>
      </c>
      <c r="B45" s="162">
        <f t="shared" ref="B45:P46" si="126">B17+B25+B33+B41</f>
        <v>560</v>
      </c>
      <c r="C45" s="30">
        <f t="shared" si="126"/>
        <v>673</v>
      </c>
      <c r="D45" s="31">
        <f t="shared" si="126"/>
        <v>113</v>
      </c>
      <c r="E45" s="162">
        <f t="shared" si="126"/>
        <v>568</v>
      </c>
      <c r="F45" s="30">
        <f t="shared" si="126"/>
        <v>682</v>
      </c>
      <c r="G45" s="31">
        <f t="shared" si="126"/>
        <v>114</v>
      </c>
      <c r="H45" s="162">
        <f t="shared" si="126"/>
        <v>568</v>
      </c>
      <c r="I45" s="30">
        <f t="shared" si="126"/>
        <v>683</v>
      </c>
      <c r="J45" s="31">
        <f t="shared" si="126"/>
        <v>115</v>
      </c>
      <c r="K45" s="162">
        <f t="shared" si="126"/>
        <v>572</v>
      </c>
      <c r="L45" s="30">
        <f t="shared" si="126"/>
        <v>688</v>
      </c>
      <c r="M45" s="31">
        <f t="shared" si="126"/>
        <v>116</v>
      </c>
      <c r="N45" s="162">
        <f t="shared" si="126"/>
        <v>575</v>
      </c>
      <c r="O45" s="30">
        <f t="shared" si="126"/>
        <v>692</v>
      </c>
      <c r="P45" s="31">
        <f t="shared" si="126"/>
        <v>117</v>
      </c>
    </row>
    <row r="46" spans="1:16" ht="15" customHeight="1" x14ac:dyDescent="0.2">
      <c r="A46" s="152" t="s">
        <v>210</v>
      </c>
      <c r="B46" s="163">
        <f t="shared" si="126"/>
        <v>373703</v>
      </c>
      <c r="C46" s="155">
        <f t="shared" si="126"/>
        <v>449185.10247768415</v>
      </c>
      <c r="D46" s="156">
        <f t="shared" si="126"/>
        <v>75482.102477684137</v>
      </c>
      <c r="E46" s="163">
        <f t="shared" si="126"/>
        <v>378711</v>
      </c>
      <c r="F46" s="155">
        <f t="shared" si="126"/>
        <v>454517.98570646287</v>
      </c>
      <c r="G46" s="156">
        <f t="shared" si="126"/>
        <v>75806.985706462874</v>
      </c>
      <c r="H46" s="163">
        <f t="shared" si="126"/>
        <v>378239</v>
      </c>
      <c r="I46" s="155">
        <f t="shared" si="126"/>
        <v>455368.54926033999</v>
      </c>
      <c r="J46" s="156">
        <f t="shared" si="126"/>
        <v>77129.549260339976</v>
      </c>
      <c r="K46" s="163">
        <f t="shared" si="126"/>
        <v>381143</v>
      </c>
      <c r="L46" s="155">
        <f t="shared" si="126"/>
        <v>458850.71775316662</v>
      </c>
      <c r="M46" s="156">
        <f t="shared" si="126"/>
        <v>77707.717753166638</v>
      </c>
      <c r="N46" s="163">
        <f t="shared" si="126"/>
        <v>383214</v>
      </c>
      <c r="O46" s="155">
        <f t="shared" si="126"/>
        <v>461460.44705900701</v>
      </c>
      <c r="P46" s="156">
        <f t="shared" si="126"/>
        <v>78246.447059007041</v>
      </c>
    </row>
    <row r="47" spans="1:16" ht="15" customHeight="1" x14ac:dyDescent="0.2">
      <c r="A47" s="152"/>
      <c r="B47" s="162"/>
      <c r="C47" s="30"/>
      <c r="D47" s="31"/>
      <c r="E47" s="162"/>
      <c r="F47" s="30"/>
      <c r="G47" s="31"/>
      <c r="H47" s="162"/>
      <c r="I47" s="30"/>
      <c r="J47" s="31"/>
      <c r="K47" s="162"/>
      <c r="L47" s="30"/>
      <c r="M47" s="31"/>
      <c r="N47" s="162"/>
      <c r="O47" s="30"/>
      <c r="P47" s="31"/>
    </row>
    <row r="48" spans="1:16" ht="15" customHeight="1" x14ac:dyDescent="0.2">
      <c r="A48" s="152" t="s">
        <v>14</v>
      </c>
      <c r="B48" s="232">
        <f>'Retail Sales Base Case'!E20</f>
        <v>55</v>
      </c>
      <c r="C48" s="233">
        <f>'Retail Sales Base Case'!G20</f>
        <v>55</v>
      </c>
      <c r="D48" s="31">
        <f t="shared" ref="D48" si="127">C48-B48</f>
        <v>0</v>
      </c>
      <c r="E48" s="232">
        <f>'Retail Sales Base Case'!K20</f>
        <v>55</v>
      </c>
      <c r="F48" s="233">
        <f>'Retail Sales Base Case'!M20</f>
        <v>55</v>
      </c>
      <c r="G48" s="31">
        <f t="shared" ref="G48:G49" si="128">F48-E48</f>
        <v>0</v>
      </c>
      <c r="H48" s="232">
        <f>'Retail Sales Base Case'!Q20</f>
        <v>55</v>
      </c>
      <c r="I48" s="233">
        <f>'Retail Sales Base Case'!S20</f>
        <v>55</v>
      </c>
      <c r="J48" s="31">
        <f t="shared" ref="J48:J49" si="129">I48-H48</f>
        <v>0</v>
      </c>
      <c r="K48" s="232">
        <f>'Retail Sales Base Case'!W20</f>
        <v>55</v>
      </c>
      <c r="L48" s="233">
        <f>'Retail Sales Base Case'!Y20</f>
        <v>55</v>
      </c>
      <c r="M48" s="31">
        <f t="shared" ref="M48:M49" si="130">L48-K48</f>
        <v>0</v>
      </c>
      <c r="N48" s="232">
        <f>'Retail Sales Base Case'!AC20</f>
        <v>55</v>
      </c>
      <c r="O48" s="233">
        <f>'Retail Sales Base Case'!AE20</f>
        <v>55</v>
      </c>
      <c r="P48" s="31">
        <f t="shared" ref="P48:P49" si="131">O48-N48</f>
        <v>0</v>
      </c>
    </row>
    <row r="49" spans="1:16" ht="15" customHeight="1" x14ac:dyDescent="0.2">
      <c r="A49" s="153" t="s">
        <v>211</v>
      </c>
      <c r="B49" s="162">
        <f>ROUND(B48/((1-$B$4))-B48,0)</f>
        <v>0</v>
      </c>
      <c r="C49" s="30">
        <f>ROUND(C48/((1-$B$4))-C48,0)</f>
        <v>0</v>
      </c>
      <c r="D49" s="31">
        <f t="shared" ref="D49" si="132">C49-B49</f>
        <v>0</v>
      </c>
      <c r="E49" s="162">
        <f t="shared" ref="E49:F49" si="133">ROUND(E48/((1-$B$4))-E48,0)</f>
        <v>0</v>
      </c>
      <c r="F49" s="30">
        <f t="shared" si="133"/>
        <v>0</v>
      </c>
      <c r="G49" s="31">
        <f t="shared" si="128"/>
        <v>0</v>
      </c>
      <c r="H49" s="162">
        <f t="shared" ref="H49:I49" si="134">ROUND(H48/((1-$B$4))-H48,0)</f>
        <v>0</v>
      </c>
      <c r="I49" s="30">
        <f t="shared" si="134"/>
        <v>0</v>
      </c>
      <c r="J49" s="31">
        <f t="shared" si="129"/>
        <v>0</v>
      </c>
      <c r="K49" s="162">
        <f t="shared" ref="K49:L49" si="135">ROUND(K48/((1-$B$4))-K48,0)</f>
        <v>0</v>
      </c>
      <c r="L49" s="30">
        <f t="shared" si="135"/>
        <v>0</v>
      </c>
      <c r="M49" s="31">
        <f t="shared" si="130"/>
        <v>0</v>
      </c>
      <c r="N49" s="162">
        <f t="shared" ref="N49:O49" si="136">ROUND(N48/((1-$B$4))-N48,0)</f>
        <v>0</v>
      </c>
      <c r="O49" s="30">
        <f t="shared" si="136"/>
        <v>0</v>
      </c>
      <c r="P49" s="31">
        <f t="shared" si="131"/>
        <v>0</v>
      </c>
    </row>
    <row r="50" spans="1:16" ht="15" customHeight="1" x14ac:dyDescent="0.2">
      <c r="A50" s="152" t="s">
        <v>216</v>
      </c>
      <c r="B50" s="163">
        <f>SUM(B48:B49)</f>
        <v>55</v>
      </c>
      <c r="C50" s="155">
        <f t="shared" ref="C50:P50" si="137">SUM(C48:C49)</f>
        <v>55</v>
      </c>
      <c r="D50" s="156">
        <f t="shared" si="137"/>
        <v>0</v>
      </c>
      <c r="E50" s="163">
        <f t="shared" si="137"/>
        <v>55</v>
      </c>
      <c r="F50" s="155">
        <f t="shared" si="137"/>
        <v>55</v>
      </c>
      <c r="G50" s="156">
        <f t="shared" si="137"/>
        <v>0</v>
      </c>
      <c r="H50" s="163">
        <f t="shared" si="137"/>
        <v>55</v>
      </c>
      <c r="I50" s="155">
        <f t="shared" si="137"/>
        <v>55</v>
      </c>
      <c r="J50" s="156">
        <f t="shared" si="137"/>
        <v>0</v>
      </c>
      <c r="K50" s="163">
        <f t="shared" si="137"/>
        <v>55</v>
      </c>
      <c r="L50" s="155">
        <f t="shared" si="137"/>
        <v>55</v>
      </c>
      <c r="M50" s="156">
        <f t="shared" si="137"/>
        <v>0</v>
      </c>
      <c r="N50" s="163">
        <f t="shared" si="137"/>
        <v>55</v>
      </c>
      <c r="O50" s="155">
        <f t="shared" si="137"/>
        <v>55</v>
      </c>
      <c r="P50" s="156">
        <f t="shared" si="137"/>
        <v>0</v>
      </c>
    </row>
    <row r="51" spans="1:16" ht="15" customHeight="1" x14ac:dyDescent="0.2">
      <c r="A51" s="152"/>
      <c r="B51" s="162"/>
      <c r="C51" s="30"/>
      <c r="D51" s="31"/>
      <c r="E51" s="162"/>
      <c r="F51" s="30"/>
      <c r="G51" s="31"/>
      <c r="H51" s="162"/>
      <c r="I51" s="30"/>
      <c r="J51" s="31"/>
      <c r="K51" s="162"/>
      <c r="L51" s="30"/>
      <c r="M51" s="31"/>
      <c r="N51" s="162"/>
      <c r="O51" s="30"/>
      <c r="P51" s="31"/>
    </row>
    <row r="52" spans="1:16" ht="15" customHeight="1" x14ac:dyDescent="0.2">
      <c r="A52" s="152" t="s">
        <v>212</v>
      </c>
      <c r="B52" s="162">
        <f>B44+B48</f>
        <v>373198</v>
      </c>
      <c r="C52" s="30">
        <f t="shared" ref="C52:P52" si="138">C44+C48</f>
        <v>448567.10247768415</v>
      </c>
      <c r="D52" s="31">
        <f t="shared" si="138"/>
        <v>75369.102477684137</v>
      </c>
      <c r="E52" s="162">
        <f t="shared" si="138"/>
        <v>378198</v>
      </c>
      <c r="F52" s="30">
        <f t="shared" si="138"/>
        <v>453890.98570646287</v>
      </c>
      <c r="G52" s="31">
        <f t="shared" si="138"/>
        <v>75692.985706462874</v>
      </c>
      <c r="H52" s="162">
        <f t="shared" si="138"/>
        <v>377726</v>
      </c>
      <c r="I52" s="30">
        <f t="shared" si="138"/>
        <v>454740.54926033999</v>
      </c>
      <c r="J52" s="31">
        <f t="shared" si="138"/>
        <v>77014.549260339976</v>
      </c>
      <c r="K52" s="162">
        <f t="shared" si="138"/>
        <v>380626</v>
      </c>
      <c r="L52" s="30">
        <f t="shared" si="138"/>
        <v>458217.71775316662</v>
      </c>
      <c r="M52" s="31">
        <f t="shared" si="138"/>
        <v>77591.717753166638</v>
      </c>
      <c r="N52" s="162">
        <f t="shared" si="138"/>
        <v>382694</v>
      </c>
      <c r="O52" s="30">
        <f t="shared" si="138"/>
        <v>460823.44705900701</v>
      </c>
      <c r="P52" s="31">
        <f t="shared" si="138"/>
        <v>78129.447059007041</v>
      </c>
    </row>
    <row r="53" spans="1:16" ht="15" customHeight="1" x14ac:dyDescent="0.2">
      <c r="A53" s="153" t="s">
        <v>213</v>
      </c>
      <c r="B53" s="162">
        <f>B45+B49</f>
        <v>560</v>
      </c>
      <c r="C53" s="30">
        <f t="shared" ref="C53:P53" si="139">C45+C49</f>
        <v>673</v>
      </c>
      <c r="D53" s="31">
        <f t="shared" si="139"/>
        <v>113</v>
      </c>
      <c r="E53" s="162">
        <f t="shared" si="139"/>
        <v>568</v>
      </c>
      <c r="F53" s="30">
        <f t="shared" si="139"/>
        <v>682</v>
      </c>
      <c r="G53" s="31">
        <f t="shared" si="139"/>
        <v>114</v>
      </c>
      <c r="H53" s="162">
        <f t="shared" si="139"/>
        <v>568</v>
      </c>
      <c r="I53" s="30">
        <f t="shared" si="139"/>
        <v>683</v>
      </c>
      <c r="J53" s="31">
        <f t="shared" si="139"/>
        <v>115</v>
      </c>
      <c r="K53" s="162">
        <f t="shared" si="139"/>
        <v>572</v>
      </c>
      <c r="L53" s="30">
        <f t="shared" si="139"/>
        <v>688</v>
      </c>
      <c r="M53" s="31">
        <f t="shared" si="139"/>
        <v>116</v>
      </c>
      <c r="N53" s="162">
        <f t="shared" si="139"/>
        <v>575</v>
      </c>
      <c r="O53" s="30">
        <f t="shared" si="139"/>
        <v>692</v>
      </c>
      <c r="P53" s="31">
        <f t="shared" si="139"/>
        <v>117</v>
      </c>
    </row>
    <row r="54" spans="1:16" ht="15" customHeight="1" x14ac:dyDescent="0.2">
      <c r="A54" s="152" t="s">
        <v>193</v>
      </c>
      <c r="B54" s="166">
        <f>B46+B50+1</f>
        <v>373759</v>
      </c>
      <c r="C54" s="164">
        <f>C46+C50+2</f>
        <v>449242.10247768415</v>
      </c>
      <c r="D54" s="165">
        <f>D46+D50+1</f>
        <v>75483.102477684137</v>
      </c>
      <c r="E54" s="166">
        <f>E46+E50</f>
        <v>378766</v>
      </c>
      <c r="F54" s="164">
        <f>F46+F50</f>
        <v>454572.98570646287</v>
      </c>
      <c r="G54" s="165">
        <f>G46+G50</f>
        <v>75806.985706462874</v>
      </c>
      <c r="H54" s="166">
        <f>H46+H50-1</f>
        <v>378293</v>
      </c>
      <c r="I54" s="164">
        <f>I46+I50+1</f>
        <v>455424.54926033999</v>
      </c>
      <c r="J54" s="165">
        <f>J46+J50+2</f>
        <v>77131.549260339976</v>
      </c>
      <c r="K54" s="166">
        <f>K46+K50-1</f>
        <v>381197</v>
      </c>
      <c r="L54" s="164">
        <f>L46+L50-1</f>
        <v>458904.71775316662</v>
      </c>
      <c r="M54" s="165">
        <f>M46+M50</f>
        <v>77707.717753166638</v>
      </c>
      <c r="N54" s="166">
        <f>N46+N50-2</f>
        <v>383267</v>
      </c>
      <c r="O54" s="164">
        <f>O46+O50-1</f>
        <v>461514.44705900701</v>
      </c>
      <c r="P54" s="165">
        <f>P46+P50+1</f>
        <v>78247.447059007041</v>
      </c>
    </row>
    <row r="55" spans="1:16" ht="15" customHeight="1" x14ac:dyDescent="0.2">
      <c r="B55" s="3"/>
      <c r="C55" s="3"/>
      <c r="D55" s="3"/>
    </row>
    <row r="56" spans="1:16" ht="15" customHeight="1" x14ac:dyDescent="0.2"/>
    <row r="57" spans="1:16" ht="15" customHeight="1" x14ac:dyDescent="0.2"/>
    <row r="58" spans="1:16" ht="15" customHeight="1" x14ac:dyDescent="0.2"/>
    <row r="59" spans="1:16" ht="15" customHeight="1" x14ac:dyDescent="0.2"/>
    <row r="60" spans="1:16" ht="15" customHeight="1" x14ac:dyDescent="0.2"/>
    <row r="61" spans="1:16" ht="15" customHeight="1" x14ac:dyDescent="0.2"/>
    <row r="62" spans="1:16" ht="15" customHeight="1" x14ac:dyDescent="0.2"/>
    <row r="63" spans="1:16" ht="15" customHeight="1" x14ac:dyDescent="0.2"/>
    <row r="64" spans="1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</sheetData>
  <printOptions horizontalCentered="1"/>
  <pageMargins left="0.45" right="0.45" top="0.75" bottom="0.5" header="0.5" footer="0.4"/>
  <pageSetup scale="66" orientation="landscape" blackAndWhite="1" r:id="rId1"/>
  <headerFooter alignWithMargins="0"/>
  <customProperties>
    <customPr name="_pios_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9" ma:contentTypeDescription="Create a new document." ma:contentTypeScope="" ma:versionID="59c606702dd425c409ffee5e354cf09b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6956a5ec680c3bbc22af566483c2c1e9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F23F04-472C-410D-86FA-8527F7D6D266}"/>
</file>

<file path=customXml/itemProps2.xml><?xml version="1.0" encoding="utf-8"?>
<ds:datastoreItem xmlns:ds="http://schemas.openxmlformats.org/officeDocument/2006/customXml" ds:itemID="{8292E776-7DE2-4623-8A43-27689B1CE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C0FF1-9C1D-4C0A-B67C-4CB10C7444B1}">
  <ds:schemaRefs>
    <ds:schemaRef ds:uri="http://schemas.microsoft.com/office/2006/metadata/properties"/>
    <ds:schemaRef ds:uri="http://schemas.microsoft.com/office/infopath/2007/PartnerControls"/>
    <ds:schemaRef ds:uri="4e9379a4-87d5-42d4-a18e-c7a6c8888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Peak Day Summary</vt:lpstr>
      <vt:lpstr>Degree Day Report - EMM</vt:lpstr>
      <vt:lpstr>Retail Sales Base Case</vt:lpstr>
      <vt:lpstr>Res Trans Base Case</vt:lpstr>
      <vt:lpstr>Com Trans Base Case</vt:lpstr>
      <vt:lpstr>Ind Trans Base Case</vt:lpstr>
      <vt:lpstr>Pub Trans Base Case</vt:lpstr>
      <vt:lpstr>Summary</vt:lpstr>
      <vt:lpstr>roll up</vt:lpstr>
      <vt:lpstr>'Com Trans Base Case'!Print_Area</vt:lpstr>
      <vt:lpstr>'Ind Trans Base Case'!Print_Area</vt:lpstr>
      <vt:lpstr>'Pub Trans Base Case'!Print_Area</vt:lpstr>
      <vt:lpstr>'Res Trans Base Case'!Print_Area</vt:lpstr>
      <vt:lpstr>'Retail Sales Base Case'!Print_Area</vt:lpstr>
      <vt:lpstr>'roll up'!Print_Area</vt:lpstr>
      <vt:lpstr>Summary!Print_Area</vt:lpstr>
      <vt:lpstr>Summary!Print_Titles</vt:lpstr>
    </vt:vector>
  </TitlesOfParts>
  <Company>National Fuel 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Svetlana Atoyan</cp:lastModifiedBy>
  <cp:lastPrinted>2016-05-13T14:16:48Z</cp:lastPrinted>
  <dcterms:created xsi:type="dcterms:W3CDTF">2015-06-01T11:58:50Z</dcterms:created>
  <dcterms:modified xsi:type="dcterms:W3CDTF">2022-10-18T17:49:26Z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