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5150" documentId="8_{8ABD7A26-EDCA-4E89-B05B-78C58F193CE1}" xr6:coauthVersionLast="47" xr6:coauthVersionMax="47" xr10:uidLastSave="{FA3E2661-00FE-4929-BC90-68F2A76109A9}"/>
  <bookViews>
    <workbookView xWindow="28680" yWindow="-120" windowWidth="29040" windowHeight="15720" firstSheet="1" activeTab="1" xr2:uid="{4EFE6387-5AEA-41BC-A54A-3AB336A0BCE9}"/>
  </bookViews>
  <sheets>
    <sheet name="EXHIBIT JDT-3 RES" sheetId="2" r:id="rId1"/>
    <sheet name="EXHIBIT JDT-3 SCOM" sheetId="26" r:id="rId2"/>
    <sheet name="EXHIBIT JDT-3 LCOM" sheetId="27" r:id="rId3"/>
    <sheet name="EXHIBIT JDT-3 IND" sheetId="28" r:id="rId4"/>
    <sheet name="Exhibit JDT-4" sheetId="44" r:id="rId5"/>
    <sheet name="Attachment IV-B-5" sheetId="47" r:id="rId6"/>
    <sheet name="Rates" sheetId="25" r:id="rId7"/>
    <sheet name="Rates Summary" sheetId="46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\\" hidden="1">#REF!</definedName>
    <definedName name="\\\" hidden="1">#REF!</definedName>
    <definedName name="\\\\" hidden="1">#REF!</definedName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six6" hidden="1">{#N/A,#N/A,FALSE,"CRPT";#N/A,#N/A,FALSE,"TREND";#N/A,#N/A,FALSE,"%Curve"}</definedName>
    <definedName name="_________www1" hidden="1">{#N/A,#N/A,FALSE,"schA"}</definedName>
    <definedName name="________six6" hidden="1">{#N/A,#N/A,FALSE,"CRPT";#N/A,#N/A,FALSE,"TREND";#N/A,#N/A,FALSE,"%Curve"}</definedName>
    <definedName name="________www1" hidden="1">{#N/A,#N/A,FALSE,"schA"}</definedName>
    <definedName name="_______six6" hidden="1">{#N/A,#N/A,FALSE,"CRPT";#N/A,#N/A,FALSE,"TREND";#N/A,#N/A,FALSE,"%Curve"}</definedName>
    <definedName name="_______www1" hidden="1">{#N/A,#N/A,FALSE,"schA"}</definedName>
    <definedName name="______six6" hidden="1">{#N/A,#N/A,FALSE,"CRPT";#N/A,#N/A,FALSE,"TREND";#N/A,#N/A,FALSE,"%Curve"}</definedName>
    <definedName name="______www1" hidden="1">{#N/A,#N/A,FALSE,"schA"}</definedName>
    <definedName name="_____six6" hidden="1">{#N/A,#N/A,FALSE,"CRPT";#N/A,#N/A,FALSE,"TREND";#N/A,#N/A,FALSE,"%Curve"}</definedName>
    <definedName name="_____www1" hidden="1">{#N/A,#N/A,FALSE,"schA"}</definedName>
    <definedName name="____six6" hidden="1">{#N/A,#N/A,FALSE,"CRPT";#N/A,#N/A,FALSE,"TREND";#N/A,#N/A,FALSE,"%Curve"}</definedName>
    <definedName name="____www1" hidden="1">{#N/A,#N/A,FALSE,"schA"}</definedName>
    <definedName name="___six6" hidden="1">{#N/A,#N/A,FALSE,"CRPT";#N/A,#N/A,FALSE,"TREND";#N/A,#N/A,FALSE,"%Curve"}</definedName>
    <definedName name="___thinkcellKKG62MjcAkO62sX62BttTQ" hidden="1">#REF!</definedName>
    <definedName name="___www1" hidden="1">{#N/A,#N/A,FALSE,"schA"}</definedName>
    <definedName name="__123Graph_A" hidden="1">#REF!</definedName>
    <definedName name="__123Graph_ARES_02" hidden="1">[1]L!$S$47:$S$58</definedName>
    <definedName name="__123Graph_B" hidden="1">#REF!</definedName>
    <definedName name="__123Graph_BRES_02" hidden="1">[1]L!$T$47:$T$58</definedName>
    <definedName name="__123Graph_C" hidden="1">#REF!</definedName>
    <definedName name="__123Graph_D" localSheetId="6" hidden="1">[2]NY!#REF!</definedName>
    <definedName name="__123Graph_D" localSheetId="7" hidden="1">[2]NY!#REF!</definedName>
    <definedName name="__123Graph_D" hidden="1">#REF!</definedName>
    <definedName name="__123Graph_E" hidden="1">#REF!</definedName>
    <definedName name="__123Graph_ECURRENT" hidden="1">[3]ConsolidatingPL!#REF!</definedName>
    <definedName name="__123Graph_F" hidden="1">#REF!</definedName>
    <definedName name="__123Graph_X" hidden="1">#REF!</definedName>
    <definedName name="__123Graph_XRES_02" hidden="1">[1]L!$R$47:$R$58</definedName>
    <definedName name="__six6" hidden="1">{#N/A,#N/A,FALSE,"CRPT";#N/A,#N/A,FALSE,"TREND";#N/A,#N/A,FALSE,"%Curve"}</definedName>
    <definedName name="__www1" hidden="1">{#N/A,#N/A,FALSE,"schA"}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ex1" hidden="1">{#N/A,#N/A,FALSE,"Summ";#N/A,#N/A,FALSE,"General"}</definedName>
    <definedName name="_Fill" hidden="1">#REF!</definedName>
    <definedName name="_Fill_mcc" hidden="1">#REF!</definedName>
    <definedName name="_xlnm._FilterDatabase" localSheetId="6" hidden="1">Rates!$A$3:$GE$123</definedName>
    <definedName name="_xlnm._FilterDatabase" localSheetId="7" hidden="1">'Rates Summary'!$A$7:$GG$59</definedName>
    <definedName name="_Key1" hidden="1">#REF!</definedName>
    <definedName name="_Key2" hidden="1">#REF!</definedName>
    <definedName name="_key2_mcc" hidden="1">#REF!</definedName>
    <definedName name="_new1" hidden="1">{#N/A,#N/A,FALSE,"Summ";#N/A,#N/A,FALSE,"General"}</definedName>
    <definedName name="_Order1" hidden="1">0</definedName>
    <definedName name="_Order1_1" hidden="1">255</definedName>
    <definedName name="_Order2" hidden="1">0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ix6" hidden="1">{#N/A,#N/A,FALSE,"CRPT";#N/A,#N/A,FALSE,"TREND";#N/A,#N/A,FALSE,"%Curve"}</definedName>
    <definedName name="_Sort" hidden="1">#REF!</definedName>
    <definedName name="_Sort_mcc" hidden="1">'[4]1999'!#REF!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ww1" hidden="1">{#N/A,#N/A,FALSE,"schA"}</definedName>
    <definedName name="a" hidden="1">{#N/A,#N/A,FALSE,"Coversheet";#N/A,#N/A,FALSE,"QA"}</definedName>
    <definedName name="a_1" hidden="1">{"'Server Configuration'!$A$1:$DB$281"}</definedName>
    <definedName name="AccessDatabase" hidden="1">"W:\DF\NISource\Studies\nipsco\Normalization Electric Merchant.mdb"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li" hidden="1">{"'Server Configuration'!$A$1:$DB$281"}</definedName>
    <definedName name="AS2DocOpenMode" hidden="1">"AS2DocumentEdit"</definedName>
    <definedName name="b" hidden="1">{#N/A,#N/A,FALSE,"Coversheet";#N/A,#N/A,FALSE,"QA"}</definedName>
    <definedName name="b_1" hidden="1">{"'Server Configuration'!$A$1:$DB$281"}</definedName>
    <definedName name="BEm" hidden="1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[5]ZZCOOM_M03_Q004!#REF!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[5]ZZCOOM_M03_Q004!#REF!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[5]ZZCOOM_M03_Q004!#REF!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[5]ZZCOOM_M03_Q004!#REF!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[5]ZZCOOM_M03_Q004!#REF!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[5]ZZCOOM_M03_Q004!#REF!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um" hidden="1">#REF!</definedName>
    <definedName name="ccc" hidden="1">{"ISP1Y1",#N/A,TRUE,"Template";"ISP2Y1",#N/A,TRUE,"Template";"BSY1",#N/A,TRUE,"Template";"ICFY1",#N/A,TRUE,"Template";"TPY1",#N/A,TRUE,"Template";"CtrlY1",#N/A,TRUE,"Template"}</definedName>
    <definedName name="CT" hidden="1">{#N/A,#N/A,FALSE,"Current Status";#N/A,#N/A,FALSE,"Graph 1";#N/A,#N/A,FALSE,"Graph 2";#N/A,#N/A,FALSE,"Graph 3"}</definedName>
    <definedName name="dad" hidden="1">{#N/A,#N/A,FALSE,"Model";#N/A,#N/A,FALSE,"CapitalCosts"}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dgsdtesrtert" hidden="1">#REF!</definedName>
    <definedName name="ee" hidden="1">{#N/A,#N/A,FALSE,"Month ";#N/A,#N/A,FALSE,"YTD";#N/A,#N/A,FALSE,"12 mo ended"}</definedName>
    <definedName name="error" hidden="1">{#N/A,#N/A,FALSE,"Coversheet";#N/A,#N/A,FALSE,"QA"}</definedName>
    <definedName name="Estimate" hidden="1">{#N/A,#N/A,FALSE,"Summ";#N/A,#N/A,FALSE,"General"}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" hidden="1">{#N/A,#N/A,FALSE,"Summ";#N/A,#N/A,FALSE,"General"}</definedName>
    <definedName name="F" hidden="1">#REF!</definedName>
    <definedName name="fadsfd" hidden="1">{#N/A,#N/A,FALSE,"Model";#N/A,#N/A,FALSE,"CapitalCosts"}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f" hidden="1">{#N/A,#N/A,FALSE,"Model";#N/A,#N/A,FALSE,"CapitalCosts"}</definedName>
    <definedName name="ffff" hidden="1">{#N/A,#N/A,FALSE,"Coversheet";#N/A,#N/A,FALSE,"QA"}</definedName>
    <definedName name="fffff" hidden="1">{"ALL",#N/A,FALSE,"A"}</definedName>
    <definedName name="fffgf" hidden="1">{#N/A,#N/A,FALSE,"Coversheet";#N/A,#N/A,FALSE,"QA"}</definedName>
    <definedName name="Fill" hidden="1">#REF!</definedName>
    <definedName name="fsdfsad" hidden="1">{"ALL",#N/A,FALSE,"A"}</definedName>
    <definedName name="GGG" hidden="1">#REF!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tmlcontrol2" hidden="1">{"'Fossil &amp; Nuclear BE Letter'!$A$1:$V$45"}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hidden="1">{#N/A,#N/A,FALSE,"Summ";#N/A,#N/A,FALSE,"General"}</definedName>
    <definedName name="jh" hidden="1">{"ALL",#N/A,FALSE,"A"}</definedName>
    <definedName name="jpg" hidden="1">{"detail305",#N/A,FALSE,"BI-305"}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2_WBEVMODE" hidden="1">0</definedName>
    <definedName name="Key_1" hidden="1">#REF!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SFLEX1" localSheetId="5">#REF!</definedName>
    <definedName name="LISFLEX1">#REF!</definedName>
    <definedName name="LISFLEX2" localSheetId="5">#REF!</definedName>
    <definedName name="LISFLEX2">#REF!</definedName>
    <definedName name="LISFLEX3" localSheetId="5">#REF!</definedName>
    <definedName name="LISFLEX3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okup" hidden="1">{#N/A,#N/A,FALSE,"Coversheet";#N/A,#N/A,FALSE,"QA"}</definedName>
    <definedName name="LVISFLEX1" localSheetId="5">#REF!</definedName>
    <definedName name="LVISFLEX1">#REF!</definedName>
    <definedName name="LVISFLEX2" localSheetId="5">#REF!</definedName>
    <definedName name="LVISFLEX2">#REF!</definedName>
    <definedName name="LVISFLEX3" localSheetId="5">#REF!</definedName>
    <definedName name="LVISFLEX3">#REF!</definedName>
    <definedName name="Miller" hidden="1">{#N/A,#N/A,FALSE,"Expenditures";#N/A,#N/A,FALSE,"Property Placed In-Service";#N/A,#N/A,FALSE,"CWIP Balances"}</definedName>
    <definedName name="NCS" hidden="1">{"ISP1Y5",#N/A,TRUE,"Template";"ISP2Y5",#N/A,TRUE,"Template";"BSY5",#N/A,TRUE,"Template";"ICFY5",#N/A,TRUE,"Template";"TPY5",#N/A,TRUE,"Template";"CtrlY5",#N/A,TRUE,"Template"}</definedName>
    <definedName name="NCSCLB" hidden="1">{"'Server Configuration'!$A$1:$DB$281"}</definedName>
    <definedName name="new" hidden="1">{#N/A,#N/A,FALSE,"Summ";#N/A,#N/A,FALSE,"General"}</definedName>
    <definedName name="newer" hidden="1">{"ISP1Y1",#N/A,TRUE,"Template";"ISP2Y1",#N/A,TRUE,"Template";"BSY1",#N/A,TRUE,"Template";"ICFY1",#N/A,TRUE,"Template";"TPY1",#N/A,TRUE,"Template";"CtrlY1",#N/A,TRUE,"Template"}</definedName>
    <definedName name="Order1" hidden="1">255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al_Workbook_GUID" hidden="1">"IZIH15KRJJAT3IT13F96CTG5"</definedName>
    <definedName name="perp" hidden="1">{#N/A,#N/A,FALSE,"Current Status";#N/A,#N/A,FALSE,"Graph 1";#N/A,#N/A,FALSE,"Graph 2";#N/A,#N/A,FALSE,"Graph 3"}</definedName>
    <definedName name="PGD" hidden="1">{"detail305",#N/A,FALSE,"BI-305"}</definedName>
    <definedName name="_xlnm.Print_Area" localSheetId="5">'Attachment IV-B-5'!$A$1:$J$227</definedName>
    <definedName name="_xlnm.Print_Area" localSheetId="3">'EXHIBIT JDT-3 IND'!$A$1:$N$316</definedName>
    <definedName name="_xlnm.Print_Area" localSheetId="2">'EXHIBIT JDT-3 LCOM'!$A$1:$N$232</definedName>
    <definedName name="_xlnm.Print_Area" localSheetId="0">'EXHIBIT JDT-3 RES'!$A$1:$N$108</definedName>
    <definedName name="_xlnm.Print_Area" localSheetId="1">'EXHIBIT JDT-3 SCOM'!$A$1:$N$288</definedName>
    <definedName name="_xlnm.Print_Area" localSheetId="4">'Exhibit JDT-4'!$A$1:$W$1707</definedName>
    <definedName name="_xlnm.Print_Titles" localSheetId="5">'Attachment IV-B-5'!$1:$6</definedName>
    <definedName name="_xlnm.Print_Titles" localSheetId="3">'EXHIBIT JDT-3 IND'!$1:$8</definedName>
    <definedName name="_xlnm.Print_Titles" localSheetId="2">'EXHIBIT JDT-3 LCOM'!$1:$8</definedName>
    <definedName name="_xlnm.Print_Titles" localSheetId="0">'EXHIBIT JDT-3 RES'!$1:$8</definedName>
    <definedName name="_xlnm.Print_Titles" localSheetId="1">'EXHIBIT JDT-3 SCOM'!$1:$8</definedName>
    <definedName name="_xlnm.Print_Titles" localSheetId="4">'Exhibit JDT-4'!$1:$5</definedName>
    <definedName name="q" hidden="1">{#N/A,#N/A,FALSE,"Coversheet";#N/A,#N/A,FALSE,"QA"}</definedName>
    <definedName name="qqq" hidden="1">{#N/A,#N/A,FALSE,"schA"}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ultipleCPUSupportEnabled" hidden="1">TRUE</definedName>
    <definedName name="RiskSwapState" hidden="1">FALSE</definedName>
    <definedName name="Rusty" hidden="1">{"'Server Configuration'!$A$1:$DB$281"}</definedName>
    <definedName name="sada" hidden="1">{"summary",#N/A,FALSE,"PCR DIRECTORY"}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dlfhsdlhfkl" hidden="1">{#N/A,#N/A,FALSE,"Summ";#N/A,#N/A,FALSE,"General"}</definedName>
    <definedName name="seven" hidden="1">{#N/A,#N/A,FALSE,"CRPT";#N/A,#N/A,FALSE,"TREND";#N/A,#N/A,FALSE,"%Curve"}</definedName>
    <definedName name="six" hidden="1">{#N/A,#N/A,FALSE,"Drill Sites";"WP 212",#N/A,FALSE,"MWAG EOR";"WP 213",#N/A,FALSE,"MWAG EOR";#N/A,#N/A,FALSE,"Misc. Facility";#N/A,#N/A,FALSE,"WWTP"}</definedName>
    <definedName name="Sort" hidden="1">#REF!</definedName>
    <definedName name="t" hidden="1">{#N/A,#N/A,FALSE,"CESTSUM";#N/A,#N/A,FALSE,"est sum A";#N/A,#N/A,FALSE,"est detail A"}</definedName>
    <definedName name="tem" hidden="1">{#N/A,#N/A,FALSE,"Summ";#N/A,#N/A,FALSE,"General"}</definedName>
    <definedName name="tem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xtRefCopyRangeCount" hidden="1">5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trth" hidden="1">{"ALL",#N/A,FALSE,"A"}</definedName>
    <definedName name="u" hidden="1">{#N/A,#N/A,FALSE,"Summ";#N/A,#N/A,FALSE,"General"}</definedName>
    <definedName name="v" hidden="1">{#N/A,#N/A,FALSE,"Coversheet";#N/A,#N/A,FALSE,"QA"}</definedName>
    <definedName name="Value" hidden="1">{#N/A,#N/A,FALSE,"Summ";#N/A,#N/A,FALSE,"General"}</definedName>
    <definedName name="w" hidden="1">{#N/A,#N/A,FALSE,"Schedule F";#N/A,#N/A,FALSE,"Schedule G"}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ll" hidden="1">{"model",#N/A,TRUE,"Model";"capital",#N/A,TRUE,"Capital";"o and m",#N/A,TRUE,"O&amp;M"}</definedName>
    <definedName name="wrn.ALL." hidden="1">{"ALL",#N/A,FALSE,"A"}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Key._.Pages." hidden="1">{#N/A,#N/A,FALSE,"Model";#N/A,#N/A,FALSE,"CapitalCosts"}</definedName>
    <definedName name="wrn.letter." hidden="1">{#N/A,#N/A,FALSE,"Current Status";#N/A,#N/A,FALSE,"Graph 1";#N/A,#N/A,FALSE,"Graph 2";#N/A,#N/A,FALSE,"Graph 3"}</definedName>
    <definedName name="wrn.Liab." hidden="1">{"LIAB",#N/A,FALSE,"Liab"}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NetWorth." hidden="1">{"NW",#N/A,FALSE,"STMT"}</definedName>
    <definedName name="wrn.Pfd." hidden="1">{"Pfd",#N/A,FALSE,"Pfd"}</definedName>
    <definedName name="wrn.Project._.Services." hidden="1">{#N/A,#N/A,FALSE,"BASE";#N/A,#N/A,FALSE,"LOOPS";#N/A,#N/A,FALSE,"PLC"}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CHEDULE." hidden="1">{#N/A,#N/A,FALSE,"7617 Fab";#N/A,#N/A,FALSE,"7617 NSK"}</definedName>
    <definedName name="wrn.SHEDA." hidden="1">{"SCHED_A",#N/A,FALSE,"A"}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Temp." hidden="1">{"Working Capital",#N/A,FALSE,"Main";"Sept CGA",#N/A,FALSE,"Main";"Adders",#N/A,FALSE,"Main";"Bad Debt",#N/A,FALSE,"Main"}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letter2" hidden="1">{#N/A,#N/A,FALSE,"Current Status";#N/A,#N/A,FALSE,"Graph 1";#N/A,#N/A,FALSE,"Graph 2";#N/A,#N/A,FALSE,"Graph 3"}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ww" hidden="1">{#N/A,#N/A,FALSE,"schA"}</definedName>
    <definedName name="x" hidden="1">{#N/A,#N/A,FALSE,"Coversheet";#N/A,#N/A,FALSE,"QA"}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uf" hidden="1">{#N/A,#N/A,FALSE,"Summ";#N/A,#N/A,FALSE,"General"}</definedName>
    <definedName name="z" hidden="1">{#N/A,#N/A,FALSE,"Coversheet";#N/A,#N/A,FALSE,"QA"}</definedName>
    <definedName name="zzz" hidden="1">{"detail305",#N/A,FALSE,"BI-305"}</definedName>
  </definedNames>
  <calcPr calcId="191028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8" l="1"/>
  <c r="B2" i="28"/>
  <c r="B1" i="28"/>
  <c r="B3" i="27"/>
  <c r="B2" i="27"/>
  <c r="B1" i="27"/>
  <c r="B2" i="26"/>
  <c r="B3" i="26"/>
  <c r="B1" i="26"/>
  <c r="B208" i="47" l="1"/>
  <c r="B198" i="47"/>
  <c r="B126" i="47"/>
  <c r="B125" i="47"/>
  <c r="B84" i="47"/>
  <c r="B44" i="47"/>
  <c r="I207" i="47"/>
  <c r="I202" i="47"/>
  <c r="I197" i="47"/>
  <c r="I192" i="47"/>
  <c r="I185" i="47"/>
  <c r="I180" i="47"/>
  <c r="I175" i="47"/>
  <c r="I168" i="47"/>
  <c r="I163" i="47"/>
  <c r="I158" i="47"/>
  <c r="B159" i="47"/>
  <c r="B164" i="47" s="1"/>
  <c r="I153" i="47"/>
  <c r="I148" i="47"/>
  <c r="I95" i="47"/>
  <c r="I89" i="47"/>
  <c r="I83" i="47"/>
  <c r="I77" i="47"/>
  <c r="I72" i="47"/>
  <c r="I66" i="47"/>
  <c r="I60" i="47"/>
  <c r="I55" i="47"/>
  <c r="I49" i="47"/>
  <c r="I43" i="47"/>
  <c r="I38" i="47"/>
  <c r="I32" i="47"/>
  <c r="I26" i="47"/>
  <c r="B138" i="47" l="1"/>
  <c r="B50" i="47"/>
  <c r="B78" i="47"/>
  <c r="B137" i="47"/>
  <c r="B90" i="47"/>
  <c r="B61" i="47"/>
  <c r="I21" i="47" l="1"/>
  <c r="I15" i="47"/>
  <c r="I9" i="47"/>
  <c r="G1390" i="44"/>
  <c r="G1391" i="44"/>
  <c r="G1392" i="44"/>
  <c r="G1393" i="44"/>
  <c r="G14" i="44"/>
  <c r="G15" i="44"/>
  <c r="G16" i="44"/>
  <c r="G17" i="44"/>
  <c r="B1678" i="44"/>
  <c r="B1679" i="44" s="1"/>
  <c r="B1605" i="44"/>
  <c r="B1539" i="44"/>
  <c r="B1540" i="44" s="1"/>
  <c r="B1471" i="44"/>
  <c r="B1407" i="44"/>
  <c r="B1342" i="44"/>
  <c r="B1277" i="44"/>
  <c r="B1278" i="44" s="1"/>
  <c r="B1209" i="44"/>
  <c r="B1076" i="44"/>
  <c r="B1011" i="44"/>
  <c r="B945" i="44"/>
  <c r="B946" i="44" s="1"/>
  <c r="B880" i="44"/>
  <c r="B815" i="44"/>
  <c r="B816" i="44" s="1"/>
  <c r="B749" i="44"/>
  <c r="B683" i="44"/>
  <c r="B549" i="44"/>
  <c r="B615" i="44" s="1"/>
  <c r="B484" i="44"/>
  <c r="B550" i="44" s="1"/>
  <c r="B616" i="44" s="1"/>
  <c r="B350" i="44"/>
  <c r="B417" i="44" s="1"/>
  <c r="B284" i="44"/>
  <c r="B351" i="44" s="1"/>
  <c r="B418" i="44" s="1"/>
  <c r="B218" i="44"/>
  <c r="B219" i="44" s="1"/>
  <c r="B220" i="44" s="1"/>
  <c r="B221" i="44" s="1"/>
  <c r="B222" i="44" s="1"/>
  <c r="B223" i="44" s="1"/>
  <c r="B224" i="44" s="1"/>
  <c r="B225" i="44" s="1"/>
  <c r="B226" i="44" s="1"/>
  <c r="B227" i="44" s="1"/>
  <c r="B228" i="44" s="1"/>
  <c r="B229" i="44" s="1"/>
  <c r="B230" i="44" s="1"/>
  <c r="B231" i="44" s="1"/>
  <c r="B232" i="44" s="1"/>
  <c r="B233" i="44" s="1"/>
  <c r="B234" i="44" s="1"/>
  <c r="B235" i="44" s="1"/>
  <c r="B236" i="44" s="1"/>
  <c r="B237" i="44" s="1"/>
  <c r="B238" i="44" s="1"/>
  <c r="B239" i="44" s="1"/>
  <c r="B240" i="44" s="1"/>
  <c r="B241" i="44" s="1"/>
  <c r="B242" i="44" s="1"/>
  <c r="B243" i="44" s="1"/>
  <c r="B244" i="44" s="1"/>
  <c r="B245" i="44" s="1"/>
  <c r="B246" i="44" s="1"/>
  <c r="B247" i="44" s="1"/>
  <c r="B95" i="44"/>
  <c r="B152" i="44" s="1"/>
  <c r="B31" i="44"/>
  <c r="B96" i="44" s="1"/>
  <c r="B153" i="44" s="1"/>
  <c r="B187" i="47" l="1"/>
  <c r="B186" i="47"/>
  <c r="B119" i="47"/>
  <c r="B118" i="47"/>
  <c r="B16" i="47"/>
  <c r="B27" i="47"/>
  <c r="B750" i="44"/>
  <c r="B485" i="44"/>
  <c r="B486" i="44" s="1"/>
  <c r="B487" i="44" s="1"/>
  <c r="B684" i="44"/>
  <c r="B751" i="44" s="1"/>
  <c r="B1141" i="44"/>
  <c r="B1210" i="44"/>
  <c r="B1211" i="44" s="1"/>
  <c r="B1212" i="44" s="1"/>
  <c r="B1213" i="44" s="1"/>
  <c r="B1214" i="44" s="1"/>
  <c r="B1215" i="44" s="1"/>
  <c r="B1216" i="44" s="1"/>
  <c r="B32" i="44"/>
  <c r="B33" i="44" s="1"/>
  <c r="B98" i="44" s="1"/>
  <c r="B155" i="44" s="1"/>
  <c r="B1541" i="44"/>
  <c r="B285" i="44"/>
  <c r="B817" i="44"/>
  <c r="B685" i="44"/>
  <c r="B1279" i="44"/>
  <c r="B1680" i="44"/>
  <c r="B947" i="44"/>
  <c r="B1343" i="44"/>
  <c r="B1077" i="44"/>
  <c r="B1012" i="44"/>
  <c r="B1472" i="44"/>
  <c r="B1606" i="44"/>
  <c r="B1408" i="44"/>
  <c r="B881" i="44"/>
  <c r="B113" i="47" l="1"/>
  <c r="B551" i="44"/>
  <c r="B617" i="44" s="1"/>
  <c r="B552" i="44"/>
  <c r="B618" i="44" s="1"/>
  <c r="B97" i="44"/>
  <c r="B154" i="44" s="1"/>
  <c r="B34" i="44"/>
  <c r="B99" i="44" s="1"/>
  <c r="B156" i="44" s="1"/>
  <c r="B1217" i="44"/>
  <c r="B818" i="44"/>
  <c r="B1681" i="44"/>
  <c r="B286" i="44"/>
  <c r="B352" i="44"/>
  <c r="B419" i="44" s="1"/>
  <c r="B1344" i="44"/>
  <c r="B1542" i="44"/>
  <c r="B1607" i="44"/>
  <c r="B948" i="44"/>
  <c r="B752" i="44"/>
  <c r="B686" i="44"/>
  <c r="B1013" i="44"/>
  <c r="B1078" i="44"/>
  <c r="B1409" i="44"/>
  <c r="B1280" i="44"/>
  <c r="B488" i="44"/>
  <c r="B553" i="44"/>
  <c r="B619" i="44" s="1"/>
  <c r="B882" i="44"/>
  <c r="B1473" i="44"/>
  <c r="B1142" i="44"/>
  <c r="B35" i="44" l="1"/>
  <c r="B100" i="44" s="1"/>
  <c r="B157" i="44" s="1"/>
  <c r="B1218" i="44"/>
  <c r="B1281" i="44"/>
  <c r="B949" i="44"/>
  <c r="B1143" i="44"/>
  <c r="B1014" i="44"/>
  <c r="B1079" i="44"/>
  <c r="B1608" i="44"/>
  <c r="B1682" i="44"/>
  <c r="B1474" i="44"/>
  <c r="B287" i="44"/>
  <c r="B353" i="44"/>
  <c r="B420" i="44" s="1"/>
  <c r="B687" i="44"/>
  <c r="B753" i="44"/>
  <c r="B1345" i="44"/>
  <c r="B1410" i="44"/>
  <c r="B883" i="44"/>
  <c r="B489" i="44"/>
  <c r="B554" i="44"/>
  <c r="B620" i="44" s="1"/>
  <c r="B1543" i="44"/>
  <c r="B819" i="44"/>
  <c r="B36" i="44"/>
  <c r="B101" i="44" s="1"/>
  <c r="B158" i="44" s="1"/>
  <c r="B1219" i="44" l="1"/>
  <c r="B1411" i="44"/>
  <c r="B1015" i="44"/>
  <c r="B1080" i="44"/>
  <c r="B1475" i="44"/>
  <c r="B1544" i="44"/>
  <c r="B1683" i="44"/>
  <c r="B490" i="44"/>
  <c r="B555" i="44"/>
  <c r="B621" i="44" s="1"/>
  <c r="B950" i="44"/>
  <c r="B1346" i="44"/>
  <c r="B688" i="44"/>
  <c r="B754" i="44"/>
  <c r="B1609" i="44"/>
  <c r="B288" i="44"/>
  <c r="B354" i="44"/>
  <c r="B421" i="44" s="1"/>
  <c r="B820" i="44"/>
  <c r="B884" i="44"/>
  <c r="B1144" i="44"/>
  <c r="B1282" i="44"/>
  <c r="B37" i="44"/>
  <c r="B102" i="44" s="1"/>
  <c r="B159" i="44" s="1"/>
  <c r="B1220" i="44" l="1"/>
  <c r="B1545" i="44"/>
  <c r="B1283" i="44"/>
  <c r="B289" i="44"/>
  <c r="B355" i="44"/>
  <c r="B422" i="44" s="1"/>
  <c r="B1347" i="44"/>
  <c r="B951" i="44"/>
  <c r="B1476" i="44"/>
  <c r="B1610" i="44"/>
  <c r="B1145" i="44"/>
  <c r="B491" i="44"/>
  <c r="B556" i="44"/>
  <c r="B622" i="44" s="1"/>
  <c r="B885" i="44"/>
  <c r="B1016" i="44"/>
  <c r="B1081" i="44"/>
  <c r="B689" i="44"/>
  <c r="B755" i="44"/>
  <c r="B1684" i="44"/>
  <c r="B821" i="44"/>
  <c r="B1412" i="44"/>
  <c r="B38" i="44"/>
  <c r="B103" i="44" s="1"/>
  <c r="B160" i="44" s="1"/>
  <c r="B1221" i="44" l="1"/>
  <c r="B690" i="44"/>
  <c r="B756" i="44"/>
  <c r="B1413" i="44"/>
  <c r="B1348" i="44"/>
  <c r="B1146" i="44"/>
  <c r="B822" i="44"/>
  <c r="B1017" i="44"/>
  <c r="B1082" i="44"/>
  <c r="B1611" i="44"/>
  <c r="B290" i="44"/>
  <c r="B356" i="44"/>
  <c r="B423" i="44" s="1"/>
  <c r="B1685" i="44"/>
  <c r="B886" i="44"/>
  <c r="B1477" i="44"/>
  <c r="B1284" i="44"/>
  <c r="B492" i="44"/>
  <c r="B557" i="44"/>
  <c r="B623" i="44" s="1"/>
  <c r="B952" i="44"/>
  <c r="B1546" i="44"/>
  <c r="B39" i="44"/>
  <c r="B104" i="44" s="1"/>
  <c r="B161" i="44" s="1"/>
  <c r="B1222" i="44" l="1"/>
  <c r="B1349" i="44"/>
  <c r="B1612" i="44"/>
  <c r="B1478" i="44"/>
  <c r="B953" i="44"/>
  <c r="B1018" i="44"/>
  <c r="B1083" i="44"/>
  <c r="B1414" i="44"/>
  <c r="B1547" i="44"/>
  <c r="B887" i="44"/>
  <c r="B493" i="44"/>
  <c r="B558" i="44"/>
  <c r="B624" i="44" s="1"/>
  <c r="B1686" i="44"/>
  <c r="B823" i="44"/>
  <c r="B1147" i="44"/>
  <c r="B1285" i="44"/>
  <c r="B291" i="44"/>
  <c r="B357" i="44"/>
  <c r="B424" i="44" s="1"/>
  <c r="B691" i="44"/>
  <c r="B757" i="44"/>
  <c r="B40" i="44"/>
  <c r="B105" i="44" s="1"/>
  <c r="B162" i="44" s="1"/>
  <c r="B1223" i="44" l="1"/>
  <c r="B888" i="44"/>
  <c r="B954" i="44"/>
  <c r="B1548" i="44"/>
  <c r="B824" i="44"/>
  <c r="B1479" i="44"/>
  <c r="B692" i="44"/>
  <c r="B758" i="44"/>
  <c r="B292" i="44"/>
  <c r="B358" i="44"/>
  <c r="B425" i="44" s="1"/>
  <c r="B1687" i="44"/>
  <c r="B1415" i="44"/>
  <c r="B1613" i="44"/>
  <c r="B1286" i="44"/>
  <c r="B494" i="44"/>
  <c r="B559" i="44"/>
  <c r="B625" i="44" s="1"/>
  <c r="B1148" i="44"/>
  <c r="B1019" i="44"/>
  <c r="B1084" i="44"/>
  <c r="B1350" i="44"/>
  <c r="B41" i="44"/>
  <c r="B106" i="44" s="1"/>
  <c r="B163" i="44" s="1"/>
  <c r="B1224" i="44" l="1"/>
  <c r="B495" i="44"/>
  <c r="B560" i="44"/>
  <c r="B626" i="44" s="1"/>
  <c r="B825" i="44"/>
  <c r="B1149" i="44"/>
  <c r="B1614" i="44"/>
  <c r="B693" i="44"/>
  <c r="B759" i="44"/>
  <c r="B955" i="44"/>
  <c r="B293" i="44"/>
  <c r="B359" i="44"/>
  <c r="B426" i="44" s="1"/>
  <c r="B1020" i="44"/>
  <c r="B1085" i="44"/>
  <c r="B1416" i="44"/>
  <c r="B1688" i="44"/>
  <c r="B1351" i="44"/>
  <c r="B1287" i="44"/>
  <c r="B1549" i="44"/>
  <c r="B1480" i="44"/>
  <c r="B889" i="44"/>
  <c r="B42" i="44"/>
  <c r="B107" i="44" s="1"/>
  <c r="B164" i="44" s="1"/>
  <c r="B1225" i="44" l="1"/>
  <c r="B1021" i="44"/>
  <c r="B1086" i="44"/>
  <c r="B890" i="44"/>
  <c r="B1615" i="44"/>
  <c r="B294" i="44"/>
  <c r="B360" i="44"/>
  <c r="B427" i="44" s="1"/>
  <c r="B1481" i="44"/>
  <c r="B956" i="44"/>
  <c r="B1150" i="44"/>
  <c r="B1352" i="44"/>
  <c r="B1689" i="44"/>
  <c r="B1550" i="44"/>
  <c r="B1417" i="44"/>
  <c r="B826" i="44"/>
  <c r="B1288" i="44"/>
  <c r="B694" i="44"/>
  <c r="B760" i="44"/>
  <c r="B496" i="44"/>
  <c r="B561" i="44"/>
  <c r="B627" i="44" s="1"/>
  <c r="B43" i="44"/>
  <c r="B108" i="44" s="1"/>
  <c r="B165" i="44" s="1"/>
  <c r="B1226" i="44" l="1"/>
  <c r="B827" i="44"/>
  <c r="B695" i="44"/>
  <c r="B761" i="44"/>
  <c r="B891" i="44"/>
  <c r="B1616" i="44"/>
  <c r="B1551" i="44"/>
  <c r="B1151" i="44"/>
  <c r="B1353" i="44"/>
  <c r="B1418" i="44"/>
  <c r="B957" i="44"/>
  <c r="B1289" i="44"/>
  <c r="B1690" i="44"/>
  <c r="B1482" i="44"/>
  <c r="B295" i="44"/>
  <c r="B361" i="44"/>
  <c r="B428" i="44" s="1"/>
  <c r="B497" i="44"/>
  <c r="B562" i="44"/>
  <c r="B628" i="44" s="1"/>
  <c r="B1022" i="44"/>
  <c r="B1087" i="44"/>
  <c r="B44" i="44"/>
  <c r="B109" i="44" s="1"/>
  <c r="B166" i="44" s="1"/>
  <c r="B1227" i="44" l="1"/>
  <c r="B1152" i="44"/>
  <c r="B1483" i="44"/>
  <c r="B1354" i="44"/>
  <c r="B1290" i="44"/>
  <c r="B1419" i="44"/>
  <c r="B1691" i="44"/>
  <c r="B498" i="44"/>
  <c r="B563" i="44"/>
  <c r="B629" i="44" s="1"/>
  <c r="B958" i="44"/>
  <c r="B1552" i="44"/>
  <c r="B1617" i="44"/>
  <c r="B1023" i="44"/>
  <c r="B1088" i="44"/>
  <c r="B892" i="44"/>
  <c r="B696" i="44"/>
  <c r="B762" i="44"/>
  <c r="B296" i="44"/>
  <c r="B362" i="44"/>
  <c r="B429" i="44" s="1"/>
  <c r="B828" i="44"/>
  <c r="B45" i="44"/>
  <c r="B110" i="44" s="1"/>
  <c r="B167" i="44" s="1"/>
  <c r="B1228" i="44" l="1"/>
  <c r="B893" i="44"/>
  <c r="B1153" i="44"/>
  <c r="B959" i="44"/>
  <c r="B297" i="44"/>
  <c r="B363" i="44"/>
  <c r="B430" i="44" s="1"/>
  <c r="B499" i="44"/>
  <c r="B564" i="44"/>
  <c r="B630" i="44" s="1"/>
  <c r="B1484" i="44"/>
  <c r="B1291" i="44"/>
  <c r="B1024" i="44"/>
  <c r="B1089" i="44"/>
  <c r="B1692" i="44"/>
  <c r="B697" i="44"/>
  <c r="B763" i="44"/>
  <c r="B829" i="44"/>
  <c r="B1355" i="44"/>
  <c r="B1618" i="44"/>
  <c r="B1553" i="44"/>
  <c r="B1420" i="44"/>
  <c r="B46" i="44"/>
  <c r="B111" i="44" s="1"/>
  <c r="B168" i="44" s="1"/>
  <c r="B1229" i="44" l="1"/>
  <c r="B830" i="44"/>
  <c r="B298" i="44"/>
  <c r="B364" i="44"/>
  <c r="B431" i="44" s="1"/>
  <c r="B1554" i="44"/>
  <c r="B1292" i="44"/>
  <c r="B698" i="44"/>
  <c r="B764" i="44"/>
  <c r="B1485" i="44"/>
  <c r="B1421" i="44"/>
  <c r="B1025" i="44"/>
  <c r="B1090" i="44"/>
  <c r="B1619" i="44"/>
  <c r="B1693" i="44"/>
  <c r="B960" i="44"/>
  <c r="B1356" i="44"/>
  <c r="B1154" i="44"/>
  <c r="B500" i="44"/>
  <c r="B565" i="44"/>
  <c r="B631" i="44" s="1"/>
  <c r="B894" i="44"/>
  <c r="B47" i="44"/>
  <c r="B112" i="44" s="1"/>
  <c r="B169" i="44" s="1"/>
  <c r="B1230" i="44" l="1"/>
  <c r="B1293" i="44"/>
  <c r="B895" i="44"/>
  <c r="B961" i="44"/>
  <c r="B1555" i="44"/>
  <c r="B1486" i="44"/>
  <c r="B1620" i="44"/>
  <c r="B299" i="44"/>
  <c r="B365" i="44"/>
  <c r="B432" i="44" s="1"/>
  <c r="B1422" i="44"/>
  <c r="B1694" i="44"/>
  <c r="B1155" i="44"/>
  <c r="B1026" i="44"/>
  <c r="B1091" i="44"/>
  <c r="B501" i="44"/>
  <c r="B566" i="44"/>
  <c r="B632" i="44" s="1"/>
  <c r="B1357" i="44"/>
  <c r="B699" i="44"/>
  <c r="B765" i="44"/>
  <c r="B831" i="44"/>
  <c r="B48" i="44"/>
  <c r="B113" i="44" s="1"/>
  <c r="B170" i="44" s="1"/>
  <c r="B1231" i="44" l="1"/>
  <c r="B832" i="44"/>
  <c r="B1556" i="44"/>
  <c r="B962" i="44"/>
  <c r="B1621" i="44"/>
  <c r="B896" i="44"/>
  <c r="B1423" i="44"/>
  <c r="B300" i="44"/>
  <c r="B366" i="44"/>
  <c r="B433" i="44" s="1"/>
  <c r="B700" i="44"/>
  <c r="B766" i="44"/>
  <c r="B1358" i="44"/>
  <c r="B502" i="44"/>
  <c r="B567" i="44"/>
  <c r="B633" i="44" s="1"/>
  <c r="B1156" i="44"/>
  <c r="B1027" i="44"/>
  <c r="B1092" i="44"/>
  <c r="B1695" i="44"/>
  <c r="B1487" i="44"/>
  <c r="B1294" i="44"/>
  <c r="B49" i="44"/>
  <c r="B114" i="44" s="1"/>
  <c r="B171" i="44" s="1"/>
  <c r="B1232" i="44" l="1"/>
  <c r="B1028" i="44"/>
  <c r="B1093" i="44"/>
  <c r="B1295" i="44"/>
  <c r="B701" i="44"/>
  <c r="B767" i="44"/>
  <c r="B301" i="44"/>
  <c r="B367" i="44"/>
  <c r="B434" i="44" s="1"/>
  <c r="B963" i="44"/>
  <c r="B1488" i="44"/>
  <c r="B503" i="44"/>
  <c r="B568" i="44"/>
  <c r="B634" i="44" s="1"/>
  <c r="B1696" i="44"/>
  <c r="B1424" i="44"/>
  <c r="B1557" i="44"/>
  <c r="B1157" i="44"/>
  <c r="B1359" i="44"/>
  <c r="B1622" i="44"/>
  <c r="B897" i="44"/>
  <c r="B833" i="44"/>
  <c r="B50" i="44"/>
  <c r="B115" i="44" s="1"/>
  <c r="B172" i="44" s="1"/>
  <c r="B1233" i="44" l="1"/>
  <c r="B834" i="44"/>
  <c r="B504" i="44"/>
  <c r="B569" i="44"/>
  <c r="B635" i="44" s="1"/>
  <c r="B702" i="44"/>
  <c r="B768" i="44"/>
  <c r="B898" i="44"/>
  <c r="B1558" i="44"/>
  <c r="B1489" i="44"/>
  <c r="B1296" i="44"/>
  <c r="B1623" i="44"/>
  <c r="B1425" i="44"/>
  <c r="B964" i="44"/>
  <c r="B1158" i="44"/>
  <c r="B1360" i="44"/>
  <c r="B1697" i="44"/>
  <c r="B302" i="44"/>
  <c r="B368" i="44"/>
  <c r="B435" i="44" s="1"/>
  <c r="B1029" i="44"/>
  <c r="B1094" i="44"/>
  <c r="B51" i="44"/>
  <c r="B116" i="44" s="1"/>
  <c r="B173" i="44" s="1"/>
  <c r="B1234" i="44" l="1"/>
  <c r="B899" i="44"/>
  <c r="B1030" i="44"/>
  <c r="B1095" i="44"/>
  <c r="B1624" i="44"/>
  <c r="B1297" i="44"/>
  <c r="B303" i="44"/>
  <c r="B369" i="44"/>
  <c r="B436" i="44" s="1"/>
  <c r="B703" i="44"/>
  <c r="B769" i="44"/>
  <c r="B965" i="44"/>
  <c r="B1490" i="44"/>
  <c r="B1698" i="44"/>
  <c r="B505" i="44"/>
  <c r="B570" i="44"/>
  <c r="B636" i="44" s="1"/>
  <c r="B1426" i="44"/>
  <c r="B1559" i="44"/>
  <c r="B1159" i="44"/>
  <c r="B1361" i="44"/>
  <c r="B835" i="44"/>
  <c r="B52" i="44"/>
  <c r="B117" i="44" s="1"/>
  <c r="B174" i="44" s="1"/>
  <c r="B1235" i="44" l="1"/>
  <c r="B1427" i="44"/>
  <c r="B1625" i="44"/>
  <c r="B1298" i="44"/>
  <c r="B506" i="44"/>
  <c r="B571" i="44"/>
  <c r="B637" i="44" s="1"/>
  <c r="B1699" i="44"/>
  <c r="B1031" i="44"/>
  <c r="B1096" i="44"/>
  <c r="B966" i="44"/>
  <c r="B1362" i="44"/>
  <c r="B704" i="44"/>
  <c r="B770" i="44"/>
  <c r="B304" i="44"/>
  <c r="B370" i="44"/>
  <c r="B437" i="44" s="1"/>
  <c r="B836" i="44"/>
  <c r="B1160" i="44"/>
  <c r="B1560" i="44"/>
  <c r="B1491" i="44"/>
  <c r="B900" i="44"/>
  <c r="B53" i="44"/>
  <c r="B118" i="44" s="1"/>
  <c r="B175" i="44" s="1"/>
  <c r="B1236" i="44" l="1"/>
  <c r="B507" i="44"/>
  <c r="B572" i="44"/>
  <c r="B638" i="44" s="1"/>
  <c r="B967" i="44"/>
  <c r="B901" i="44"/>
  <c r="B1299" i="44"/>
  <c r="B1561" i="44"/>
  <c r="B1032" i="44"/>
  <c r="B1097" i="44"/>
  <c r="B1626" i="44"/>
  <c r="B837" i="44"/>
  <c r="B305" i="44"/>
  <c r="B371" i="44"/>
  <c r="B438" i="44" s="1"/>
  <c r="B705" i="44"/>
  <c r="B771" i="44"/>
  <c r="B1363" i="44"/>
  <c r="B1492" i="44"/>
  <c r="B1161" i="44"/>
  <c r="B1700" i="44"/>
  <c r="B1428" i="44"/>
  <c r="B54" i="44"/>
  <c r="B119" i="44" s="1"/>
  <c r="B176" i="44" s="1"/>
  <c r="B1237" i="44" l="1"/>
  <c r="B1300" i="44"/>
  <c r="B1429" i="44"/>
  <c r="B706" i="44"/>
  <c r="B772" i="44"/>
  <c r="B1162" i="44"/>
  <c r="B1033" i="44"/>
  <c r="B1098" i="44"/>
  <c r="B838" i="44"/>
  <c r="B1627" i="44"/>
  <c r="B1364" i="44"/>
  <c r="B1701" i="44"/>
  <c r="B902" i="44"/>
  <c r="B968" i="44"/>
  <c r="B306" i="44"/>
  <c r="B372" i="44"/>
  <c r="B439" i="44" s="1"/>
  <c r="B1493" i="44"/>
  <c r="B1562" i="44"/>
  <c r="B508" i="44"/>
  <c r="B573" i="44"/>
  <c r="B639" i="44" s="1"/>
  <c r="B55" i="44"/>
  <c r="B120" i="44" s="1"/>
  <c r="B177" i="44" s="1"/>
  <c r="B1238" i="44" l="1"/>
  <c r="B509" i="44"/>
  <c r="B574" i="44"/>
  <c r="B640" i="44" s="1"/>
  <c r="B903" i="44"/>
  <c r="B1494" i="44"/>
  <c r="B1430" i="44"/>
  <c r="B1628" i="44"/>
  <c r="B839" i="44"/>
  <c r="B1034" i="44"/>
  <c r="B1099" i="44"/>
  <c r="B969" i="44"/>
  <c r="B1563" i="44"/>
  <c r="B707" i="44"/>
  <c r="B773" i="44"/>
  <c r="B1163" i="44"/>
  <c r="B1702" i="44"/>
  <c r="B307" i="44"/>
  <c r="B373" i="44"/>
  <c r="B440" i="44" s="1"/>
  <c r="B1365" i="44"/>
  <c r="B1301" i="44"/>
  <c r="B56" i="44"/>
  <c r="B970" i="44" l="1"/>
  <c r="B1302" i="44"/>
  <c r="B1164" i="44"/>
  <c r="B1431" i="44"/>
  <c r="B1366" i="44"/>
  <c r="B708" i="44"/>
  <c r="B774" i="44"/>
  <c r="B1035" i="44"/>
  <c r="B1100" i="44"/>
  <c r="B1495" i="44"/>
  <c r="B308" i="44"/>
  <c r="B374" i="44"/>
  <c r="B441" i="44" s="1"/>
  <c r="B840" i="44"/>
  <c r="B904" i="44"/>
  <c r="B1564" i="44"/>
  <c r="B1703" i="44"/>
  <c r="B1629" i="44"/>
  <c r="B510" i="44"/>
  <c r="B575" i="44"/>
  <c r="B641" i="44" s="1"/>
  <c r="B57" i="44"/>
  <c r="B121" i="44"/>
  <c r="B905" i="44" l="1"/>
  <c r="B1165" i="44"/>
  <c r="B511" i="44"/>
  <c r="B576" i="44"/>
  <c r="B642" i="44" s="1"/>
  <c r="B1432" i="44"/>
  <c r="B1630" i="44"/>
  <c r="B841" i="44"/>
  <c r="B1704" i="44"/>
  <c r="B309" i="44"/>
  <c r="B375" i="44"/>
  <c r="B442" i="44" s="1"/>
  <c r="B709" i="44"/>
  <c r="B775" i="44"/>
  <c r="B1303" i="44"/>
  <c r="B1036" i="44"/>
  <c r="B1101" i="44"/>
  <c r="B1565" i="44"/>
  <c r="B1496" i="44"/>
  <c r="B1367" i="44"/>
  <c r="B971" i="44"/>
  <c r="B178" i="44"/>
  <c r="B58" i="44"/>
  <c r="B122" i="44"/>
  <c r="B1166" i="44" l="1"/>
  <c r="B1433" i="44"/>
  <c r="B512" i="44"/>
  <c r="B577" i="44"/>
  <c r="B643" i="44" s="1"/>
  <c r="B1037" i="44"/>
  <c r="B1102" i="44"/>
  <c r="B1497" i="44"/>
  <c r="B842" i="44"/>
  <c r="B972" i="44"/>
  <c r="B1368" i="44"/>
  <c r="B1566" i="44"/>
  <c r="B906" i="44"/>
  <c r="B310" i="44"/>
  <c r="B376" i="44"/>
  <c r="B443" i="44" s="1"/>
  <c r="B1705" i="44"/>
  <c r="B1304" i="44"/>
  <c r="B710" i="44"/>
  <c r="B776" i="44"/>
  <c r="B1631" i="44"/>
  <c r="B179" i="44"/>
  <c r="B59" i="44"/>
  <c r="B123" i="44"/>
  <c r="B1167" i="44" l="1"/>
  <c r="B1038" i="44"/>
  <c r="B1103" i="44"/>
  <c r="B1369" i="44"/>
  <c r="B973" i="44"/>
  <c r="B311" i="44"/>
  <c r="B377" i="44"/>
  <c r="B444" i="44" s="1"/>
  <c r="B513" i="44"/>
  <c r="B579" i="44" s="1"/>
  <c r="B645" i="44" s="1"/>
  <c r="B578" i="44"/>
  <c r="B644" i="44" s="1"/>
  <c r="B711" i="44"/>
  <c r="B777" i="44"/>
  <c r="B1434" i="44"/>
  <c r="B907" i="44"/>
  <c r="B1305" i="44"/>
  <c r="B1567" i="44"/>
  <c r="B1498" i="44"/>
  <c r="B1706" i="44"/>
  <c r="B1632" i="44"/>
  <c r="B843" i="44"/>
  <c r="B180" i="44"/>
  <c r="B60" i="44"/>
  <c r="B125" i="44" s="1"/>
  <c r="B124" i="44"/>
  <c r="B844" i="44" l="1"/>
  <c r="B1568" i="44"/>
  <c r="B1633" i="44"/>
  <c r="B1707" i="44"/>
  <c r="B908" i="44"/>
  <c r="B1039" i="44"/>
  <c r="B1104" i="44"/>
  <c r="B974" i="44"/>
  <c r="B1370" i="44"/>
  <c r="B1306" i="44"/>
  <c r="B1168" i="44"/>
  <c r="B312" i="44"/>
  <c r="B378" i="44"/>
  <c r="B445" i="44" s="1"/>
  <c r="B712" i="44"/>
  <c r="B778" i="44"/>
  <c r="B1499" i="44"/>
  <c r="B1435" i="44"/>
  <c r="B181" i="44"/>
  <c r="B182" i="44"/>
  <c r="B1371" i="44" l="1"/>
  <c r="B1169" i="44"/>
  <c r="B1634" i="44"/>
  <c r="B313" i="44"/>
  <c r="B380" i="44" s="1"/>
  <c r="B447" i="44" s="1"/>
  <c r="B379" i="44"/>
  <c r="B446" i="44" s="1"/>
  <c r="B1436" i="44"/>
  <c r="B1500" i="44"/>
  <c r="B1040" i="44"/>
  <c r="B1105" i="44"/>
  <c r="B779" i="44"/>
  <c r="B909" i="44"/>
  <c r="B1170" i="44" l="1"/>
  <c r="B1106" i="44"/>
  <c r="B1171" i="44" l="1"/>
  <c r="J257" i="44" l="1"/>
  <c r="J66" i="46" l="1"/>
  <c r="K66" i="46" s="1"/>
  <c r="J65" i="46"/>
  <c r="K65" i="46" s="1"/>
  <c r="J64" i="46"/>
  <c r="K64" i="46" s="1"/>
  <c r="K63" i="46"/>
  <c r="J62" i="46"/>
  <c r="K62" i="46" s="1"/>
  <c r="J61" i="46"/>
  <c r="K61" i="46" s="1"/>
  <c r="J60" i="46"/>
  <c r="K60" i="46" s="1"/>
  <c r="K69" i="46" l="1"/>
  <c r="K67" i="46"/>
  <c r="K68" i="46"/>
  <c r="G1664" i="44"/>
  <c r="G1663" i="44"/>
  <c r="G1662" i="44"/>
  <c r="G1661" i="44"/>
  <c r="D1597" i="44"/>
  <c r="G1591" i="44"/>
  <c r="G1590" i="44"/>
  <c r="G1589" i="44"/>
  <c r="J1581" i="44"/>
  <c r="G1525" i="44"/>
  <c r="G1524" i="44"/>
  <c r="G1523" i="44"/>
  <c r="G1463" i="44"/>
  <c r="D1463" i="44"/>
  <c r="G1457" i="44"/>
  <c r="G1456" i="44"/>
  <c r="G1455" i="44"/>
  <c r="G1454" i="44"/>
  <c r="G1328" i="44"/>
  <c r="G1327" i="44"/>
  <c r="G1325" i="44"/>
  <c r="D1269" i="44"/>
  <c r="G1263" i="44"/>
  <c r="G1262" i="44"/>
  <c r="G1261" i="44"/>
  <c r="G1260" i="44"/>
  <c r="D1201" i="44"/>
  <c r="G1195" i="44"/>
  <c r="G1194" i="44"/>
  <c r="G1193" i="44"/>
  <c r="G1192" i="44"/>
  <c r="G1128" i="44"/>
  <c r="G1127" i="44"/>
  <c r="G1125" i="44"/>
  <c r="G1063" i="44"/>
  <c r="G1062" i="44"/>
  <c r="G1061" i="44"/>
  <c r="G1060" i="44"/>
  <c r="G1003" i="44"/>
  <c r="D1003" i="44"/>
  <c r="G997" i="44"/>
  <c r="G996" i="44"/>
  <c r="G995" i="44"/>
  <c r="G937" i="44"/>
  <c r="D937" i="44"/>
  <c r="G931" i="44"/>
  <c r="G930" i="44"/>
  <c r="G929" i="44"/>
  <c r="G928" i="44"/>
  <c r="G866" i="44"/>
  <c r="G864" i="44"/>
  <c r="G863" i="44"/>
  <c r="G801" i="44"/>
  <c r="G800" i="44"/>
  <c r="G799" i="44"/>
  <c r="G798" i="44"/>
  <c r="G742" i="44"/>
  <c r="D742" i="44"/>
  <c r="G736" i="44"/>
  <c r="G735" i="44"/>
  <c r="G734" i="44"/>
  <c r="G733" i="44"/>
  <c r="G675" i="44"/>
  <c r="D675" i="44"/>
  <c r="G669" i="44"/>
  <c r="G668" i="44"/>
  <c r="G667" i="44"/>
  <c r="G666" i="44"/>
  <c r="G602" i="44"/>
  <c r="G601" i="44"/>
  <c r="G600" i="44"/>
  <c r="G599" i="44"/>
  <c r="G536" i="44"/>
  <c r="G535" i="44"/>
  <c r="G534" i="44"/>
  <c r="G533" i="44"/>
  <c r="A529" i="44"/>
  <c r="D476" i="44"/>
  <c r="G470" i="44"/>
  <c r="G469" i="44"/>
  <c r="G467" i="44"/>
  <c r="G404" i="44"/>
  <c r="G403" i="44"/>
  <c r="G402" i="44"/>
  <c r="G401" i="44"/>
  <c r="G336" i="44"/>
  <c r="G335" i="44"/>
  <c r="G334" i="44"/>
  <c r="G333" i="44"/>
  <c r="A329" i="44"/>
  <c r="D276" i="44"/>
  <c r="G269" i="44"/>
  <c r="G268" i="44"/>
  <c r="G267" i="44"/>
  <c r="G266" i="44"/>
  <c r="A262" i="44"/>
  <c r="G204" i="44"/>
  <c r="G203" i="44"/>
  <c r="G202" i="44"/>
  <c r="G139" i="44"/>
  <c r="G138" i="44"/>
  <c r="G137" i="44"/>
  <c r="G136" i="44"/>
  <c r="A132" i="44"/>
  <c r="D88" i="44"/>
  <c r="G82" i="44"/>
  <c r="G81" i="44"/>
  <c r="G80" i="44"/>
  <c r="G79" i="44"/>
  <c r="A75" i="44"/>
  <c r="A10" i="44"/>
  <c r="C172" i="44" l="1"/>
  <c r="C173" i="44"/>
  <c r="E173" i="44" s="1"/>
  <c r="C174" i="44"/>
  <c r="E174" i="44" s="1"/>
  <c r="C175" i="44"/>
  <c r="E175" i="44" s="1"/>
  <c r="C176" i="44"/>
  <c r="E176" i="44" s="1"/>
  <c r="C177" i="44"/>
  <c r="E177" i="44" s="1"/>
  <c r="C178" i="44"/>
  <c r="E178" i="44" s="1"/>
  <c r="C179" i="44"/>
  <c r="E179" i="44" s="1"/>
  <c r="C180" i="44"/>
  <c r="E180" i="44" s="1"/>
  <c r="C181" i="44"/>
  <c r="E181" i="44" s="1"/>
  <c r="C182" i="44"/>
  <c r="E182" i="44" s="1"/>
  <c r="C243" i="44"/>
  <c r="E243" i="44" s="1"/>
  <c r="C244" i="44"/>
  <c r="E244" i="44" s="1"/>
  <c r="C246" i="44"/>
  <c r="E246" i="44" s="1"/>
  <c r="C245" i="44"/>
  <c r="E245" i="44" s="1"/>
  <c r="C247" i="44"/>
  <c r="E247" i="44" s="1"/>
  <c r="C240" i="44"/>
  <c r="C241" i="44"/>
  <c r="E241" i="44" s="1"/>
  <c r="C242" i="44"/>
  <c r="C1306" i="44"/>
  <c r="C1305" i="44"/>
  <c r="C114" i="44"/>
  <c r="E114" i="44" s="1"/>
  <c r="C122" i="44"/>
  <c r="C121" i="44"/>
  <c r="C124" i="44"/>
  <c r="C123" i="44"/>
  <c r="C125" i="44"/>
  <c r="C115" i="44"/>
  <c r="E115" i="44" s="1"/>
  <c r="C116" i="44"/>
  <c r="E116" i="44" s="1"/>
  <c r="C117" i="44"/>
  <c r="C118" i="44"/>
  <c r="C119" i="44"/>
  <c r="C120" i="44"/>
  <c r="C309" i="44"/>
  <c r="C313" i="44"/>
  <c r="C306" i="44"/>
  <c r="C308" i="44"/>
  <c r="C310" i="44"/>
  <c r="C312" i="44"/>
  <c r="C307" i="44"/>
  <c r="C311" i="44"/>
  <c r="C60" i="44"/>
  <c r="E60" i="44" s="1"/>
  <c r="C59" i="44"/>
  <c r="E59" i="44" s="1"/>
  <c r="C57" i="44"/>
  <c r="E57" i="44" s="1"/>
  <c r="C58" i="44"/>
  <c r="E58" i="44" s="1"/>
  <c r="C51" i="44"/>
  <c r="E51" i="44" s="1"/>
  <c r="C52" i="44"/>
  <c r="E52" i="44" s="1"/>
  <c r="C53" i="44"/>
  <c r="E53" i="44" s="1"/>
  <c r="C54" i="44"/>
  <c r="E54" i="44" s="1"/>
  <c r="C55" i="44"/>
  <c r="E55" i="44" s="1"/>
  <c r="C56" i="44"/>
  <c r="E56" i="44" s="1"/>
  <c r="C1106" i="44"/>
  <c r="E1106" i="44" s="1"/>
  <c r="C1105" i="44"/>
  <c r="E1105" i="44" s="1"/>
  <c r="C1171" i="44"/>
  <c r="E1171" i="44" s="1"/>
  <c r="C1170" i="44"/>
  <c r="E1170" i="44" s="1"/>
  <c r="C1039" i="44"/>
  <c r="E1039" i="44" s="1"/>
  <c r="C1040" i="44"/>
  <c r="E1040" i="44" s="1"/>
  <c r="E240" i="44"/>
  <c r="C289" i="44"/>
  <c r="E289" i="44" s="1"/>
  <c r="C1346" i="44"/>
  <c r="E1346" i="44" s="1"/>
  <c r="C1630" i="44"/>
  <c r="E1630" i="44" s="1"/>
  <c r="C1617" i="44"/>
  <c r="E1617" i="44" s="1"/>
  <c r="C1367" i="44"/>
  <c r="E1367" i="44" s="1"/>
  <c r="C305" i="44"/>
  <c r="E305" i="44" s="1"/>
  <c r="C823" i="44"/>
  <c r="E823" i="44" s="1"/>
  <c r="C1029" i="44"/>
  <c r="E1029" i="44" s="1"/>
  <c r="C1343" i="44"/>
  <c r="E1343" i="44" s="1"/>
  <c r="C1023" i="44"/>
  <c r="E1023" i="44" s="1"/>
  <c r="C1024" i="44"/>
  <c r="E1024" i="44" s="1"/>
  <c r="C1559" i="44"/>
  <c r="E1559" i="44" s="1"/>
  <c r="C1209" i="44"/>
  <c r="E1209" i="44" s="1"/>
  <c r="C1539" i="44"/>
  <c r="E1539" i="44" s="1"/>
  <c r="C1164" i="44"/>
  <c r="E1164" i="44" s="1"/>
  <c r="G1522" i="44"/>
  <c r="C160" i="44"/>
  <c r="E160" i="44" s="1"/>
  <c r="C572" i="44"/>
  <c r="E572" i="44" s="1"/>
  <c r="C1540" i="44"/>
  <c r="E1540" i="44" s="1"/>
  <c r="C1017" i="44"/>
  <c r="E1017" i="44" s="1"/>
  <c r="C1551" i="44"/>
  <c r="E1551" i="44" s="1"/>
  <c r="C220" i="44"/>
  <c r="E220" i="44" s="1"/>
  <c r="C217" i="44"/>
  <c r="C436" i="44"/>
  <c r="E436" i="44" s="1"/>
  <c r="C1289" i="44"/>
  <c r="E1289" i="44" s="1"/>
  <c r="C228" i="44"/>
  <c r="E228" i="44" s="1"/>
  <c r="C219" i="44"/>
  <c r="E219" i="44" s="1"/>
  <c r="C227" i="44"/>
  <c r="E227" i="44" s="1"/>
  <c r="C619" i="44"/>
  <c r="E619" i="44" s="1"/>
  <c r="C771" i="44"/>
  <c r="E771" i="44" s="1"/>
  <c r="C1015" i="44"/>
  <c r="E1015" i="44" s="1"/>
  <c r="C1086" i="44"/>
  <c r="E1086" i="44" s="1"/>
  <c r="C1478" i="44"/>
  <c r="E1478" i="44" s="1"/>
  <c r="C1214" i="44"/>
  <c r="E1214" i="44" s="1"/>
  <c r="C1546" i="44"/>
  <c r="E1546" i="44" s="1"/>
  <c r="C1688" i="44"/>
  <c r="E1688" i="44" s="1"/>
  <c r="C509" i="44"/>
  <c r="E509" i="44" s="1"/>
  <c r="C635" i="44"/>
  <c r="E635" i="44" s="1"/>
  <c r="C236" i="44"/>
  <c r="E236" i="44" s="1"/>
  <c r="C1547" i="44"/>
  <c r="E1547" i="44" s="1"/>
  <c r="C1699" i="44"/>
  <c r="E1699" i="44" s="1"/>
  <c r="C508" i="44"/>
  <c r="E508" i="44" s="1"/>
  <c r="C235" i="44"/>
  <c r="E235" i="44" s="1"/>
  <c r="C444" i="44"/>
  <c r="E444" i="44" s="1"/>
  <c r="C562" i="44"/>
  <c r="E562" i="44" s="1"/>
  <c r="C1031" i="44"/>
  <c r="E1031" i="44" s="1"/>
  <c r="E172" i="44"/>
  <c r="C821" i="44"/>
  <c r="E821" i="44" s="1"/>
  <c r="C1033" i="44"/>
  <c r="E1033" i="44" s="1"/>
  <c r="C1548" i="44"/>
  <c r="E1548" i="44" s="1"/>
  <c r="C31" i="44"/>
  <c r="E31" i="44" s="1"/>
  <c r="C35" i="44"/>
  <c r="E35" i="44" s="1"/>
  <c r="C39" i="44"/>
  <c r="E39" i="44" s="1"/>
  <c r="C43" i="44"/>
  <c r="E43" i="44" s="1"/>
  <c r="C47" i="44"/>
  <c r="E47" i="44" s="1"/>
  <c r="C95" i="44"/>
  <c r="C98" i="44"/>
  <c r="E98" i="44" s="1"/>
  <c r="C102" i="44"/>
  <c r="E102" i="44" s="1"/>
  <c r="C106" i="44"/>
  <c r="E106" i="44" s="1"/>
  <c r="C110" i="44"/>
  <c r="E110" i="44" s="1"/>
  <c r="C171" i="44"/>
  <c r="E171" i="44" s="1"/>
  <c r="C152" i="44"/>
  <c r="C155" i="44"/>
  <c r="E155" i="44" s="1"/>
  <c r="C159" i="44"/>
  <c r="E159" i="44" s="1"/>
  <c r="C163" i="44"/>
  <c r="E163" i="44" s="1"/>
  <c r="C167" i="44"/>
  <c r="E167" i="44" s="1"/>
  <c r="C285" i="44"/>
  <c r="E285" i="44" s="1"/>
  <c r="C301" i="44"/>
  <c r="E301" i="44" s="1"/>
  <c r="C46" i="44"/>
  <c r="E46" i="44" s="1"/>
  <c r="C154" i="44"/>
  <c r="E154" i="44" s="1"/>
  <c r="C158" i="44"/>
  <c r="E158" i="44" s="1"/>
  <c r="C162" i="44"/>
  <c r="E162" i="44" s="1"/>
  <c r="C166" i="44"/>
  <c r="E166" i="44" s="1"/>
  <c r="C170" i="44"/>
  <c r="E170" i="44" s="1"/>
  <c r="C223" i="44"/>
  <c r="E223" i="44" s="1"/>
  <c r="C231" i="44"/>
  <c r="E231" i="44" s="1"/>
  <c r="C239" i="44"/>
  <c r="E239" i="44" s="1"/>
  <c r="C303" i="44"/>
  <c r="E303" i="44" s="1"/>
  <c r="C299" i="44"/>
  <c r="E299" i="44" s="1"/>
  <c r="C295" i="44"/>
  <c r="E295" i="44" s="1"/>
  <c r="C291" i="44"/>
  <c r="E291" i="44" s="1"/>
  <c r="C287" i="44"/>
  <c r="E287" i="44" s="1"/>
  <c r="C304" i="44"/>
  <c r="E304" i="44" s="1"/>
  <c r="C300" i="44"/>
  <c r="E300" i="44" s="1"/>
  <c r="C296" i="44"/>
  <c r="E296" i="44" s="1"/>
  <c r="C292" i="44"/>
  <c r="E292" i="44" s="1"/>
  <c r="C288" i="44"/>
  <c r="E288" i="44" s="1"/>
  <c r="C284" i="44"/>
  <c r="E284" i="44" s="1"/>
  <c r="C302" i="44"/>
  <c r="E302" i="44" s="1"/>
  <c r="C298" i="44"/>
  <c r="E298" i="44" s="1"/>
  <c r="C294" i="44"/>
  <c r="E294" i="44" s="1"/>
  <c r="C290" i="44"/>
  <c r="E290" i="44" s="1"/>
  <c r="C286" i="44"/>
  <c r="E286" i="44" s="1"/>
  <c r="C283" i="44"/>
  <c r="C297" i="44"/>
  <c r="E297" i="44" s="1"/>
  <c r="C42" i="44"/>
  <c r="E42" i="44" s="1"/>
  <c r="C50" i="44"/>
  <c r="E50" i="44" s="1"/>
  <c r="C97" i="44"/>
  <c r="E97" i="44" s="1"/>
  <c r="C101" i="44"/>
  <c r="E101" i="44" s="1"/>
  <c r="C105" i="44"/>
  <c r="E105" i="44" s="1"/>
  <c r="C109" i="44"/>
  <c r="E109" i="44" s="1"/>
  <c r="C113" i="44"/>
  <c r="E113" i="44" s="1"/>
  <c r="C30" i="44"/>
  <c r="C33" i="44"/>
  <c r="E33" i="44" s="1"/>
  <c r="C37" i="44"/>
  <c r="E37" i="44" s="1"/>
  <c r="C41" i="44"/>
  <c r="E41" i="44" s="1"/>
  <c r="C45" i="44"/>
  <c r="E45" i="44" s="1"/>
  <c r="C49" i="44"/>
  <c r="E49" i="44" s="1"/>
  <c r="C96" i="44"/>
  <c r="E96" i="44" s="1"/>
  <c r="C100" i="44"/>
  <c r="E100" i="44" s="1"/>
  <c r="C104" i="44"/>
  <c r="E104" i="44" s="1"/>
  <c r="C108" i="44"/>
  <c r="E108" i="44" s="1"/>
  <c r="C112" i="44"/>
  <c r="E112" i="44" s="1"/>
  <c r="C153" i="44"/>
  <c r="E153" i="44" s="1"/>
  <c r="C157" i="44"/>
  <c r="E157" i="44" s="1"/>
  <c r="C161" i="44"/>
  <c r="E161" i="44" s="1"/>
  <c r="C165" i="44"/>
  <c r="E165" i="44" s="1"/>
  <c r="C169" i="44"/>
  <c r="E169" i="44" s="1"/>
  <c r="C293" i="44"/>
  <c r="E293" i="44" s="1"/>
  <c r="C34" i="44"/>
  <c r="E34" i="44" s="1"/>
  <c r="C38" i="44"/>
  <c r="E38" i="44" s="1"/>
  <c r="C32" i="44"/>
  <c r="E32" i="44" s="1"/>
  <c r="C36" i="44"/>
  <c r="E36" i="44" s="1"/>
  <c r="C40" i="44"/>
  <c r="E40" i="44" s="1"/>
  <c r="C44" i="44"/>
  <c r="E44" i="44" s="1"/>
  <c r="C48" i="44"/>
  <c r="E48" i="44" s="1"/>
  <c r="C99" i="44"/>
  <c r="E99" i="44" s="1"/>
  <c r="C103" i="44"/>
  <c r="E103" i="44" s="1"/>
  <c r="C107" i="44"/>
  <c r="E107" i="44" s="1"/>
  <c r="C111" i="44"/>
  <c r="E111" i="44" s="1"/>
  <c r="C156" i="44"/>
  <c r="E156" i="44" s="1"/>
  <c r="C164" i="44"/>
  <c r="E164" i="44" s="1"/>
  <c r="C168" i="44"/>
  <c r="E168" i="44" s="1"/>
  <c r="G201" i="44"/>
  <c r="C224" i="44"/>
  <c r="E224" i="44" s="1"/>
  <c r="C232" i="44"/>
  <c r="E232" i="44" s="1"/>
  <c r="C351" i="44"/>
  <c r="E351" i="44" s="1"/>
  <c r="C355" i="44"/>
  <c r="E355" i="44" s="1"/>
  <c r="C359" i="44"/>
  <c r="E359" i="44" s="1"/>
  <c r="C363" i="44"/>
  <c r="E363" i="44" s="1"/>
  <c r="C367" i="44"/>
  <c r="E367" i="44" s="1"/>
  <c r="C371" i="44"/>
  <c r="E371" i="44" s="1"/>
  <c r="C375" i="44"/>
  <c r="E375" i="44" s="1"/>
  <c r="C379" i="44"/>
  <c r="E379" i="44" s="1"/>
  <c r="C419" i="44"/>
  <c r="E419" i="44" s="1"/>
  <c r="C423" i="44"/>
  <c r="E423" i="44" s="1"/>
  <c r="C427" i="44"/>
  <c r="E427" i="44" s="1"/>
  <c r="C431" i="44"/>
  <c r="E431" i="44" s="1"/>
  <c r="C435" i="44"/>
  <c r="E435" i="44" s="1"/>
  <c r="C513" i="44"/>
  <c r="E513" i="44" s="1"/>
  <c r="C558" i="44"/>
  <c r="E558" i="44" s="1"/>
  <c r="C644" i="44"/>
  <c r="E644" i="44" s="1"/>
  <c r="C640" i="44"/>
  <c r="E640" i="44" s="1"/>
  <c r="C636" i="44"/>
  <c r="E636" i="44" s="1"/>
  <c r="C632" i="44"/>
  <c r="E632" i="44" s="1"/>
  <c r="C628" i="44"/>
  <c r="E628" i="44" s="1"/>
  <c r="C624" i="44"/>
  <c r="E624" i="44" s="1"/>
  <c r="C620" i="44"/>
  <c r="E620" i="44" s="1"/>
  <c r="C616" i="44"/>
  <c r="E616" i="44" s="1"/>
  <c r="C645" i="44"/>
  <c r="E645" i="44" s="1"/>
  <c r="C641" i="44"/>
  <c r="E641" i="44" s="1"/>
  <c r="C637" i="44"/>
  <c r="E637" i="44" s="1"/>
  <c r="C633" i="44"/>
  <c r="E633" i="44" s="1"/>
  <c r="C629" i="44"/>
  <c r="E629" i="44" s="1"/>
  <c r="C625" i="44"/>
  <c r="E625" i="44" s="1"/>
  <c r="C621" i="44"/>
  <c r="E621" i="44" s="1"/>
  <c r="C617" i="44"/>
  <c r="E617" i="44" s="1"/>
  <c r="C642" i="44"/>
  <c r="E642" i="44" s="1"/>
  <c r="C638" i="44"/>
  <c r="E638" i="44" s="1"/>
  <c r="C634" i="44"/>
  <c r="E634" i="44" s="1"/>
  <c r="C630" i="44"/>
  <c r="E630" i="44" s="1"/>
  <c r="C626" i="44"/>
  <c r="E626" i="44" s="1"/>
  <c r="C622" i="44"/>
  <c r="E622" i="44" s="1"/>
  <c r="C618" i="44"/>
  <c r="E618" i="44" s="1"/>
  <c r="C615" i="44"/>
  <c r="C631" i="44"/>
  <c r="E631" i="44" s="1"/>
  <c r="C221" i="44"/>
  <c r="E221" i="44" s="1"/>
  <c r="C225" i="44"/>
  <c r="E225" i="44" s="1"/>
  <c r="C229" i="44"/>
  <c r="E229" i="44" s="1"/>
  <c r="C233" i="44"/>
  <c r="E233" i="44" s="1"/>
  <c r="C237" i="44"/>
  <c r="E237" i="44" s="1"/>
  <c r="C489" i="44"/>
  <c r="E489" i="44" s="1"/>
  <c r="C496" i="44"/>
  <c r="E496" i="44" s="1"/>
  <c r="C498" i="44"/>
  <c r="E498" i="44" s="1"/>
  <c r="C505" i="44"/>
  <c r="E505" i="44" s="1"/>
  <c r="C682" i="44"/>
  <c r="C693" i="44"/>
  <c r="E693" i="44" s="1"/>
  <c r="C709" i="44"/>
  <c r="E709" i="44" s="1"/>
  <c r="C755" i="44"/>
  <c r="E755" i="44" s="1"/>
  <c r="C354" i="44"/>
  <c r="E354" i="44" s="1"/>
  <c r="C358" i="44"/>
  <c r="E358" i="44" s="1"/>
  <c r="C362" i="44"/>
  <c r="E362" i="44" s="1"/>
  <c r="C366" i="44"/>
  <c r="E366" i="44" s="1"/>
  <c r="C370" i="44"/>
  <c r="E370" i="44" s="1"/>
  <c r="C374" i="44"/>
  <c r="E374" i="44" s="1"/>
  <c r="C378" i="44"/>
  <c r="E378" i="44" s="1"/>
  <c r="C418" i="44"/>
  <c r="E418" i="44" s="1"/>
  <c r="C422" i="44"/>
  <c r="E422" i="44" s="1"/>
  <c r="C426" i="44"/>
  <c r="E426" i="44" s="1"/>
  <c r="C430" i="44"/>
  <c r="E430" i="44" s="1"/>
  <c r="C434" i="44"/>
  <c r="E434" i="44" s="1"/>
  <c r="C438" i="44"/>
  <c r="E438" i="44" s="1"/>
  <c r="C441" i="44"/>
  <c r="E441" i="44" s="1"/>
  <c r="C577" i="44"/>
  <c r="E577" i="44" s="1"/>
  <c r="C573" i="44"/>
  <c r="E573" i="44" s="1"/>
  <c r="C569" i="44"/>
  <c r="E569" i="44" s="1"/>
  <c r="C565" i="44"/>
  <c r="E565" i="44" s="1"/>
  <c r="C561" i="44"/>
  <c r="E561" i="44" s="1"/>
  <c r="C557" i="44"/>
  <c r="E557" i="44" s="1"/>
  <c r="C553" i="44"/>
  <c r="E553" i="44" s="1"/>
  <c r="C578" i="44"/>
  <c r="E578" i="44" s="1"/>
  <c r="C574" i="44"/>
  <c r="E574" i="44" s="1"/>
  <c r="C570" i="44"/>
  <c r="E570" i="44" s="1"/>
  <c r="C579" i="44"/>
  <c r="E579" i="44" s="1"/>
  <c r="C575" i="44"/>
  <c r="E575" i="44" s="1"/>
  <c r="C571" i="44"/>
  <c r="E571" i="44" s="1"/>
  <c r="C567" i="44"/>
  <c r="E567" i="44" s="1"/>
  <c r="C563" i="44"/>
  <c r="E563" i="44" s="1"/>
  <c r="C559" i="44"/>
  <c r="E559" i="44" s="1"/>
  <c r="C555" i="44"/>
  <c r="E555" i="44" s="1"/>
  <c r="C551" i="44"/>
  <c r="E551" i="44" s="1"/>
  <c r="C566" i="44"/>
  <c r="E566" i="44" s="1"/>
  <c r="C627" i="44"/>
  <c r="E627" i="44" s="1"/>
  <c r="C643" i="44"/>
  <c r="E643" i="44" s="1"/>
  <c r="C484" i="44"/>
  <c r="E484" i="44" s="1"/>
  <c r="C486" i="44"/>
  <c r="E486" i="44" s="1"/>
  <c r="C493" i="44"/>
  <c r="E493" i="44" s="1"/>
  <c r="C500" i="44"/>
  <c r="E500" i="44" s="1"/>
  <c r="C502" i="44"/>
  <c r="E502" i="44" s="1"/>
  <c r="C552" i="44"/>
  <c r="E552" i="44" s="1"/>
  <c r="C689" i="44"/>
  <c r="E689" i="44" s="1"/>
  <c r="C705" i="44"/>
  <c r="E705" i="44" s="1"/>
  <c r="C751" i="44"/>
  <c r="E751" i="44" s="1"/>
  <c r="C767" i="44"/>
  <c r="E767" i="44" s="1"/>
  <c r="C350" i="44"/>
  <c r="C353" i="44"/>
  <c r="E353" i="44" s="1"/>
  <c r="C357" i="44"/>
  <c r="E357" i="44" s="1"/>
  <c r="C361" i="44"/>
  <c r="E361" i="44" s="1"/>
  <c r="C365" i="44"/>
  <c r="E365" i="44" s="1"/>
  <c r="C369" i="44"/>
  <c r="E369" i="44" s="1"/>
  <c r="C373" i="44"/>
  <c r="E373" i="44" s="1"/>
  <c r="C377" i="44"/>
  <c r="E377" i="44" s="1"/>
  <c r="C447" i="44"/>
  <c r="E447" i="44" s="1"/>
  <c r="C443" i="44"/>
  <c r="E443" i="44" s="1"/>
  <c r="C439" i="44"/>
  <c r="E439" i="44" s="1"/>
  <c r="C421" i="44"/>
  <c r="E421" i="44" s="1"/>
  <c r="C425" i="44"/>
  <c r="E425" i="44" s="1"/>
  <c r="C429" i="44"/>
  <c r="E429" i="44" s="1"/>
  <c r="C433" i="44"/>
  <c r="E433" i="44" s="1"/>
  <c r="C437" i="44"/>
  <c r="E437" i="44" s="1"/>
  <c r="C446" i="44"/>
  <c r="E446" i="44" s="1"/>
  <c r="C511" i="44"/>
  <c r="E511" i="44" s="1"/>
  <c r="C507" i="44"/>
  <c r="E507" i="44" s="1"/>
  <c r="C503" i="44"/>
  <c r="E503" i="44" s="1"/>
  <c r="C499" i="44"/>
  <c r="E499" i="44" s="1"/>
  <c r="C495" i="44"/>
  <c r="E495" i="44" s="1"/>
  <c r="C491" i="44"/>
  <c r="E491" i="44" s="1"/>
  <c r="C487" i="44"/>
  <c r="E487" i="44" s="1"/>
  <c r="G468" i="44"/>
  <c r="C510" i="44"/>
  <c r="E510" i="44" s="1"/>
  <c r="C556" i="44"/>
  <c r="E556" i="44" s="1"/>
  <c r="C576" i="44"/>
  <c r="E576" i="44" s="1"/>
  <c r="C623" i="44"/>
  <c r="E623" i="44" s="1"/>
  <c r="C639" i="44"/>
  <c r="E639" i="44" s="1"/>
  <c r="G865" i="44"/>
  <c r="C888" i="44"/>
  <c r="E888" i="44" s="1"/>
  <c r="C440" i="44"/>
  <c r="E440" i="44" s="1"/>
  <c r="C488" i="44"/>
  <c r="E488" i="44" s="1"/>
  <c r="C490" i="44"/>
  <c r="E490" i="44" s="1"/>
  <c r="C497" i="44"/>
  <c r="E497" i="44" s="1"/>
  <c r="C504" i="44"/>
  <c r="E504" i="44" s="1"/>
  <c r="C506" i="44"/>
  <c r="E506" i="44" s="1"/>
  <c r="C512" i="44"/>
  <c r="E512" i="44" s="1"/>
  <c r="C549" i="44"/>
  <c r="C560" i="44"/>
  <c r="E560" i="44" s="1"/>
  <c r="C685" i="44"/>
  <c r="E685" i="44" s="1"/>
  <c r="C701" i="44"/>
  <c r="E701" i="44" s="1"/>
  <c r="C776" i="44"/>
  <c r="E776" i="44" s="1"/>
  <c r="C772" i="44"/>
  <c r="E772" i="44" s="1"/>
  <c r="C768" i="44"/>
  <c r="E768" i="44" s="1"/>
  <c r="C764" i="44"/>
  <c r="E764" i="44" s="1"/>
  <c r="C760" i="44"/>
  <c r="E760" i="44" s="1"/>
  <c r="C756" i="44"/>
  <c r="E756" i="44" s="1"/>
  <c r="C752" i="44"/>
  <c r="E752" i="44" s="1"/>
  <c r="C749" i="44"/>
  <c r="C777" i="44"/>
  <c r="E777" i="44" s="1"/>
  <c r="C773" i="44"/>
  <c r="E773" i="44" s="1"/>
  <c r="C769" i="44"/>
  <c r="E769" i="44" s="1"/>
  <c r="C765" i="44"/>
  <c r="E765" i="44" s="1"/>
  <c r="C761" i="44"/>
  <c r="E761" i="44" s="1"/>
  <c r="C757" i="44"/>
  <c r="E757" i="44" s="1"/>
  <c r="C753" i="44"/>
  <c r="E753" i="44" s="1"/>
  <c r="C778" i="44"/>
  <c r="E778" i="44" s="1"/>
  <c r="C774" i="44"/>
  <c r="E774" i="44" s="1"/>
  <c r="C770" i="44"/>
  <c r="E770" i="44" s="1"/>
  <c r="C766" i="44"/>
  <c r="E766" i="44" s="1"/>
  <c r="C762" i="44"/>
  <c r="E762" i="44" s="1"/>
  <c r="C758" i="44"/>
  <c r="E758" i="44" s="1"/>
  <c r="C754" i="44"/>
  <c r="E754" i="44" s="1"/>
  <c r="C750" i="44"/>
  <c r="E750" i="44" s="1"/>
  <c r="C763" i="44"/>
  <c r="E763" i="44" s="1"/>
  <c r="C779" i="44"/>
  <c r="E779" i="44" s="1"/>
  <c r="C908" i="44"/>
  <c r="E908" i="44" s="1"/>
  <c r="C352" i="44"/>
  <c r="E352" i="44" s="1"/>
  <c r="C356" i="44"/>
  <c r="E356" i="44" s="1"/>
  <c r="C360" i="44"/>
  <c r="E360" i="44" s="1"/>
  <c r="C364" i="44"/>
  <c r="E364" i="44" s="1"/>
  <c r="C368" i="44"/>
  <c r="E368" i="44" s="1"/>
  <c r="C372" i="44"/>
  <c r="E372" i="44" s="1"/>
  <c r="C376" i="44"/>
  <c r="E376" i="44" s="1"/>
  <c r="C380" i="44"/>
  <c r="E380" i="44" s="1"/>
  <c r="C417" i="44"/>
  <c r="C420" i="44"/>
  <c r="E420" i="44" s="1"/>
  <c r="C424" i="44"/>
  <c r="E424" i="44" s="1"/>
  <c r="C428" i="44"/>
  <c r="E428" i="44" s="1"/>
  <c r="C432" i="44"/>
  <c r="E432" i="44" s="1"/>
  <c r="C550" i="44"/>
  <c r="E550" i="44" s="1"/>
  <c r="C564" i="44"/>
  <c r="E564" i="44" s="1"/>
  <c r="C218" i="44"/>
  <c r="E218" i="44" s="1"/>
  <c r="C222" i="44"/>
  <c r="E222" i="44" s="1"/>
  <c r="C226" i="44"/>
  <c r="E226" i="44" s="1"/>
  <c r="C230" i="44"/>
  <c r="E230" i="44" s="1"/>
  <c r="C234" i="44"/>
  <c r="E234" i="44" s="1"/>
  <c r="C238" i="44"/>
  <c r="E238" i="44" s="1"/>
  <c r="E242" i="44"/>
  <c r="C442" i="44"/>
  <c r="E442" i="44" s="1"/>
  <c r="C445" i="44"/>
  <c r="E445" i="44" s="1"/>
  <c r="C483" i="44"/>
  <c r="C485" i="44"/>
  <c r="E485" i="44" s="1"/>
  <c r="C492" i="44"/>
  <c r="E492" i="44" s="1"/>
  <c r="C494" i="44"/>
  <c r="E494" i="44" s="1"/>
  <c r="C501" i="44"/>
  <c r="E501" i="44" s="1"/>
  <c r="C554" i="44"/>
  <c r="E554" i="44" s="1"/>
  <c r="C568" i="44"/>
  <c r="E568" i="44" s="1"/>
  <c r="C706" i="44"/>
  <c r="E706" i="44" s="1"/>
  <c r="C697" i="44"/>
  <c r="E697" i="44" s="1"/>
  <c r="C759" i="44"/>
  <c r="E759" i="44" s="1"/>
  <c r="C775" i="44"/>
  <c r="E775" i="44" s="1"/>
  <c r="C900" i="44"/>
  <c r="E900" i="44" s="1"/>
  <c r="C814" i="44"/>
  <c r="C819" i="44"/>
  <c r="E819" i="44" s="1"/>
  <c r="C822" i="44"/>
  <c r="E822" i="44" s="1"/>
  <c r="C896" i="44"/>
  <c r="E896" i="44" s="1"/>
  <c r="C904" i="44"/>
  <c r="E904" i="44" s="1"/>
  <c r="C1100" i="44"/>
  <c r="E1100" i="44" s="1"/>
  <c r="C1089" i="44"/>
  <c r="E1089" i="44" s="1"/>
  <c r="C1094" i="44"/>
  <c r="E1094" i="44" s="1"/>
  <c r="C1079" i="44"/>
  <c r="E1079" i="44" s="1"/>
  <c r="C1088" i="44"/>
  <c r="E1088" i="44" s="1"/>
  <c r="C1076" i="44"/>
  <c r="C1104" i="44"/>
  <c r="E1104" i="44" s="1"/>
  <c r="C1090" i="44"/>
  <c r="E1090" i="44" s="1"/>
  <c r="C1078" i="44"/>
  <c r="E1078" i="44" s="1"/>
  <c r="C1085" i="44"/>
  <c r="E1085" i="44" s="1"/>
  <c r="C1098" i="44"/>
  <c r="E1098" i="44" s="1"/>
  <c r="C1082" i="44"/>
  <c r="E1082" i="44" s="1"/>
  <c r="C684" i="44"/>
  <c r="E684" i="44" s="1"/>
  <c r="C688" i="44"/>
  <c r="E688" i="44" s="1"/>
  <c r="C692" i="44"/>
  <c r="E692" i="44" s="1"/>
  <c r="C696" i="44"/>
  <c r="E696" i="44" s="1"/>
  <c r="C700" i="44"/>
  <c r="E700" i="44" s="1"/>
  <c r="C704" i="44"/>
  <c r="E704" i="44" s="1"/>
  <c r="C708" i="44"/>
  <c r="E708" i="44" s="1"/>
  <c r="C712" i="44"/>
  <c r="E712" i="44" s="1"/>
  <c r="C829" i="44"/>
  <c r="E829" i="44" s="1"/>
  <c r="C837" i="44"/>
  <c r="E837" i="44" s="1"/>
  <c r="C892" i="44"/>
  <c r="E892" i="44" s="1"/>
  <c r="C1102" i="44"/>
  <c r="E1102" i="44" s="1"/>
  <c r="C815" i="44"/>
  <c r="E815" i="44" s="1"/>
  <c r="C818" i="44"/>
  <c r="E818" i="44" s="1"/>
  <c r="C683" i="44"/>
  <c r="E683" i="44" s="1"/>
  <c r="C687" i="44"/>
  <c r="E687" i="44" s="1"/>
  <c r="C691" i="44"/>
  <c r="E691" i="44" s="1"/>
  <c r="C695" i="44"/>
  <c r="E695" i="44" s="1"/>
  <c r="C699" i="44"/>
  <c r="E699" i="44" s="1"/>
  <c r="C703" i="44"/>
  <c r="E703" i="44" s="1"/>
  <c r="C707" i="44"/>
  <c r="E707" i="44" s="1"/>
  <c r="C711" i="44"/>
  <c r="E711" i="44" s="1"/>
  <c r="C686" i="44"/>
  <c r="E686" i="44" s="1"/>
  <c r="C690" i="44"/>
  <c r="E690" i="44" s="1"/>
  <c r="C694" i="44"/>
  <c r="E694" i="44" s="1"/>
  <c r="C698" i="44"/>
  <c r="E698" i="44" s="1"/>
  <c r="C702" i="44"/>
  <c r="E702" i="44" s="1"/>
  <c r="C710" i="44"/>
  <c r="E710" i="44" s="1"/>
  <c r="C842" i="44"/>
  <c r="E842" i="44" s="1"/>
  <c r="C838" i="44"/>
  <c r="E838" i="44" s="1"/>
  <c r="C834" i="44"/>
  <c r="E834" i="44" s="1"/>
  <c r="C830" i="44"/>
  <c r="E830" i="44" s="1"/>
  <c r="C826" i="44"/>
  <c r="E826" i="44" s="1"/>
  <c r="C843" i="44"/>
  <c r="E843" i="44" s="1"/>
  <c r="C839" i="44"/>
  <c r="E839" i="44" s="1"/>
  <c r="C835" i="44"/>
  <c r="E835" i="44" s="1"/>
  <c r="C831" i="44"/>
  <c r="E831" i="44" s="1"/>
  <c r="C827" i="44"/>
  <c r="E827" i="44" s="1"/>
  <c r="C844" i="44"/>
  <c r="E844" i="44" s="1"/>
  <c r="C840" i="44"/>
  <c r="E840" i="44" s="1"/>
  <c r="C836" i="44"/>
  <c r="E836" i="44" s="1"/>
  <c r="C832" i="44"/>
  <c r="E832" i="44" s="1"/>
  <c r="C828" i="44"/>
  <c r="E828" i="44" s="1"/>
  <c r="C824" i="44"/>
  <c r="E824" i="44" s="1"/>
  <c r="C820" i="44"/>
  <c r="E820" i="44" s="1"/>
  <c r="C816" i="44"/>
  <c r="E816" i="44" s="1"/>
  <c r="C817" i="44"/>
  <c r="E817" i="44" s="1"/>
  <c r="C825" i="44"/>
  <c r="E825" i="44" s="1"/>
  <c r="C833" i="44"/>
  <c r="E833" i="44" s="1"/>
  <c r="C841" i="44"/>
  <c r="E841" i="44" s="1"/>
  <c r="C907" i="44"/>
  <c r="E907" i="44" s="1"/>
  <c r="C903" i="44"/>
  <c r="E903" i="44" s="1"/>
  <c r="C899" i="44"/>
  <c r="E899" i="44" s="1"/>
  <c r="C895" i="44"/>
  <c r="E895" i="44" s="1"/>
  <c r="C891" i="44"/>
  <c r="E891" i="44" s="1"/>
  <c r="C887" i="44"/>
  <c r="E887" i="44" s="1"/>
  <c r="C883" i="44"/>
  <c r="E883" i="44" s="1"/>
  <c r="C909" i="44"/>
  <c r="E909" i="44" s="1"/>
  <c r="C905" i="44"/>
  <c r="E905" i="44" s="1"/>
  <c r="C901" i="44"/>
  <c r="E901" i="44" s="1"/>
  <c r="C897" i="44"/>
  <c r="E897" i="44" s="1"/>
  <c r="C893" i="44"/>
  <c r="E893" i="44" s="1"/>
  <c r="C889" i="44"/>
  <c r="E889" i="44" s="1"/>
  <c r="C885" i="44"/>
  <c r="E885" i="44" s="1"/>
  <c r="C881" i="44"/>
  <c r="E881" i="44" s="1"/>
  <c r="C906" i="44"/>
  <c r="E906" i="44" s="1"/>
  <c r="C902" i="44"/>
  <c r="E902" i="44" s="1"/>
  <c r="C898" i="44"/>
  <c r="E898" i="44" s="1"/>
  <c r="C894" i="44"/>
  <c r="E894" i="44" s="1"/>
  <c r="C890" i="44"/>
  <c r="E890" i="44" s="1"/>
  <c r="C886" i="44"/>
  <c r="E886" i="44" s="1"/>
  <c r="C882" i="44"/>
  <c r="E882" i="44" s="1"/>
  <c r="C879" i="44"/>
  <c r="C880" i="44"/>
  <c r="E880" i="44" s="1"/>
  <c r="C884" i="44"/>
  <c r="E884" i="44" s="1"/>
  <c r="C945" i="44"/>
  <c r="E945" i="44" s="1"/>
  <c r="C949" i="44"/>
  <c r="E949" i="44" s="1"/>
  <c r="C953" i="44"/>
  <c r="E953" i="44" s="1"/>
  <c r="C957" i="44"/>
  <c r="E957" i="44" s="1"/>
  <c r="C961" i="44"/>
  <c r="E961" i="44" s="1"/>
  <c r="C965" i="44"/>
  <c r="E965" i="44" s="1"/>
  <c r="C969" i="44"/>
  <c r="E969" i="44" s="1"/>
  <c r="C973" i="44"/>
  <c r="E973" i="44" s="1"/>
  <c r="C1220" i="44"/>
  <c r="E1220" i="44" s="1"/>
  <c r="C1410" i="44"/>
  <c r="E1410" i="44" s="1"/>
  <c r="C1430" i="44"/>
  <c r="E1430" i="44" s="1"/>
  <c r="C1418" i="44"/>
  <c r="E1418" i="44" s="1"/>
  <c r="C1434" i="44"/>
  <c r="E1434" i="44" s="1"/>
  <c r="C1422" i="44"/>
  <c r="E1422" i="44" s="1"/>
  <c r="C1414" i="44"/>
  <c r="E1414" i="44" s="1"/>
  <c r="C1426" i="44"/>
  <c r="E1426" i="44" s="1"/>
  <c r="G994" i="44"/>
  <c r="C1016" i="44"/>
  <c r="E1016" i="44" s="1"/>
  <c r="C1025" i="44"/>
  <c r="E1025" i="44" s="1"/>
  <c r="C1032" i="44"/>
  <c r="E1032" i="44" s="1"/>
  <c r="C1036" i="44"/>
  <c r="E1036" i="44" s="1"/>
  <c r="C1160" i="44"/>
  <c r="E1160" i="44" s="1"/>
  <c r="C1225" i="44"/>
  <c r="E1225" i="44" s="1"/>
  <c r="C1221" i="44"/>
  <c r="E1221" i="44" s="1"/>
  <c r="C948" i="44"/>
  <c r="E948" i="44" s="1"/>
  <c r="C952" i="44"/>
  <c r="E952" i="44" s="1"/>
  <c r="C956" i="44"/>
  <c r="E956" i="44" s="1"/>
  <c r="C960" i="44"/>
  <c r="E960" i="44" s="1"/>
  <c r="C964" i="44"/>
  <c r="E964" i="44" s="1"/>
  <c r="C968" i="44"/>
  <c r="E968" i="44" s="1"/>
  <c r="C972" i="44"/>
  <c r="E972" i="44" s="1"/>
  <c r="C1216" i="44"/>
  <c r="E1216" i="44" s="1"/>
  <c r="C1282" i="44"/>
  <c r="E1282" i="44" s="1"/>
  <c r="C1011" i="44"/>
  <c r="E1011" i="44" s="1"/>
  <c r="C1013" i="44"/>
  <c r="E1013" i="44" s="1"/>
  <c r="C1020" i="44"/>
  <c r="E1020" i="44" s="1"/>
  <c r="C1027" i="44"/>
  <c r="E1027" i="44" s="1"/>
  <c r="C1165" i="44"/>
  <c r="E1165" i="44" s="1"/>
  <c r="C944" i="44"/>
  <c r="C947" i="44"/>
  <c r="E947" i="44" s="1"/>
  <c r="C951" i="44"/>
  <c r="E951" i="44" s="1"/>
  <c r="C955" i="44"/>
  <c r="E955" i="44" s="1"/>
  <c r="C959" i="44"/>
  <c r="E959" i="44" s="1"/>
  <c r="C963" i="44"/>
  <c r="E963" i="44" s="1"/>
  <c r="C967" i="44"/>
  <c r="E967" i="44" s="1"/>
  <c r="C971" i="44"/>
  <c r="E971" i="44" s="1"/>
  <c r="C1037" i="44"/>
  <c r="E1037" i="44" s="1"/>
  <c r="C1038" i="44"/>
  <c r="E1038" i="44" s="1"/>
  <c r="C1034" i="44"/>
  <c r="E1034" i="44" s="1"/>
  <c r="C1030" i="44"/>
  <c r="E1030" i="44" s="1"/>
  <c r="C1026" i="44"/>
  <c r="E1026" i="44" s="1"/>
  <c r="C1022" i="44"/>
  <c r="E1022" i="44" s="1"/>
  <c r="C1018" i="44"/>
  <c r="E1018" i="44" s="1"/>
  <c r="C1014" i="44"/>
  <c r="E1014" i="44" s="1"/>
  <c r="C1156" i="44"/>
  <c r="E1156" i="44" s="1"/>
  <c r="C1212" i="44"/>
  <c r="E1212" i="44" s="1"/>
  <c r="C1148" i="44"/>
  <c r="E1148" i="44" s="1"/>
  <c r="C1292" i="44"/>
  <c r="E1292" i="44" s="1"/>
  <c r="C946" i="44"/>
  <c r="E946" i="44" s="1"/>
  <c r="C950" i="44"/>
  <c r="E950" i="44" s="1"/>
  <c r="C954" i="44"/>
  <c r="E954" i="44" s="1"/>
  <c r="C958" i="44"/>
  <c r="E958" i="44" s="1"/>
  <c r="C962" i="44"/>
  <c r="E962" i="44" s="1"/>
  <c r="C966" i="44"/>
  <c r="E966" i="44" s="1"/>
  <c r="C970" i="44"/>
  <c r="E970" i="44" s="1"/>
  <c r="C974" i="44"/>
  <c r="E974" i="44" s="1"/>
  <c r="C1035" i="44"/>
  <c r="E1035" i="44" s="1"/>
  <c r="G1126" i="44"/>
  <c r="C1213" i="44"/>
  <c r="E1213" i="44" s="1"/>
  <c r="C1288" i="44"/>
  <c r="E1288" i="44" s="1"/>
  <c r="C1010" i="44"/>
  <c r="C1012" i="44"/>
  <c r="E1012" i="44" s="1"/>
  <c r="C1019" i="44"/>
  <c r="E1019" i="44" s="1"/>
  <c r="C1021" i="44"/>
  <c r="E1021" i="44" s="1"/>
  <c r="C1028" i="44"/>
  <c r="E1028" i="44" s="1"/>
  <c r="C1168" i="44"/>
  <c r="E1168" i="44" s="1"/>
  <c r="C1081" i="44"/>
  <c r="E1081" i="44" s="1"/>
  <c r="C1084" i="44"/>
  <c r="E1084" i="44" s="1"/>
  <c r="C1229" i="44"/>
  <c r="E1229" i="44" s="1"/>
  <c r="C1278" i="44"/>
  <c r="E1278" i="44" s="1"/>
  <c r="C1350" i="44"/>
  <c r="E1350" i="44" s="1"/>
  <c r="C1077" i="44"/>
  <c r="E1077" i="44" s="1"/>
  <c r="C1092" i="44"/>
  <c r="E1092" i="44" s="1"/>
  <c r="C1158" i="44"/>
  <c r="E1158" i="44" s="1"/>
  <c r="C1154" i="44"/>
  <c r="E1154" i="44" s="1"/>
  <c r="C1150" i="44"/>
  <c r="E1150" i="44" s="1"/>
  <c r="C1146" i="44"/>
  <c r="E1146" i="44" s="1"/>
  <c r="C1142" i="44"/>
  <c r="E1142" i="44" s="1"/>
  <c r="C1141" i="44"/>
  <c r="C1144" i="44"/>
  <c r="E1144" i="44" s="1"/>
  <c r="C1152" i="44"/>
  <c r="E1152" i="44" s="1"/>
  <c r="C1290" i="44"/>
  <c r="E1290" i="44" s="1"/>
  <c r="C1301" i="44"/>
  <c r="E1301" i="44" s="1"/>
  <c r="C1355" i="44"/>
  <c r="E1355" i="44" s="1"/>
  <c r="C1344" i="44"/>
  <c r="E1344" i="44" s="1"/>
  <c r="C1103" i="44"/>
  <c r="E1103" i="44" s="1"/>
  <c r="C1099" i="44"/>
  <c r="E1099" i="44" s="1"/>
  <c r="C1095" i="44"/>
  <c r="E1095" i="44" s="1"/>
  <c r="C1091" i="44"/>
  <c r="E1091" i="44" s="1"/>
  <c r="C1087" i="44"/>
  <c r="E1087" i="44" s="1"/>
  <c r="C1083" i="44"/>
  <c r="E1083" i="44" s="1"/>
  <c r="C1101" i="44"/>
  <c r="E1101" i="44" s="1"/>
  <c r="C1097" i="44"/>
  <c r="E1097" i="44" s="1"/>
  <c r="C1093" i="44"/>
  <c r="E1093" i="44" s="1"/>
  <c r="C1080" i="44"/>
  <c r="E1080" i="44" s="1"/>
  <c r="C1096" i="44"/>
  <c r="E1096" i="44" s="1"/>
  <c r="C1303" i="44"/>
  <c r="E1303" i="44" s="1"/>
  <c r="C1299" i="44"/>
  <c r="E1299" i="44" s="1"/>
  <c r="C1295" i="44"/>
  <c r="E1295" i="44" s="1"/>
  <c r="C1291" i="44"/>
  <c r="E1291" i="44" s="1"/>
  <c r="C1287" i="44"/>
  <c r="E1287" i="44" s="1"/>
  <c r="C1283" i="44"/>
  <c r="E1283" i="44" s="1"/>
  <c r="C1279" i="44"/>
  <c r="E1279" i="44" s="1"/>
  <c r="C1276" i="44"/>
  <c r="C1302" i="44"/>
  <c r="E1302" i="44" s="1"/>
  <c r="C1293" i="44"/>
  <c r="E1293" i="44" s="1"/>
  <c r="C1286" i="44"/>
  <c r="E1286" i="44" s="1"/>
  <c r="C1277" i="44"/>
  <c r="E1277" i="44" s="1"/>
  <c r="C1300" i="44"/>
  <c r="E1300" i="44" s="1"/>
  <c r="C1284" i="44"/>
  <c r="E1284" i="44" s="1"/>
  <c r="C1296" i="44"/>
  <c r="E1296" i="44" s="1"/>
  <c r="C1280" i="44"/>
  <c r="E1280" i="44" s="1"/>
  <c r="C1297" i="44"/>
  <c r="E1297" i="44" s="1"/>
  <c r="C1294" i="44"/>
  <c r="E1294" i="44" s="1"/>
  <c r="E1305" i="44"/>
  <c r="C1285" i="44"/>
  <c r="E1285" i="44" s="1"/>
  <c r="C1281" i="44"/>
  <c r="E1281" i="44" s="1"/>
  <c r="C1298" i="44"/>
  <c r="E1298" i="44" s="1"/>
  <c r="C1304" i="44"/>
  <c r="E1304" i="44" s="1"/>
  <c r="G1326" i="44"/>
  <c r="C1358" i="44"/>
  <c r="E1358" i="44" s="1"/>
  <c r="C1363" i="44"/>
  <c r="E1363" i="44" s="1"/>
  <c r="C1143" i="44"/>
  <c r="E1143" i="44" s="1"/>
  <c r="C1147" i="44"/>
  <c r="E1147" i="44" s="1"/>
  <c r="C1151" i="44"/>
  <c r="E1151" i="44" s="1"/>
  <c r="C1155" i="44"/>
  <c r="E1155" i="44" s="1"/>
  <c r="C1159" i="44"/>
  <c r="E1159" i="44" s="1"/>
  <c r="C1162" i="44"/>
  <c r="E1162" i="44" s="1"/>
  <c r="C1169" i="44"/>
  <c r="E1169" i="44" s="1"/>
  <c r="C1218" i="44"/>
  <c r="E1218" i="44" s="1"/>
  <c r="C1231" i="44"/>
  <c r="E1231" i="44" s="1"/>
  <c r="C1235" i="44"/>
  <c r="E1235" i="44" s="1"/>
  <c r="C1237" i="44"/>
  <c r="E1237" i="44" s="1"/>
  <c r="C1354" i="44"/>
  <c r="E1354" i="44" s="1"/>
  <c r="C1479" i="44"/>
  <c r="E1479" i="44" s="1"/>
  <c r="C1166" i="44"/>
  <c r="E1166" i="44" s="1"/>
  <c r="C1222" i="44"/>
  <c r="E1222" i="44" s="1"/>
  <c r="C1341" i="44"/>
  <c r="C1348" i="44"/>
  <c r="E1348" i="44" s="1"/>
  <c r="C1474" i="44"/>
  <c r="E1474" i="44" s="1"/>
  <c r="C1161" i="44"/>
  <c r="E1161" i="44" s="1"/>
  <c r="C1217" i="44"/>
  <c r="E1217" i="44" s="1"/>
  <c r="C1224" i="44"/>
  <c r="E1224" i="44" s="1"/>
  <c r="C1352" i="44"/>
  <c r="E1352" i="44" s="1"/>
  <c r="C1167" i="44"/>
  <c r="E1167" i="44" s="1"/>
  <c r="C1163" i="44"/>
  <c r="E1163" i="44" s="1"/>
  <c r="C1145" i="44"/>
  <c r="E1145" i="44" s="1"/>
  <c r="C1149" i="44"/>
  <c r="E1149" i="44" s="1"/>
  <c r="C1153" i="44"/>
  <c r="E1153" i="44" s="1"/>
  <c r="C1157" i="44"/>
  <c r="E1157" i="44" s="1"/>
  <c r="C1210" i="44"/>
  <c r="E1210" i="44" s="1"/>
  <c r="C1226" i="44"/>
  <c r="E1226" i="44" s="1"/>
  <c r="C1228" i="44"/>
  <c r="E1228" i="44" s="1"/>
  <c r="C1232" i="44"/>
  <c r="E1232" i="44" s="1"/>
  <c r="C1234" i="44"/>
  <c r="E1234" i="44" s="1"/>
  <c r="C1236" i="44"/>
  <c r="E1236" i="44" s="1"/>
  <c r="C1238" i="44"/>
  <c r="E1238" i="44" s="1"/>
  <c r="C1369" i="44"/>
  <c r="E1369" i="44" s="1"/>
  <c r="C1362" i="44"/>
  <c r="E1362" i="44" s="1"/>
  <c r="C1360" i="44"/>
  <c r="E1360" i="44" s="1"/>
  <c r="C1347" i="44"/>
  <c r="E1347" i="44" s="1"/>
  <c r="C1366" i="44"/>
  <c r="E1366" i="44" s="1"/>
  <c r="C1364" i="44"/>
  <c r="E1364" i="44" s="1"/>
  <c r="C1351" i="44"/>
  <c r="E1351" i="44" s="1"/>
  <c r="C1371" i="44"/>
  <c r="E1371" i="44" s="1"/>
  <c r="C1359" i="44"/>
  <c r="E1359" i="44" s="1"/>
  <c r="C1342" i="44"/>
  <c r="E1342" i="44" s="1"/>
  <c r="C1356" i="44"/>
  <c r="E1356" i="44" s="1"/>
  <c r="C1475" i="44"/>
  <c r="E1475" i="44" s="1"/>
  <c r="C1208" i="44"/>
  <c r="C1211" i="44"/>
  <c r="E1211" i="44" s="1"/>
  <c r="C1215" i="44"/>
  <c r="E1215" i="44" s="1"/>
  <c r="C1219" i="44"/>
  <c r="E1219" i="44" s="1"/>
  <c r="C1223" i="44"/>
  <c r="E1223" i="44" s="1"/>
  <c r="C1227" i="44"/>
  <c r="E1227" i="44" s="1"/>
  <c r="C1230" i="44"/>
  <c r="E1230" i="44" s="1"/>
  <c r="C1233" i="44"/>
  <c r="E1233" i="44" s="1"/>
  <c r="C1680" i="44"/>
  <c r="E1680" i="44" s="1"/>
  <c r="C1694" i="44"/>
  <c r="E1694" i="44" s="1"/>
  <c r="C1498" i="44"/>
  <c r="E1498" i="44" s="1"/>
  <c r="C1497" i="44"/>
  <c r="E1497" i="44" s="1"/>
  <c r="C1483" i="44"/>
  <c r="E1483" i="44" s="1"/>
  <c r="C1495" i="44"/>
  <c r="E1495" i="44" s="1"/>
  <c r="C1492" i="44"/>
  <c r="E1492" i="44" s="1"/>
  <c r="C1489" i="44"/>
  <c r="E1489" i="44" s="1"/>
  <c r="C1486" i="44"/>
  <c r="E1486" i="44" s="1"/>
  <c r="C1480" i="44"/>
  <c r="E1480" i="44" s="1"/>
  <c r="C1476" i="44"/>
  <c r="E1476" i="44" s="1"/>
  <c r="C1472" i="44"/>
  <c r="E1472" i="44" s="1"/>
  <c r="C1500" i="44"/>
  <c r="E1500" i="44" s="1"/>
  <c r="C1487" i="44"/>
  <c r="E1487" i="44" s="1"/>
  <c r="C1484" i="44"/>
  <c r="E1484" i="44" s="1"/>
  <c r="C1481" i="44"/>
  <c r="E1481" i="44" s="1"/>
  <c r="C1477" i="44"/>
  <c r="E1477" i="44" s="1"/>
  <c r="C1473" i="44"/>
  <c r="E1473" i="44" s="1"/>
  <c r="C1470" i="44"/>
  <c r="C1496" i="44"/>
  <c r="E1496" i="44" s="1"/>
  <c r="C1493" i="44"/>
  <c r="E1493" i="44" s="1"/>
  <c r="C1490" i="44"/>
  <c r="E1490" i="44" s="1"/>
  <c r="C1499" i="44"/>
  <c r="E1499" i="44" s="1"/>
  <c r="C1491" i="44"/>
  <c r="E1491" i="44" s="1"/>
  <c r="C1488" i="44"/>
  <c r="E1488" i="44" s="1"/>
  <c r="C1485" i="44"/>
  <c r="E1485" i="44" s="1"/>
  <c r="C1482" i="44"/>
  <c r="E1482" i="44" s="1"/>
  <c r="C1368" i="44"/>
  <c r="E1368" i="44" s="1"/>
  <c r="C1345" i="44"/>
  <c r="E1345" i="44" s="1"/>
  <c r="C1349" i="44"/>
  <c r="E1349" i="44" s="1"/>
  <c r="C1353" i="44"/>
  <c r="E1353" i="44" s="1"/>
  <c r="C1357" i="44"/>
  <c r="E1357" i="44" s="1"/>
  <c r="C1361" i="44"/>
  <c r="E1361" i="44" s="1"/>
  <c r="C1365" i="44"/>
  <c r="E1365" i="44" s="1"/>
  <c r="C1370" i="44"/>
  <c r="E1370" i="44" s="1"/>
  <c r="C1471" i="44"/>
  <c r="E1471" i="44" s="1"/>
  <c r="C1494" i="44"/>
  <c r="E1494" i="44" s="1"/>
  <c r="C1677" i="44"/>
  <c r="C1408" i="44"/>
  <c r="E1408" i="44" s="1"/>
  <c r="C1412" i="44"/>
  <c r="E1412" i="44" s="1"/>
  <c r="C1416" i="44"/>
  <c r="E1416" i="44" s="1"/>
  <c r="C1420" i="44"/>
  <c r="E1420" i="44" s="1"/>
  <c r="C1424" i="44"/>
  <c r="E1424" i="44" s="1"/>
  <c r="C1428" i="44"/>
  <c r="E1428" i="44" s="1"/>
  <c r="C1432" i="44"/>
  <c r="E1432" i="44" s="1"/>
  <c r="C1436" i="44"/>
  <c r="E1436" i="44" s="1"/>
  <c r="C1544" i="44"/>
  <c r="E1544" i="44" s="1"/>
  <c r="C1553" i="44"/>
  <c r="E1553" i="44" s="1"/>
  <c r="C1609" i="44"/>
  <c r="E1609" i="44" s="1"/>
  <c r="C1686" i="44"/>
  <c r="E1686" i="44" s="1"/>
  <c r="C1407" i="44"/>
  <c r="E1407" i="44" s="1"/>
  <c r="C1411" i="44"/>
  <c r="E1411" i="44" s="1"/>
  <c r="C1415" i="44"/>
  <c r="E1415" i="44" s="1"/>
  <c r="C1419" i="44"/>
  <c r="E1419" i="44" s="1"/>
  <c r="C1423" i="44"/>
  <c r="E1423" i="44" s="1"/>
  <c r="C1427" i="44"/>
  <c r="E1427" i="44" s="1"/>
  <c r="C1431" i="44"/>
  <c r="E1431" i="44" s="1"/>
  <c r="C1435" i="44"/>
  <c r="E1435" i="44" s="1"/>
  <c r="C1542" i="44"/>
  <c r="E1542" i="44" s="1"/>
  <c r="C1556" i="44"/>
  <c r="E1556" i="44" s="1"/>
  <c r="C1622" i="44"/>
  <c r="E1622" i="44" s="1"/>
  <c r="C1561" i="44"/>
  <c r="E1561" i="44" s="1"/>
  <c r="C1564" i="44"/>
  <c r="E1564" i="44" s="1"/>
  <c r="C1567" i="44"/>
  <c r="E1567" i="44" s="1"/>
  <c r="C1605" i="44"/>
  <c r="E1605" i="44" s="1"/>
  <c r="C1698" i="44"/>
  <c r="E1698" i="44" s="1"/>
  <c r="C1692" i="44"/>
  <c r="E1692" i="44" s="1"/>
  <c r="C1679" i="44"/>
  <c r="E1679" i="44" s="1"/>
  <c r="C1702" i="44"/>
  <c r="E1702" i="44" s="1"/>
  <c r="C1696" i="44"/>
  <c r="E1696" i="44" s="1"/>
  <c r="C1683" i="44"/>
  <c r="E1683" i="44" s="1"/>
  <c r="C1706" i="44"/>
  <c r="E1706" i="44" s="1"/>
  <c r="C1700" i="44"/>
  <c r="E1700" i="44" s="1"/>
  <c r="C1687" i="44"/>
  <c r="E1687" i="44" s="1"/>
  <c r="C1704" i="44"/>
  <c r="E1704" i="44" s="1"/>
  <c r="C1691" i="44"/>
  <c r="E1691" i="44" s="1"/>
  <c r="C1678" i="44"/>
  <c r="E1678" i="44" s="1"/>
  <c r="C1695" i="44"/>
  <c r="E1695" i="44" s="1"/>
  <c r="C1682" i="44"/>
  <c r="E1682" i="44" s="1"/>
  <c r="C1703" i="44"/>
  <c r="E1703" i="44" s="1"/>
  <c r="C1690" i="44"/>
  <c r="E1690" i="44" s="1"/>
  <c r="C1684" i="44"/>
  <c r="E1684" i="44" s="1"/>
  <c r="C1707" i="44"/>
  <c r="E1707" i="44" s="1"/>
  <c r="C1543" i="44"/>
  <c r="E1543" i="44" s="1"/>
  <c r="C1633" i="44"/>
  <c r="E1633" i="44" s="1"/>
  <c r="C1614" i="44"/>
  <c r="E1614" i="44" s="1"/>
  <c r="C1626" i="44"/>
  <c r="E1626" i="44" s="1"/>
  <c r="C1613" i="44"/>
  <c r="E1613" i="44" s="1"/>
  <c r="C1618" i="44"/>
  <c r="E1618" i="44" s="1"/>
  <c r="C1406" i="44"/>
  <c r="C1409" i="44"/>
  <c r="E1409" i="44" s="1"/>
  <c r="C1413" i="44"/>
  <c r="E1413" i="44" s="1"/>
  <c r="C1417" i="44"/>
  <c r="E1417" i="44" s="1"/>
  <c r="C1421" i="44"/>
  <c r="E1421" i="44" s="1"/>
  <c r="C1425" i="44"/>
  <c r="E1425" i="44" s="1"/>
  <c r="C1429" i="44"/>
  <c r="E1429" i="44" s="1"/>
  <c r="C1433" i="44"/>
  <c r="E1433" i="44" s="1"/>
  <c r="G1588" i="44"/>
  <c r="C1565" i="44"/>
  <c r="E1565" i="44" s="1"/>
  <c r="C1568" i="44"/>
  <c r="E1568" i="44" s="1"/>
  <c r="C1566" i="44"/>
  <c r="E1566" i="44" s="1"/>
  <c r="C1562" i="44"/>
  <c r="E1562" i="44" s="1"/>
  <c r="C1558" i="44"/>
  <c r="E1558" i="44" s="1"/>
  <c r="C1554" i="44"/>
  <c r="E1554" i="44" s="1"/>
  <c r="C1550" i="44"/>
  <c r="E1550" i="44" s="1"/>
  <c r="C1549" i="44"/>
  <c r="E1549" i="44" s="1"/>
  <c r="C1552" i="44"/>
  <c r="E1552" i="44" s="1"/>
  <c r="C1555" i="44"/>
  <c r="E1555" i="44" s="1"/>
  <c r="C1610" i="44"/>
  <c r="E1610" i="44" s="1"/>
  <c r="C1629" i="44"/>
  <c r="E1629" i="44" s="1"/>
  <c r="C1538" i="44"/>
  <c r="C1541" i="44"/>
  <c r="E1541" i="44" s="1"/>
  <c r="C1545" i="44"/>
  <c r="E1545" i="44" s="1"/>
  <c r="C1606" i="44"/>
  <c r="E1606" i="44" s="1"/>
  <c r="C1625" i="44"/>
  <c r="E1625" i="44" s="1"/>
  <c r="C1557" i="44"/>
  <c r="E1557" i="44" s="1"/>
  <c r="C1560" i="44"/>
  <c r="E1560" i="44" s="1"/>
  <c r="C1563" i="44"/>
  <c r="E1563" i="44" s="1"/>
  <c r="C1631" i="44"/>
  <c r="E1631" i="44" s="1"/>
  <c r="C1627" i="44"/>
  <c r="E1627" i="44" s="1"/>
  <c r="C1623" i="44"/>
  <c r="E1623" i="44" s="1"/>
  <c r="C1619" i="44"/>
  <c r="E1619" i="44" s="1"/>
  <c r="C1615" i="44"/>
  <c r="E1615" i="44" s="1"/>
  <c r="C1611" i="44"/>
  <c r="E1611" i="44" s="1"/>
  <c r="C1607" i="44"/>
  <c r="E1607" i="44" s="1"/>
  <c r="C1604" i="44"/>
  <c r="C1632" i="44"/>
  <c r="E1632" i="44" s="1"/>
  <c r="C1628" i="44"/>
  <c r="E1628" i="44" s="1"/>
  <c r="C1624" i="44"/>
  <c r="E1624" i="44" s="1"/>
  <c r="C1620" i="44"/>
  <c r="E1620" i="44" s="1"/>
  <c r="C1616" i="44"/>
  <c r="E1616" i="44" s="1"/>
  <c r="C1612" i="44"/>
  <c r="E1612" i="44" s="1"/>
  <c r="C1608" i="44"/>
  <c r="E1608" i="44" s="1"/>
  <c r="C1621" i="44"/>
  <c r="E1621" i="44" s="1"/>
  <c r="C1634" i="44"/>
  <c r="E1634" i="44" s="1"/>
  <c r="C1681" i="44"/>
  <c r="E1681" i="44" s="1"/>
  <c r="C1685" i="44"/>
  <c r="E1685" i="44" s="1"/>
  <c r="C1689" i="44"/>
  <c r="E1689" i="44" s="1"/>
  <c r="C1693" i="44"/>
  <c r="E1693" i="44" s="1"/>
  <c r="C1697" i="44"/>
  <c r="E1697" i="44" s="1"/>
  <c r="C1701" i="44"/>
  <c r="E1701" i="44" s="1"/>
  <c r="C1705" i="44"/>
  <c r="E1705" i="44" s="1"/>
  <c r="E313" i="44" l="1"/>
  <c r="E125" i="44"/>
  <c r="E309" i="44"/>
  <c r="E123" i="44"/>
  <c r="E311" i="44"/>
  <c r="E120" i="44"/>
  <c r="E124" i="44"/>
  <c r="E307" i="44"/>
  <c r="E119" i="44"/>
  <c r="E121" i="44"/>
  <c r="E312" i="44"/>
  <c r="E118" i="44"/>
  <c r="E122" i="44"/>
  <c r="E310" i="44"/>
  <c r="E117" i="44"/>
  <c r="E308" i="44"/>
  <c r="E306" i="44"/>
  <c r="E1306" i="44"/>
  <c r="J95" i="26" l="1"/>
  <c r="J62" i="26"/>
  <c r="J45" i="26"/>
  <c r="J104" i="2" l="1"/>
  <c r="J234" i="28"/>
  <c r="J80" i="28" l="1"/>
  <c r="J209" i="27"/>
  <c r="J133" i="26"/>
  <c r="J263" i="26"/>
  <c r="J176" i="28"/>
  <c r="J292" i="28"/>
  <c r="J166" i="27"/>
  <c r="J210" i="27" l="1"/>
  <c r="K210" i="27" s="1"/>
  <c r="J167" i="27"/>
  <c r="J177" i="28"/>
  <c r="J96" i="28" s="1"/>
  <c r="J264" i="26"/>
  <c r="J199" i="26" s="1"/>
  <c r="J293" i="28"/>
  <c r="J105" i="2"/>
  <c r="J235" i="28"/>
  <c r="J81" i="28"/>
  <c r="J17" i="28" s="1"/>
  <c r="J134" i="26"/>
  <c r="J19" i="26" s="1"/>
  <c r="J228" i="26"/>
  <c r="J211" i="26"/>
  <c r="J198" i="26"/>
  <c r="J192" i="26"/>
  <c r="J175" i="26"/>
  <c r="J161" i="26"/>
  <c r="J148" i="26"/>
  <c r="J142" i="26"/>
  <c r="H262" i="26"/>
  <c r="K262" i="26"/>
  <c r="K132" i="26"/>
  <c r="J81" i="26"/>
  <c r="J68" i="26"/>
  <c r="J31" i="26"/>
  <c r="J18" i="26"/>
  <c r="J12" i="26"/>
  <c r="H132" i="26"/>
  <c r="J95" i="28"/>
  <c r="J256" i="28"/>
  <c r="J242" i="28"/>
  <c r="H290" i="28"/>
  <c r="H291" i="28"/>
  <c r="H292" i="28"/>
  <c r="H293" i="28"/>
  <c r="K276" i="28"/>
  <c r="K277" i="28"/>
  <c r="K278" i="28"/>
  <c r="K279" i="28"/>
  <c r="H276" i="28"/>
  <c r="H277" i="28"/>
  <c r="H278" i="28"/>
  <c r="K294" i="28"/>
  <c r="F293" i="28"/>
  <c r="K292" i="28"/>
  <c r="K291" i="28"/>
  <c r="K290" i="28"/>
  <c r="J198" i="28"/>
  <c r="J136" i="28"/>
  <c r="H232" i="28"/>
  <c r="H233" i="28"/>
  <c r="H234" i="28"/>
  <c r="H235" i="28"/>
  <c r="J184" i="28"/>
  <c r="K218" i="28"/>
  <c r="K219" i="28"/>
  <c r="K220" i="28"/>
  <c r="K221" i="28"/>
  <c r="H218" i="28"/>
  <c r="H219" i="28"/>
  <c r="H220" i="28"/>
  <c r="K236" i="28"/>
  <c r="K234" i="28"/>
  <c r="F235" i="28"/>
  <c r="K233" i="28"/>
  <c r="K232" i="28"/>
  <c r="H175" i="28"/>
  <c r="K178" i="28"/>
  <c r="K175" i="28"/>
  <c r="K174" i="28"/>
  <c r="K67" i="28"/>
  <c r="J43" i="28"/>
  <c r="J29" i="28"/>
  <c r="J16" i="28"/>
  <c r="J12" i="28"/>
  <c r="K78" i="28"/>
  <c r="K79" i="28"/>
  <c r="K82" i="28"/>
  <c r="H79" i="28"/>
  <c r="K193" i="27"/>
  <c r="K194" i="27"/>
  <c r="K195" i="27"/>
  <c r="K196" i="27"/>
  <c r="H193" i="27"/>
  <c r="H194" i="27"/>
  <c r="H195" i="27"/>
  <c r="J174" i="27"/>
  <c r="H207" i="27"/>
  <c r="H208" i="27"/>
  <c r="H209" i="27"/>
  <c r="H210" i="27"/>
  <c r="K209" i="27"/>
  <c r="K208" i="27"/>
  <c r="G205" i="27"/>
  <c r="D175" i="27"/>
  <c r="G174" i="27"/>
  <c r="G148" i="47" s="1"/>
  <c r="M290" i="28" l="1"/>
  <c r="N290" i="28" s="1"/>
  <c r="K235" i="28"/>
  <c r="M235" i="28" s="1"/>
  <c r="N235" i="28" s="1"/>
  <c r="J69" i="26"/>
  <c r="K293" i="28"/>
  <c r="M293" i="28" s="1"/>
  <c r="N293" i="28" s="1"/>
  <c r="J149" i="26"/>
  <c r="M262" i="26"/>
  <c r="N262" i="26" s="1"/>
  <c r="M210" i="27"/>
  <c r="N210" i="27" s="1"/>
  <c r="M292" i="28"/>
  <c r="N292" i="28" s="1"/>
  <c r="M232" i="28"/>
  <c r="N232" i="28" s="1"/>
  <c r="M278" i="28"/>
  <c r="N278" i="28" s="1"/>
  <c r="M291" i="28"/>
  <c r="N291" i="28" s="1"/>
  <c r="M276" i="28"/>
  <c r="N276" i="28" s="1"/>
  <c r="M277" i="28"/>
  <c r="N277" i="28" s="1"/>
  <c r="M233" i="28"/>
  <c r="N233" i="28" s="1"/>
  <c r="J122" i="28"/>
  <c r="J88" i="28"/>
  <c r="J108" i="28"/>
  <c r="M234" i="28"/>
  <c r="N234" i="28" s="1"/>
  <c r="M219" i="28"/>
  <c r="N219" i="28" s="1"/>
  <c r="M220" i="28"/>
  <c r="N220" i="28" s="1"/>
  <c r="M218" i="28"/>
  <c r="N218" i="28" s="1"/>
  <c r="M175" i="28"/>
  <c r="N175" i="28" s="1"/>
  <c r="M209" i="27"/>
  <c r="N209" i="27" s="1"/>
  <c r="M208" i="27"/>
  <c r="N208" i="27" s="1"/>
  <c r="M193" i="27"/>
  <c r="N193" i="27" s="1"/>
  <c r="M194" i="27"/>
  <c r="N194" i="27" s="1"/>
  <c r="M195" i="27"/>
  <c r="N195" i="27" s="1"/>
  <c r="J87" i="27" l="1"/>
  <c r="J86" i="27"/>
  <c r="J20" i="27"/>
  <c r="J19" i="27"/>
  <c r="H165" i="27"/>
  <c r="K165" i="27" l="1"/>
  <c r="J40" i="2"/>
  <c r="J39" i="2"/>
  <c r="J20" i="2"/>
  <c r="J19" i="2"/>
  <c r="K71" i="2"/>
  <c r="J52" i="2"/>
  <c r="J66" i="2"/>
  <c r="J32" i="2"/>
  <c r="J12" i="2"/>
  <c r="M165" i="27" l="1"/>
  <c r="N165" i="27" s="1"/>
  <c r="F175" i="27" l="1"/>
  <c r="E149" i="47" s="1"/>
  <c r="F174" i="27"/>
  <c r="C148" i="47" s="1"/>
  <c r="J148" i="47" l="1"/>
  <c r="C149" i="47"/>
  <c r="D149" i="47" s="1"/>
  <c r="H148" i="47"/>
  <c r="E150" i="47"/>
  <c r="F149" i="47"/>
  <c r="F205" i="27"/>
  <c r="K205" i="27" s="1"/>
  <c r="H174" i="27"/>
  <c r="K174" i="27"/>
  <c r="F206" i="27"/>
  <c r="F188" i="27"/>
  <c r="M174" i="27" l="1"/>
  <c r="K191" i="27"/>
  <c r="H191" i="27"/>
  <c r="H205" i="27"/>
  <c r="M191" i="27" l="1"/>
  <c r="N174" i="27"/>
  <c r="M205" i="27"/>
  <c r="N205" i="27" s="1"/>
  <c r="N191" i="27" l="1"/>
  <c r="D12" i="27" l="1"/>
  <c r="D67" i="2" l="1"/>
  <c r="D68" i="2"/>
  <c r="D66" i="2"/>
  <c r="D53" i="2"/>
  <c r="D52" i="2"/>
  <c r="D33" i="2"/>
  <c r="D34" i="2"/>
  <c r="D32" i="2"/>
  <c r="D13" i="2"/>
  <c r="D14" i="2"/>
  <c r="D12" i="2"/>
  <c r="D257" i="28"/>
  <c r="D256" i="28"/>
  <c r="D243" i="28"/>
  <c r="D242" i="28"/>
  <c r="D199" i="28"/>
  <c r="D198" i="28"/>
  <c r="D185" i="28"/>
  <c r="D184" i="28"/>
  <c r="D139" i="28"/>
  <c r="D138" i="28"/>
  <c r="D137" i="28"/>
  <c r="D136" i="28"/>
  <c r="D123" i="28"/>
  <c r="D122" i="28"/>
  <c r="D109" i="28"/>
  <c r="D108" i="28"/>
  <c r="D91" i="28"/>
  <c r="D90" i="28"/>
  <c r="D89" i="28"/>
  <c r="D88" i="28"/>
  <c r="D44" i="28"/>
  <c r="D43" i="28"/>
  <c r="D30" i="28"/>
  <c r="D29" i="28"/>
  <c r="D13" i="28"/>
  <c r="D12" i="28"/>
  <c r="D229" i="26"/>
  <c r="D228" i="26"/>
  <c r="D96" i="26"/>
  <c r="D97" i="26"/>
  <c r="D95" i="26"/>
  <c r="D82" i="26"/>
  <c r="D81" i="26"/>
  <c r="D212" i="26"/>
  <c r="D213" i="26"/>
  <c r="D211" i="26"/>
  <c r="D193" i="26"/>
  <c r="D194" i="26"/>
  <c r="D192" i="26"/>
  <c r="D63" i="26"/>
  <c r="D64" i="26"/>
  <c r="D62" i="26"/>
  <c r="D176" i="26"/>
  <c r="D177" i="26"/>
  <c r="D175" i="26"/>
  <c r="D162" i="26"/>
  <c r="D161" i="26"/>
  <c r="D143" i="26"/>
  <c r="D144" i="26"/>
  <c r="D142" i="26"/>
  <c r="D46" i="26"/>
  <c r="D47" i="26"/>
  <c r="D45" i="26"/>
  <c r="D32" i="26"/>
  <c r="D31" i="26"/>
  <c r="D13" i="26"/>
  <c r="D14" i="26"/>
  <c r="D12" i="26"/>
  <c r="D132" i="27"/>
  <c r="D131" i="27"/>
  <c r="D114" i="27"/>
  <c r="D115" i="27"/>
  <c r="D116" i="27"/>
  <c r="D113" i="27"/>
  <c r="D100" i="27"/>
  <c r="D99" i="27"/>
  <c r="D80" i="27"/>
  <c r="D81" i="27"/>
  <c r="D82" i="27"/>
  <c r="D79" i="27"/>
  <c r="D62" i="27"/>
  <c r="D63" i="27"/>
  <c r="D64" i="27"/>
  <c r="D61" i="27"/>
  <c r="D47" i="27"/>
  <c r="D46" i="27"/>
  <c r="D33" i="27"/>
  <c r="D32" i="27"/>
  <c r="D13" i="27"/>
  <c r="D14" i="27"/>
  <c r="D15" i="27"/>
  <c r="G1394" i="44" l="1"/>
  <c r="G1395" i="44"/>
  <c r="J42" i="46"/>
  <c r="I42" i="46"/>
  <c r="J22" i="46"/>
  <c r="J29" i="46"/>
  <c r="J21" i="46"/>
  <c r="J28" i="46"/>
  <c r="J18" i="46"/>
  <c r="J25" i="46"/>
  <c r="J58" i="46"/>
  <c r="J57" i="46"/>
  <c r="J50" i="46"/>
  <c r="J43" i="46"/>
  <c r="J46" i="46"/>
  <c r="J52" i="46"/>
  <c r="J56" i="46"/>
  <c r="J45" i="46"/>
  <c r="J59" i="46"/>
  <c r="J51" i="46"/>
  <c r="J44" i="46"/>
  <c r="J11" i="46"/>
  <c r="J8" i="46"/>
  <c r="J14" i="46"/>
  <c r="J15" i="46"/>
  <c r="H116" i="25"/>
  <c r="H110" i="25"/>
  <c r="H108" i="25"/>
  <c r="H103" i="25"/>
  <c r="H101" i="25"/>
  <c r="H99" i="25"/>
  <c r="H94" i="25"/>
  <c r="H92" i="25"/>
  <c r="H90" i="25"/>
  <c r="H88" i="25"/>
  <c r="H70" i="25"/>
  <c r="H68" i="25"/>
  <c r="H64" i="25"/>
  <c r="H60" i="25"/>
  <c r="H58" i="25"/>
  <c r="H54" i="25"/>
  <c r="H52" i="25"/>
  <c r="H34" i="25"/>
  <c r="H32" i="25"/>
  <c r="H28" i="25"/>
  <c r="H24" i="25"/>
  <c r="H22" i="25"/>
  <c r="H18" i="25"/>
  <c r="H14" i="25"/>
  <c r="H12" i="25"/>
  <c r="H8" i="25"/>
  <c r="H4" i="25"/>
  <c r="G802" i="44"/>
  <c r="G924" i="44"/>
  <c r="G737" i="44"/>
  <c r="G932" i="44"/>
  <c r="G671" i="44"/>
  <c r="G738" i="44"/>
  <c r="G670" i="44"/>
  <c r="G868" i="44"/>
  <c r="G933" i="44"/>
  <c r="G867" i="44"/>
  <c r="G803" i="44"/>
  <c r="G1518" i="44"/>
  <c r="G1458" i="44"/>
  <c r="G1451" i="44"/>
  <c r="G1386" i="44"/>
  <c r="G1329" i="44"/>
  <c r="G1264" i="44"/>
  <c r="G990" i="44"/>
  <c r="G1321" i="44"/>
  <c r="G1197" i="44"/>
  <c r="G1121" i="44"/>
  <c r="G1064" i="44"/>
  <c r="G1666" i="44"/>
  <c r="G1593" i="44"/>
  <c r="G1254" i="44"/>
  <c r="G1196" i="44"/>
  <c r="G999" i="44"/>
  <c r="G1665" i="44"/>
  <c r="G1657" i="44"/>
  <c r="G1592" i="44"/>
  <c r="G1585" i="44"/>
  <c r="G1527" i="44"/>
  <c r="G1130" i="44"/>
  <c r="G1056" i="44"/>
  <c r="G1526" i="44"/>
  <c r="G1459" i="44"/>
  <c r="G1330" i="44"/>
  <c r="G1265" i="44"/>
  <c r="G1186" i="44"/>
  <c r="G1129" i="44"/>
  <c r="G1065" i="44"/>
  <c r="G998" i="44"/>
  <c r="G604" i="44"/>
  <c r="G538" i="44"/>
  <c r="G338" i="44"/>
  <c r="G603" i="44"/>
  <c r="G537" i="44"/>
  <c r="G406" i="44"/>
  <c r="G261" i="44"/>
  <c r="G472" i="44"/>
  <c r="G337" i="44"/>
  <c r="G595" i="44"/>
  <c r="G405" i="44"/>
  <c r="G271" i="44"/>
  <c r="G471" i="44"/>
  <c r="G397" i="44"/>
  <c r="G328" i="44"/>
  <c r="G528" i="44"/>
  <c r="G462" i="44"/>
  <c r="G270" i="44"/>
  <c r="G205" i="44"/>
  <c r="G83" i="44"/>
  <c r="G131" i="44"/>
  <c r="G18" i="44"/>
  <c r="G197" i="44"/>
  <c r="G74" i="44"/>
  <c r="G206" i="44"/>
  <c r="G141" i="44"/>
  <c r="G84" i="44"/>
  <c r="G9" i="44"/>
  <c r="G140" i="44"/>
  <c r="G19" i="44"/>
  <c r="F139" i="28"/>
  <c r="E188" i="47" s="1"/>
  <c r="F138" i="28"/>
  <c r="E187" i="47" s="1"/>
  <c r="F187" i="47" s="1"/>
  <c r="F137" i="28"/>
  <c r="E186" i="47" s="1"/>
  <c r="F91" i="28"/>
  <c r="E171" i="47" s="1"/>
  <c r="F90" i="28"/>
  <c r="E170" i="47" s="1"/>
  <c r="F170" i="47" s="1"/>
  <c r="F89" i="28"/>
  <c r="E169" i="47" s="1"/>
  <c r="F116" i="27"/>
  <c r="E139" i="47" s="1"/>
  <c r="F243" i="28"/>
  <c r="E203" i="47" s="1"/>
  <c r="F199" i="28"/>
  <c r="E198" i="47" s="1"/>
  <c r="F109" i="28"/>
  <c r="E176" i="47" s="1"/>
  <c r="F44" i="28"/>
  <c r="E164" i="47" s="1"/>
  <c r="F13" i="28"/>
  <c r="F82" i="27"/>
  <c r="E127" i="47" s="1"/>
  <c r="F81" i="27"/>
  <c r="E126" i="47" s="1"/>
  <c r="F126" i="47" s="1"/>
  <c r="F229" i="26"/>
  <c r="E96" i="47" s="1"/>
  <c r="F257" i="28"/>
  <c r="E208" i="47" s="1"/>
  <c r="F256" i="28"/>
  <c r="C207" i="47" s="1"/>
  <c r="F185" i="28"/>
  <c r="E193" i="47" s="1"/>
  <c r="F184" i="28"/>
  <c r="C192" i="47" s="1"/>
  <c r="F123" i="28"/>
  <c r="E181" i="47" s="1"/>
  <c r="F122" i="28"/>
  <c r="C180" i="47" s="1"/>
  <c r="F30" i="28"/>
  <c r="E159" i="47" s="1"/>
  <c r="F29" i="28"/>
  <c r="C158" i="47" s="1"/>
  <c r="F82" i="26"/>
  <c r="E56" i="47" s="1"/>
  <c r="F81" i="26"/>
  <c r="C55" i="47" s="1"/>
  <c r="F97" i="26"/>
  <c r="E62" i="47" s="1"/>
  <c r="F96" i="26"/>
  <c r="E61" i="47" s="1"/>
  <c r="F64" i="27"/>
  <c r="E120" i="47" s="1"/>
  <c r="F63" i="27"/>
  <c r="E119" i="47" s="1"/>
  <c r="F119" i="47" s="1"/>
  <c r="F62" i="27"/>
  <c r="E118" i="47" s="1"/>
  <c r="F242" i="28"/>
  <c r="C202" i="47" s="1"/>
  <c r="F198" i="28"/>
  <c r="C197" i="47" s="1"/>
  <c r="F136" i="28"/>
  <c r="C185" i="47" s="1"/>
  <c r="F108" i="28"/>
  <c r="C175" i="47" s="1"/>
  <c r="F88" i="28"/>
  <c r="C168" i="47" s="1"/>
  <c r="F43" i="28"/>
  <c r="C163" i="47" s="1"/>
  <c r="F12" i="28"/>
  <c r="C153" i="47" s="1"/>
  <c r="F228" i="26"/>
  <c r="C95" i="47" s="1"/>
  <c r="F95" i="26"/>
  <c r="C60" i="47" s="1"/>
  <c r="F61" i="27"/>
  <c r="C117" i="47" s="1"/>
  <c r="C118" i="47" s="1"/>
  <c r="F15" i="27"/>
  <c r="F14" i="27"/>
  <c r="F13" i="27"/>
  <c r="E101" i="47" s="1"/>
  <c r="F12" i="27"/>
  <c r="C100" i="47" s="1"/>
  <c r="C101" i="47" s="1"/>
  <c r="F52" i="2"/>
  <c r="C21" i="47" s="1"/>
  <c r="F14" i="26"/>
  <c r="E34" i="47" s="1"/>
  <c r="F13" i="26"/>
  <c r="E33" i="47" s="1"/>
  <c r="F12" i="26"/>
  <c r="C32" i="47" s="1"/>
  <c r="F53" i="2"/>
  <c r="E22" i="47" s="1"/>
  <c r="F68" i="2"/>
  <c r="E28" i="47" s="1"/>
  <c r="F67" i="2"/>
  <c r="E27" i="47" s="1"/>
  <c r="F34" i="2"/>
  <c r="F33" i="2"/>
  <c r="E16" i="47" s="1"/>
  <c r="F66" i="2"/>
  <c r="C26" i="47" s="1"/>
  <c r="F32" i="2"/>
  <c r="F14" i="2"/>
  <c r="E11" i="47" s="1"/>
  <c r="F13" i="2"/>
  <c r="E10" i="47" s="1"/>
  <c r="F12" i="2"/>
  <c r="J163" i="47" l="1"/>
  <c r="C164" i="47"/>
  <c r="D164" i="47" s="1"/>
  <c r="F61" i="47"/>
  <c r="F62" i="47" s="1"/>
  <c r="E63" i="47"/>
  <c r="C193" i="47"/>
  <c r="D193" i="47" s="1"/>
  <c r="J192" i="47"/>
  <c r="F164" i="47"/>
  <c r="E165" i="47"/>
  <c r="F186" i="47"/>
  <c r="F188" i="47" s="1"/>
  <c r="E189" i="47"/>
  <c r="F101" i="47"/>
  <c r="K14" i="27"/>
  <c r="E102" i="47"/>
  <c r="F102" i="47" s="1"/>
  <c r="J175" i="47"/>
  <c r="C176" i="47"/>
  <c r="D176" i="47" s="1"/>
  <c r="F193" i="47"/>
  <c r="E194" i="47"/>
  <c r="F176" i="47"/>
  <c r="E177" i="47"/>
  <c r="C102" i="47"/>
  <c r="C103" i="47" s="1"/>
  <c r="D101" i="47"/>
  <c r="J168" i="47"/>
  <c r="C169" i="47"/>
  <c r="K15" i="27"/>
  <c r="E103" i="47"/>
  <c r="J185" i="47"/>
  <c r="C186" i="47"/>
  <c r="J55" i="47"/>
  <c r="C56" i="47"/>
  <c r="D56" i="47" s="1"/>
  <c r="J207" i="47"/>
  <c r="C208" i="47"/>
  <c r="D208" i="47" s="1"/>
  <c r="E199" i="47"/>
  <c r="F198" i="47"/>
  <c r="J32" i="47"/>
  <c r="C33" i="47"/>
  <c r="C119" i="47"/>
  <c r="C120" i="47" s="1"/>
  <c r="D118" i="47"/>
  <c r="C198" i="47"/>
  <c r="D198" i="47" s="1"/>
  <c r="J197" i="47"/>
  <c r="E57" i="47"/>
  <c r="F56" i="47"/>
  <c r="E209" i="47"/>
  <c r="F208" i="47"/>
  <c r="F203" i="47"/>
  <c r="E204" i="47"/>
  <c r="E182" i="47"/>
  <c r="F181" i="47"/>
  <c r="F33" i="47"/>
  <c r="F34" i="47" s="1"/>
  <c r="E35" i="47"/>
  <c r="J202" i="47"/>
  <c r="C203" i="47"/>
  <c r="D203" i="47" s="1"/>
  <c r="C159" i="47"/>
  <c r="D159" i="47" s="1"/>
  <c r="J158" i="47"/>
  <c r="E97" i="47"/>
  <c r="F96" i="47"/>
  <c r="J60" i="47"/>
  <c r="C61" i="47"/>
  <c r="D61" i="47" s="1"/>
  <c r="C96" i="47"/>
  <c r="D96" i="47" s="1"/>
  <c r="J95" i="47"/>
  <c r="F118" i="47"/>
  <c r="F120" i="47" s="1"/>
  <c r="E121" i="47"/>
  <c r="E160" i="47"/>
  <c r="F159" i="47"/>
  <c r="F169" i="47"/>
  <c r="F171" i="47" s="1"/>
  <c r="E172" i="47"/>
  <c r="F80" i="28"/>
  <c r="K80" i="28" s="1"/>
  <c r="E154" i="47"/>
  <c r="C154" i="47"/>
  <c r="D154" i="47" s="1"/>
  <c r="J153" i="47"/>
  <c r="J180" i="47"/>
  <c r="C181" i="47"/>
  <c r="D181" i="47" s="1"/>
  <c r="C27" i="47"/>
  <c r="C28" i="47" s="1"/>
  <c r="J26" i="47"/>
  <c r="C22" i="47"/>
  <c r="D22" i="47" s="1"/>
  <c r="J21" i="47"/>
  <c r="E29" i="47"/>
  <c r="F27" i="47"/>
  <c r="F28" i="47" s="1"/>
  <c r="E23" i="47"/>
  <c r="F22" i="47"/>
  <c r="C15" i="47"/>
  <c r="J15" i="47" s="1"/>
  <c r="K32" i="2"/>
  <c r="F16" i="47"/>
  <c r="K34" i="2"/>
  <c r="E17" i="47"/>
  <c r="E18" i="47" s="1"/>
  <c r="K12" i="2"/>
  <c r="C9" i="47"/>
  <c r="F10" i="47"/>
  <c r="F11" i="47" s="1"/>
  <c r="E12" i="47"/>
  <c r="K42" i="46"/>
  <c r="F288" i="28"/>
  <c r="K288" i="28" s="1"/>
  <c r="F76" i="28"/>
  <c r="F98" i="26"/>
  <c r="F176" i="28"/>
  <c r="K20" i="26"/>
  <c r="F15" i="26"/>
  <c r="F289" i="28"/>
  <c r="F270" i="28"/>
  <c r="F230" i="28"/>
  <c r="K230" i="28" s="1"/>
  <c r="F231" i="28"/>
  <c r="F212" i="28"/>
  <c r="F140" i="28"/>
  <c r="F172" i="28"/>
  <c r="K172" i="28" s="1"/>
  <c r="F173" i="28"/>
  <c r="F154" i="28"/>
  <c r="F81" i="28"/>
  <c r="K81" i="28" s="1"/>
  <c r="F77" i="28"/>
  <c r="F58" i="28"/>
  <c r="K97" i="28"/>
  <c r="K163" i="28" s="1"/>
  <c r="F92" i="28"/>
  <c r="F65" i="27"/>
  <c r="F16" i="27"/>
  <c r="K13" i="27"/>
  <c r="K21" i="27"/>
  <c r="K211" i="27" s="1"/>
  <c r="K41" i="2"/>
  <c r="K21" i="2"/>
  <c r="F104" i="2"/>
  <c r="F69" i="2"/>
  <c r="F35" i="2"/>
  <c r="K33" i="2"/>
  <c r="F101" i="2"/>
  <c r="F100" i="2"/>
  <c r="K100" i="2" s="1"/>
  <c r="F15" i="2"/>
  <c r="K96" i="28"/>
  <c r="K162" i="28" s="1"/>
  <c r="K17" i="28"/>
  <c r="K66" i="28" s="1"/>
  <c r="K20" i="27"/>
  <c r="F143" i="26"/>
  <c r="E67" i="47" s="1"/>
  <c r="F63" i="26"/>
  <c r="E50" i="47" s="1"/>
  <c r="F114" i="27"/>
  <c r="E137" i="47" s="1"/>
  <c r="F46" i="26"/>
  <c r="E44" i="47" s="1"/>
  <c r="F47" i="27"/>
  <c r="E113" i="47" s="1"/>
  <c r="F64" i="26"/>
  <c r="E51" i="47" s="1"/>
  <c r="F115" i="27"/>
  <c r="E138" i="47" s="1"/>
  <c r="F138" i="47" s="1"/>
  <c r="F194" i="26"/>
  <c r="E85" i="47" s="1"/>
  <c r="F144" i="26"/>
  <c r="E68" i="47" s="1"/>
  <c r="F177" i="26"/>
  <c r="E79" i="47" s="1"/>
  <c r="F62" i="26"/>
  <c r="C49" i="47" s="1"/>
  <c r="F113" i="27"/>
  <c r="C136" i="47" s="1"/>
  <c r="C137" i="47" s="1"/>
  <c r="F31" i="26"/>
  <c r="C38" i="47" s="1"/>
  <c r="F32" i="27"/>
  <c r="C107" i="47" s="1"/>
  <c r="C108" i="47" s="1"/>
  <c r="D108" i="47" s="1"/>
  <c r="F47" i="26"/>
  <c r="E45" i="47" s="1"/>
  <c r="F161" i="26"/>
  <c r="C72" i="47" s="1"/>
  <c r="F79" i="27"/>
  <c r="C124" i="47" s="1"/>
  <c r="C125" i="47" s="1"/>
  <c r="F212" i="26"/>
  <c r="E90" i="47" s="1"/>
  <c r="F132" i="27"/>
  <c r="E144" i="47" s="1"/>
  <c r="F45" i="26"/>
  <c r="C43" i="47" s="1"/>
  <c r="F46" i="27"/>
  <c r="C112" i="47" s="1"/>
  <c r="C113" i="47" s="1"/>
  <c r="D113" i="47" s="1"/>
  <c r="F193" i="26"/>
  <c r="E84" i="47" s="1"/>
  <c r="F176" i="26"/>
  <c r="E78" i="47" s="1"/>
  <c r="F100" i="27"/>
  <c r="E132" i="47" s="1"/>
  <c r="F192" i="26"/>
  <c r="C83" i="47" s="1"/>
  <c r="F175" i="26"/>
  <c r="C77" i="47" s="1"/>
  <c r="F99" i="27"/>
  <c r="C131" i="47" s="1"/>
  <c r="C132" i="47" s="1"/>
  <c r="D132" i="47" s="1"/>
  <c r="F32" i="26"/>
  <c r="E39" i="47" s="1"/>
  <c r="F33" i="27"/>
  <c r="E108" i="47" s="1"/>
  <c r="F142" i="26"/>
  <c r="C66" i="47" s="1"/>
  <c r="F162" i="26"/>
  <c r="E73" i="47" s="1"/>
  <c r="F80" i="27"/>
  <c r="E125" i="47" s="1"/>
  <c r="F213" i="26"/>
  <c r="E91" i="47" s="1"/>
  <c r="F211" i="26"/>
  <c r="C89" i="47" s="1"/>
  <c r="F131" i="27"/>
  <c r="C143" i="47" s="1"/>
  <c r="C144" i="47" s="1"/>
  <c r="D144" i="47" s="1"/>
  <c r="D119" i="47" l="1"/>
  <c r="D102" i="47"/>
  <c r="D103" i="47" s="1"/>
  <c r="D120" i="47"/>
  <c r="C62" i="47"/>
  <c r="D62" i="47" s="1"/>
  <c r="J77" i="47"/>
  <c r="C78" i="47"/>
  <c r="D78" i="47" s="1"/>
  <c r="E92" i="47"/>
  <c r="F90" i="47"/>
  <c r="F91" i="47" s="1"/>
  <c r="E52" i="47"/>
  <c r="F50" i="47"/>
  <c r="F51" i="47" s="1"/>
  <c r="D125" i="47"/>
  <c r="C126" i="47"/>
  <c r="C127" i="47" s="1"/>
  <c r="F67" i="47"/>
  <c r="F68" i="47" s="1"/>
  <c r="E69" i="47"/>
  <c r="J49" i="47"/>
  <c r="C50" i="47"/>
  <c r="D50" i="47" s="1"/>
  <c r="E128" i="47"/>
  <c r="F125" i="47"/>
  <c r="F127" i="47" s="1"/>
  <c r="F132" i="47"/>
  <c r="E133" i="47"/>
  <c r="J72" i="47"/>
  <c r="C73" i="47"/>
  <c r="D73" i="47" s="1"/>
  <c r="E155" i="47"/>
  <c r="E217" i="47" s="1"/>
  <c r="F154" i="47"/>
  <c r="E80" i="47"/>
  <c r="F78" i="47"/>
  <c r="F79" i="47" s="1"/>
  <c r="C34" i="47"/>
  <c r="D33" i="47"/>
  <c r="D34" i="47" s="1"/>
  <c r="C187" i="47"/>
  <c r="C188" i="47" s="1"/>
  <c r="D186" i="47"/>
  <c r="E104" i="47"/>
  <c r="F137" i="47"/>
  <c r="F139" i="47" s="1"/>
  <c r="E140" i="47"/>
  <c r="C84" i="47"/>
  <c r="J83" i="47"/>
  <c r="E86" i="47"/>
  <c r="F84" i="47"/>
  <c r="F85" i="47" s="1"/>
  <c r="F103" i="47"/>
  <c r="E145" i="47"/>
  <c r="F144" i="47"/>
  <c r="J89" i="47"/>
  <c r="C90" i="47"/>
  <c r="D90" i="47" s="1"/>
  <c r="F73" i="47"/>
  <c r="E74" i="47"/>
  <c r="J66" i="47"/>
  <c r="C67" i="47"/>
  <c r="D67" i="47" s="1"/>
  <c r="E109" i="47"/>
  <c r="F108" i="47"/>
  <c r="J38" i="47"/>
  <c r="C39" i="47"/>
  <c r="D39" i="47" s="1"/>
  <c r="F113" i="47"/>
  <c r="E114" i="47"/>
  <c r="D169" i="47"/>
  <c r="C170" i="47"/>
  <c r="C171" i="47" s="1"/>
  <c r="E40" i="47"/>
  <c r="F39" i="47"/>
  <c r="J43" i="47"/>
  <c r="C44" i="47"/>
  <c r="D44" i="47" s="1"/>
  <c r="C138" i="47"/>
  <c r="C139" i="47" s="1"/>
  <c r="D137" i="47"/>
  <c r="D138" i="47" s="1"/>
  <c r="D139" i="47" s="1"/>
  <c r="E46" i="47"/>
  <c r="F44" i="47"/>
  <c r="F45" i="47" s="1"/>
  <c r="E214" i="47"/>
  <c r="D27" i="47"/>
  <c r="D28" i="47" s="1"/>
  <c r="C16" i="47"/>
  <c r="D16" i="47" s="1"/>
  <c r="F17" i="47"/>
  <c r="J9" i="47"/>
  <c r="C10" i="47"/>
  <c r="D10" i="47" s="1"/>
  <c r="F112" i="26"/>
  <c r="F145" i="27"/>
  <c r="F129" i="26"/>
  <c r="F259" i="26"/>
  <c r="K259" i="26" s="1"/>
  <c r="K217" i="26"/>
  <c r="K216" i="26"/>
  <c r="F214" i="26"/>
  <c r="F178" i="26"/>
  <c r="F263" i="26"/>
  <c r="F264" i="26" s="1"/>
  <c r="K264" i="26" s="1"/>
  <c r="F195" i="26"/>
  <c r="K200" i="26"/>
  <c r="K199" i="26"/>
  <c r="K198" i="26"/>
  <c r="F145" i="26"/>
  <c r="K150" i="26"/>
  <c r="K148" i="26"/>
  <c r="K149" i="26"/>
  <c r="F242" i="26"/>
  <c r="F260" i="26"/>
  <c r="F133" i="26"/>
  <c r="K133" i="26" s="1"/>
  <c r="F48" i="26"/>
  <c r="F65" i="26"/>
  <c r="F299" i="28"/>
  <c r="K307" i="28"/>
  <c r="K308" i="28"/>
  <c r="K176" i="28"/>
  <c r="F177" i="28"/>
  <c r="K177" i="28" s="1"/>
  <c r="F163" i="27"/>
  <c r="K120" i="27"/>
  <c r="F117" i="27"/>
  <c r="F166" i="27"/>
  <c r="F167" i="27" s="1"/>
  <c r="K167" i="27" s="1"/>
  <c r="F83" i="27"/>
  <c r="K88" i="27"/>
  <c r="K168" i="27"/>
  <c r="F162" i="27"/>
  <c r="K91" i="2"/>
  <c r="K106" i="2"/>
  <c r="F105" i="2"/>
  <c r="K105" i="2" s="1"/>
  <c r="K104" i="2"/>
  <c r="K87" i="27"/>
  <c r="K152" i="27" s="1"/>
  <c r="K224" i="27" s="1"/>
  <c r="D187" i="47" l="1"/>
  <c r="D188" i="47" s="1"/>
  <c r="C79" i="47"/>
  <c r="D79" i="47" s="1"/>
  <c r="E211" i="47"/>
  <c r="E215" i="47"/>
  <c r="C68" i="47"/>
  <c r="D68" i="47" s="1"/>
  <c r="C51" i="47"/>
  <c r="D51" i="47" s="1"/>
  <c r="C91" i="47"/>
  <c r="D91" i="47" s="1"/>
  <c r="J221" i="47"/>
  <c r="E216" i="47"/>
  <c r="D126" i="47"/>
  <c r="D127" i="47" s="1"/>
  <c r="D170" i="47"/>
  <c r="D171" i="47" s="1"/>
  <c r="C85" i="47"/>
  <c r="D84" i="47"/>
  <c r="C45" i="47"/>
  <c r="D45" i="47" s="1"/>
  <c r="C17" i="47"/>
  <c r="D17" i="47" s="1"/>
  <c r="C11" i="47"/>
  <c r="D11" i="47" s="1"/>
  <c r="F272" i="26"/>
  <c r="K153" i="27"/>
  <c r="K225" i="27" s="1"/>
  <c r="F134" i="26"/>
  <c r="K134" i="26" s="1"/>
  <c r="K263" i="26"/>
  <c r="F130" i="26"/>
  <c r="K250" i="26"/>
  <c r="K70" i="26"/>
  <c r="K265" i="26" s="1"/>
  <c r="F217" i="27"/>
  <c r="K166" i="27"/>
  <c r="D85" i="47" l="1"/>
  <c r="E218" i="47"/>
  <c r="K120" i="26"/>
  <c r="K280" i="26" s="1"/>
  <c r="K135" i="26"/>
  <c r="K67" i="27" l="1"/>
  <c r="K94" i="28"/>
  <c r="K86" i="27"/>
  <c r="K49" i="27"/>
  <c r="K15" i="28"/>
  <c r="K85" i="27"/>
  <c r="K119" i="27"/>
  <c r="K46" i="28"/>
  <c r="K95" i="28"/>
  <c r="K161" i="28" s="1"/>
  <c r="K18" i="27"/>
  <c r="K16" i="28"/>
  <c r="K65" i="28" s="1"/>
  <c r="K64" i="28" l="1"/>
  <c r="K207" i="27"/>
  <c r="M207" i="27" s="1"/>
  <c r="K306" i="28"/>
  <c r="J224" i="47" s="1"/>
  <c r="K164" i="27"/>
  <c r="K150" i="27"/>
  <c r="K222" i="27" s="1"/>
  <c r="N207" i="27" l="1"/>
  <c r="K13" i="2" l="1"/>
  <c r="K14" i="2"/>
  <c r="K40" i="2"/>
  <c r="K20" i="2"/>
  <c r="K19" i="2"/>
  <c r="K66" i="2"/>
  <c r="K68" i="2"/>
  <c r="K39" i="2"/>
  <c r="K67" i="2"/>
  <c r="K52" i="2"/>
  <c r="K18" i="2" l="1"/>
  <c r="K38" i="2"/>
  <c r="K17" i="2"/>
  <c r="K37" i="2"/>
  <c r="K85" i="2"/>
  <c r="K90" i="2"/>
  <c r="K89" i="2"/>
  <c r="K87" i="2" l="1"/>
  <c r="K88" i="2"/>
  <c r="K102" i="2"/>
  <c r="K103" i="2"/>
  <c r="K19" i="26" l="1"/>
  <c r="K194" i="26"/>
  <c r="K17" i="26"/>
  <c r="K228" i="26"/>
  <c r="K213" i="26"/>
  <c r="K46" i="26"/>
  <c r="K13" i="26"/>
  <c r="K161" i="26"/>
  <c r="K14" i="26"/>
  <c r="K142" i="26"/>
  <c r="K175" i="26"/>
  <c r="K177" i="26"/>
  <c r="K96" i="26"/>
  <c r="K63" i="26"/>
  <c r="K144" i="26"/>
  <c r="K211" i="26"/>
  <c r="K147" i="26"/>
  <c r="K18" i="26"/>
  <c r="K12" i="26"/>
  <c r="K31" i="26"/>
  <c r="K67" i="26"/>
  <c r="K64" i="26"/>
  <c r="K69" i="26"/>
  <c r="K143" i="26"/>
  <c r="K193" i="26"/>
  <c r="K68" i="26"/>
  <c r="K197" i="26"/>
  <c r="K176" i="26"/>
  <c r="K97" i="26"/>
  <c r="K81" i="26"/>
  <c r="K180" i="26"/>
  <c r="K192" i="26"/>
  <c r="K47" i="26"/>
  <c r="K212" i="26"/>
  <c r="K115" i="27"/>
  <c r="K62" i="27"/>
  <c r="K64" i="27"/>
  <c r="K114" i="27"/>
  <c r="K116" i="27"/>
  <c r="K63" i="27"/>
  <c r="K12" i="28"/>
  <c r="K138" i="28"/>
  <c r="K198" i="28"/>
  <c r="K29" i="28"/>
  <c r="K43" i="28"/>
  <c r="K122" i="28"/>
  <c r="K242" i="28"/>
  <c r="K184" i="28"/>
  <c r="K108" i="28"/>
  <c r="K139" i="28"/>
  <c r="K91" i="28"/>
  <c r="K136" i="28"/>
  <c r="K90" i="28"/>
  <c r="K137" i="28"/>
  <c r="K256" i="28"/>
  <c r="K89" i="28"/>
  <c r="K88" i="28"/>
  <c r="K216" i="28" l="1"/>
  <c r="K249" i="26"/>
  <c r="K245" i="26"/>
  <c r="K247" i="26"/>
  <c r="K248" i="26"/>
  <c r="K118" i="26"/>
  <c r="K119" i="26"/>
  <c r="K274" i="28"/>
  <c r="K158" i="28"/>
  <c r="K62" i="28"/>
  <c r="K279" i="26" l="1"/>
  <c r="K278" i="26"/>
  <c r="J222" i="47" s="1"/>
  <c r="K303" i="28"/>
  <c r="K76" i="28" l="1"/>
  <c r="M79" i="28" l="1"/>
  <c r="N79" i="28" s="1"/>
  <c r="K129" i="26" l="1"/>
  <c r="M132" i="26" l="1"/>
  <c r="N132" i="26" s="1"/>
  <c r="K19" i="27" l="1"/>
  <c r="K151" i="27" l="1"/>
  <c r="K95" i="26" l="1"/>
  <c r="K62" i="26"/>
  <c r="K223" i="27"/>
  <c r="J223" i="47" s="1"/>
  <c r="J225" i="47" s="1"/>
  <c r="K45" i="26"/>
  <c r="K115" i="26" l="1"/>
  <c r="K275" i="26" l="1"/>
  <c r="H125" i="25" l="1"/>
  <c r="H124" i="25"/>
  <c r="H130" i="25"/>
  <c r="H126" i="25"/>
  <c r="H129" i="25"/>
  <c r="G175" i="27"/>
  <c r="G149" i="47" s="1"/>
  <c r="H149" i="47" s="1"/>
  <c r="H150" i="47" s="1"/>
  <c r="H128" i="25"/>
  <c r="H175" i="27" l="1"/>
  <c r="H192" i="27" s="1"/>
  <c r="F42" i="46"/>
  <c r="G62" i="26"/>
  <c r="G67" i="2"/>
  <c r="G27" i="47" s="1"/>
  <c r="H27" i="47" s="1"/>
  <c r="G33" i="2"/>
  <c r="G16" i="47" s="1"/>
  <c r="H16" i="47" s="1"/>
  <c r="G13" i="2"/>
  <c r="G10" i="47" s="1"/>
  <c r="H10" i="47" s="1"/>
  <c r="G88" i="28"/>
  <c r="G168" i="47" s="1"/>
  <c r="H168" i="47" s="1"/>
  <c r="G122" i="28"/>
  <c r="G108" i="28"/>
  <c r="G136" i="28"/>
  <c r="G109" i="28"/>
  <c r="G176" i="47" s="1"/>
  <c r="H176" i="47" s="1"/>
  <c r="G38" i="2"/>
  <c r="H38" i="2" s="1"/>
  <c r="M38" i="2" s="1"/>
  <c r="N38" i="2" s="1"/>
  <c r="G18" i="2"/>
  <c r="H18" i="2" s="1"/>
  <c r="G256" i="28"/>
  <c r="G242" i="28"/>
  <c r="G202" i="47" s="1"/>
  <c r="H202" i="47" s="1"/>
  <c r="G15" i="28"/>
  <c r="H15" i="28" s="1"/>
  <c r="G50" i="26"/>
  <c r="G180" i="26"/>
  <c r="H180" i="26" s="1"/>
  <c r="M180" i="26" s="1"/>
  <c r="N180" i="26" s="1"/>
  <c r="G17" i="2"/>
  <c r="H17" i="2" s="1"/>
  <c r="G17" i="26"/>
  <c r="H17" i="26" s="1"/>
  <c r="G94" i="28"/>
  <c r="H94" i="28" s="1"/>
  <c r="G67" i="26"/>
  <c r="H67" i="26" s="1"/>
  <c r="M67" i="26" s="1"/>
  <c r="N67" i="26" s="1"/>
  <c r="G49" i="27"/>
  <c r="H49" i="27" s="1"/>
  <c r="M49" i="27" s="1"/>
  <c r="N49" i="27" s="1"/>
  <c r="G18" i="27"/>
  <c r="H18" i="27" s="1"/>
  <c r="G197" i="26"/>
  <c r="H197" i="26" s="1"/>
  <c r="M197" i="26" s="1"/>
  <c r="N197" i="26" s="1"/>
  <c r="G67" i="27"/>
  <c r="H67" i="27" s="1"/>
  <c r="M67" i="27" s="1"/>
  <c r="N67" i="27" s="1"/>
  <c r="G142" i="28"/>
  <c r="G216" i="26"/>
  <c r="H216" i="26" s="1"/>
  <c r="M216" i="26" s="1"/>
  <c r="N216" i="26" s="1"/>
  <c r="G46" i="28"/>
  <c r="H46" i="28" s="1"/>
  <c r="M46" i="28" s="1"/>
  <c r="N46" i="28" s="1"/>
  <c r="G119" i="27"/>
  <c r="H119" i="27" s="1"/>
  <c r="M119" i="27" s="1"/>
  <c r="N119" i="27" s="1"/>
  <c r="G100" i="26"/>
  <c r="G147" i="26"/>
  <c r="H147" i="26" s="1"/>
  <c r="G37" i="2"/>
  <c r="H37" i="2" s="1"/>
  <c r="G85" i="27"/>
  <c r="H85" i="27" s="1"/>
  <c r="M85" i="27" s="1"/>
  <c r="N85" i="27" s="1"/>
  <c r="G185" i="28"/>
  <c r="G193" i="47" s="1"/>
  <c r="H193" i="47" s="1"/>
  <c r="G12" i="2"/>
  <c r="G66" i="2"/>
  <c r="G26" i="47" s="1"/>
  <c r="H26" i="47" s="1"/>
  <c r="G52" i="2"/>
  <c r="G21" i="47" s="1"/>
  <c r="H21" i="47" s="1"/>
  <c r="G32" i="2"/>
  <c r="G15" i="47" s="1"/>
  <c r="H15" i="47" s="1"/>
  <c r="G64" i="27"/>
  <c r="G116" i="27"/>
  <c r="G82" i="27"/>
  <c r="G15" i="27"/>
  <c r="G103" i="47" s="1"/>
  <c r="H103" i="47" s="1"/>
  <c r="G29" i="28"/>
  <c r="G12" i="28"/>
  <c r="G153" i="47" s="1"/>
  <c r="H153" i="47" s="1"/>
  <c r="G43" i="28"/>
  <c r="G30" i="28"/>
  <c r="G159" i="47" s="1"/>
  <c r="H159" i="47" s="1"/>
  <c r="G123" i="28"/>
  <c r="G181" i="47" s="1"/>
  <c r="H181" i="47" s="1"/>
  <c r="G184" i="28"/>
  <c r="G192" i="47" s="1"/>
  <c r="H192" i="47" s="1"/>
  <c r="H194" i="47" s="1"/>
  <c r="G198" i="28"/>
  <c r="G62" i="27"/>
  <c r="G114" i="27"/>
  <c r="G80" i="27"/>
  <c r="G13" i="27"/>
  <c r="G101" i="47" s="1"/>
  <c r="H101" i="47" s="1"/>
  <c r="G243" i="28"/>
  <c r="G203" i="47" s="1"/>
  <c r="H203" i="47" s="1"/>
  <c r="G199" i="28"/>
  <c r="G198" i="47" s="1"/>
  <c r="H198" i="47" s="1"/>
  <c r="G257" i="28"/>
  <c r="G208" i="47" s="1"/>
  <c r="H208" i="47" s="1"/>
  <c r="G47" i="26"/>
  <c r="G64" i="26"/>
  <c r="G14" i="26"/>
  <c r="G34" i="47" s="1"/>
  <c r="H34" i="47" s="1"/>
  <c r="G97" i="26"/>
  <c r="G139" i="28"/>
  <c r="G91" i="28"/>
  <c r="G171" i="47" s="1"/>
  <c r="H171" i="47" s="1"/>
  <c r="H204" i="47" l="1"/>
  <c r="H43" i="28"/>
  <c r="G163" i="47"/>
  <c r="H163" i="47" s="1"/>
  <c r="H256" i="28"/>
  <c r="G207" i="47"/>
  <c r="H207" i="47" s="1"/>
  <c r="H209" i="47" s="1"/>
  <c r="H122" i="28"/>
  <c r="G180" i="47"/>
  <c r="H180" i="47" s="1"/>
  <c r="H182" i="47" s="1"/>
  <c r="H97" i="26"/>
  <c r="M97" i="26" s="1"/>
  <c r="N97" i="26" s="1"/>
  <c r="G62" i="47"/>
  <c r="H62" i="47" s="1"/>
  <c r="H114" i="27"/>
  <c r="G137" i="47"/>
  <c r="H137" i="47" s="1"/>
  <c r="H29" i="28"/>
  <c r="G158" i="47"/>
  <c r="H158" i="47" s="1"/>
  <c r="H160" i="47" s="1"/>
  <c r="H64" i="27"/>
  <c r="N64" i="27" s="1"/>
  <c r="G120" i="47"/>
  <c r="H120" i="47" s="1"/>
  <c r="H139" i="28"/>
  <c r="G188" i="47"/>
  <c r="H188" i="47" s="1"/>
  <c r="H80" i="27"/>
  <c r="G125" i="47"/>
  <c r="H125" i="47" s="1"/>
  <c r="H64" i="26"/>
  <c r="M64" i="26" s="1"/>
  <c r="N64" i="26" s="1"/>
  <c r="G51" i="47"/>
  <c r="H51" i="47" s="1"/>
  <c r="H62" i="27"/>
  <c r="G118" i="47"/>
  <c r="H118" i="47" s="1"/>
  <c r="H62" i="26"/>
  <c r="M62" i="26" s="1"/>
  <c r="N62" i="26" s="1"/>
  <c r="G49" i="47"/>
  <c r="H49" i="47" s="1"/>
  <c r="H47" i="26"/>
  <c r="N47" i="26" s="1"/>
  <c r="G45" i="47"/>
  <c r="H45" i="47" s="1"/>
  <c r="H198" i="28"/>
  <c r="G197" i="47"/>
  <c r="H197" i="47" s="1"/>
  <c r="H199" i="47" s="1"/>
  <c r="H82" i="27"/>
  <c r="N82" i="27" s="1"/>
  <c r="G127" i="47"/>
  <c r="H127" i="47" s="1"/>
  <c r="H136" i="28"/>
  <c r="M136" i="28" s="1"/>
  <c r="N136" i="28" s="1"/>
  <c r="G185" i="47"/>
  <c r="H185" i="47" s="1"/>
  <c r="H116" i="27"/>
  <c r="N116" i="27" s="1"/>
  <c r="G139" i="47"/>
  <c r="H139" i="47" s="1"/>
  <c r="H108" i="28"/>
  <c r="G175" i="47"/>
  <c r="H175" i="47" s="1"/>
  <c r="H177" i="47" s="1"/>
  <c r="I11" i="46"/>
  <c r="G9" i="47"/>
  <c r="H9" i="47" s="1"/>
  <c r="G31" i="26"/>
  <c r="G45" i="26"/>
  <c r="G12" i="26"/>
  <c r="G81" i="26"/>
  <c r="G95" i="26"/>
  <c r="H206" i="27"/>
  <c r="I56" i="46"/>
  <c r="K56" i="46" s="1"/>
  <c r="I57" i="46"/>
  <c r="K57" i="46" s="1"/>
  <c r="H109" i="28"/>
  <c r="F50" i="46"/>
  <c r="I44" i="46"/>
  <c r="K44" i="46" s="1"/>
  <c r="I45" i="46"/>
  <c r="K45" i="46" s="1"/>
  <c r="I43" i="46"/>
  <c r="K43" i="46" s="1"/>
  <c r="H199" i="28"/>
  <c r="F57" i="46"/>
  <c r="H123" i="28"/>
  <c r="F51" i="46"/>
  <c r="H15" i="27"/>
  <c r="N15" i="27" s="1"/>
  <c r="F34" i="46"/>
  <c r="F40" i="46"/>
  <c r="I15" i="46"/>
  <c r="K15" i="46" s="1"/>
  <c r="I14" i="46"/>
  <c r="K14" i="46" s="1"/>
  <c r="K11" i="46"/>
  <c r="I8" i="46"/>
  <c r="K8" i="46" s="1"/>
  <c r="H13" i="27"/>
  <c r="N13" i="27" s="1"/>
  <c r="F32" i="46"/>
  <c r="F38" i="46"/>
  <c r="I21" i="46"/>
  <c r="K21" i="46" s="1"/>
  <c r="I18" i="46"/>
  <c r="K18" i="46" s="1"/>
  <c r="I58" i="46"/>
  <c r="I59" i="46"/>
  <c r="K59" i="46" s="1"/>
  <c r="H185" i="28"/>
  <c r="F56" i="46"/>
  <c r="F11" i="46"/>
  <c r="F8" i="46"/>
  <c r="F15" i="46"/>
  <c r="H30" i="28"/>
  <c r="F44" i="46"/>
  <c r="H257" i="28"/>
  <c r="F59" i="46"/>
  <c r="H243" i="28"/>
  <c r="F58" i="46"/>
  <c r="H14" i="26"/>
  <c r="N14" i="26" s="1"/>
  <c r="F19" i="46"/>
  <c r="F23" i="46"/>
  <c r="H91" i="28"/>
  <c r="N91" i="28" s="1"/>
  <c r="F48" i="46"/>
  <c r="F54" i="46"/>
  <c r="I50" i="46"/>
  <c r="K50" i="46" s="1"/>
  <c r="I51" i="46"/>
  <c r="K51" i="46" s="1"/>
  <c r="I52" i="46"/>
  <c r="K52" i="46" s="1"/>
  <c r="I46" i="46"/>
  <c r="K46" i="46" s="1"/>
  <c r="H32" i="2"/>
  <c r="M32" i="2" s="1"/>
  <c r="N32" i="2" s="1"/>
  <c r="H52" i="2"/>
  <c r="M52" i="2" s="1"/>
  <c r="H13" i="2"/>
  <c r="N13" i="2" s="1"/>
  <c r="H66" i="2"/>
  <c r="M66" i="2" s="1"/>
  <c r="H33" i="2"/>
  <c r="N33" i="2" s="1"/>
  <c r="H67" i="2"/>
  <c r="N67" i="2" s="1"/>
  <c r="G53" i="2"/>
  <c r="G14" i="2"/>
  <c r="G11" i="47" s="1"/>
  <c r="H11" i="47" s="1"/>
  <c r="G68" i="2"/>
  <c r="G28" i="47" s="1"/>
  <c r="H28" i="47" s="1"/>
  <c r="H29" i="47" s="1"/>
  <c r="G34" i="2"/>
  <c r="G17" i="47" s="1"/>
  <c r="H17" i="47" s="1"/>
  <c r="H18" i="47" s="1"/>
  <c r="G212" i="26"/>
  <c r="G193" i="26"/>
  <c r="G176" i="26"/>
  <c r="G143" i="26"/>
  <c r="G67" i="47" s="1"/>
  <c r="H67" i="47" s="1"/>
  <c r="M94" i="28"/>
  <c r="N94" i="28" s="1"/>
  <c r="M256" i="28"/>
  <c r="G149" i="26"/>
  <c r="H149" i="26" s="1"/>
  <c r="G96" i="28"/>
  <c r="H96" i="28" s="1"/>
  <c r="G199" i="26"/>
  <c r="H199" i="26" s="1"/>
  <c r="M199" i="26" s="1"/>
  <c r="N199" i="26" s="1"/>
  <c r="G19" i="26"/>
  <c r="H19" i="26" s="1"/>
  <c r="G17" i="28"/>
  <c r="H17" i="28" s="1"/>
  <c r="G20" i="27"/>
  <c r="H20" i="27" s="1"/>
  <c r="G87" i="27"/>
  <c r="H87" i="27" s="1"/>
  <c r="M87" i="27" s="1"/>
  <c r="N87" i="27" s="1"/>
  <c r="G69" i="26"/>
  <c r="H69" i="26" s="1"/>
  <c r="M69" i="26" s="1"/>
  <c r="N69" i="26" s="1"/>
  <c r="G40" i="2"/>
  <c r="H40" i="2" s="1"/>
  <c r="M40" i="2" s="1"/>
  <c r="N40" i="2" s="1"/>
  <c r="G20" i="2"/>
  <c r="H20" i="2" s="1"/>
  <c r="G13" i="26"/>
  <c r="G33" i="47" s="1"/>
  <c r="H33" i="47" s="1"/>
  <c r="G96" i="26"/>
  <c r="G46" i="26"/>
  <c r="G63" i="26"/>
  <c r="N80" i="27"/>
  <c r="M17" i="26"/>
  <c r="N17" i="26" s="1"/>
  <c r="G90" i="28"/>
  <c r="G170" i="47" s="1"/>
  <c r="H170" i="47" s="1"/>
  <c r="G138" i="28"/>
  <c r="G161" i="26"/>
  <c r="G211" i="26"/>
  <c r="G228" i="26"/>
  <c r="G175" i="26"/>
  <c r="G192" i="26"/>
  <c r="G142" i="26"/>
  <c r="G66" i="47" s="1"/>
  <c r="H66" i="47" s="1"/>
  <c r="G79" i="27"/>
  <c r="G61" i="27"/>
  <c r="G131" i="27"/>
  <c r="G99" i="27"/>
  <c r="G113" i="27"/>
  <c r="G46" i="27"/>
  <c r="G12" i="27"/>
  <c r="G100" i="47" s="1"/>
  <c r="H100" i="47" s="1"/>
  <c r="G32" i="27"/>
  <c r="N114" i="27"/>
  <c r="H142" i="28"/>
  <c r="H160" i="28" s="1"/>
  <c r="J142" i="28"/>
  <c r="K142" i="28" s="1"/>
  <c r="H102" i="2"/>
  <c r="M102" i="2" s="1"/>
  <c r="N102" i="2" s="1"/>
  <c r="H87" i="2"/>
  <c r="M87" i="2" s="1"/>
  <c r="N87" i="2" s="1"/>
  <c r="M17" i="2"/>
  <c r="N17" i="2" s="1"/>
  <c r="G82" i="26"/>
  <c r="G32" i="26"/>
  <c r="G39" i="47" s="1"/>
  <c r="H39" i="47" s="1"/>
  <c r="G162" i="26"/>
  <c r="G73" i="47" s="1"/>
  <c r="H73" i="47" s="1"/>
  <c r="G229" i="26"/>
  <c r="G63" i="27"/>
  <c r="G115" i="27"/>
  <c r="G14" i="27"/>
  <c r="G102" i="47" s="1"/>
  <c r="H102" i="47" s="1"/>
  <c r="G81" i="27"/>
  <c r="N62" i="27"/>
  <c r="G100" i="2"/>
  <c r="H12" i="2"/>
  <c r="M18" i="2"/>
  <c r="N18" i="2" s="1"/>
  <c r="H103" i="2"/>
  <c r="M103" i="2" s="1"/>
  <c r="N103" i="2" s="1"/>
  <c r="H88" i="2"/>
  <c r="M88" i="2" s="1"/>
  <c r="N88" i="2" s="1"/>
  <c r="M198" i="28"/>
  <c r="M43" i="28"/>
  <c r="M37" i="2"/>
  <c r="N37" i="2" s="1"/>
  <c r="H50" i="26"/>
  <c r="J50" i="26"/>
  <c r="K50" i="26" s="1"/>
  <c r="G137" i="28"/>
  <c r="G89" i="28"/>
  <c r="G169" i="47" s="1"/>
  <c r="H169" i="47" s="1"/>
  <c r="H172" i="47" s="1"/>
  <c r="G144" i="26"/>
  <c r="G68" i="47" s="1"/>
  <c r="H68" i="47" s="1"/>
  <c r="G194" i="26"/>
  <c r="G213" i="26"/>
  <c r="G177" i="26"/>
  <c r="G288" i="28"/>
  <c r="H242" i="28"/>
  <c r="G172" i="28"/>
  <c r="H88" i="28"/>
  <c r="G19" i="2"/>
  <c r="H19" i="2" s="1"/>
  <c r="G39" i="2"/>
  <c r="H39" i="2" s="1"/>
  <c r="M39" i="2" s="1"/>
  <c r="N39" i="2" s="1"/>
  <c r="G230" i="28"/>
  <c r="H184" i="28"/>
  <c r="G76" i="28"/>
  <c r="H12" i="28"/>
  <c r="H247" i="26"/>
  <c r="M247" i="26" s="1"/>
  <c r="N247" i="26" s="1"/>
  <c r="H261" i="26"/>
  <c r="M147" i="26"/>
  <c r="N147" i="26" s="1"/>
  <c r="M18" i="27"/>
  <c r="N18" i="27" s="1"/>
  <c r="H164" i="27"/>
  <c r="M164" i="27" s="1"/>
  <c r="N164" i="27" s="1"/>
  <c r="H150" i="27"/>
  <c r="H64" i="28"/>
  <c r="M15" i="28"/>
  <c r="N15" i="28" s="1"/>
  <c r="H78" i="28"/>
  <c r="M78" i="28" s="1"/>
  <c r="N78" i="28" s="1"/>
  <c r="M108" i="28"/>
  <c r="G132" i="27"/>
  <c r="G33" i="27"/>
  <c r="G108" i="47" s="1"/>
  <c r="H108" i="47" s="1"/>
  <c r="G13" i="28"/>
  <c r="G154" i="47" s="1"/>
  <c r="H154" i="47" s="1"/>
  <c r="H155" i="47" s="1"/>
  <c r="G44" i="28"/>
  <c r="M29" i="28"/>
  <c r="G19" i="27"/>
  <c r="H19" i="27" s="1"/>
  <c r="G18" i="26"/>
  <c r="H18" i="26" s="1"/>
  <c r="G86" i="27"/>
  <c r="H86" i="27" s="1"/>
  <c r="M86" i="27" s="1"/>
  <c r="N86" i="27" s="1"/>
  <c r="G198" i="26"/>
  <c r="H198" i="26" s="1"/>
  <c r="M198" i="26" s="1"/>
  <c r="N198" i="26" s="1"/>
  <c r="G68" i="26"/>
  <c r="H68" i="26" s="1"/>
  <c r="M68" i="26" s="1"/>
  <c r="N68" i="26" s="1"/>
  <c r="G95" i="28"/>
  <c r="H95" i="28" s="1"/>
  <c r="G16" i="28"/>
  <c r="H16" i="28" s="1"/>
  <c r="G148" i="26"/>
  <c r="H148" i="26" s="1"/>
  <c r="H100" i="26"/>
  <c r="J100" i="26"/>
  <c r="K100" i="26" s="1"/>
  <c r="G129" i="26"/>
  <c r="H12" i="26"/>
  <c r="M122" i="28"/>
  <c r="H79" i="27" l="1"/>
  <c r="G124" i="47"/>
  <c r="H124" i="47" s="1"/>
  <c r="H95" i="26"/>
  <c r="M95" i="26" s="1"/>
  <c r="N95" i="26" s="1"/>
  <c r="G60" i="47"/>
  <c r="H60" i="47" s="1"/>
  <c r="H61" i="27"/>
  <c r="G117" i="47"/>
  <c r="H117" i="47" s="1"/>
  <c r="H44" i="28"/>
  <c r="G164" i="47"/>
  <c r="H164" i="47" s="1"/>
  <c r="H177" i="26"/>
  <c r="N177" i="26" s="1"/>
  <c r="G79" i="47"/>
  <c r="H79" i="47" s="1"/>
  <c r="H82" i="26"/>
  <c r="G56" i="47"/>
  <c r="H56" i="47" s="1"/>
  <c r="H32" i="27"/>
  <c r="G107" i="47"/>
  <c r="H107" i="47" s="1"/>
  <c r="H109" i="47" s="1"/>
  <c r="H69" i="47"/>
  <c r="H81" i="26"/>
  <c r="M81" i="26" s="1"/>
  <c r="N81" i="26" s="1"/>
  <c r="G55" i="47"/>
  <c r="H55" i="47" s="1"/>
  <c r="H138" i="28"/>
  <c r="G187" i="47"/>
  <c r="H187" i="47" s="1"/>
  <c r="H213" i="26"/>
  <c r="N213" i="26" s="1"/>
  <c r="G91" i="47"/>
  <c r="H91" i="47" s="1"/>
  <c r="H81" i="27"/>
  <c r="N81" i="27" s="1"/>
  <c r="G126" i="47"/>
  <c r="H126" i="47" s="1"/>
  <c r="H104" i="47"/>
  <c r="H192" i="26"/>
  <c r="M192" i="26" s="1"/>
  <c r="N192" i="26" s="1"/>
  <c r="G83" i="47"/>
  <c r="H83" i="47" s="1"/>
  <c r="I22" i="46"/>
  <c r="K22" i="46" s="1"/>
  <c r="G32" i="47"/>
  <c r="H32" i="47" s="1"/>
  <c r="H35" i="47" s="1"/>
  <c r="H194" i="26"/>
  <c r="N194" i="26" s="1"/>
  <c r="G85" i="47"/>
  <c r="H85" i="47" s="1"/>
  <c r="H46" i="27"/>
  <c r="G112" i="47"/>
  <c r="H112" i="47" s="1"/>
  <c r="H175" i="26"/>
  <c r="M175" i="26" s="1"/>
  <c r="N175" i="26" s="1"/>
  <c r="G77" i="47"/>
  <c r="H77" i="47" s="1"/>
  <c r="H63" i="26"/>
  <c r="M63" i="26" s="1"/>
  <c r="N63" i="26" s="1"/>
  <c r="G50" i="47"/>
  <c r="H50" i="47" s="1"/>
  <c r="H52" i="47" s="1"/>
  <c r="H45" i="26"/>
  <c r="M45" i="26" s="1"/>
  <c r="N45" i="26" s="1"/>
  <c r="G43" i="47"/>
  <c r="H43" i="47" s="1"/>
  <c r="H165" i="47"/>
  <c r="H132" i="27"/>
  <c r="G144" i="47"/>
  <c r="H144" i="47" s="1"/>
  <c r="H115" i="27"/>
  <c r="N115" i="27" s="1"/>
  <c r="G138" i="47"/>
  <c r="H138" i="47" s="1"/>
  <c r="H113" i="27"/>
  <c r="G136" i="47"/>
  <c r="H136" i="47" s="1"/>
  <c r="H228" i="26"/>
  <c r="G95" i="47"/>
  <c r="H95" i="47" s="1"/>
  <c r="H46" i="26"/>
  <c r="G44" i="47"/>
  <c r="H44" i="47" s="1"/>
  <c r="H176" i="26"/>
  <c r="H178" i="26" s="1"/>
  <c r="G78" i="47"/>
  <c r="H78" i="47" s="1"/>
  <c r="H31" i="26"/>
  <c r="M31" i="26" s="1"/>
  <c r="G38" i="47"/>
  <c r="H38" i="47" s="1"/>
  <c r="H40" i="47" s="1"/>
  <c r="H63" i="27"/>
  <c r="N63" i="27" s="1"/>
  <c r="G119" i="47"/>
  <c r="H119" i="47" s="1"/>
  <c r="H99" i="27"/>
  <c r="G131" i="47"/>
  <c r="H131" i="47" s="1"/>
  <c r="H211" i="26"/>
  <c r="M211" i="26" s="1"/>
  <c r="N211" i="26" s="1"/>
  <c r="G89" i="47"/>
  <c r="H89" i="47" s="1"/>
  <c r="H96" i="26"/>
  <c r="G61" i="47"/>
  <c r="H61" i="47" s="1"/>
  <c r="H193" i="26"/>
  <c r="G84" i="47"/>
  <c r="H84" i="47" s="1"/>
  <c r="H137" i="28"/>
  <c r="G186" i="47"/>
  <c r="H186" i="47" s="1"/>
  <c r="H229" i="26"/>
  <c r="G96" i="47"/>
  <c r="H96" i="47" s="1"/>
  <c r="H131" i="27"/>
  <c r="G143" i="47"/>
  <c r="H143" i="47" s="1"/>
  <c r="H145" i="47" s="1"/>
  <c r="H161" i="26"/>
  <c r="G72" i="47"/>
  <c r="H72" i="47" s="1"/>
  <c r="H74" i="47" s="1"/>
  <c r="H212" i="26"/>
  <c r="G90" i="47"/>
  <c r="H90" i="47" s="1"/>
  <c r="F14" i="46"/>
  <c r="G22" i="47"/>
  <c r="H22" i="47" s="1"/>
  <c r="H23" i="47" s="1"/>
  <c r="H12" i="47"/>
  <c r="K58" i="46"/>
  <c r="H289" i="28"/>
  <c r="H217" i="28"/>
  <c r="H275" i="28"/>
  <c r="H231" i="28"/>
  <c r="F16" i="46"/>
  <c r="F12" i="46"/>
  <c r="F9" i="46"/>
  <c r="H13" i="28"/>
  <c r="H77" i="28" s="1"/>
  <c r="F45" i="46"/>
  <c r="F43" i="46"/>
  <c r="H143" i="26"/>
  <c r="N143" i="26" s="1"/>
  <c r="F29" i="46"/>
  <c r="F25" i="46"/>
  <c r="H14" i="27"/>
  <c r="N14" i="27" s="1"/>
  <c r="F33" i="46"/>
  <c r="F39" i="46"/>
  <c r="H144" i="26"/>
  <c r="N144" i="26" s="1"/>
  <c r="F30" i="46"/>
  <c r="F26" i="46"/>
  <c r="H32" i="26"/>
  <c r="F21" i="46"/>
  <c r="H90" i="28"/>
  <c r="N90" i="28" s="1"/>
  <c r="F47" i="46"/>
  <c r="F53" i="46"/>
  <c r="H13" i="26"/>
  <c r="N13" i="26" s="1"/>
  <c r="F22" i="46"/>
  <c r="F18" i="46"/>
  <c r="H33" i="27"/>
  <c r="F36" i="46"/>
  <c r="H162" i="26"/>
  <c r="H89" i="28"/>
  <c r="F46" i="46"/>
  <c r="F52" i="46"/>
  <c r="I29" i="46"/>
  <c r="K29" i="46" s="1"/>
  <c r="I25" i="46"/>
  <c r="K25" i="46" s="1"/>
  <c r="I28" i="46"/>
  <c r="K28" i="46" s="1"/>
  <c r="I37" i="46"/>
  <c r="I32" i="46"/>
  <c r="I38" i="46"/>
  <c r="I36" i="46"/>
  <c r="H34" i="2"/>
  <c r="N34" i="2" s="1"/>
  <c r="H68" i="2"/>
  <c r="H14" i="2"/>
  <c r="N14" i="2" s="1"/>
  <c r="H53" i="2"/>
  <c r="H131" i="26"/>
  <c r="M100" i="26"/>
  <c r="N100" i="26" s="1"/>
  <c r="H305" i="28"/>
  <c r="M64" i="28"/>
  <c r="N64" i="28" s="1"/>
  <c r="H288" i="28"/>
  <c r="H274" i="28"/>
  <c r="M242" i="28"/>
  <c r="N43" i="28"/>
  <c r="H100" i="2"/>
  <c r="H85" i="2"/>
  <c r="M12" i="2"/>
  <c r="N12" i="2" s="1"/>
  <c r="M12" i="26"/>
  <c r="N12" i="26" s="1"/>
  <c r="H76" i="28"/>
  <c r="H62" i="28"/>
  <c r="M12" i="28"/>
  <c r="H222" i="27"/>
  <c r="M150" i="27"/>
  <c r="N198" i="28"/>
  <c r="G100" i="27"/>
  <c r="G47" i="27"/>
  <c r="G113" i="47" s="1"/>
  <c r="H113" i="47" s="1"/>
  <c r="G162" i="27"/>
  <c r="H12" i="27"/>
  <c r="G259" i="26"/>
  <c r="H142" i="26"/>
  <c r="N52" i="2"/>
  <c r="M20" i="27"/>
  <c r="N20" i="27" s="1"/>
  <c r="H167" i="27"/>
  <c r="M167" i="27" s="1"/>
  <c r="N167" i="27" s="1"/>
  <c r="H152" i="27"/>
  <c r="H195" i="26"/>
  <c r="N193" i="26"/>
  <c r="H118" i="26"/>
  <c r="H133" i="26"/>
  <c r="M133" i="26" s="1"/>
  <c r="N133" i="26" s="1"/>
  <c r="M18" i="26"/>
  <c r="N18" i="26" s="1"/>
  <c r="M184" i="28"/>
  <c r="H216" i="28"/>
  <c r="H230" i="28"/>
  <c r="H140" i="28"/>
  <c r="K160" i="28"/>
  <c r="M142" i="28"/>
  <c r="N142" i="28" s="1"/>
  <c r="H83" i="27"/>
  <c r="H66" i="28"/>
  <c r="H81" i="28"/>
  <c r="M81" i="28" s="1"/>
  <c r="N81" i="28" s="1"/>
  <c r="M17" i="28"/>
  <c r="N17" i="28" s="1"/>
  <c r="N212" i="26"/>
  <c r="H214" i="26"/>
  <c r="H166" i="27"/>
  <c r="M166" i="27" s="1"/>
  <c r="N166" i="27" s="1"/>
  <c r="H151" i="27"/>
  <c r="M19" i="27"/>
  <c r="N19" i="27" s="1"/>
  <c r="M50" i="26"/>
  <c r="N50" i="26" s="1"/>
  <c r="K261" i="26"/>
  <c r="M261" i="26" s="1"/>
  <c r="N261" i="26" s="1"/>
  <c r="K131" i="26"/>
  <c r="K117" i="26"/>
  <c r="H117" i="26"/>
  <c r="H277" i="26" s="1"/>
  <c r="H119" i="26"/>
  <c r="H134" i="26"/>
  <c r="M134" i="26" s="1"/>
  <c r="N134" i="26" s="1"/>
  <c r="M19" i="26"/>
  <c r="N19" i="26" s="1"/>
  <c r="M148" i="26"/>
  <c r="N148" i="26" s="1"/>
  <c r="H248" i="26"/>
  <c r="M248" i="26" s="1"/>
  <c r="N248" i="26" s="1"/>
  <c r="H263" i="26"/>
  <c r="M263" i="26" s="1"/>
  <c r="N263" i="26" s="1"/>
  <c r="N108" i="28"/>
  <c r="H65" i="27"/>
  <c r="M228" i="26"/>
  <c r="N256" i="28"/>
  <c r="H80" i="28"/>
  <c r="M80" i="28" s="1"/>
  <c r="N80" i="28" s="1"/>
  <c r="M16" i="28"/>
  <c r="N16" i="28" s="1"/>
  <c r="H65" i="28"/>
  <c r="N29" i="28"/>
  <c r="H89" i="2"/>
  <c r="M89" i="2" s="1"/>
  <c r="N89" i="2" s="1"/>
  <c r="M19" i="2"/>
  <c r="N19" i="2" s="1"/>
  <c r="H104" i="2"/>
  <c r="N66" i="2"/>
  <c r="N46" i="26"/>
  <c r="H48" i="26"/>
  <c r="M20" i="2"/>
  <c r="N20" i="2" s="1"/>
  <c r="H90" i="2"/>
  <c r="M90" i="2" s="1"/>
  <c r="N90" i="2" s="1"/>
  <c r="H105" i="2"/>
  <c r="H162" i="28"/>
  <c r="M162" i="28" s="1"/>
  <c r="N162" i="28" s="1"/>
  <c r="M96" i="28"/>
  <c r="N96" i="28" s="1"/>
  <c r="H177" i="28"/>
  <c r="M177" i="28" s="1"/>
  <c r="N177" i="28" s="1"/>
  <c r="H174" i="28"/>
  <c r="M174" i="28" s="1"/>
  <c r="N174" i="28" s="1"/>
  <c r="N122" i="28"/>
  <c r="H176" i="28"/>
  <c r="M176" i="28" s="1"/>
  <c r="N176" i="28" s="1"/>
  <c r="M95" i="28"/>
  <c r="N95" i="28" s="1"/>
  <c r="H161" i="28"/>
  <c r="M161" i="28" s="1"/>
  <c r="N161" i="28" s="1"/>
  <c r="H172" i="28"/>
  <c r="H158" i="28"/>
  <c r="M88" i="28"/>
  <c r="N88" i="28" s="1"/>
  <c r="N31" i="26"/>
  <c r="M161" i="26"/>
  <c r="M96" i="26"/>
  <c r="N96" i="26" s="1"/>
  <c r="H98" i="26"/>
  <c r="H249" i="26"/>
  <c r="M249" i="26" s="1"/>
  <c r="N249" i="26" s="1"/>
  <c r="H264" i="26"/>
  <c r="M264" i="26" s="1"/>
  <c r="N264" i="26" s="1"/>
  <c r="M149" i="26"/>
  <c r="N149" i="26" s="1"/>
  <c r="H140" i="47" l="1"/>
  <c r="H189" i="47"/>
  <c r="N176" i="26"/>
  <c r="H65" i="26"/>
  <c r="H117" i="27"/>
  <c r="H217" i="47"/>
  <c r="H114" i="47"/>
  <c r="H129" i="26"/>
  <c r="M129" i="26" s="1"/>
  <c r="H115" i="26"/>
  <c r="H46" i="47"/>
  <c r="H121" i="47"/>
  <c r="H92" i="47"/>
  <c r="H63" i="47"/>
  <c r="H100" i="27"/>
  <c r="G132" i="47"/>
  <c r="H132" i="47" s="1"/>
  <c r="H133" i="47"/>
  <c r="H80" i="47"/>
  <c r="H86" i="47"/>
  <c r="H128" i="47"/>
  <c r="H97" i="47"/>
  <c r="H57" i="47"/>
  <c r="H214" i="47"/>
  <c r="H173" i="28"/>
  <c r="H92" i="28"/>
  <c r="H16" i="27"/>
  <c r="H63" i="28"/>
  <c r="H159" i="28"/>
  <c r="N89" i="28"/>
  <c r="H260" i="26"/>
  <c r="H15" i="26"/>
  <c r="H116" i="26"/>
  <c r="H130" i="26"/>
  <c r="H145" i="26"/>
  <c r="H246" i="26"/>
  <c r="H47" i="27"/>
  <c r="F37" i="46"/>
  <c r="H15" i="2"/>
  <c r="M131" i="26"/>
  <c r="N131" i="26" s="1"/>
  <c r="H101" i="2"/>
  <c r="N68" i="2"/>
  <c r="H69" i="2"/>
  <c r="H86" i="2"/>
  <c r="H35" i="2"/>
  <c r="M104" i="2"/>
  <c r="N104" i="2" s="1"/>
  <c r="N228" i="26"/>
  <c r="M230" i="28"/>
  <c r="H224" i="27"/>
  <c r="M152" i="27"/>
  <c r="H259" i="26"/>
  <c r="H245" i="26"/>
  <c r="M142" i="26"/>
  <c r="N142" i="26" s="1"/>
  <c r="M76" i="28"/>
  <c r="M288" i="28"/>
  <c r="M216" i="28"/>
  <c r="M85" i="2"/>
  <c r="H223" i="27"/>
  <c r="M151" i="27"/>
  <c r="H307" i="28"/>
  <c r="M66" i="28"/>
  <c r="N66" i="28" s="1"/>
  <c r="H148" i="27"/>
  <c r="H162" i="27"/>
  <c r="M100" i="2"/>
  <c r="M158" i="28"/>
  <c r="M119" i="26"/>
  <c r="N119" i="26" s="1"/>
  <c r="H279" i="26"/>
  <c r="N184" i="28"/>
  <c r="J162" i="27"/>
  <c r="M172" i="28"/>
  <c r="M222" i="27"/>
  <c r="N222" i="27" s="1"/>
  <c r="N150" i="27"/>
  <c r="M115" i="26"/>
  <c r="H306" i="28"/>
  <c r="M65" i="28"/>
  <c r="N65" i="28" s="1"/>
  <c r="M117" i="26"/>
  <c r="N117" i="26" s="1"/>
  <c r="K277" i="26"/>
  <c r="M277" i="26" s="1"/>
  <c r="N277" i="26" s="1"/>
  <c r="K305" i="28"/>
  <c r="M305" i="28" s="1"/>
  <c r="N305" i="28" s="1"/>
  <c r="M160" i="28"/>
  <c r="N160" i="28" s="1"/>
  <c r="H278" i="26"/>
  <c r="M118" i="26"/>
  <c r="N118" i="26" s="1"/>
  <c r="N12" i="28"/>
  <c r="N242" i="28"/>
  <c r="N161" i="26"/>
  <c r="M105" i="2"/>
  <c r="N105" i="2" s="1"/>
  <c r="M62" i="28"/>
  <c r="H303" i="28"/>
  <c r="M274" i="28"/>
  <c r="H275" i="26" l="1"/>
  <c r="H211" i="47"/>
  <c r="H216" i="47"/>
  <c r="H215" i="47"/>
  <c r="H149" i="27"/>
  <c r="H221" i="27" s="1"/>
  <c r="H218" i="47"/>
  <c r="H276" i="26"/>
  <c r="H304" i="28"/>
  <c r="H163" i="27"/>
  <c r="N274" i="28"/>
  <c r="N100" i="2"/>
  <c r="M259" i="26"/>
  <c r="M306" i="28"/>
  <c r="N306" i="28" s="1"/>
  <c r="M279" i="26"/>
  <c r="N279" i="26" s="1"/>
  <c r="M224" i="27"/>
  <c r="N224" i="27" s="1"/>
  <c r="N152" i="27"/>
  <c r="M303" i="28"/>
  <c r="N172" i="28"/>
  <c r="N129" i="26"/>
  <c r="N62" i="28"/>
  <c r="H220" i="27"/>
  <c r="M307" i="28"/>
  <c r="N307" i="28" s="1"/>
  <c r="N288" i="28"/>
  <c r="M275" i="26"/>
  <c r="N158" i="28"/>
  <c r="N151" i="27"/>
  <c r="M223" i="27"/>
  <c r="N223" i="27" s="1"/>
  <c r="N85" i="2"/>
  <c r="N115" i="26"/>
  <c r="J61" i="27"/>
  <c r="J113" i="27"/>
  <c r="J79" i="27"/>
  <c r="K162" i="27"/>
  <c r="J12" i="27"/>
  <c r="I100" i="47" s="1"/>
  <c r="J100" i="47" s="1"/>
  <c r="J46" i="27"/>
  <c r="J99" i="27"/>
  <c r="J32" i="27"/>
  <c r="J131" i="27"/>
  <c r="N76" i="28"/>
  <c r="N230" i="28"/>
  <c r="N216" i="28"/>
  <c r="M278" i="26"/>
  <c r="N278" i="26" s="1"/>
  <c r="M245" i="26"/>
  <c r="M177" i="27"/>
  <c r="N177" i="27" s="1"/>
  <c r="H196" i="27"/>
  <c r="H211" i="27"/>
  <c r="H179" i="27"/>
  <c r="K113" i="27" l="1"/>
  <c r="M113" i="27" s="1"/>
  <c r="N113" i="27" s="1"/>
  <c r="I136" i="47"/>
  <c r="J136" i="47" s="1"/>
  <c r="K131" i="27"/>
  <c r="I143" i="47"/>
  <c r="J143" i="47" s="1"/>
  <c r="K61" i="27"/>
  <c r="M61" i="27" s="1"/>
  <c r="N61" i="27" s="1"/>
  <c r="I117" i="47"/>
  <c r="J117" i="47" s="1"/>
  <c r="K79" i="27"/>
  <c r="M79" i="27" s="1"/>
  <c r="N79" i="27" s="1"/>
  <c r="I124" i="47"/>
  <c r="J124" i="47" s="1"/>
  <c r="K32" i="27"/>
  <c r="M32" i="27" s="1"/>
  <c r="I107" i="47"/>
  <c r="J107" i="47" s="1"/>
  <c r="K99" i="27"/>
  <c r="I131" i="47"/>
  <c r="J131" i="47" s="1"/>
  <c r="K46" i="27"/>
  <c r="M46" i="27" s="1"/>
  <c r="N46" i="27" s="1"/>
  <c r="I112" i="47"/>
  <c r="J112" i="47" s="1"/>
  <c r="J37" i="46"/>
  <c r="K37" i="46" s="1"/>
  <c r="J32" i="46"/>
  <c r="K32" i="46" s="1"/>
  <c r="J38" i="46"/>
  <c r="K38" i="46" s="1"/>
  <c r="J36" i="46"/>
  <c r="K36" i="46" s="1"/>
  <c r="H81" i="25"/>
  <c r="H83" i="25"/>
  <c r="H74" i="25"/>
  <c r="H79" i="25"/>
  <c r="H45" i="25"/>
  <c r="H47" i="25"/>
  <c r="H38" i="25"/>
  <c r="H43" i="25"/>
  <c r="N245" i="26"/>
  <c r="M99" i="27"/>
  <c r="K12" i="27"/>
  <c r="G859" i="44"/>
  <c r="G727" i="44"/>
  <c r="G660" i="44"/>
  <c r="G794" i="44"/>
  <c r="H188" i="27"/>
  <c r="H183" i="27"/>
  <c r="H184" i="27" s="1"/>
  <c r="M162" i="27"/>
  <c r="M211" i="27"/>
  <c r="N211" i="27" s="1"/>
  <c r="H212" i="27"/>
  <c r="N259" i="26"/>
  <c r="M196" i="27"/>
  <c r="N196" i="27" s="1"/>
  <c r="H197" i="27"/>
  <c r="H201" i="27" s="1"/>
  <c r="H202" i="27" s="1"/>
  <c r="N275" i="26"/>
  <c r="M131" i="27"/>
  <c r="N303" i="28"/>
  <c r="N131" i="27" l="1"/>
  <c r="M12" i="27"/>
  <c r="N12" i="27" s="1"/>
  <c r="K148" i="27"/>
  <c r="N99" i="27"/>
  <c r="N162" i="27"/>
  <c r="N32" i="27"/>
  <c r="M148" i="27" l="1"/>
  <c r="K220" i="27"/>
  <c r="M220" i="27" l="1"/>
  <c r="N148" i="27"/>
  <c r="N220" i="27" l="1"/>
  <c r="M32" i="28" l="1"/>
  <c r="N32" i="28" s="1"/>
  <c r="H34" i="28"/>
  <c r="H38" i="28" s="1"/>
  <c r="H39" i="28" s="1"/>
  <c r="M88" i="27" l="1"/>
  <c r="N88" i="27" s="1"/>
  <c r="H90" i="27"/>
  <c r="H94" i="27" s="1"/>
  <c r="H95" i="27" s="1"/>
  <c r="M68" i="27"/>
  <c r="N68" i="27" s="1"/>
  <c r="H70" i="27"/>
  <c r="H74" i="27" s="1"/>
  <c r="H75" i="27" s="1"/>
  <c r="M120" i="27"/>
  <c r="N120" i="27" s="1"/>
  <c r="H122" i="27"/>
  <c r="H126" i="27" s="1"/>
  <c r="H127" i="27" s="1"/>
  <c r="M21" i="27" l="1"/>
  <c r="N21" i="27" s="1"/>
  <c r="H23" i="27"/>
  <c r="M150" i="26"/>
  <c r="N150" i="26" s="1"/>
  <c r="H152" i="26"/>
  <c r="M200" i="26"/>
  <c r="N200" i="26" s="1"/>
  <c r="H202" i="26"/>
  <c r="H206" i="26" s="1"/>
  <c r="H207" i="26" s="1"/>
  <c r="M217" i="26"/>
  <c r="N217" i="26" s="1"/>
  <c r="H219" i="26"/>
  <c r="H223" i="26" s="1"/>
  <c r="H224" i="26" s="1"/>
  <c r="M181" i="26"/>
  <c r="N181" i="26" s="1"/>
  <c r="H183" i="26"/>
  <c r="H187" i="26" s="1"/>
  <c r="H188" i="26" s="1"/>
  <c r="H156" i="26" l="1"/>
  <c r="H157" i="26" s="1"/>
  <c r="M84" i="26"/>
  <c r="N84" i="26" s="1"/>
  <c r="H86" i="26"/>
  <c r="M55" i="2"/>
  <c r="N55" i="2" s="1"/>
  <c r="H57" i="2"/>
  <c r="H61" i="2" s="1"/>
  <c r="H62" i="2" s="1"/>
  <c r="H27" i="27"/>
  <c r="H28" i="27" s="1"/>
  <c r="M34" i="26"/>
  <c r="N34" i="26" s="1"/>
  <c r="H36" i="26"/>
  <c r="H90" i="26" l="1"/>
  <c r="H91" i="26" s="1"/>
  <c r="H40" i="26"/>
  <c r="H41" i="26" s="1"/>
  <c r="M259" i="28"/>
  <c r="N259" i="28" s="1"/>
  <c r="H261" i="28"/>
  <c r="M245" i="28"/>
  <c r="N245" i="28" s="1"/>
  <c r="H279" i="28"/>
  <c r="H294" i="28"/>
  <c r="H247" i="28"/>
  <c r="H265" i="28" l="1"/>
  <c r="H266" i="28" s="1"/>
  <c r="M294" i="28"/>
  <c r="N294" i="28" s="1"/>
  <c r="H295" i="28"/>
  <c r="M51" i="26"/>
  <c r="N51" i="26" s="1"/>
  <c r="H53" i="26"/>
  <c r="H57" i="26" s="1"/>
  <c r="H58" i="26" s="1"/>
  <c r="M279" i="28"/>
  <c r="N279" i="28" s="1"/>
  <c r="H280" i="28"/>
  <c r="H284" i="28" s="1"/>
  <c r="H285" i="28" s="1"/>
  <c r="M70" i="26"/>
  <c r="N70" i="26" s="1"/>
  <c r="H72" i="26"/>
  <c r="H82" i="28"/>
  <c r="H67" i="28"/>
  <c r="M18" i="28"/>
  <c r="N18" i="28" s="1"/>
  <c r="H20" i="28"/>
  <c r="M47" i="28"/>
  <c r="N47" i="28" s="1"/>
  <c r="H49" i="28"/>
  <c r="M20" i="26"/>
  <c r="N20" i="26" s="1"/>
  <c r="H120" i="26"/>
  <c r="H135" i="26"/>
  <c r="H22" i="26"/>
  <c r="M41" i="2"/>
  <c r="N41" i="2" s="1"/>
  <c r="H43" i="2"/>
  <c r="H47" i="2" s="1"/>
  <c r="H48" i="2" s="1"/>
  <c r="H270" i="28"/>
  <c r="H251" i="28"/>
  <c r="H252" i="28" s="1"/>
  <c r="M101" i="26"/>
  <c r="N101" i="26" s="1"/>
  <c r="H103" i="26"/>
  <c r="H107" i="26" s="1"/>
  <c r="H108" i="26" s="1"/>
  <c r="M201" i="28" l="1"/>
  <c r="N201" i="28" s="1"/>
  <c r="H203" i="28"/>
  <c r="H207" i="28" s="1"/>
  <c r="H208" i="28" s="1"/>
  <c r="H26" i="26"/>
  <c r="H27" i="26" s="1"/>
  <c r="H112" i="26"/>
  <c r="M135" i="26"/>
  <c r="N135" i="26" s="1"/>
  <c r="H136" i="26"/>
  <c r="M164" i="26"/>
  <c r="N164" i="26" s="1"/>
  <c r="H166" i="26"/>
  <c r="H265" i="26"/>
  <c r="H250" i="26"/>
  <c r="H280" i="26" s="1"/>
  <c r="H222" i="47" s="1"/>
  <c r="M71" i="2"/>
  <c r="N71" i="2" s="1"/>
  <c r="H73" i="2"/>
  <c r="H77" i="2" s="1"/>
  <c r="H78" i="2" s="1"/>
  <c r="H121" i="26"/>
  <c r="M120" i="26"/>
  <c r="N120" i="26" s="1"/>
  <c r="H76" i="26"/>
  <c r="H77" i="26" s="1"/>
  <c r="M143" i="28"/>
  <c r="N143" i="28" s="1"/>
  <c r="H145" i="28"/>
  <c r="M97" i="28"/>
  <c r="N97" i="28" s="1"/>
  <c r="H99" i="28"/>
  <c r="M187" i="28"/>
  <c r="N187" i="28" s="1"/>
  <c r="H221" i="28"/>
  <c r="H236" i="28"/>
  <c r="H189" i="28"/>
  <c r="M50" i="27"/>
  <c r="N50" i="27" s="1"/>
  <c r="H52" i="27"/>
  <c r="H56" i="27" s="1"/>
  <c r="H57" i="27" s="1"/>
  <c r="H68" i="28"/>
  <c r="M67" i="28"/>
  <c r="N67" i="28" s="1"/>
  <c r="H24" i="28"/>
  <c r="H25" i="28" s="1"/>
  <c r="M21" i="2"/>
  <c r="N21" i="2" s="1"/>
  <c r="H106" i="2"/>
  <c r="H221" i="47" s="1"/>
  <c r="H91" i="2"/>
  <c r="H23" i="2"/>
  <c r="H58" i="28"/>
  <c r="H53" i="28"/>
  <c r="H54" i="28" s="1"/>
  <c r="M82" i="28"/>
  <c r="N82" i="28" s="1"/>
  <c r="H83" i="28"/>
  <c r="M231" i="26"/>
  <c r="N231" i="26" s="1"/>
  <c r="H233" i="26"/>
  <c r="H125" i="26" l="1"/>
  <c r="H126" i="26" s="1"/>
  <c r="H237" i="26"/>
  <c r="H238" i="26" s="1"/>
  <c r="H149" i="28"/>
  <c r="H150" i="28" s="1"/>
  <c r="H72" i="28"/>
  <c r="H73" i="28" s="1"/>
  <c r="H82" i="2"/>
  <c r="H27" i="2"/>
  <c r="H28" i="2" s="1"/>
  <c r="H212" i="28"/>
  <c r="H193" i="28"/>
  <c r="H194" i="28" s="1"/>
  <c r="M91" i="2"/>
  <c r="N91" i="2" s="1"/>
  <c r="H92" i="2"/>
  <c r="M236" i="28"/>
  <c r="N236" i="28" s="1"/>
  <c r="H237" i="28"/>
  <c r="M134" i="27"/>
  <c r="N134" i="27" s="1"/>
  <c r="H136" i="27"/>
  <c r="H140" i="27" s="1"/>
  <c r="H141" i="27" s="1"/>
  <c r="M106" i="2"/>
  <c r="N106" i="2" s="1"/>
  <c r="H107" i="2"/>
  <c r="M221" i="28"/>
  <c r="N221" i="28" s="1"/>
  <c r="H222" i="28"/>
  <c r="H226" i="28" s="1"/>
  <c r="H227" i="28" s="1"/>
  <c r="M250" i="26"/>
  <c r="N250" i="26" s="1"/>
  <c r="H251" i="26"/>
  <c r="M265" i="26"/>
  <c r="N265" i="26" s="1"/>
  <c r="H266" i="26"/>
  <c r="H103" i="28"/>
  <c r="H104" i="28" s="1"/>
  <c r="M102" i="27"/>
  <c r="N102" i="27" s="1"/>
  <c r="H104" i="27"/>
  <c r="H108" i="27" s="1"/>
  <c r="H109" i="27" s="1"/>
  <c r="H170" i="26"/>
  <c r="H171" i="26" s="1"/>
  <c r="H242" i="26"/>
  <c r="H281" i="26"/>
  <c r="M35" i="27"/>
  <c r="N35" i="27" s="1"/>
  <c r="H37" i="27"/>
  <c r="H168" i="27"/>
  <c r="H153" i="27"/>
  <c r="H255" i="26" l="1"/>
  <c r="H256" i="26" s="1"/>
  <c r="H96" i="2"/>
  <c r="H97" i="2" s="1"/>
  <c r="M153" i="27"/>
  <c r="H225" i="27"/>
  <c r="H223" i="47" s="1"/>
  <c r="H154" i="27"/>
  <c r="H158" i="27" s="1"/>
  <c r="H159" i="27" s="1"/>
  <c r="M168" i="27"/>
  <c r="N168" i="27" s="1"/>
  <c r="H169" i="27"/>
  <c r="H41" i="27"/>
  <c r="H42" i="27" s="1"/>
  <c r="H145" i="27"/>
  <c r="H285" i="26"/>
  <c r="H286" i="26" s="1"/>
  <c r="M111" i="28"/>
  <c r="N111" i="28" s="1"/>
  <c r="H113" i="28"/>
  <c r="H178" i="28"/>
  <c r="H163" i="28"/>
  <c r="M125" i="28"/>
  <c r="N125" i="28" s="1"/>
  <c r="H127" i="28"/>
  <c r="H131" i="28" s="1"/>
  <c r="H132" i="28" s="1"/>
  <c r="H272" i="26"/>
  <c r="H217" i="27" l="1"/>
  <c r="M163" i="28"/>
  <c r="N163" i="28" s="1"/>
  <c r="H164" i="28"/>
  <c r="H168" i="28" s="1"/>
  <c r="H169" i="28" s="1"/>
  <c r="H308" i="28"/>
  <c r="H224" i="47" s="1"/>
  <c r="H225" i="47" s="1"/>
  <c r="H227" i="47" s="1"/>
  <c r="M178" i="28"/>
  <c r="N178" i="28" s="1"/>
  <c r="H179" i="28"/>
  <c r="H117" i="28"/>
  <c r="H118" i="28" s="1"/>
  <c r="H154" i="28"/>
  <c r="H226" i="27"/>
  <c r="N153" i="27"/>
  <c r="M225" i="27"/>
  <c r="N225" i="27" s="1"/>
  <c r="M308" i="28" l="1"/>
  <c r="N308" i="28" s="1"/>
  <c r="H309" i="28"/>
  <c r="H230" i="27"/>
  <c r="H231" i="27" s="1"/>
  <c r="H299" i="28"/>
  <c r="H313" i="28" l="1"/>
  <c r="H314" i="28" s="1"/>
  <c r="K77" i="28" l="1"/>
  <c r="K206" i="27" l="1"/>
  <c r="K260" i="26"/>
  <c r="K130" i="26"/>
  <c r="K231" i="28"/>
  <c r="K173" i="28"/>
  <c r="K163" i="27"/>
  <c r="K289" i="28"/>
  <c r="K83" i="28"/>
  <c r="J77" i="28"/>
  <c r="M77" i="28"/>
  <c r="J289" i="28" l="1"/>
  <c r="K295" i="28"/>
  <c r="M289" i="28"/>
  <c r="J231" i="28"/>
  <c r="K237" i="28"/>
  <c r="M231" i="28"/>
  <c r="J130" i="26"/>
  <c r="K136" i="26"/>
  <c r="K138" i="26" s="1"/>
  <c r="M130" i="26"/>
  <c r="K101" i="2"/>
  <c r="J163" i="27"/>
  <c r="M163" i="27"/>
  <c r="K169" i="27"/>
  <c r="J260" i="26"/>
  <c r="K266" i="26"/>
  <c r="M260" i="26"/>
  <c r="N77" i="28"/>
  <c r="M83" i="28"/>
  <c r="N83" i="28" s="1"/>
  <c r="K179" i="28"/>
  <c r="M173" i="28"/>
  <c r="J173" i="28"/>
  <c r="J30" i="28"/>
  <c r="I159" i="47" s="1"/>
  <c r="J159" i="47" s="1"/>
  <c r="J160" i="47" s="1"/>
  <c r="J44" i="28"/>
  <c r="J13" i="28"/>
  <c r="I154" i="47" s="1"/>
  <c r="J154" i="47" s="1"/>
  <c r="J155" i="47" s="1"/>
  <c r="M206" i="27"/>
  <c r="J206" i="27"/>
  <c r="J175" i="27" s="1"/>
  <c r="I149" i="47" s="1"/>
  <c r="J149" i="47" s="1"/>
  <c r="J150" i="47" s="1"/>
  <c r="K212" i="27"/>
  <c r="K44" i="28" l="1"/>
  <c r="I164" i="47"/>
  <c r="J164" i="47" s="1"/>
  <c r="J165" i="47" s="1"/>
  <c r="M44" i="28"/>
  <c r="K49" i="28"/>
  <c r="J91" i="25"/>
  <c r="G44" i="46"/>
  <c r="H44" i="46" s="1"/>
  <c r="G1122" i="44"/>
  <c r="K30" i="28"/>
  <c r="J229" i="26"/>
  <c r="J162" i="26"/>
  <c r="I73" i="47" s="1"/>
  <c r="J73" i="47" s="1"/>
  <c r="J74" i="47" s="1"/>
  <c r="J195" i="26"/>
  <c r="J178" i="26"/>
  <c r="J145" i="26"/>
  <c r="J214" i="26"/>
  <c r="J48" i="26"/>
  <c r="J98" i="26"/>
  <c r="J65" i="26"/>
  <c r="J32" i="26"/>
  <c r="I39" i="47" s="1"/>
  <c r="J39" i="47" s="1"/>
  <c r="J40" i="47" s="1"/>
  <c r="J15" i="26"/>
  <c r="J82" i="26"/>
  <c r="J92" i="28"/>
  <c r="J109" i="28"/>
  <c r="I176" i="47" s="1"/>
  <c r="J176" i="47" s="1"/>
  <c r="J177" i="47" s="1"/>
  <c r="J123" i="28"/>
  <c r="I181" i="47" s="1"/>
  <c r="J181" i="47" s="1"/>
  <c r="J182" i="47" s="1"/>
  <c r="J140" i="28"/>
  <c r="N231" i="28"/>
  <c r="M237" i="28"/>
  <c r="N237" i="28" s="1"/>
  <c r="N173" i="28"/>
  <c r="M179" i="28"/>
  <c r="N179" i="28" s="1"/>
  <c r="M169" i="27"/>
  <c r="N169" i="27" s="1"/>
  <c r="N163" i="27"/>
  <c r="J83" i="27"/>
  <c r="J16" i="27"/>
  <c r="J47" i="27"/>
  <c r="I113" i="47" s="1"/>
  <c r="J113" i="47" s="1"/>
  <c r="J114" i="47" s="1"/>
  <c r="J100" i="27"/>
  <c r="J132" i="27"/>
  <c r="J33" i="27"/>
  <c r="I108" i="47" s="1"/>
  <c r="J108" i="47" s="1"/>
  <c r="J109" i="47" s="1"/>
  <c r="J117" i="27"/>
  <c r="J65" i="27"/>
  <c r="J185" i="28"/>
  <c r="I193" i="47" s="1"/>
  <c r="J193" i="47" s="1"/>
  <c r="J194" i="47" s="1"/>
  <c r="J199" i="28"/>
  <c r="I198" i="47" s="1"/>
  <c r="J198" i="47" s="1"/>
  <c r="J199" i="47" s="1"/>
  <c r="K175" i="27"/>
  <c r="J53" i="25"/>
  <c r="G42" i="46"/>
  <c r="H42" i="46" s="1"/>
  <c r="G925" i="44"/>
  <c r="M295" i="28"/>
  <c r="N295" i="28" s="1"/>
  <c r="N289" i="28"/>
  <c r="N206" i="27"/>
  <c r="M212" i="27"/>
  <c r="N212" i="27" s="1"/>
  <c r="K107" i="2"/>
  <c r="M101" i="2"/>
  <c r="J101" i="2"/>
  <c r="G45" i="46"/>
  <c r="H45" i="46" s="1"/>
  <c r="G991" i="44"/>
  <c r="K13" i="28"/>
  <c r="J93" i="25"/>
  <c r="G1057" i="44"/>
  <c r="G43" i="46"/>
  <c r="H43" i="46" s="1"/>
  <c r="J89" i="25"/>
  <c r="N260" i="26"/>
  <c r="M266" i="26"/>
  <c r="N266" i="26" s="1"/>
  <c r="N130" i="26"/>
  <c r="M136" i="26"/>
  <c r="N136" i="26" s="1"/>
  <c r="J243" i="28"/>
  <c r="I203" i="47" s="1"/>
  <c r="J203" i="47" s="1"/>
  <c r="J204" i="47" s="1"/>
  <c r="J257" i="28"/>
  <c r="I208" i="47" s="1"/>
  <c r="J208" i="47" s="1"/>
  <c r="J209" i="47" s="1"/>
  <c r="K65" i="27" l="1"/>
  <c r="K70" i="27" s="1"/>
  <c r="I120" i="47"/>
  <c r="J120" i="47" s="1"/>
  <c r="I118" i="47"/>
  <c r="J118" i="47" s="1"/>
  <c r="I119" i="47"/>
  <c r="J119" i="47" s="1"/>
  <c r="K214" i="26"/>
  <c r="I91" i="47"/>
  <c r="J91" i="47" s="1"/>
  <c r="I90" i="47"/>
  <c r="J90" i="47" s="1"/>
  <c r="K117" i="27"/>
  <c r="M117" i="27" s="1"/>
  <c r="I138" i="47"/>
  <c r="J138" i="47" s="1"/>
  <c r="I139" i="47"/>
  <c r="J139" i="47" s="1"/>
  <c r="I137" i="47"/>
  <c r="J137" i="47" s="1"/>
  <c r="I169" i="47"/>
  <c r="J169" i="47" s="1"/>
  <c r="I170" i="47"/>
  <c r="J170" i="47" s="1"/>
  <c r="I171" i="47"/>
  <c r="J171" i="47" s="1"/>
  <c r="I68" i="47"/>
  <c r="J68" i="47" s="1"/>
  <c r="I67" i="47"/>
  <c r="J67" i="47" s="1"/>
  <c r="K82" i="26"/>
  <c r="I56" i="47"/>
  <c r="J56" i="47" s="1"/>
  <c r="J57" i="47" s="1"/>
  <c r="K178" i="26"/>
  <c r="I79" i="47"/>
  <c r="J79" i="47" s="1"/>
  <c r="I78" i="47"/>
  <c r="J78" i="47" s="1"/>
  <c r="K83" i="27"/>
  <c r="M83" i="27" s="1"/>
  <c r="I126" i="47"/>
  <c r="J126" i="47" s="1"/>
  <c r="I125" i="47"/>
  <c r="J125" i="47" s="1"/>
  <c r="I127" i="47"/>
  <c r="J127" i="47" s="1"/>
  <c r="K132" i="27"/>
  <c r="I144" i="47"/>
  <c r="J144" i="47" s="1"/>
  <c r="J145" i="47" s="1"/>
  <c r="I34" i="47"/>
  <c r="J34" i="47" s="1"/>
  <c r="I33" i="47"/>
  <c r="J33" i="47" s="1"/>
  <c r="J35" i="47" s="1"/>
  <c r="K195" i="26"/>
  <c r="I85" i="47"/>
  <c r="J85" i="47" s="1"/>
  <c r="I84" i="47"/>
  <c r="J84" i="47" s="1"/>
  <c r="K48" i="26"/>
  <c r="M48" i="26" s="1"/>
  <c r="I45" i="47"/>
  <c r="J45" i="47" s="1"/>
  <c r="I44" i="47"/>
  <c r="J44" i="47" s="1"/>
  <c r="K65" i="26"/>
  <c r="M65" i="26" s="1"/>
  <c r="I51" i="47"/>
  <c r="J51" i="47" s="1"/>
  <c r="I50" i="47"/>
  <c r="J50" i="47" s="1"/>
  <c r="K229" i="26"/>
  <c r="M229" i="26" s="1"/>
  <c r="I96" i="47"/>
  <c r="J96" i="47" s="1"/>
  <c r="J97" i="47" s="1"/>
  <c r="K100" i="27"/>
  <c r="I132" i="47"/>
  <c r="J132" i="47" s="1"/>
  <c r="J133" i="47" s="1"/>
  <c r="I103" i="47"/>
  <c r="J103" i="47" s="1"/>
  <c r="I101" i="47"/>
  <c r="J101" i="47" s="1"/>
  <c r="I102" i="47"/>
  <c r="J102" i="47" s="1"/>
  <c r="K140" i="28"/>
  <c r="I186" i="47"/>
  <c r="J186" i="47" s="1"/>
  <c r="I187" i="47"/>
  <c r="J187" i="47" s="1"/>
  <c r="I188" i="47"/>
  <c r="J188" i="47" s="1"/>
  <c r="K98" i="26"/>
  <c r="K103" i="26" s="1"/>
  <c r="I62" i="47"/>
  <c r="J62" i="47" s="1"/>
  <c r="I61" i="47"/>
  <c r="J61" i="47" s="1"/>
  <c r="D1040" i="44"/>
  <c r="D1039" i="44"/>
  <c r="D1171" i="44"/>
  <c r="D1170" i="44"/>
  <c r="D1105" i="44"/>
  <c r="D1106" i="44"/>
  <c r="K63" i="28"/>
  <c r="K20" i="28"/>
  <c r="M13" i="28"/>
  <c r="K179" i="27"/>
  <c r="K188" i="27" s="1"/>
  <c r="M175" i="27"/>
  <c r="K192" i="27"/>
  <c r="J82" i="25"/>
  <c r="G37" i="46"/>
  <c r="G860" i="44"/>
  <c r="K47" i="27"/>
  <c r="J46" i="25"/>
  <c r="D1031" i="44"/>
  <c r="D1029" i="44"/>
  <c r="D1032" i="44"/>
  <c r="D1035" i="44"/>
  <c r="D1010" i="44"/>
  <c r="G1010" i="44" s="1"/>
  <c r="H1010" i="44" s="1"/>
  <c r="D1014" i="44"/>
  <c r="D1038" i="44"/>
  <c r="D1024" i="44"/>
  <c r="D1036" i="44"/>
  <c r="D1020" i="44"/>
  <c r="D1028" i="44"/>
  <c r="D1034" i="44"/>
  <c r="D1019" i="44"/>
  <c r="D1025" i="44"/>
  <c r="D1030" i="44"/>
  <c r="D1012" i="44"/>
  <c r="D1011" i="44"/>
  <c r="D1015" i="44"/>
  <c r="D1023" i="44"/>
  <c r="D1018" i="44"/>
  <c r="D1017" i="44"/>
  <c r="D1026" i="44"/>
  <c r="D1021" i="44"/>
  <c r="D1027" i="44"/>
  <c r="D1016" i="44"/>
  <c r="D1037" i="44"/>
  <c r="D1033" i="44"/>
  <c r="D1022" i="44"/>
  <c r="D1013" i="44"/>
  <c r="J111" i="25"/>
  <c r="K199" i="28"/>
  <c r="G1519" i="44"/>
  <c r="G57" i="46"/>
  <c r="H57" i="46" s="1"/>
  <c r="J78" i="25"/>
  <c r="G35" i="46"/>
  <c r="G32" i="46" s="1"/>
  <c r="H32" i="46" s="1"/>
  <c r="J51" i="25"/>
  <c r="K16" i="27"/>
  <c r="G41" i="46"/>
  <c r="J87" i="25"/>
  <c r="G664" i="44"/>
  <c r="J42" i="25"/>
  <c r="G731" i="44"/>
  <c r="M140" i="28"/>
  <c r="K145" i="28"/>
  <c r="G56" i="46"/>
  <c r="H56" i="46" s="1"/>
  <c r="J109" i="25"/>
  <c r="K185" i="28"/>
  <c r="G1452" i="44"/>
  <c r="K90" i="27"/>
  <c r="J102" i="25"/>
  <c r="K123" i="28"/>
  <c r="G51" i="46"/>
  <c r="G1387" i="44"/>
  <c r="K53" i="26"/>
  <c r="M30" i="28"/>
  <c r="K34" i="28"/>
  <c r="M65" i="27"/>
  <c r="J100" i="25"/>
  <c r="G50" i="46"/>
  <c r="G1322" i="44"/>
  <c r="K109" i="28"/>
  <c r="K219" i="26"/>
  <c r="M214" i="26"/>
  <c r="D1152" i="44"/>
  <c r="D1156" i="44"/>
  <c r="D1165" i="44"/>
  <c r="D1145" i="44"/>
  <c r="D1161" i="44"/>
  <c r="D1163" i="44"/>
  <c r="D1142" i="44"/>
  <c r="D1147" i="44"/>
  <c r="D1155" i="44"/>
  <c r="D1144" i="44"/>
  <c r="D1167" i="44"/>
  <c r="D1164" i="44"/>
  <c r="D1154" i="44"/>
  <c r="D1157" i="44"/>
  <c r="D1166" i="44"/>
  <c r="D1169" i="44"/>
  <c r="D1153" i="44"/>
  <c r="D1141" i="44"/>
  <c r="G1141" i="44" s="1"/>
  <c r="H1141" i="44" s="1"/>
  <c r="D1162" i="44"/>
  <c r="D1149" i="44"/>
  <c r="D1148" i="44"/>
  <c r="D1143" i="44"/>
  <c r="D1159" i="44"/>
  <c r="D1146" i="44"/>
  <c r="D1151" i="44"/>
  <c r="D1168" i="44"/>
  <c r="D1160" i="44"/>
  <c r="D1150" i="44"/>
  <c r="D1158" i="44"/>
  <c r="D964" i="44"/>
  <c r="D970" i="44"/>
  <c r="D950" i="44"/>
  <c r="D956" i="44"/>
  <c r="D960" i="44"/>
  <c r="D946" i="44"/>
  <c r="D955" i="44"/>
  <c r="D963" i="44"/>
  <c r="D954" i="44"/>
  <c r="D967" i="44"/>
  <c r="D951" i="44"/>
  <c r="D947" i="44"/>
  <c r="D961" i="44"/>
  <c r="D944" i="44"/>
  <c r="G944" i="44" s="1"/>
  <c r="H944" i="44" s="1"/>
  <c r="D945" i="44"/>
  <c r="D958" i="44"/>
  <c r="D971" i="44"/>
  <c r="D962" i="44"/>
  <c r="D966" i="44"/>
  <c r="D974" i="44"/>
  <c r="D953" i="44"/>
  <c r="D952" i="44"/>
  <c r="D969" i="44"/>
  <c r="D973" i="44"/>
  <c r="D968" i="44"/>
  <c r="D957" i="44"/>
  <c r="D965" i="44"/>
  <c r="D959" i="44"/>
  <c r="D949" i="44"/>
  <c r="D948" i="44"/>
  <c r="D972" i="44"/>
  <c r="K92" i="28"/>
  <c r="G1190" i="44"/>
  <c r="G1258" i="44"/>
  <c r="J98" i="25"/>
  <c r="J107" i="25"/>
  <c r="G55" i="46"/>
  <c r="G49" i="46"/>
  <c r="G46" i="46" s="1"/>
  <c r="H46" i="46" s="1"/>
  <c r="J73" i="25"/>
  <c r="J31" i="25"/>
  <c r="G31" i="46"/>
  <c r="G27" i="46"/>
  <c r="K145" i="26"/>
  <c r="G531" i="44"/>
  <c r="J67" i="25"/>
  <c r="J37" i="25"/>
  <c r="G465" i="44"/>
  <c r="J117" i="25"/>
  <c r="G1658" i="44"/>
  <c r="G59" i="46"/>
  <c r="H59" i="46" s="1"/>
  <c r="K257" i="28"/>
  <c r="J69" i="2"/>
  <c r="J53" i="2"/>
  <c r="I22" i="47" s="1"/>
  <c r="J22" i="47" s="1"/>
  <c r="J23" i="47" s="1"/>
  <c r="J35" i="2"/>
  <c r="J15" i="2"/>
  <c r="J80" i="25"/>
  <c r="G36" i="46"/>
  <c r="J44" i="25"/>
  <c r="G795" i="44"/>
  <c r="K33" i="27"/>
  <c r="M82" i="26"/>
  <c r="K86" i="26"/>
  <c r="M178" i="26"/>
  <c r="K183" i="26"/>
  <c r="G1586" i="44"/>
  <c r="K243" i="28"/>
  <c r="G58" i="46"/>
  <c r="H58" i="46" s="1"/>
  <c r="D1100" i="44"/>
  <c r="D1092" i="44"/>
  <c r="D1104" i="44"/>
  <c r="D1078" i="44"/>
  <c r="D1086" i="44"/>
  <c r="D1079" i="44"/>
  <c r="D1080" i="44"/>
  <c r="D1101" i="44"/>
  <c r="D1095" i="44"/>
  <c r="D1097" i="44"/>
  <c r="D1081" i="44"/>
  <c r="D1093" i="44"/>
  <c r="D1090" i="44"/>
  <c r="D1085" i="44"/>
  <c r="D1088" i="44"/>
  <c r="D1096" i="44"/>
  <c r="D1094" i="44"/>
  <c r="D1084" i="44"/>
  <c r="D1089" i="44"/>
  <c r="D1091" i="44"/>
  <c r="D1083" i="44"/>
  <c r="D1098" i="44"/>
  <c r="D1076" i="44"/>
  <c r="G1076" i="44" s="1"/>
  <c r="H1076" i="44" s="1"/>
  <c r="D1077" i="44"/>
  <c r="D1103" i="44"/>
  <c r="D1087" i="44"/>
  <c r="D1102" i="44"/>
  <c r="D1082" i="44"/>
  <c r="D1099" i="44"/>
  <c r="M107" i="2"/>
  <c r="N107" i="2" s="1"/>
  <c r="N101" i="2"/>
  <c r="K136" i="27"/>
  <c r="M132" i="27"/>
  <c r="K15" i="26"/>
  <c r="G264" i="44"/>
  <c r="G24" i="46"/>
  <c r="J21" i="25"/>
  <c r="G331" i="44"/>
  <c r="G20" i="46"/>
  <c r="G19" i="46" s="1"/>
  <c r="J27" i="25"/>
  <c r="J63" i="25"/>
  <c r="J57" i="25"/>
  <c r="K202" i="26"/>
  <c r="M195" i="26"/>
  <c r="K104" i="27"/>
  <c r="M100" i="27"/>
  <c r="G398" i="44"/>
  <c r="K32" i="26"/>
  <c r="J59" i="25"/>
  <c r="G21" i="46"/>
  <c r="H21" i="46" s="1"/>
  <c r="J23" i="25"/>
  <c r="J69" i="25"/>
  <c r="G596" i="44"/>
  <c r="J33" i="25"/>
  <c r="K162" i="26"/>
  <c r="G28" i="46"/>
  <c r="H28" i="46" s="1"/>
  <c r="N44" i="28"/>
  <c r="M49" i="28"/>
  <c r="N49" i="28" s="1"/>
  <c r="K233" i="26" l="1"/>
  <c r="K122" i="27"/>
  <c r="J80" i="47"/>
  <c r="M98" i="26"/>
  <c r="J86" i="47"/>
  <c r="J69" i="47"/>
  <c r="J92" i="47"/>
  <c r="J63" i="47"/>
  <c r="J46" i="47"/>
  <c r="K72" i="26"/>
  <c r="J189" i="47"/>
  <c r="J52" i="47"/>
  <c r="J104" i="47"/>
  <c r="J172" i="47"/>
  <c r="J140" i="47"/>
  <c r="J121" i="47"/>
  <c r="K69" i="2"/>
  <c r="I28" i="47"/>
  <c r="J28" i="47" s="1"/>
  <c r="I27" i="47"/>
  <c r="J27" i="47" s="1"/>
  <c r="J128" i="47"/>
  <c r="K35" i="2"/>
  <c r="M35" i="2" s="1"/>
  <c r="I17" i="47"/>
  <c r="J17" i="47" s="1"/>
  <c r="I16" i="47"/>
  <c r="J16" i="47" s="1"/>
  <c r="I11" i="47"/>
  <c r="J11" i="47" s="1"/>
  <c r="I10" i="47"/>
  <c r="J10" i="47" s="1"/>
  <c r="D305" i="44"/>
  <c r="D311" i="44"/>
  <c r="D306" i="44"/>
  <c r="D310" i="44"/>
  <c r="D313" i="44"/>
  <c r="D307" i="44"/>
  <c r="D309" i="44"/>
  <c r="D308" i="44"/>
  <c r="D312" i="44"/>
  <c r="D1306" i="44"/>
  <c r="D1305" i="44"/>
  <c r="G1106" i="44"/>
  <c r="H1106" i="44" s="1"/>
  <c r="F1106" i="44"/>
  <c r="F1105" i="44"/>
  <c r="G1105" i="44"/>
  <c r="H1105" i="44" s="1"/>
  <c r="G1170" i="44"/>
  <c r="H1170" i="44" s="1"/>
  <c r="F1170" i="44"/>
  <c r="G1171" i="44"/>
  <c r="H1171" i="44" s="1"/>
  <c r="F1171" i="44"/>
  <c r="F1039" i="44"/>
  <c r="G1039" i="44"/>
  <c r="H1039" i="44" s="1"/>
  <c r="G1040" i="44"/>
  <c r="H1040" i="44" s="1"/>
  <c r="F1040" i="44"/>
  <c r="D636" i="44"/>
  <c r="D640" i="44"/>
  <c r="D644" i="44"/>
  <c r="D623" i="44"/>
  <c r="D617" i="44"/>
  <c r="D619" i="44"/>
  <c r="D625" i="44"/>
  <c r="D645" i="44"/>
  <c r="D632" i="44"/>
  <c r="D615" i="44"/>
  <c r="G615" i="44" s="1"/>
  <c r="H615" i="44" s="1"/>
  <c r="D628" i="44"/>
  <c r="D633" i="44"/>
  <c r="D638" i="44"/>
  <c r="D622" i="44"/>
  <c r="D631" i="44"/>
  <c r="D624" i="44"/>
  <c r="D637" i="44"/>
  <c r="D620" i="44"/>
  <c r="D635" i="44"/>
  <c r="D618" i="44"/>
  <c r="D629" i="44"/>
  <c r="D627" i="44"/>
  <c r="D643" i="44"/>
  <c r="D621" i="44"/>
  <c r="D642" i="44"/>
  <c r="D616" i="44"/>
  <c r="D634" i="44"/>
  <c r="D626" i="44"/>
  <c r="D630" i="44"/>
  <c r="D639" i="44"/>
  <c r="D641" i="44"/>
  <c r="N100" i="27"/>
  <c r="M104" i="27"/>
  <c r="N104" i="27" s="1"/>
  <c r="G18" i="46"/>
  <c r="H18" i="46" s="1"/>
  <c r="H19" i="46"/>
  <c r="F1103" i="44"/>
  <c r="G1103" i="44"/>
  <c r="H1103" i="44" s="1"/>
  <c r="F1089" i="44"/>
  <c r="G1089" i="44"/>
  <c r="H1089" i="44" s="1"/>
  <c r="F1093" i="44"/>
  <c r="G1093" i="44"/>
  <c r="H1093" i="44" s="1"/>
  <c r="G1079" i="44"/>
  <c r="H1079" i="44" s="1"/>
  <c r="F1079" i="44"/>
  <c r="D1619" i="44"/>
  <c r="D1618" i="44"/>
  <c r="D1605" i="44"/>
  <c r="D1607" i="44"/>
  <c r="D1623" i="44"/>
  <c r="D1608" i="44"/>
  <c r="D1606" i="44"/>
  <c r="D1620" i="44"/>
  <c r="D1634" i="44"/>
  <c r="D1630" i="44"/>
  <c r="D1615" i="44"/>
  <c r="D1616" i="44"/>
  <c r="D1612" i="44"/>
  <c r="D1632" i="44"/>
  <c r="D1611" i="44"/>
  <c r="D1617" i="44"/>
  <c r="D1626" i="44"/>
  <c r="D1609" i="44"/>
  <c r="D1628" i="44"/>
  <c r="D1604" i="44"/>
  <c r="G1604" i="44" s="1"/>
  <c r="H1604" i="44" s="1"/>
  <c r="D1629" i="44"/>
  <c r="D1613" i="44"/>
  <c r="D1610" i="44"/>
  <c r="D1633" i="44"/>
  <c r="D1621" i="44"/>
  <c r="D1624" i="44"/>
  <c r="D1627" i="44"/>
  <c r="D1622" i="44"/>
  <c r="D1625" i="44"/>
  <c r="D1631" i="44"/>
  <c r="D1614" i="44"/>
  <c r="D513" i="44"/>
  <c r="D489" i="44"/>
  <c r="D484" i="44"/>
  <c r="D487" i="44"/>
  <c r="D490" i="44"/>
  <c r="D503" i="44"/>
  <c r="D491" i="44"/>
  <c r="D493" i="44"/>
  <c r="D496" i="44"/>
  <c r="D506" i="44"/>
  <c r="D509" i="44"/>
  <c r="D483" i="44"/>
  <c r="G483" i="44" s="1"/>
  <c r="H483" i="44" s="1"/>
  <c r="D498" i="44"/>
  <c r="D497" i="44"/>
  <c r="D505" i="44"/>
  <c r="D507" i="44"/>
  <c r="D495" i="44"/>
  <c r="D492" i="44"/>
  <c r="D499" i="44"/>
  <c r="D501" i="44"/>
  <c r="D494" i="44"/>
  <c r="D508" i="44"/>
  <c r="D500" i="44"/>
  <c r="D485" i="44"/>
  <c r="D511" i="44"/>
  <c r="D504" i="44"/>
  <c r="D510" i="44"/>
  <c r="D488" i="44"/>
  <c r="D486" i="44"/>
  <c r="D502" i="44"/>
  <c r="D512" i="44"/>
  <c r="F949" i="44"/>
  <c r="G949" i="44"/>
  <c r="H949" i="44" s="1"/>
  <c r="F958" i="44"/>
  <c r="G958" i="44"/>
  <c r="H958" i="44" s="1"/>
  <c r="G954" i="44"/>
  <c r="H954" i="44" s="1"/>
  <c r="F954" i="44"/>
  <c r="G964" i="44"/>
  <c r="H964" i="44" s="1"/>
  <c r="F964" i="44"/>
  <c r="G1168" i="44"/>
  <c r="H1168" i="44" s="1"/>
  <c r="F1168" i="44"/>
  <c r="G1161" i="44"/>
  <c r="H1161" i="44" s="1"/>
  <c r="F1161" i="44"/>
  <c r="N83" i="27"/>
  <c r="M90" i="27"/>
  <c r="N90" i="27" s="1"/>
  <c r="F1037" i="44"/>
  <c r="G1037" i="44"/>
  <c r="H1037" i="44" s="1"/>
  <c r="G1018" i="44"/>
  <c r="H1018" i="44" s="1"/>
  <c r="F1018" i="44"/>
  <c r="F1038" i="44"/>
  <c r="G1038" i="44"/>
  <c r="H1038" i="44" s="1"/>
  <c r="G34" i="46"/>
  <c r="H34" i="46" s="1"/>
  <c r="H37" i="46"/>
  <c r="G39" i="46"/>
  <c r="H39" i="46" s="1"/>
  <c r="G38" i="46"/>
  <c r="H38" i="46" s="1"/>
  <c r="G40" i="46"/>
  <c r="H40" i="46" s="1"/>
  <c r="D1566" i="44"/>
  <c r="D1553" i="44"/>
  <c r="D1557" i="44"/>
  <c r="D1551" i="44"/>
  <c r="D1550" i="44"/>
  <c r="D1561" i="44"/>
  <c r="D1548" i="44"/>
  <c r="D1559" i="44"/>
  <c r="D1543" i="44"/>
  <c r="D1542" i="44"/>
  <c r="D1558" i="44"/>
  <c r="D1545" i="44"/>
  <c r="D1554" i="44"/>
  <c r="D1560" i="44"/>
  <c r="D1544" i="44"/>
  <c r="D1555" i="44"/>
  <c r="D1563" i="44"/>
  <c r="D1538" i="44"/>
  <c r="G1538" i="44" s="1"/>
  <c r="H1538" i="44" s="1"/>
  <c r="D1556" i="44"/>
  <c r="D1540" i="44"/>
  <c r="D1552" i="44"/>
  <c r="D1568" i="44"/>
  <c r="D1547" i="44"/>
  <c r="D1541" i="44"/>
  <c r="D1546" i="44"/>
  <c r="D1539" i="44"/>
  <c r="D1562" i="44"/>
  <c r="D1565" i="44"/>
  <c r="D1564" i="44"/>
  <c r="D1567" i="44"/>
  <c r="D1549" i="44"/>
  <c r="G1023" i="44"/>
  <c r="H1023" i="44" s="1"/>
  <c r="F1023" i="44"/>
  <c r="F1019" i="44"/>
  <c r="G1019" i="44"/>
  <c r="H1019" i="44" s="1"/>
  <c r="G1014" i="44"/>
  <c r="H1014" i="44" s="1"/>
  <c r="F1014" i="44"/>
  <c r="N229" i="26"/>
  <c r="M233" i="26"/>
  <c r="N233" i="26" s="1"/>
  <c r="G1084" i="44"/>
  <c r="H1084" i="44" s="1"/>
  <c r="F1084" i="44"/>
  <c r="F1086" i="44"/>
  <c r="G1086" i="44"/>
  <c r="H1086" i="44" s="1"/>
  <c r="G959" i="44"/>
  <c r="H959" i="44" s="1"/>
  <c r="F959" i="44"/>
  <c r="G945" i="44"/>
  <c r="H945" i="44" s="1"/>
  <c r="F945" i="44"/>
  <c r="G1151" i="44"/>
  <c r="H1151" i="44" s="1"/>
  <c r="F1151" i="44"/>
  <c r="M202" i="26"/>
  <c r="N202" i="26" s="1"/>
  <c r="N195" i="26"/>
  <c r="D369" i="44"/>
  <c r="D375" i="44"/>
  <c r="D352" i="44"/>
  <c r="D378" i="44"/>
  <c r="D379" i="44"/>
  <c r="D372" i="44"/>
  <c r="D361" i="44"/>
  <c r="D373" i="44"/>
  <c r="D370" i="44"/>
  <c r="D359" i="44"/>
  <c r="D351" i="44"/>
  <c r="D365" i="44"/>
  <c r="D368" i="44"/>
  <c r="D380" i="44"/>
  <c r="D377" i="44"/>
  <c r="D366" i="44"/>
  <c r="D358" i="44"/>
  <c r="D371" i="44"/>
  <c r="D367" i="44"/>
  <c r="D355" i="44"/>
  <c r="D350" i="44"/>
  <c r="G350" i="44" s="1"/>
  <c r="H350" i="44" s="1"/>
  <c r="D354" i="44"/>
  <c r="D362" i="44"/>
  <c r="D356" i="44"/>
  <c r="D357" i="44"/>
  <c r="D363" i="44"/>
  <c r="D374" i="44"/>
  <c r="D360" i="44"/>
  <c r="D376" i="44"/>
  <c r="D353" i="44"/>
  <c r="D364" i="44"/>
  <c r="F1094" i="44"/>
  <c r="G1094" i="44"/>
  <c r="H1094" i="44" s="1"/>
  <c r="F1078" i="44"/>
  <c r="G1078" i="44"/>
  <c r="H1078" i="44" s="1"/>
  <c r="H36" i="46"/>
  <c r="G33" i="46"/>
  <c r="H33" i="46" s="1"/>
  <c r="K73" i="2"/>
  <c r="M69" i="2"/>
  <c r="D1223" i="44"/>
  <c r="D1234" i="44"/>
  <c r="D1233" i="44"/>
  <c r="D1208" i="44"/>
  <c r="G1208" i="44" s="1"/>
  <c r="H1208" i="44" s="1"/>
  <c r="D1232" i="44"/>
  <c r="D1212" i="44"/>
  <c r="D1213" i="44"/>
  <c r="D1228" i="44"/>
  <c r="D1215" i="44"/>
  <c r="D1230" i="44"/>
  <c r="D1214" i="44"/>
  <c r="D1220" i="44"/>
  <c r="D1209" i="44"/>
  <c r="D1210" i="44"/>
  <c r="D1224" i="44"/>
  <c r="D1219" i="44"/>
  <c r="D1221" i="44"/>
  <c r="D1236" i="44"/>
  <c r="D1227" i="44"/>
  <c r="D1218" i="44"/>
  <c r="D1222" i="44"/>
  <c r="D1238" i="44"/>
  <c r="D1216" i="44"/>
  <c r="D1231" i="44"/>
  <c r="D1229" i="44"/>
  <c r="D1237" i="44"/>
  <c r="D1211" i="44"/>
  <c r="D1226" i="44"/>
  <c r="D1217" i="44"/>
  <c r="D1235" i="44"/>
  <c r="D1225" i="44"/>
  <c r="G952" i="44"/>
  <c r="H952" i="44" s="1"/>
  <c r="F952" i="44"/>
  <c r="G955" i="44"/>
  <c r="H955" i="44" s="1"/>
  <c r="F955" i="44"/>
  <c r="F1146" i="44"/>
  <c r="G1146" i="44"/>
  <c r="H1146" i="44" s="1"/>
  <c r="F1169" i="44"/>
  <c r="G1169" i="44"/>
  <c r="H1169" i="44" s="1"/>
  <c r="F1167" i="44"/>
  <c r="G1167" i="44"/>
  <c r="H1167" i="44" s="1"/>
  <c r="F1145" i="44"/>
  <c r="G1145" i="44"/>
  <c r="H1145" i="44" s="1"/>
  <c r="D1354" i="44"/>
  <c r="D1367" i="44"/>
  <c r="D1346" i="44"/>
  <c r="D1342" i="44"/>
  <c r="D1345" i="44"/>
  <c r="D1370" i="44"/>
  <c r="D1356" i="44"/>
  <c r="D1360" i="44"/>
  <c r="D1347" i="44"/>
  <c r="D1358" i="44"/>
  <c r="D1352" i="44"/>
  <c r="D1365" i="44"/>
  <c r="D1341" i="44"/>
  <c r="G1341" i="44" s="1"/>
  <c r="H1341" i="44" s="1"/>
  <c r="D1364" i="44"/>
  <c r="D1368" i="44"/>
  <c r="D1350" i="44"/>
  <c r="D1343" i="44"/>
  <c r="D1348" i="44"/>
  <c r="D1344" i="44"/>
  <c r="D1366" i="44"/>
  <c r="D1363" i="44"/>
  <c r="D1353" i="44"/>
  <c r="D1349" i="44"/>
  <c r="D1361" i="44"/>
  <c r="D1362" i="44"/>
  <c r="D1355" i="44"/>
  <c r="D1359" i="44"/>
  <c r="D1369" i="44"/>
  <c r="D1351" i="44"/>
  <c r="D1357" i="44"/>
  <c r="D1371" i="44"/>
  <c r="D1418" i="44"/>
  <c r="D1407" i="44"/>
  <c r="D1422" i="44"/>
  <c r="D1434" i="44"/>
  <c r="D1409" i="44"/>
  <c r="D1435" i="44"/>
  <c r="D1419" i="44"/>
  <c r="D1421" i="44"/>
  <c r="D1429" i="44"/>
  <c r="D1427" i="44"/>
  <c r="D1430" i="44"/>
  <c r="D1436" i="44"/>
  <c r="D1417" i="44"/>
  <c r="D1412" i="44"/>
  <c r="D1426" i="44"/>
  <c r="D1433" i="44"/>
  <c r="D1431" i="44"/>
  <c r="D1410" i="44"/>
  <c r="D1411" i="44"/>
  <c r="D1424" i="44"/>
  <c r="D1428" i="44"/>
  <c r="D1416" i="44"/>
  <c r="D1432" i="44"/>
  <c r="D1415" i="44"/>
  <c r="D1425" i="44"/>
  <c r="D1420" i="44"/>
  <c r="D1408" i="44"/>
  <c r="D1423" i="44"/>
  <c r="D1414" i="44"/>
  <c r="D1406" i="44"/>
  <c r="G1406" i="44" s="1"/>
  <c r="H1406" i="44" s="1"/>
  <c r="D1413" i="44"/>
  <c r="K217" i="28"/>
  <c r="M185" i="28"/>
  <c r="K189" i="28"/>
  <c r="K23" i="27"/>
  <c r="K149" i="27"/>
  <c r="M16" i="27"/>
  <c r="K203" i="28"/>
  <c r="M199" i="28"/>
  <c r="F1016" i="44"/>
  <c r="G1016" i="44"/>
  <c r="H1016" i="44" s="1"/>
  <c r="F1015" i="44"/>
  <c r="G1015" i="44"/>
  <c r="H1015" i="44" s="1"/>
  <c r="F1034" i="44"/>
  <c r="G1034" i="44"/>
  <c r="H1034" i="44" s="1"/>
  <c r="K197" i="27"/>
  <c r="K201" i="27" s="1"/>
  <c r="K202" i="27" s="1"/>
  <c r="M192" i="27"/>
  <c r="G1099" i="44"/>
  <c r="H1099" i="44" s="1"/>
  <c r="F1099" i="44"/>
  <c r="G1096" i="44"/>
  <c r="H1096" i="44" s="1"/>
  <c r="F1096" i="44"/>
  <c r="G1104" i="44"/>
  <c r="H1104" i="44" s="1"/>
  <c r="F1104" i="44"/>
  <c r="M183" i="26"/>
  <c r="N183" i="26" s="1"/>
  <c r="N178" i="26"/>
  <c r="M257" i="28"/>
  <c r="K261" i="28"/>
  <c r="K99" i="28"/>
  <c r="K159" i="28"/>
  <c r="M92" i="28"/>
  <c r="G965" i="44"/>
  <c r="H965" i="44" s="1"/>
  <c r="F965" i="44"/>
  <c r="G953" i="44"/>
  <c r="H953" i="44" s="1"/>
  <c r="F953" i="44"/>
  <c r="G961" i="44"/>
  <c r="H961" i="44" s="1"/>
  <c r="F961" i="44"/>
  <c r="F946" i="44"/>
  <c r="G946" i="44"/>
  <c r="H946" i="44" s="1"/>
  <c r="F1159" i="44"/>
  <c r="G1159" i="44"/>
  <c r="H1159" i="44" s="1"/>
  <c r="F1166" i="44"/>
  <c r="G1166" i="44"/>
  <c r="H1166" i="44" s="1"/>
  <c r="G1144" i="44"/>
  <c r="H1144" i="44" s="1"/>
  <c r="F1144" i="44"/>
  <c r="G1165" i="44"/>
  <c r="H1165" i="44" s="1"/>
  <c r="F1165" i="44"/>
  <c r="G47" i="46"/>
  <c r="H47" i="46" s="1"/>
  <c r="H50" i="46"/>
  <c r="G48" i="46"/>
  <c r="H48" i="46" s="1"/>
  <c r="H51" i="46"/>
  <c r="G1027" i="44"/>
  <c r="H1027" i="44" s="1"/>
  <c r="F1027" i="44"/>
  <c r="F1011" i="44"/>
  <c r="G1011" i="44"/>
  <c r="H1011" i="44" s="1"/>
  <c r="F1028" i="44"/>
  <c r="G1028" i="44"/>
  <c r="H1028" i="44" s="1"/>
  <c r="F1035" i="44"/>
  <c r="G1035" i="44"/>
  <c r="H1035" i="44" s="1"/>
  <c r="M72" i="26"/>
  <c r="N72" i="26" s="1"/>
  <c r="N65" i="26"/>
  <c r="N175" i="27"/>
  <c r="M179" i="27"/>
  <c r="N179" i="27" s="1"/>
  <c r="G22" i="46"/>
  <c r="H22" i="46" s="1"/>
  <c r="G23" i="46"/>
  <c r="H23" i="46" s="1"/>
  <c r="F1082" i="44"/>
  <c r="G1082" i="44"/>
  <c r="H1082" i="44" s="1"/>
  <c r="G1098" i="44"/>
  <c r="H1098" i="44" s="1"/>
  <c r="F1098" i="44"/>
  <c r="F1097" i="44"/>
  <c r="G1097" i="44"/>
  <c r="H1097" i="44" s="1"/>
  <c r="F1092" i="44"/>
  <c r="G1092" i="44"/>
  <c r="H1092" i="44" s="1"/>
  <c r="D552" i="44"/>
  <c r="D576" i="44"/>
  <c r="D572" i="44"/>
  <c r="D565" i="44"/>
  <c r="D569" i="44"/>
  <c r="D573" i="44"/>
  <c r="D560" i="44"/>
  <c r="D578" i="44"/>
  <c r="D549" i="44"/>
  <c r="G549" i="44" s="1"/>
  <c r="H549" i="44" s="1"/>
  <c r="D557" i="44"/>
  <c r="D561" i="44"/>
  <c r="D574" i="44"/>
  <c r="D575" i="44"/>
  <c r="D562" i="44"/>
  <c r="D553" i="44"/>
  <c r="D566" i="44"/>
  <c r="D563" i="44"/>
  <c r="D579" i="44"/>
  <c r="D570" i="44"/>
  <c r="D567" i="44"/>
  <c r="D571" i="44"/>
  <c r="D554" i="44"/>
  <c r="D555" i="44"/>
  <c r="D559" i="44"/>
  <c r="D550" i="44"/>
  <c r="D551" i="44"/>
  <c r="D568" i="44"/>
  <c r="D558" i="44"/>
  <c r="D556" i="44"/>
  <c r="D577" i="44"/>
  <c r="D564" i="44"/>
  <c r="G53" i="46"/>
  <c r="H53" i="46" s="1"/>
  <c r="G54" i="46"/>
  <c r="H54" i="46" s="1"/>
  <c r="G52" i="46"/>
  <c r="H52" i="46" s="1"/>
  <c r="G957" i="44"/>
  <c r="H957" i="44" s="1"/>
  <c r="F957" i="44"/>
  <c r="G974" i="44"/>
  <c r="H974" i="44" s="1"/>
  <c r="F974" i="44"/>
  <c r="G947" i="44"/>
  <c r="H947" i="44" s="1"/>
  <c r="F947" i="44"/>
  <c r="F960" i="44"/>
  <c r="G960" i="44"/>
  <c r="H960" i="44" s="1"/>
  <c r="G1143" i="44"/>
  <c r="H1143" i="44" s="1"/>
  <c r="F1143" i="44"/>
  <c r="G1157" i="44"/>
  <c r="H1157" i="44" s="1"/>
  <c r="F1157" i="44"/>
  <c r="G1155" i="44"/>
  <c r="H1155" i="44" s="1"/>
  <c r="F1155" i="44"/>
  <c r="G1156" i="44"/>
  <c r="H1156" i="44" s="1"/>
  <c r="F1156" i="44"/>
  <c r="M145" i="28"/>
  <c r="N145" i="28" s="1"/>
  <c r="N140" i="28"/>
  <c r="F1021" i="44"/>
  <c r="G1021" i="44"/>
  <c r="H1021" i="44" s="1"/>
  <c r="G1020" i="44"/>
  <c r="H1020" i="44" s="1"/>
  <c r="F1020" i="44"/>
  <c r="F1032" i="44"/>
  <c r="G1032" i="44"/>
  <c r="H1032" i="44" s="1"/>
  <c r="M188" i="27"/>
  <c r="N188" i="27" s="1"/>
  <c r="B208" i="27"/>
  <c r="F1081" i="44"/>
  <c r="G1081" i="44"/>
  <c r="H1081" i="44" s="1"/>
  <c r="J13" i="25"/>
  <c r="K53" i="2"/>
  <c r="G198" i="44"/>
  <c r="G14" i="46"/>
  <c r="H14" i="46" s="1"/>
  <c r="M53" i="26"/>
  <c r="N53" i="26" s="1"/>
  <c r="N48" i="26"/>
  <c r="M32" i="26"/>
  <c r="K36" i="26"/>
  <c r="D287" i="44"/>
  <c r="D299" i="44"/>
  <c r="D288" i="44"/>
  <c r="D291" i="44"/>
  <c r="D294" i="44"/>
  <c r="D289" i="44"/>
  <c r="D290" i="44"/>
  <c r="D298" i="44"/>
  <c r="D283" i="44"/>
  <c r="G283" i="44" s="1"/>
  <c r="H283" i="44" s="1"/>
  <c r="D286" i="44"/>
  <c r="D292" i="44"/>
  <c r="D293" i="44"/>
  <c r="D302" i="44"/>
  <c r="D284" i="44"/>
  <c r="D297" i="44"/>
  <c r="D304" i="44"/>
  <c r="D300" i="44"/>
  <c r="D301" i="44"/>
  <c r="D285" i="44"/>
  <c r="D296" i="44"/>
  <c r="D295" i="44"/>
  <c r="D303" i="44"/>
  <c r="F1102" i="44"/>
  <c r="G1102" i="44"/>
  <c r="H1102" i="44" s="1"/>
  <c r="F1088" i="44"/>
  <c r="G1088" i="44"/>
  <c r="H1088" i="44" s="1"/>
  <c r="G1095" i="44"/>
  <c r="H1095" i="44" s="1"/>
  <c r="F1095" i="44"/>
  <c r="G1100" i="44"/>
  <c r="H1100" i="44" s="1"/>
  <c r="F1100" i="44"/>
  <c r="M86" i="26"/>
  <c r="N86" i="26" s="1"/>
  <c r="N82" i="26"/>
  <c r="K246" i="26"/>
  <c r="K152" i="26"/>
  <c r="M145" i="26"/>
  <c r="N117" i="27"/>
  <c r="M122" i="27"/>
  <c r="N122" i="27" s="1"/>
  <c r="G968" i="44"/>
  <c r="H968" i="44" s="1"/>
  <c r="F968" i="44"/>
  <c r="F966" i="44"/>
  <c r="G966" i="44"/>
  <c r="H966" i="44" s="1"/>
  <c r="F956" i="44"/>
  <c r="G956" i="44"/>
  <c r="H956" i="44" s="1"/>
  <c r="G1158" i="44"/>
  <c r="H1158" i="44" s="1"/>
  <c r="F1158" i="44"/>
  <c r="G1148" i="44"/>
  <c r="H1148" i="44" s="1"/>
  <c r="F1148" i="44"/>
  <c r="F1154" i="44"/>
  <c r="G1154" i="44"/>
  <c r="H1154" i="44" s="1"/>
  <c r="G1147" i="44"/>
  <c r="H1147" i="44" s="1"/>
  <c r="F1147" i="44"/>
  <c r="K127" i="28"/>
  <c r="M123" i="28"/>
  <c r="D754" i="44"/>
  <c r="D775" i="44"/>
  <c r="D752" i="44"/>
  <c r="D765" i="44"/>
  <c r="D756" i="44"/>
  <c r="D768" i="44"/>
  <c r="D761" i="44"/>
  <c r="D750" i="44"/>
  <c r="D766" i="44"/>
  <c r="D758" i="44"/>
  <c r="D749" i="44"/>
  <c r="G749" i="44" s="1"/>
  <c r="H749" i="44" s="1"/>
  <c r="D770" i="44"/>
  <c r="D769" i="44"/>
  <c r="D764" i="44"/>
  <c r="D763" i="44"/>
  <c r="D767" i="44"/>
  <c r="D751" i="44"/>
  <c r="D777" i="44"/>
  <c r="D779" i="44"/>
  <c r="D755" i="44"/>
  <c r="D760" i="44"/>
  <c r="D759" i="44"/>
  <c r="D774" i="44"/>
  <c r="D753" i="44"/>
  <c r="D776" i="44"/>
  <c r="D762" i="44"/>
  <c r="D773" i="44"/>
  <c r="D778" i="44"/>
  <c r="D772" i="44"/>
  <c r="D757" i="44"/>
  <c r="D771" i="44"/>
  <c r="G1013" i="44"/>
  <c r="H1013" i="44" s="1"/>
  <c r="F1013" i="44"/>
  <c r="F1012" i="44"/>
  <c r="G1012" i="44"/>
  <c r="H1012" i="44" s="1"/>
  <c r="G1036" i="44"/>
  <c r="H1036" i="44" s="1"/>
  <c r="F1036" i="44"/>
  <c r="G1029" i="44"/>
  <c r="H1029" i="44" s="1"/>
  <c r="F1029" i="44"/>
  <c r="N13" i="28"/>
  <c r="M20" i="28"/>
  <c r="N20" i="28" s="1"/>
  <c r="G1077" i="44"/>
  <c r="H1077" i="44" s="1"/>
  <c r="F1077" i="44"/>
  <c r="F963" i="44"/>
  <c r="G963" i="44"/>
  <c r="H963" i="44" s="1"/>
  <c r="F1153" i="44"/>
  <c r="G1153" i="44"/>
  <c r="H1153" i="44" s="1"/>
  <c r="M109" i="28"/>
  <c r="K113" i="28"/>
  <c r="D1493" i="44"/>
  <c r="D1480" i="44"/>
  <c r="D1491" i="44"/>
  <c r="D1481" i="44"/>
  <c r="D1490" i="44"/>
  <c r="D1478" i="44"/>
  <c r="D1497" i="44"/>
  <c r="D1485" i="44"/>
  <c r="D1470" i="44"/>
  <c r="G1470" i="44" s="1"/>
  <c r="H1470" i="44" s="1"/>
  <c r="D1472" i="44"/>
  <c r="D1483" i="44"/>
  <c r="D1494" i="44"/>
  <c r="D1496" i="44"/>
  <c r="D1487" i="44"/>
  <c r="D1473" i="44"/>
  <c r="D1484" i="44"/>
  <c r="D1471" i="44"/>
  <c r="D1488" i="44"/>
  <c r="D1476" i="44"/>
  <c r="D1486" i="44"/>
  <c r="D1492" i="44"/>
  <c r="D1498" i="44"/>
  <c r="D1500" i="44"/>
  <c r="D1474" i="44"/>
  <c r="D1499" i="44"/>
  <c r="D1489" i="44"/>
  <c r="D1482" i="44"/>
  <c r="D1475" i="44"/>
  <c r="D1479" i="44"/>
  <c r="D1477" i="44"/>
  <c r="D1495" i="44"/>
  <c r="N98" i="26"/>
  <c r="M103" i="26"/>
  <c r="N103" i="26" s="1"/>
  <c r="K166" i="26"/>
  <c r="M162" i="26"/>
  <c r="D445" i="44"/>
  <c r="D438" i="44"/>
  <c r="D436" i="44"/>
  <c r="D421" i="44"/>
  <c r="D428" i="44"/>
  <c r="D425" i="44"/>
  <c r="D435" i="44"/>
  <c r="D447" i="44"/>
  <c r="D419" i="44"/>
  <c r="D429" i="44"/>
  <c r="D423" i="44"/>
  <c r="D427" i="44"/>
  <c r="D442" i="44"/>
  <c r="D422" i="44"/>
  <c r="D441" i="44"/>
  <c r="D433" i="44"/>
  <c r="D418" i="44"/>
  <c r="D432" i="44"/>
  <c r="D434" i="44"/>
  <c r="D431" i="44"/>
  <c r="D443" i="44"/>
  <c r="D439" i="44"/>
  <c r="D430" i="44"/>
  <c r="D417" i="44"/>
  <c r="G417" i="44" s="1"/>
  <c r="H417" i="44" s="1"/>
  <c r="D437" i="44"/>
  <c r="D424" i="44"/>
  <c r="D440" i="44"/>
  <c r="D420" i="44"/>
  <c r="D426" i="44"/>
  <c r="D444" i="44"/>
  <c r="D446" i="44"/>
  <c r="K22" i="26"/>
  <c r="K116" i="26"/>
  <c r="M15" i="26"/>
  <c r="F1087" i="44"/>
  <c r="G1087" i="44"/>
  <c r="H1087" i="44" s="1"/>
  <c r="F1083" i="44"/>
  <c r="G1083" i="44"/>
  <c r="H1083" i="44" s="1"/>
  <c r="F1085" i="44"/>
  <c r="G1085" i="44"/>
  <c r="H1085" i="44" s="1"/>
  <c r="F1101" i="44"/>
  <c r="G1101" i="44"/>
  <c r="H1101" i="44" s="1"/>
  <c r="K37" i="27"/>
  <c r="M33" i="27"/>
  <c r="D1684" i="44"/>
  <c r="D1703" i="44"/>
  <c r="D1702" i="44"/>
  <c r="D1685" i="44"/>
  <c r="D1692" i="44"/>
  <c r="D1678" i="44"/>
  <c r="D1683" i="44"/>
  <c r="D1696" i="44"/>
  <c r="D1688" i="44"/>
  <c r="D1693" i="44"/>
  <c r="D1677" i="44"/>
  <c r="G1677" i="44" s="1"/>
  <c r="H1677" i="44" s="1"/>
  <c r="D1707" i="44"/>
  <c r="D1686" i="44"/>
  <c r="D1687" i="44"/>
  <c r="D1699" i="44"/>
  <c r="D1697" i="44"/>
  <c r="D1701" i="44"/>
  <c r="D1700" i="44"/>
  <c r="D1706" i="44"/>
  <c r="D1680" i="44"/>
  <c r="D1694" i="44"/>
  <c r="D1689" i="44"/>
  <c r="D1704" i="44"/>
  <c r="D1695" i="44"/>
  <c r="D1698" i="44"/>
  <c r="D1691" i="44"/>
  <c r="D1690" i="44"/>
  <c r="D1682" i="44"/>
  <c r="D1681" i="44"/>
  <c r="D1679" i="44"/>
  <c r="D1705" i="44"/>
  <c r="G25" i="46"/>
  <c r="H25" i="46" s="1"/>
  <c r="G26" i="46"/>
  <c r="H26" i="46" s="1"/>
  <c r="G972" i="44"/>
  <c r="H972" i="44" s="1"/>
  <c r="F972" i="44"/>
  <c r="G973" i="44"/>
  <c r="H973" i="44" s="1"/>
  <c r="F973" i="44"/>
  <c r="F962" i="44"/>
  <c r="G962" i="44"/>
  <c r="H962" i="44" s="1"/>
  <c r="G951" i="44"/>
  <c r="H951" i="44" s="1"/>
  <c r="F951" i="44"/>
  <c r="F950" i="44"/>
  <c r="G950" i="44"/>
  <c r="H950" i="44" s="1"/>
  <c r="G1150" i="44"/>
  <c r="H1150" i="44" s="1"/>
  <c r="F1150" i="44"/>
  <c r="G1149" i="44"/>
  <c r="H1149" i="44" s="1"/>
  <c r="F1149" i="44"/>
  <c r="G1142" i="44"/>
  <c r="H1142" i="44" s="1"/>
  <c r="F1142" i="44"/>
  <c r="F1152" i="44"/>
  <c r="G1152" i="44"/>
  <c r="H1152" i="44" s="1"/>
  <c r="M70" i="27"/>
  <c r="N70" i="27" s="1"/>
  <c r="N65" i="27"/>
  <c r="G1022" i="44"/>
  <c r="H1022" i="44" s="1"/>
  <c r="F1022" i="44"/>
  <c r="F1026" i="44"/>
  <c r="G1026" i="44"/>
  <c r="H1026" i="44" s="1"/>
  <c r="F1030" i="44"/>
  <c r="G1030" i="44"/>
  <c r="H1030" i="44" s="1"/>
  <c r="M47" i="27"/>
  <c r="K52" i="27"/>
  <c r="K58" i="28"/>
  <c r="M136" i="27"/>
  <c r="N136" i="27" s="1"/>
  <c r="N132" i="27"/>
  <c r="G1091" i="44"/>
  <c r="H1091" i="44" s="1"/>
  <c r="F1091" i="44"/>
  <c r="F1090" i="44"/>
  <c r="G1090" i="44"/>
  <c r="H1090" i="44" s="1"/>
  <c r="G1080" i="44"/>
  <c r="H1080" i="44" s="1"/>
  <c r="F1080" i="44"/>
  <c r="K247" i="28"/>
  <c r="K275" i="28"/>
  <c r="M243" i="28"/>
  <c r="D834" i="44"/>
  <c r="D816" i="44"/>
  <c r="D837" i="44"/>
  <c r="D818" i="44"/>
  <c r="D827" i="44"/>
  <c r="D826" i="44"/>
  <c r="D835" i="44"/>
  <c r="D825" i="44"/>
  <c r="D817" i="44"/>
  <c r="D832" i="44"/>
  <c r="D840" i="44"/>
  <c r="D839" i="44"/>
  <c r="D828" i="44"/>
  <c r="D844" i="44"/>
  <c r="D842" i="44"/>
  <c r="D830" i="44"/>
  <c r="D829" i="44"/>
  <c r="D841" i="44"/>
  <c r="D833" i="44"/>
  <c r="D820" i="44"/>
  <c r="D823" i="44"/>
  <c r="D815" i="44"/>
  <c r="D819" i="44"/>
  <c r="D822" i="44"/>
  <c r="D821" i="44"/>
  <c r="D838" i="44"/>
  <c r="D843" i="44"/>
  <c r="D814" i="44"/>
  <c r="G814" i="44" s="1"/>
  <c r="H814" i="44" s="1"/>
  <c r="D836" i="44"/>
  <c r="D831" i="44"/>
  <c r="D824" i="44"/>
  <c r="J17" i="25"/>
  <c r="G12" i="44"/>
  <c r="G13" i="46"/>
  <c r="G17" i="46"/>
  <c r="J11" i="25"/>
  <c r="K15" i="2"/>
  <c r="G134" i="44"/>
  <c r="G77" i="44"/>
  <c r="G10" i="46"/>
  <c r="J7" i="25"/>
  <c r="G29" i="46"/>
  <c r="H29" i="46" s="1"/>
  <c r="G30" i="46"/>
  <c r="H30" i="46" s="1"/>
  <c r="D1280" i="44"/>
  <c r="D1296" i="44"/>
  <c r="D1281" i="44"/>
  <c r="D1285" i="44"/>
  <c r="D1282" i="44"/>
  <c r="D1295" i="44"/>
  <c r="D1291" i="44"/>
  <c r="D1288" i="44"/>
  <c r="D1301" i="44"/>
  <c r="D1279" i="44"/>
  <c r="D1300" i="44"/>
  <c r="D1287" i="44"/>
  <c r="D1303" i="44"/>
  <c r="D1289" i="44"/>
  <c r="D1302" i="44"/>
  <c r="D1284" i="44"/>
  <c r="D1276" i="44"/>
  <c r="G1276" i="44" s="1"/>
  <c r="H1276" i="44" s="1"/>
  <c r="D1304" i="44"/>
  <c r="D1278" i="44"/>
  <c r="D1283" i="44"/>
  <c r="D1299" i="44"/>
  <c r="D1298" i="44"/>
  <c r="D1277" i="44"/>
  <c r="D1286" i="44"/>
  <c r="D1290" i="44"/>
  <c r="D1294" i="44"/>
  <c r="D1292" i="44"/>
  <c r="D1293" i="44"/>
  <c r="D1297" i="44"/>
  <c r="G948" i="44"/>
  <c r="H948" i="44" s="1"/>
  <c r="F948" i="44"/>
  <c r="F969" i="44"/>
  <c r="G969" i="44"/>
  <c r="H969" i="44" s="1"/>
  <c r="F971" i="44"/>
  <c r="G971" i="44"/>
  <c r="H971" i="44" s="1"/>
  <c r="F967" i="44"/>
  <c r="G967" i="44"/>
  <c r="H967" i="44" s="1"/>
  <c r="G970" i="44"/>
  <c r="H970" i="44" s="1"/>
  <c r="F970" i="44"/>
  <c r="F1160" i="44"/>
  <c r="G1160" i="44"/>
  <c r="H1160" i="44" s="1"/>
  <c r="G1162" i="44"/>
  <c r="H1162" i="44" s="1"/>
  <c r="F1162" i="44"/>
  <c r="G1164" i="44"/>
  <c r="H1164" i="44" s="1"/>
  <c r="F1164" i="44"/>
  <c r="F1163" i="44"/>
  <c r="G1163" i="44"/>
  <c r="H1163" i="44" s="1"/>
  <c r="M219" i="26"/>
  <c r="N219" i="26" s="1"/>
  <c r="N214" i="26"/>
  <c r="N30" i="28"/>
  <c r="M34" i="28"/>
  <c r="N34" i="28" s="1"/>
  <c r="D703" i="44"/>
  <c r="D696" i="44"/>
  <c r="D687" i="44"/>
  <c r="D704" i="44"/>
  <c r="D694" i="44"/>
  <c r="D684" i="44"/>
  <c r="D691" i="44"/>
  <c r="D686" i="44"/>
  <c r="D706" i="44"/>
  <c r="D688" i="44"/>
  <c r="D689" i="44"/>
  <c r="D682" i="44"/>
  <c r="G682" i="44" s="1"/>
  <c r="H682" i="44" s="1"/>
  <c r="D698" i="44"/>
  <c r="D700" i="44"/>
  <c r="D702" i="44"/>
  <c r="D690" i="44"/>
  <c r="D693" i="44"/>
  <c r="D692" i="44"/>
  <c r="D712" i="44"/>
  <c r="D683" i="44"/>
  <c r="D711" i="44"/>
  <c r="D685" i="44"/>
  <c r="D697" i="44"/>
  <c r="D709" i="44"/>
  <c r="D707" i="44"/>
  <c r="D701" i="44"/>
  <c r="D699" i="44"/>
  <c r="D710" i="44"/>
  <c r="D708" i="44"/>
  <c r="D695" i="44"/>
  <c r="D705" i="44"/>
  <c r="G1033" i="44"/>
  <c r="H1033" i="44" s="1"/>
  <c r="F1033" i="44"/>
  <c r="G1017" i="44"/>
  <c r="H1017" i="44" s="1"/>
  <c r="F1017" i="44"/>
  <c r="G1025" i="44"/>
  <c r="H1025" i="44" s="1"/>
  <c r="F1025" i="44"/>
  <c r="G1024" i="44"/>
  <c r="H1024" i="44" s="1"/>
  <c r="F1024" i="44"/>
  <c r="F1031" i="44"/>
  <c r="G1031" i="44"/>
  <c r="H1031" i="44" s="1"/>
  <c r="D904" i="44"/>
  <c r="D903" i="44"/>
  <c r="D906" i="44"/>
  <c r="D889" i="44"/>
  <c r="D897" i="44"/>
  <c r="D890" i="44"/>
  <c r="D880" i="44"/>
  <c r="D896" i="44"/>
  <c r="D900" i="44"/>
  <c r="D902" i="44"/>
  <c r="D888" i="44"/>
  <c r="D909" i="44"/>
  <c r="D886" i="44"/>
  <c r="D883" i="44"/>
  <c r="D899" i="44"/>
  <c r="D885" i="44"/>
  <c r="D891" i="44"/>
  <c r="D905" i="44"/>
  <c r="D892" i="44"/>
  <c r="D907" i="44"/>
  <c r="D908" i="44"/>
  <c r="D881" i="44"/>
  <c r="D898" i="44"/>
  <c r="D879" i="44"/>
  <c r="G879" i="44" s="1"/>
  <c r="H879" i="44" s="1"/>
  <c r="D884" i="44"/>
  <c r="D887" i="44"/>
  <c r="D894" i="44"/>
  <c r="D893" i="44"/>
  <c r="D895" i="44"/>
  <c r="D882" i="44"/>
  <c r="D901" i="44"/>
  <c r="M63" i="28"/>
  <c r="K68" i="28"/>
  <c r="K72" i="28" s="1"/>
  <c r="K73" i="28" s="1"/>
  <c r="K43" i="2" l="1"/>
  <c r="J215" i="47"/>
  <c r="J217" i="47"/>
  <c r="J29" i="47"/>
  <c r="J216" i="47"/>
  <c r="K270" i="28"/>
  <c r="J12" i="47"/>
  <c r="J18" i="47"/>
  <c r="F308" i="44"/>
  <c r="G308" i="44"/>
  <c r="H308" i="44" s="1"/>
  <c r="F309" i="44"/>
  <c r="G309" i="44"/>
  <c r="H309" i="44" s="1"/>
  <c r="F307" i="44"/>
  <c r="G307" i="44"/>
  <c r="H307" i="44" s="1"/>
  <c r="D174" i="44"/>
  <c r="D182" i="44"/>
  <c r="D175" i="44"/>
  <c r="D176" i="44"/>
  <c r="D173" i="44"/>
  <c r="D177" i="44"/>
  <c r="D181" i="44"/>
  <c r="D178" i="44"/>
  <c r="D179" i="44"/>
  <c r="D180" i="44"/>
  <c r="F313" i="44"/>
  <c r="G313" i="44"/>
  <c r="H313" i="44" s="1"/>
  <c r="D119" i="44"/>
  <c r="D120" i="44"/>
  <c r="D121" i="44"/>
  <c r="D122" i="44"/>
  <c r="D117" i="44"/>
  <c r="D124" i="44"/>
  <c r="D123" i="44"/>
  <c r="D125" i="44"/>
  <c r="D118" i="44"/>
  <c r="F310" i="44"/>
  <c r="G310" i="44"/>
  <c r="H310" i="44" s="1"/>
  <c r="F306" i="44"/>
  <c r="G306" i="44"/>
  <c r="H306" i="44" s="1"/>
  <c r="F1306" i="44"/>
  <c r="G1306" i="44"/>
  <c r="H1306" i="44" s="1"/>
  <c r="F311" i="44"/>
  <c r="G311" i="44"/>
  <c r="H311" i="44" s="1"/>
  <c r="D245" i="44"/>
  <c r="D246" i="44"/>
  <c r="D243" i="44"/>
  <c r="D244" i="44"/>
  <c r="D247" i="44"/>
  <c r="F312" i="44"/>
  <c r="G312" i="44"/>
  <c r="H312" i="44" s="1"/>
  <c r="D51" i="44"/>
  <c r="D60" i="44"/>
  <c r="D59" i="44"/>
  <c r="D58" i="44"/>
  <c r="D53" i="44"/>
  <c r="D56" i="44"/>
  <c r="D50" i="44"/>
  <c r="D57" i="44"/>
  <c r="D55" i="44"/>
  <c r="D52" i="44"/>
  <c r="D54" i="44"/>
  <c r="K304" i="28"/>
  <c r="K309" i="28" s="1"/>
  <c r="F816" i="44"/>
  <c r="G816" i="44"/>
  <c r="H816" i="44" s="1"/>
  <c r="F1693" i="44"/>
  <c r="G1693" i="44"/>
  <c r="H1693" i="44" s="1"/>
  <c r="F1479" i="44"/>
  <c r="G1479" i="44"/>
  <c r="H1479" i="44" s="1"/>
  <c r="F1493" i="44"/>
  <c r="G1493" i="44"/>
  <c r="H1493" i="44" s="1"/>
  <c r="F778" i="44"/>
  <c r="G778" i="44"/>
  <c r="H778" i="44" s="1"/>
  <c r="G768" i="44"/>
  <c r="H768" i="44" s="1"/>
  <c r="F768" i="44"/>
  <c r="G295" i="44"/>
  <c r="H295" i="44" s="1"/>
  <c r="F295" i="44"/>
  <c r="F305" i="44"/>
  <c r="G305" i="44"/>
  <c r="H305" i="44" s="1"/>
  <c r="F559" i="44"/>
  <c r="G559" i="44"/>
  <c r="H559" i="44" s="1"/>
  <c r="F566" i="44"/>
  <c r="G566" i="44"/>
  <c r="H566" i="44" s="1"/>
  <c r="G572" i="44"/>
  <c r="H572" i="44" s="1"/>
  <c r="F572" i="44"/>
  <c r="G1436" i="44"/>
  <c r="H1436" i="44" s="1"/>
  <c r="F1436" i="44"/>
  <c r="G1353" i="44"/>
  <c r="H1353" i="44" s="1"/>
  <c r="F1353" i="44"/>
  <c r="F1347" i="44"/>
  <c r="G1347" i="44"/>
  <c r="H1347" i="44" s="1"/>
  <c r="F1237" i="44"/>
  <c r="G1237" i="44"/>
  <c r="H1237" i="44" s="1"/>
  <c r="G1220" i="44"/>
  <c r="H1220" i="44" s="1"/>
  <c r="F1220" i="44"/>
  <c r="G364" i="44"/>
  <c r="H364" i="44" s="1"/>
  <c r="F364" i="44"/>
  <c r="F366" i="44"/>
  <c r="G366" i="44"/>
  <c r="H366" i="44" s="1"/>
  <c r="F352" i="44"/>
  <c r="G352" i="44"/>
  <c r="H352" i="44" s="1"/>
  <c r="F1556" i="44"/>
  <c r="G1556" i="44"/>
  <c r="H1556" i="44" s="1"/>
  <c r="G1561" i="44"/>
  <c r="H1561" i="44" s="1"/>
  <c r="F1561" i="44"/>
  <c r="G499" i="44"/>
  <c r="H499" i="44" s="1"/>
  <c r="F499" i="44"/>
  <c r="G484" i="44"/>
  <c r="H484" i="44" s="1"/>
  <c r="F484" i="44"/>
  <c r="F1614" i="44"/>
  <c r="G1614" i="44"/>
  <c r="H1614" i="44" s="1"/>
  <c r="G1620" i="44"/>
  <c r="H1620" i="44" s="1"/>
  <c r="F1620" i="44"/>
  <c r="G638" i="44"/>
  <c r="H638" i="44" s="1"/>
  <c r="F638" i="44"/>
  <c r="F905" i="44"/>
  <c r="G905" i="44"/>
  <c r="H905" i="44" s="1"/>
  <c r="G1287" i="44"/>
  <c r="H1287" i="44" s="1"/>
  <c r="F1287" i="44"/>
  <c r="F1682" i="44"/>
  <c r="G1682" i="44"/>
  <c r="H1682" i="44" s="1"/>
  <c r="G422" i="44"/>
  <c r="H422" i="44" s="1"/>
  <c r="F422" i="44"/>
  <c r="F1485" i="44"/>
  <c r="G1485" i="44"/>
  <c r="H1485" i="44" s="1"/>
  <c r="G769" i="44"/>
  <c r="H769" i="44" s="1"/>
  <c r="F769" i="44"/>
  <c r="G564" i="44"/>
  <c r="H564" i="44" s="1"/>
  <c r="F564" i="44"/>
  <c r="M189" i="28"/>
  <c r="N189" i="28" s="1"/>
  <c r="N185" i="28"/>
  <c r="G1411" i="44"/>
  <c r="H1411" i="44" s="1"/>
  <c r="F1411" i="44"/>
  <c r="F1434" i="44"/>
  <c r="G1434" i="44"/>
  <c r="H1434" i="44" s="1"/>
  <c r="F1357" i="44"/>
  <c r="G1357" i="44"/>
  <c r="H1357" i="44" s="1"/>
  <c r="F1227" i="44"/>
  <c r="G1227" i="44"/>
  <c r="H1227" i="44" s="1"/>
  <c r="F362" i="44"/>
  <c r="G362" i="44"/>
  <c r="H362" i="44" s="1"/>
  <c r="G370" i="44"/>
  <c r="H370" i="44" s="1"/>
  <c r="F370" i="44"/>
  <c r="F1539" i="44"/>
  <c r="G1539" i="44"/>
  <c r="H1539" i="44" s="1"/>
  <c r="G1545" i="44"/>
  <c r="H1545" i="44" s="1"/>
  <c r="F1545" i="44"/>
  <c r="F510" i="44"/>
  <c r="G510" i="44"/>
  <c r="H510" i="44" s="1"/>
  <c r="F509" i="44"/>
  <c r="G509" i="44"/>
  <c r="H509" i="44" s="1"/>
  <c r="F1610" i="44"/>
  <c r="G1610" i="44"/>
  <c r="H1610" i="44" s="1"/>
  <c r="F1615" i="44"/>
  <c r="G1615" i="44"/>
  <c r="H1615" i="44" s="1"/>
  <c r="G1619" i="44"/>
  <c r="H1619" i="44" s="1"/>
  <c r="F1619" i="44"/>
  <c r="G626" i="44"/>
  <c r="H626" i="44" s="1"/>
  <c r="F626" i="44"/>
  <c r="F618" i="44"/>
  <c r="G618" i="44"/>
  <c r="H618" i="44" s="1"/>
  <c r="N63" i="28"/>
  <c r="M68" i="28"/>
  <c r="N68" i="28" s="1"/>
  <c r="F884" i="44"/>
  <c r="G884" i="44"/>
  <c r="H884" i="44" s="1"/>
  <c r="G891" i="44"/>
  <c r="H891" i="44" s="1"/>
  <c r="F891" i="44"/>
  <c r="G902" i="44"/>
  <c r="H902" i="44" s="1"/>
  <c r="F902" i="44"/>
  <c r="G906" i="44"/>
  <c r="H906" i="44" s="1"/>
  <c r="F906" i="44"/>
  <c r="F692" i="44"/>
  <c r="G692" i="44"/>
  <c r="H692" i="44" s="1"/>
  <c r="G688" i="44"/>
  <c r="H688" i="44" s="1"/>
  <c r="F688" i="44"/>
  <c r="F687" i="44"/>
  <c r="G687" i="44"/>
  <c r="H687" i="44" s="1"/>
  <c r="F1294" i="44"/>
  <c r="G1294" i="44"/>
  <c r="H1294" i="44" s="1"/>
  <c r="G1278" i="44"/>
  <c r="H1278" i="44" s="1"/>
  <c r="F1278" i="44"/>
  <c r="F1285" i="44"/>
  <c r="G1285" i="44"/>
  <c r="H1285" i="44" s="1"/>
  <c r="G16" i="46"/>
  <c r="H16" i="46" s="1"/>
  <c r="G15" i="46"/>
  <c r="H15" i="46" s="1"/>
  <c r="F819" i="44"/>
  <c r="G819" i="44"/>
  <c r="H819" i="44" s="1"/>
  <c r="F830" i="44"/>
  <c r="G830" i="44"/>
  <c r="H830" i="44" s="1"/>
  <c r="F825" i="44"/>
  <c r="G825" i="44"/>
  <c r="H825" i="44" s="1"/>
  <c r="G834" i="44"/>
  <c r="H834" i="44" s="1"/>
  <c r="F834" i="44"/>
  <c r="G1690" i="44"/>
  <c r="H1690" i="44" s="1"/>
  <c r="F1690" i="44"/>
  <c r="G1697" i="44"/>
  <c r="H1697" i="44" s="1"/>
  <c r="F1697" i="44"/>
  <c r="G1688" i="44"/>
  <c r="H1688" i="44" s="1"/>
  <c r="F1688" i="44"/>
  <c r="M22" i="26"/>
  <c r="N22" i="26" s="1"/>
  <c r="N15" i="26"/>
  <c r="F420" i="44"/>
  <c r="G420" i="44"/>
  <c r="H420" i="44" s="1"/>
  <c r="G443" i="44"/>
  <c r="H443" i="44" s="1"/>
  <c r="F443" i="44"/>
  <c r="G442" i="44"/>
  <c r="H442" i="44" s="1"/>
  <c r="F442" i="44"/>
  <c r="G425" i="44"/>
  <c r="H425" i="44" s="1"/>
  <c r="F425" i="44"/>
  <c r="G1475" i="44"/>
  <c r="H1475" i="44" s="1"/>
  <c r="F1475" i="44"/>
  <c r="G1473" i="44"/>
  <c r="H1473" i="44" s="1"/>
  <c r="F1473" i="44"/>
  <c r="F773" i="44"/>
  <c r="G773" i="44"/>
  <c r="H773" i="44" s="1"/>
  <c r="G755" i="44"/>
  <c r="H755" i="44" s="1"/>
  <c r="F755" i="44"/>
  <c r="F770" i="44"/>
  <c r="G770" i="44"/>
  <c r="H770" i="44" s="1"/>
  <c r="F756" i="44"/>
  <c r="G756" i="44"/>
  <c r="H756" i="44" s="1"/>
  <c r="F296" i="44"/>
  <c r="G296" i="44"/>
  <c r="H296" i="44" s="1"/>
  <c r="F292" i="44"/>
  <c r="G292" i="44"/>
  <c r="H292" i="44" s="1"/>
  <c r="F294" i="44"/>
  <c r="G294" i="44"/>
  <c r="H294" i="44" s="1"/>
  <c r="M36" i="26"/>
  <c r="N36" i="26" s="1"/>
  <c r="N32" i="26"/>
  <c r="G577" i="44"/>
  <c r="H577" i="44" s="1"/>
  <c r="F577" i="44"/>
  <c r="F555" i="44"/>
  <c r="G555" i="44"/>
  <c r="H555" i="44" s="1"/>
  <c r="F553" i="44"/>
  <c r="G553" i="44"/>
  <c r="H553" i="44" s="1"/>
  <c r="F578" i="44"/>
  <c r="G578" i="44"/>
  <c r="H578" i="44" s="1"/>
  <c r="G576" i="44"/>
  <c r="H576" i="44" s="1"/>
  <c r="F576" i="44"/>
  <c r="K222" i="28"/>
  <c r="K226" i="28" s="1"/>
  <c r="K227" i="28" s="1"/>
  <c r="M217" i="28"/>
  <c r="G1420" i="44"/>
  <c r="H1420" i="44" s="1"/>
  <c r="F1420" i="44"/>
  <c r="F1410" i="44"/>
  <c r="G1410" i="44"/>
  <c r="H1410" i="44" s="1"/>
  <c r="G1430" i="44"/>
  <c r="H1430" i="44" s="1"/>
  <c r="F1430" i="44"/>
  <c r="G1422" i="44"/>
  <c r="H1422" i="44" s="1"/>
  <c r="F1422" i="44"/>
  <c r="G1351" i="44"/>
  <c r="H1351" i="44" s="1"/>
  <c r="F1351" i="44"/>
  <c r="F1363" i="44"/>
  <c r="G1363" i="44"/>
  <c r="H1363" i="44" s="1"/>
  <c r="G1350" i="44"/>
  <c r="H1350" i="44" s="1"/>
  <c r="F1350" i="44"/>
  <c r="G1360" i="44"/>
  <c r="H1360" i="44" s="1"/>
  <c r="F1360" i="44"/>
  <c r="F1354" i="44"/>
  <c r="G1354" i="44"/>
  <c r="H1354" i="44" s="1"/>
  <c r="G1229" i="44"/>
  <c r="H1229" i="44" s="1"/>
  <c r="F1229" i="44"/>
  <c r="G1236" i="44"/>
  <c r="H1236" i="44" s="1"/>
  <c r="F1236" i="44"/>
  <c r="G1214" i="44"/>
  <c r="H1214" i="44" s="1"/>
  <c r="F1214" i="44"/>
  <c r="F1232" i="44"/>
  <c r="G1232" i="44"/>
  <c r="H1232" i="44" s="1"/>
  <c r="F353" i="44"/>
  <c r="G353" i="44"/>
  <c r="H353" i="44" s="1"/>
  <c r="G354" i="44"/>
  <c r="H354" i="44" s="1"/>
  <c r="F354" i="44"/>
  <c r="G377" i="44"/>
  <c r="H377" i="44" s="1"/>
  <c r="F377" i="44"/>
  <c r="F373" i="44"/>
  <c r="G373" i="44"/>
  <c r="H373" i="44" s="1"/>
  <c r="F375" i="44"/>
  <c r="G375" i="44"/>
  <c r="H375" i="44" s="1"/>
  <c r="F1546" i="44"/>
  <c r="G1546" i="44"/>
  <c r="H1546" i="44" s="1"/>
  <c r="F1558" i="44"/>
  <c r="G1558" i="44"/>
  <c r="H1558" i="44" s="1"/>
  <c r="F1550" i="44"/>
  <c r="G1550" i="44"/>
  <c r="H1550" i="44" s="1"/>
  <c r="F512" i="44"/>
  <c r="G512" i="44"/>
  <c r="H512" i="44" s="1"/>
  <c r="G504" i="44"/>
  <c r="H504" i="44" s="1"/>
  <c r="F504" i="44"/>
  <c r="F492" i="44"/>
  <c r="G492" i="44"/>
  <c r="H492" i="44" s="1"/>
  <c r="G506" i="44"/>
  <c r="H506" i="44" s="1"/>
  <c r="F506" i="44"/>
  <c r="F1631" i="44"/>
  <c r="G1631" i="44"/>
  <c r="H1631" i="44" s="1"/>
  <c r="G1613" i="44"/>
  <c r="H1613" i="44" s="1"/>
  <c r="F1613" i="44"/>
  <c r="G1626" i="44"/>
  <c r="H1626" i="44" s="1"/>
  <c r="F1626" i="44"/>
  <c r="F1606" i="44"/>
  <c r="G1606" i="44"/>
  <c r="H1606" i="44" s="1"/>
  <c r="F634" i="44"/>
  <c r="G634" i="44"/>
  <c r="H634" i="44" s="1"/>
  <c r="F635" i="44"/>
  <c r="G635" i="44"/>
  <c r="H635" i="44" s="1"/>
  <c r="F619" i="44"/>
  <c r="G619" i="44"/>
  <c r="H619" i="44" s="1"/>
  <c r="G887" i="44"/>
  <c r="H887" i="44" s="1"/>
  <c r="F887" i="44"/>
  <c r="G822" i="44"/>
  <c r="H822" i="44" s="1"/>
  <c r="F822" i="44"/>
  <c r="F760" i="44"/>
  <c r="G760" i="44"/>
  <c r="H760" i="44" s="1"/>
  <c r="G901" i="44"/>
  <c r="H901" i="44" s="1"/>
  <c r="F901" i="44"/>
  <c r="G885" i="44"/>
  <c r="H885" i="44" s="1"/>
  <c r="F885" i="44"/>
  <c r="F900" i="44"/>
  <c r="G900" i="44"/>
  <c r="H900" i="44" s="1"/>
  <c r="G903" i="44"/>
  <c r="H903" i="44" s="1"/>
  <c r="F903" i="44"/>
  <c r="F705" i="44"/>
  <c r="G705" i="44"/>
  <c r="H705" i="44" s="1"/>
  <c r="G709" i="44"/>
  <c r="H709" i="44" s="1"/>
  <c r="F709" i="44"/>
  <c r="G693" i="44"/>
  <c r="H693" i="44" s="1"/>
  <c r="F693" i="44"/>
  <c r="F706" i="44"/>
  <c r="G706" i="44"/>
  <c r="H706" i="44" s="1"/>
  <c r="G696" i="44"/>
  <c r="H696" i="44" s="1"/>
  <c r="F696" i="44"/>
  <c r="G1290" i="44"/>
  <c r="H1290" i="44" s="1"/>
  <c r="F1290" i="44"/>
  <c r="F1304" i="44"/>
  <c r="G1304" i="44"/>
  <c r="H1304" i="44" s="1"/>
  <c r="F1300" i="44"/>
  <c r="G1300" i="44"/>
  <c r="H1300" i="44" s="1"/>
  <c r="G11" i="46"/>
  <c r="H11" i="46" s="1"/>
  <c r="G12" i="46"/>
  <c r="H12" i="46" s="1"/>
  <c r="F815" i="44"/>
  <c r="G815" i="44"/>
  <c r="H815" i="44" s="1"/>
  <c r="F842" i="44"/>
  <c r="G842" i="44"/>
  <c r="H842" i="44" s="1"/>
  <c r="G835" i="44"/>
  <c r="H835" i="44" s="1"/>
  <c r="F835" i="44"/>
  <c r="M247" i="28"/>
  <c r="N247" i="28" s="1"/>
  <c r="N243" i="28"/>
  <c r="F1691" i="44"/>
  <c r="G1691" i="44"/>
  <c r="H1691" i="44" s="1"/>
  <c r="F1689" i="44"/>
  <c r="G1689" i="44"/>
  <c r="H1689" i="44" s="1"/>
  <c r="F1699" i="44"/>
  <c r="G1699" i="44"/>
  <c r="H1699" i="44" s="1"/>
  <c r="G1702" i="44"/>
  <c r="H1702" i="44" s="1"/>
  <c r="F1702" i="44"/>
  <c r="K121" i="26"/>
  <c r="K276" i="26"/>
  <c r="M116" i="26"/>
  <c r="G440" i="44"/>
  <c r="H440" i="44" s="1"/>
  <c r="F440" i="44"/>
  <c r="F431" i="44"/>
  <c r="G431" i="44"/>
  <c r="H431" i="44" s="1"/>
  <c r="G427" i="44"/>
  <c r="H427" i="44" s="1"/>
  <c r="F427" i="44"/>
  <c r="F428" i="44"/>
  <c r="G428" i="44"/>
  <c r="H428" i="44" s="1"/>
  <c r="F1482" i="44"/>
  <c r="G1482" i="44"/>
  <c r="H1482" i="44" s="1"/>
  <c r="F1498" i="44"/>
  <c r="G1498" i="44"/>
  <c r="H1498" i="44" s="1"/>
  <c r="G1487" i="44"/>
  <c r="H1487" i="44" s="1"/>
  <c r="F1487" i="44"/>
  <c r="F1497" i="44"/>
  <c r="G1497" i="44"/>
  <c r="H1497" i="44" s="1"/>
  <c r="G779" i="44"/>
  <c r="H779" i="44" s="1"/>
  <c r="F779" i="44"/>
  <c r="G765" i="44"/>
  <c r="H765" i="44" s="1"/>
  <c r="F765" i="44"/>
  <c r="G297" i="44"/>
  <c r="H297" i="44" s="1"/>
  <c r="F297" i="44"/>
  <c r="F286" i="44"/>
  <c r="G286" i="44"/>
  <c r="H286" i="44" s="1"/>
  <c r="G291" i="44"/>
  <c r="H291" i="44" s="1"/>
  <c r="F291" i="44"/>
  <c r="D222" i="44"/>
  <c r="D217" i="44"/>
  <c r="G217" i="44" s="1"/>
  <c r="H217" i="44" s="1"/>
  <c r="D237" i="44"/>
  <c r="D232" i="44"/>
  <c r="D227" i="44"/>
  <c r="D221" i="44"/>
  <c r="D218" i="44"/>
  <c r="D238" i="44"/>
  <c r="D242" i="44"/>
  <c r="D239" i="44"/>
  <c r="D234" i="44"/>
  <c r="D224" i="44"/>
  <c r="D220" i="44"/>
  <c r="D233" i="44"/>
  <c r="D235" i="44"/>
  <c r="D231" i="44"/>
  <c r="D228" i="44"/>
  <c r="D223" i="44"/>
  <c r="D236" i="44"/>
  <c r="D240" i="44"/>
  <c r="D225" i="44"/>
  <c r="D241" i="44"/>
  <c r="D230" i="44"/>
  <c r="D219" i="44"/>
  <c r="D229" i="44"/>
  <c r="D226" i="44"/>
  <c r="F554" i="44"/>
  <c r="G554" i="44"/>
  <c r="H554" i="44" s="1"/>
  <c r="F562" i="44"/>
  <c r="G562" i="44"/>
  <c r="H562" i="44" s="1"/>
  <c r="G560" i="44"/>
  <c r="H560" i="44" s="1"/>
  <c r="F560" i="44"/>
  <c r="G552" i="44"/>
  <c r="H552" i="44" s="1"/>
  <c r="F552" i="44"/>
  <c r="N192" i="27"/>
  <c r="M197" i="27"/>
  <c r="N197" i="27" s="1"/>
  <c r="N199" i="28"/>
  <c r="M203" i="28"/>
  <c r="N203" i="28" s="1"/>
  <c r="G1425" i="44"/>
  <c r="H1425" i="44" s="1"/>
  <c r="F1425" i="44"/>
  <c r="F1431" i="44"/>
  <c r="G1431" i="44"/>
  <c r="H1431" i="44" s="1"/>
  <c r="F1427" i="44"/>
  <c r="G1427" i="44"/>
  <c r="H1427" i="44" s="1"/>
  <c r="F1407" i="44"/>
  <c r="G1407" i="44"/>
  <c r="H1407" i="44" s="1"/>
  <c r="G1369" i="44"/>
  <c r="H1369" i="44" s="1"/>
  <c r="F1369" i="44"/>
  <c r="F1368" i="44"/>
  <c r="G1368" i="44"/>
  <c r="H1368" i="44" s="1"/>
  <c r="G1356" i="44"/>
  <c r="H1356" i="44" s="1"/>
  <c r="F1356" i="44"/>
  <c r="G1231" i="44"/>
  <c r="H1231" i="44" s="1"/>
  <c r="F1231" i="44"/>
  <c r="G376" i="44"/>
  <c r="H376" i="44" s="1"/>
  <c r="F376" i="44"/>
  <c r="F380" i="44"/>
  <c r="G380" i="44"/>
  <c r="H380" i="44" s="1"/>
  <c r="F361" i="44"/>
  <c r="G361" i="44"/>
  <c r="H361" i="44" s="1"/>
  <c r="F369" i="44"/>
  <c r="G369" i="44"/>
  <c r="H369" i="44" s="1"/>
  <c r="F1563" i="44"/>
  <c r="G1563" i="44"/>
  <c r="H1563" i="44" s="1"/>
  <c r="F502" i="44"/>
  <c r="G502" i="44"/>
  <c r="H502" i="44" s="1"/>
  <c r="F511" i="44"/>
  <c r="G511" i="44"/>
  <c r="H511" i="44" s="1"/>
  <c r="F495" i="44"/>
  <c r="G495" i="44"/>
  <c r="H495" i="44" s="1"/>
  <c r="F496" i="44"/>
  <c r="G496" i="44"/>
  <c r="H496" i="44" s="1"/>
  <c r="G489" i="44"/>
  <c r="H489" i="44" s="1"/>
  <c r="F489" i="44"/>
  <c r="F1625" i="44"/>
  <c r="G1625" i="44"/>
  <c r="H1625" i="44" s="1"/>
  <c r="F1617" i="44"/>
  <c r="G1617" i="44"/>
  <c r="H1617" i="44" s="1"/>
  <c r="F1630" i="44"/>
  <c r="G1630" i="44"/>
  <c r="H1630" i="44" s="1"/>
  <c r="F616" i="44"/>
  <c r="G616" i="44"/>
  <c r="H616" i="44" s="1"/>
  <c r="G620" i="44"/>
  <c r="H620" i="44" s="1"/>
  <c r="F620" i="44"/>
  <c r="F633" i="44"/>
  <c r="G633" i="44"/>
  <c r="H633" i="44" s="1"/>
  <c r="G617" i="44"/>
  <c r="H617" i="44" s="1"/>
  <c r="F617" i="44"/>
  <c r="F882" i="44"/>
  <c r="G882" i="44"/>
  <c r="H882" i="44" s="1"/>
  <c r="G898" i="44"/>
  <c r="H898" i="44" s="1"/>
  <c r="F898" i="44"/>
  <c r="F899" i="44"/>
  <c r="G899" i="44"/>
  <c r="H899" i="44" s="1"/>
  <c r="G896" i="44"/>
  <c r="H896" i="44" s="1"/>
  <c r="F896" i="44"/>
  <c r="G695" i="44"/>
  <c r="H695" i="44" s="1"/>
  <c r="F695" i="44"/>
  <c r="F697" i="44"/>
  <c r="G697" i="44"/>
  <c r="H697" i="44" s="1"/>
  <c r="F690" i="44"/>
  <c r="G690" i="44"/>
  <c r="H690" i="44" s="1"/>
  <c r="F686" i="44"/>
  <c r="G686" i="44"/>
  <c r="H686" i="44" s="1"/>
  <c r="G1286" i="44"/>
  <c r="H1286" i="44" s="1"/>
  <c r="F1286" i="44"/>
  <c r="G1279" i="44"/>
  <c r="H1279" i="44" s="1"/>
  <c r="F1279" i="44"/>
  <c r="G1281" i="44"/>
  <c r="H1281" i="44" s="1"/>
  <c r="F1281" i="44"/>
  <c r="G9" i="46"/>
  <c r="H9" i="46" s="1"/>
  <c r="G8" i="46"/>
  <c r="H8" i="46" s="1"/>
  <c r="D49" i="44"/>
  <c r="D32" i="44"/>
  <c r="D46" i="44"/>
  <c r="D48" i="44"/>
  <c r="D39" i="44"/>
  <c r="D40" i="44"/>
  <c r="D38" i="44"/>
  <c r="D45" i="44"/>
  <c r="D35" i="44"/>
  <c r="D37" i="44"/>
  <c r="D34" i="44"/>
  <c r="D44" i="44"/>
  <c r="D33" i="44"/>
  <c r="D36" i="44"/>
  <c r="D42" i="44"/>
  <c r="D41" i="44"/>
  <c r="D30" i="44"/>
  <c r="G30" i="44" s="1"/>
  <c r="H30" i="44" s="1"/>
  <c r="D31" i="44"/>
  <c r="D47" i="44"/>
  <c r="D43" i="44"/>
  <c r="G836" i="44"/>
  <c r="H836" i="44" s="1"/>
  <c r="F836" i="44"/>
  <c r="F823" i="44"/>
  <c r="G823" i="44"/>
  <c r="H823" i="44" s="1"/>
  <c r="G844" i="44"/>
  <c r="H844" i="44" s="1"/>
  <c r="F844" i="44"/>
  <c r="G826" i="44"/>
  <c r="H826" i="44" s="1"/>
  <c r="F826" i="44"/>
  <c r="K280" i="28"/>
  <c r="K284" i="28" s="1"/>
  <c r="K285" i="28" s="1"/>
  <c r="M275" i="28"/>
  <c r="F1698" i="44"/>
  <c r="G1698" i="44"/>
  <c r="H1698" i="44" s="1"/>
  <c r="G1694" i="44"/>
  <c r="H1694" i="44" s="1"/>
  <c r="F1694" i="44"/>
  <c r="F1687" i="44"/>
  <c r="G1687" i="44"/>
  <c r="H1687" i="44" s="1"/>
  <c r="G1696" i="44"/>
  <c r="H1696" i="44" s="1"/>
  <c r="F1696" i="44"/>
  <c r="G1703" i="44"/>
  <c r="H1703" i="44" s="1"/>
  <c r="F1703" i="44"/>
  <c r="K112" i="26"/>
  <c r="G424" i="44"/>
  <c r="H424" i="44" s="1"/>
  <c r="F424" i="44"/>
  <c r="F434" i="44"/>
  <c r="G434" i="44"/>
  <c r="H434" i="44" s="1"/>
  <c r="G423" i="44"/>
  <c r="H423" i="44" s="1"/>
  <c r="F423" i="44"/>
  <c r="G421" i="44"/>
  <c r="H421" i="44" s="1"/>
  <c r="F421" i="44"/>
  <c r="F1489" i="44"/>
  <c r="G1489" i="44"/>
  <c r="H1489" i="44" s="1"/>
  <c r="F1492" i="44"/>
  <c r="G1492" i="44"/>
  <c r="H1492" i="44" s="1"/>
  <c r="G1496" i="44"/>
  <c r="H1496" i="44" s="1"/>
  <c r="F1496" i="44"/>
  <c r="G1478" i="44"/>
  <c r="H1478" i="44" s="1"/>
  <c r="F1478" i="44"/>
  <c r="G762" i="44"/>
  <c r="H762" i="44" s="1"/>
  <c r="F762" i="44"/>
  <c r="F777" i="44"/>
  <c r="G777" i="44"/>
  <c r="H777" i="44" s="1"/>
  <c r="F752" i="44"/>
  <c r="G752" i="44"/>
  <c r="H752" i="44" s="1"/>
  <c r="F285" i="44"/>
  <c r="G285" i="44"/>
  <c r="H285" i="44" s="1"/>
  <c r="G288" i="44"/>
  <c r="H288" i="44" s="1"/>
  <c r="F288" i="44"/>
  <c r="M53" i="2"/>
  <c r="K57" i="2"/>
  <c r="F556" i="44"/>
  <c r="G556" i="44"/>
  <c r="H556" i="44" s="1"/>
  <c r="F571" i="44"/>
  <c r="G571" i="44"/>
  <c r="H571" i="44" s="1"/>
  <c r="F575" i="44"/>
  <c r="G575" i="44"/>
  <c r="H575" i="44" s="1"/>
  <c r="M99" i="28"/>
  <c r="N99" i="28" s="1"/>
  <c r="N92" i="28"/>
  <c r="F1413" i="44"/>
  <c r="G1413" i="44"/>
  <c r="H1413" i="44" s="1"/>
  <c r="F1415" i="44"/>
  <c r="G1415" i="44"/>
  <c r="H1415" i="44" s="1"/>
  <c r="F1433" i="44"/>
  <c r="G1433" i="44"/>
  <c r="H1433" i="44" s="1"/>
  <c r="G1429" i="44"/>
  <c r="H1429" i="44" s="1"/>
  <c r="F1429" i="44"/>
  <c r="G1359" i="44"/>
  <c r="H1359" i="44" s="1"/>
  <c r="F1359" i="44"/>
  <c r="G1366" i="44"/>
  <c r="H1366" i="44" s="1"/>
  <c r="F1366" i="44"/>
  <c r="G1364" i="44"/>
  <c r="H1364" i="44" s="1"/>
  <c r="F1364" i="44"/>
  <c r="G1370" i="44"/>
  <c r="H1370" i="44" s="1"/>
  <c r="F1370" i="44"/>
  <c r="F1225" i="44"/>
  <c r="G1225" i="44"/>
  <c r="H1225" i="44" s="1"/>
  <c r="G1216" i="44"/>
  <c r="H1216" i="44" s="1"/>
  <c r="F1216" i="44"/>
  <c r="G1221" i="44"/>
  <c r="H1221" i="44" s="1"/>
  <c r="F1221" i="44"/>
  <c r="F1230" i="44"/>
  <c r="G1230" i="44"/>
  <c r="H1230" i="44" s="1"/>
  <c r="G1233" i="44"/>
  <c r="H1233" i="44" s="1"/>
  <c r="F1233" i="44"/>
  <c r="G360" i="44"/>
  <c r="H360" i="44" s="1"/>
  <c r="F360" i="44"/>
  <c r="G368" i="44"/>
  <c r="H368" i="44" s="1"/>
  <c r="F368" i="44"/>
  <c r="F1549" i="44"/>
  <c r="G1549" i="44"/>
  <c r="H1549" i="44" s="1"/>
  <c r="G1541" i="44"/>
  <c r="H1541" i="44" s="1"/>
  <c r="F1541" i="44"/>
  <c r="G1555" i="44"/>
  <c r="H1555" i="44" s="1"/>
  <c r="F1555" i="44"/>
  <c r="F1542" i="44"/>
  <c r="G1542" i="44"/>
  <c r="H1542" i="44" s="1"/>
  <c r="G1551" i="44"/>
  <c r="H1551" i="44" s="1"/>
  <c r="F1551" i="44"/>
  <c r="F485" i="44"/>
  <c r="G485" i="44"/>
  <c r="H485" i="44" s="1"/>
  <c r="G507" i="44"/>
  <c r="H507" i="44" s="1"/>
  <c r="F507" i="44"/>
  <c r="G493" i="44"/>
  <c r="H493" i="44" s="1"/>
  <c r="F493" i="44"/>
  <c r="G513" i="44"/>
  <c r="H513" i="44" s="1"/>
  <c r="F513" i="44"/>
  <c r="G1622" i="44"/>
  <c r="H1622" i="44" s="1"/>
  <c r="F1622" i="44"/>
  <c r="G1629" i="44"/>
  <c r="H1629" i="44" s="1"/>
  <c r="F1629" i="44"/>
  <c r="G1611" i="44"/>
  <c r="H1611" i="44" s="1"/>
  <c r="F1611" i="44"/>
  <c r="G1608" i="44"/>
  <c r="H1608" i="44" s="1"/>
  <c r="F1608" i="44"/>
  <c r="G642" i="44"/>
  <c r="H642" i="44" s="1"/>
  <c r="F642" i="44"/>
  <c r="G637" i="44"/>
  <c r="H637" i="44" s="1"/>
  <c r="F637" i="44"/>
  <c r="F628" i="44"/>
  <c r="G628" i="44"/>
  <c r="H628" i="44" s="1"/>
  <c r="F623" i="44"/>
  <c r="G623" i="44"/>
  <c r="H623" i="44" s="1"/>
  <c r="G707" i="44"/>
  <c r="H707" i="44" s="1"/>
  <c r="F707" i="44"/>
  <c r="G1282" i="44"/>
  <c r="H1282" i="44" s="1"/>
  <c r="F1282" i="44"/>
  <c r="G829" i="44"/>
  <c r="H829" i="44" s="1"/>
  <c r="F829" i="44"/>
  <c r="F1685" i="44"/>
  <c r="G1685" i="44"/>
  <c r="H1685" i="44" s="1"/>
  <c r="G435" i="44"/>
  <c r="H435" i="44" s="1"/>
  <c r="F435" i="44"/>
  <c r="G881" i="44"/>
  <c r="H881" i="44" s="1"/>
  <c r="F881" i="44"/>
  <c r="G883" i="44"/>
  <c r="H883" i="44" s="1"/>
  <c r="F883" i="44"/>
  <c r="G904" i="44"/>
  <c r="H904" i="44" s="1"/>
  <c r="F904" i="44"/>
  <c r="G708" i="44"/>
  <c r="H708" i="44" s="1"/>
  <c r="F708" i="44"/>
  <c r="G685" i="44"/>
  <c r="H685" i="44" s="1"/>
  <c r="F685" i="44"/>
  <c r="F702" i="44"/>
  <c r="G702" i="44"/>
  <c r="H702" i="44" s="1"/>
  <c r="F691" i="44"/>
  <c r="G691" i="44"/>
  <c r="H691" i="44" s="1"/>
  <c r="G703" i="44"/>
  <c r="H703" i="44" s="1"/>
  <c r="F703" i="44"/>
  <c r="G1277" i="44"/>
  <c r="H1277" i="44" s="1"/>
  <c r="F1277" i="44"/>
  <c r="F1284" i="44"/>
  <c r="G1284" i="44"/>
  <c r="H1284" i="44" s="1"/>
  <c r="F1301" i="44"/>
  <c r="G1301" i="44"/>
  <c r="H1301" i="44" s="1"/>
  <c r="G1296" i="44"/>
  <c r="H1296" i="44" s="1"/>
  <c r="F1296" i="44"/>
  <c r="D116" i="44"/>
  <c r="D97" i="44"/>
  <c r="D101" i="44"/>
  <c r="D100" i="44"/>
  <c r="D114" i="44"/>
  <c r="D113" i="44"/>
  <c r="D104" i="44"/>
  <c r="D95" i="44"/>
  <c r="G95" i="44" s="1"/>
  <c r="H95" i="44" s="1"/>
  <c r="D112" i="44"/>
  <c r="D102" i="44"/>
  <c r="D96" i="44"/>
  <c r="D107" i="44"/>
  <c r="D103" i="44"/>
  <c r="D109" i="44"/>
  <c r="D108" i="44"/>
  <c r="D99" i="44"/>
  <c r="D98" i="44"/>
  <c r="D105" i="44"/>
  <c r="D115" i="44"/>
  <c r="D111" i="44"/>
  <c r="D110" i="44"/>
  <c r="D106" i="44"/>
  <c r="F820" i="44"/>
  <c r="G820" i="44"/>
  <c r="H820" i="44" s="1"/>
  <c r="G828" i="44"/>
  <c r="H828" i="44" s="1"/>
  <c r="F828" i="44"/>
  <c r="F827" i="44"/>
  <c r="G827" i="44"/>
  <c r="H827" i="44" s="1"/>
  <c r="M270" i="28"/>
  <c r="N270" i="28" s="1"/>
  <c r="B291" i="28"/>
  <c r="G1705" i="44"/>
  <c r="H1705" i="44" s="1"/>
  <c r="F1705" i="44"/>
  <c r="G1680" i="44"/>
  <c r="H1680" i="44" s="1"/>
  <c r="F1680" i="44"/>
  <c r="G1686" i="44"/>
  <c r="H1686" i="44" s="1"/>
  <c r="F1686" i="44"/>
  <c r="G1683" i="44"/>
  <c r="H1683" i="44" s="1"/>
  <c r="F1683" i="44"/>
  <c r="G1684" i="44"/>
  <c r="H1684" i="44" s="1"/>
  <c r="F1684" i="44"/>
  <c r="F446" i="44"/>
  <c r="G446" i="44"/>
  <c r="H446" i="44" s="1"/>
  <c r="F437" i="44"/>
  <c r="G437" i="44"/>
  <c r="H437" i="44" s="1"/>
  <c r="F432" i="44"/>
  <c r="G432" i="44"/>
  <c r="H432" i="44" s="1"/>
  <c r="G429" i="44"/>
  <c r="H429" i="44" s="1"/>
  <c r="F429" i="44"/>
  <c r="G436" i="44"/>
  <c r="H436" i="44" s="1"/>
  <c r="F436" i="44"/>
  <c r="G1486" i="44"/>
  <c r="H1486" i="44" s="1"/>
  <c r="F1486" i="44"/>
  <c r="F1494" i="44"/>
  <c r="G1494" i="44"/>
  <c r="H1494" i="44" s="1"/>
  <c r="G1490" i="44"/>
  <c r="H1490" i="44" s="1"/>
  <c r="F1490" i="44"/>
  <c r="F776" i="44"/>
  <c r="G776" i="44"/>
  <c r="H776" i="44" s="1"/>
  <c r="F751" i="44"/>
  <c r="G751" i="44"/>
  <c r="H751" i="44" s="1"/>
  <c r="F758" i="44"/>
  <c r="G758" i="44"/>
  <c r="H758" i="44" s="1"/>
  <c r="G775" i="44"/>
  <c r="H775" i="44" s="1"/>
  <c r="F775" i="44"/>
  <c r="N123" i="28"/>
  <c r="M127" i="28"/>
  <c r="N127" i="28" s="1"/>
  <c r="M152" i="26"/>
  <c r="N152" i="26" s="1"/>
  <c r="N145" i="26"/>
  <c r="F301" i="44"/>
  <c r="G301" i="44"/>
  <c r="H301" i="44" s="1"/>
  <c r="G284" i="44"/>
  <c r="H284" i="44" s="1"/>
  <c r="F284" i="44"/>
  <c r="F298" i="44"/>
  <c r="G298" i="44"/>
  <c r="H298" i="44" s="1"/>
  <c r="G299" i="44"/>
  <c r="H299" i="44" s="1"/>
  <c r="F299" i="44"/>
  <c r="G558" i="44"/>
  <c r="H558" i="44" s="1"/>
  <c r="F558" i="44"/>
  <c r="F567" i="44"/>
  <c r="G567" i="44"/>
  <c r="H567" i="44" s="1"/>
  <c r="G574" i="44"/>
  <c r="H574" i="44" s="1"/>
  <c r="F574" i="44"/>
  <c r="F573" i="44"/>
  <c r="G573" i="44"/>
  <c r="H573" i="44" s="1"/>
  <c r="M159" i="28"/>
  <c r="K164" i="28"/>
  <c r="K168" i="28" s="1"/>
  <c r="K169" i="28" s="1"/>
  <c r="M23" i="27"/>
  <c r="N23" i="27" s="1"/>
  <c r="N16" i="27"/>
  <c r="G1432" i="44"/>
  <c r="H1432" i="44" s="1"/>
  <c r="F1432" i="44"/>
  <c r="F1421" i="44"/>
  <c r="G1421" i="44"/>
  <c r="H1421" i="44" s="1"/>
  <c r="F1418" i="44"/>
  <c r="G1418" i="44"/>
  <c r="H1418" i="44" s="1"/>
  <c r="G1355" i="44"/>
  <c r="H1355" i="44" s="1"/>
  <c r="F1355" i="44"/>
  <c r="G1345" i="44"/>
  <c r="H1345" i="44" s="1"/>
  <c r="F1345" i="44"/>
  <c r="G1235" i="44"/>
  <c r="H1235" i="44" s="1"/>
  <c r="F1235" i="44"/>
  <c r="F1238" i="44"/>
  <c r="G1238" i="44"/>
  <c r="H1238" i="44" s="1"/>
  <c r="F1219" i="44"/>
  <c r="G1219" i="44"/>
  <c r="H1219" i="44" s="1"/>
  <c r="F1215" i="44"/>
  <c r="G1215" i="44"/>
  <c r="H1215" i="44" s="1"/>
  <c r="G1234" i="44"/>
  <c r="H1234" i="44" s="1"/>
  <c r="F1234" i="44"/>
  <c r="G374" i="44"/>
  <c r="H374" i="44" s="1"/>
  <c r="F374" i="44"/>
  <c r="G355" i="44"/>
  <c r="H355" i="44" s="1"/>
  <c r="F355" i="44"/>
  <c r="F365" i="44"/>
  <c r="G365" i="44"/>
  <c r="H365" i="44" s="1"/>
  <c r="F372" i="44"/>
  <c r="G372" i="44"/>
  <c r="H372" i="44" s="1"/>
  <c r="F1567" i="44"/>
  <c r="G1567" i="44"/>
  <c r="H1567" i="44" s="1"/>
  <c r="F1547" i="44"/>
  <c r="G1547" i="44"/>
  <c r="H1547" i="44" s="1"/>
  <c r="F1557" i="44"/>
  <c r="G1557" i="44"/>
  <c r="H1557" i="44" s="1"/>
  <c r="F500" i="44"/>
  <c r="G500" i="44"/>
  <c r="H500" i="44" s="1"/>
  <c r="G505" i="44"/>
  <c r="H505" i="44" s="1"/>
  <c r="F505" i="44"/>
  <c r="F491" i="44"/>
  <c r="G491" i="44"/>
  <c r="H491" i="44" s="1"/>
  <c r="N35" i="2"/>
  <c r="M43" i="2"/>
  <c r="N43" i="2" s="1"/>
  <c r="G1627" i="44"/>
  <c r="H1627" i="44" s="1"/>
  <c r="F1627" i="44"/>
  <c r="F1632" i="44"/>
  <c r="G1632" i="44"/>
  <c r="H1632" i="44" s="1"/>
  <c r="F1634" i="44"/>
  <c r="G1634" i="44"/>
  <c r="H1634" i="44" s="1"/>
  <c r="F1623" i="44"/>
  <c r="G1623" i="44"/>
  <c r="H1623" i="44" s="1"/>
  <c r="F621" i="44"/>
  <c r="G621" i="44"/>
  <c r="H621" i="44" s="1"/>
  <c r="G624" i="44"/>
  <c r="H624" i="44" s="1"/>
  <c r="F624" i="44"/>
  <c r="F644" i="44"/>
  <c r="G644" i="44"/>
  <c r="H644" i="44" s="1"/>
  <c r="F895" i="44"/>
  <c r="G895" i="44"/>
  <c r="H895" i="44" s="1"/>
  <c r="F908" i="44"/>
  <c r="G908" i="44"/>
  <c r="H908" i="44" s="1"/>
  <c r="F880" i="44"/>
  <c r="G880" i="44"/>
  <c r="H880" i="44" s="1"/>
  <c r="G710" i="44"/>
  <c r="H710" i="44" s="1"/>
  <c r="F710" i="44"/>
  <c r="G711" i="44"/>
  <c r="H711" i="44" s="1"/>
  <c r="F711" i="44"/>
  <c r="F700" i="44"/>
  <c r="G700" i="44"/>
  <c r="H700" i="44" s="1"/>
  <c r="F684" i="44"/>
  <c r="G684" i="44"/>
  <c r="H684" i="44" s="1"/>
  <c r="F1297" i="44"/>
  <c r="G1297" i="44"/>
  <c r="H1297" i="44" s="1"/>
  <c r="F1302" i="44"/>
  <c r="G1302" i="44"/>
  <c r="H1302" i="44" s="1"/>
  <c r="F1288" i="44"/>
  <c r="G1288" i="44"/>
  <c r="H1288" i="44" s="1"/>
  <c r="D164" i="44"/>
  <c r="D154" i="44"/>
  <c r="D165" i="44"/>
  <c r="D162" i="44"/>
  <c r="D161" i="44"/>
  <c r="D158" i="44"/>
  <c r="D160" i="44"/>
  <c r="D170" i="44"/>
  <c r="D169" i="44"/>
  <c r="D156" i="44"/>
  <c r="D152" i="44"/>
  <c r="G152" i="44" s="1"/>
  <c r="H152" i="44" s="1"/>
  <c r="D153" i="44"/>
  <c r="D157" i="44"/>
  <c r="D166" i="44"/>
  <c r="D163" i="44"/>
  <c r="D159" i="44"/>
  <c r="D168" i="44"/>
  <c r="D155" i="44"/>
  <c r="D171" i="44"/>
  <c r="D172" i="44"/>
  <c r="D167" i="44"/>
  <c r="G843" i="44"/>
  <c r="H843" i="44" s="1"/>
  <c r="F843" i="44"/>
  <c r="G839" i="44"/>
  <c r="H839" i="44" s="1"/>
  <c r="F839" i="44"/>
  <c r="F818" i="44"/>
  <c r="G818" i="44"/>
  <c r="H818" i="44" s="1"/>
  <c r="B79" i="28"/>
  <c r="M58" i="28"/>
  <c r="N58" i="28" s="1"/>
  <c r="F1679" i="44"/>
  <c r="G1679" i="44"/>
  <c r="H1679" i="44" s="1"/>
  <c r="G1706" i="44"/>
  <c r="H1706" i="44" s="1"/>
  <c r="F1706" i="44"/>
  <c r="F1707" i="44"/>
  <c r="G1707" i="44"/>
  <c r="H1707" i="44" s="1"/>
  <c r="F418" i="44"/>
  <c r="G418" i="44"/>
  <c r="H418" i="44" s="1"/>
  <c r="F438" i="44"/>
  <c r="G438" i="44"/>
  <c r="H438" i="44" s="1"/>
  <c r="G1495" i="44"/>
  <c r="H1495" i="44" s="1"/>
  <c r="F1495" i="44"/>
  <c r="G1476" i="44"/>
  <c r="H1476" i="44" s="1"/>
  <c r="F1476" i="44"/>
  <c r="G1483" i="44"/>
  <c r="H1483" i="44" s="1"/>
  <c r="F1483" i="44"/>
  <c r="F1481" i="44"/>
  <c r="G1481" i="44"/>
  <c r="H1481" i="44" s="1"/>
  <c r="M113" i="28"/>
  <c r="N113" i="28" s="1"/>
  <c r="N109" i="28"/>
  <c r="F771" i="44"/>
  <c r="G771" i="44"/>
  <c r="H771" i="44" s="1"/>
  <c r="G753" i="44"/>
  <c r="H753" i="44" s="1"/>
  <c r="F753" i="44"/>
  <c r="G767" i="44"/>
  <c r="H767" i="44" s="1"/>
  <c r="F767" i="44"/>
  <c r="F766" i="44"/>
  <c r="G766" i="44"/>
  <c r="H766" i="44" s="1"/>
  <c r="G754" i="44"/>
  <c r="H754" i="44" s="1"/>
  <c r="F754" i="44"/>
  <c r="K242" i="26"/>
  <c r="F303" i="44"/>
  <c r="G303" i="44"/>
  <c r="H303" i="44" s="1"/>
  <c r="G300" i="44"/>
  <c r="H300" i="44" s="1"/>
  <c r="F300" i="44"/>
  <c r="G302" i="44"/>
  <c r="H302" i="44" s="1"/>
  <c r="F302" i="44"/>
  <c r="G568" i="44"/>
  <c r="H568" i="44" s="1"/>
  <c r="F568" i="44"/>
  <c r="G570" i="44"/>
  <c r="H570" i="44" s="1"/>
  <c r="F570" i="44"/>
  <c r="G569" i="44"/>
  <c r="H569" i="44" s="1"/>
  <c r="F569" i="44"/>
  <c r="K154" i="28"/>
  <c r="M149" i="27"/>
  <c r="K154" i="27"/>
  <c r="K158" i="27" s="1"/>
  <c r="K159" i="27" s="1"/>
  <c r="K221" i="27"/>
  <c r="G1414" i="44"/>
  <c r="H1414" i="44" s="1"/>
  <c r="F1414" i="44"/>
  <c r="F1416" i="44"/>
  <c r="G1416" i="44"/>
  <c r="H1416" i="44" s="1"/>
  <c r="G1426" i="44"/>
  <c r="H1426" i="44" s="1"/>
  <c r="F1426" i="44"/>
  <c r="G1419" i="44"/>
  <c r="H1419" i="44" s="1"/>
  <c r="F1419" i="44"/>
  <c r="G1362" i="44"/>
  <c r="H1362" i="44" s="1"/>
  <c r="F1362" i="44"/>
  <c r="F1344" i="44"/>
  <c r="G1344" i="44"/>
  <c r="H1344" i="44" s="1"/>
  <c r="G1365" i="44"/>
  <c r="H1365" i="44" s="1"/>
  <c r="F1365" i="44"/>
  <c r="F1342" i="44"/>
  <c r="G1342" i="44"/>
  <c r="H1342" i="44" s="1"/>
  <c r="G1217" i="44"/>
  <c r="H1217" i="44" s="1"/>
  <c r="F1217" i="44"/>
  <c r="G1222" i="44"/>
  <c r="H1222" i="44" s="1"/>
  <c r="F1222" i="44"/>
  <c r="G1224" i="44"/>
  <c r="H1224" i="44" s="1"/>
  <c r="F1224" i="44"/>
  <c r="F1228" i="44"/>
  <c r="G1228" i="44"/>
  <c r="H1228" i="44" s="1"/>
  <c r="F1223" i="44"/>
  <c r="G1223" i="44"/>
  <c r="H1223" i="44" s="1"/>
  <c r="F363" i="44"/>
  <c r="G363" i="44"/>
  <c r="H363" i="44" s="1"/>
  <c r="G367" i="44"/>
  <c r="H367" i="44" s="1"/>
  <c r="F367" i="44"/>
  <c r="G351" i="44"/>
  <c r="H351" i="44" s="1"/>
  <c r="F351" i="44"/>
  <c r="G379" i="44"/>
  <c r="H379" i="44" s="1"/>
  <c r="F379" i="44"/>
  <c r="F1564" i="44"/>
  <c r="G1564" i="44"/>
  <c r="H1564" i="44" s="1"/>
  <c r="G1568" i="44"/>
  <c r="H1568" i="44" s="1"/>
  <c r="F1568" i="44"/>
  <c r="F1544" i="44"/>
  <c r="G1544" i="44"/>
  <c r="H1544" i="44" s="1"/>
  <c r="F1543" i="44"/>
  <c r="G1543" i="44"/>
  <c r="H1543" i="44" s="1"/>
  <c r="G1553" i="44"/>
  <c r="H1553" i="44" s="1"/>
  <c r="F1553" i="44"/>
  <c r="F508" i="44"/>
  <c r="G508" i="44"/>
  <c r="H508" i="44" s="1"/>
  <c r="G497" i="44"/>
  <c r="H497" i="44" s="1"/>
  <c r="F497" i="44"/>
  <c r="F503" i="44"/>
  <c r="G503" i="44"/>
  <c r="H503" i="44" s="1"/>
  <c r="G1624" i="44"/>
  <c r="H1624" i="44" s="1"/>
  <c r="F1624" i="44"/>
  <c r="G1612" i="44"/>
  <c r="H1612" i="44" s="1"/>
  <c r="F1612" i="44"/>
  <c r="G1607" i="44"/>
  <c r="H1607" i="44" s="1"/>
  <c r="F1607" i="44"/>
  <c r="G641" i="44"/>
  <c r="H641" i="44" s="1"/>
  <c r="F641" i="44"/>
  <c r="G643" i="44"/>
  <c r="H643" i="44" s="1"/>
  <c r="F643" i="44"/>
  <c r="F632" i="44"/>
  <c r="G632" i="44"/>
  <c r="H632" i="44" s="1"/>
  <c r="F640" i="44"/>
  <c r="G640" i="44"/>
  <c r="H640" i="44" s="1"/>
  <c r="F888" i="44"/>
  <c r="G888" i="44"/>
  <c r="H888" i="44" s="1"/>
  <c r="G1283" i="44"/>
  <c r="H1283" i="44" s="1"/>
  <c r="F1283" i="44"/>
  <c r="F831" i="44"/>
  <c r="G831" i="44"/>
  <c r="H831" i="44" s="1"/>
  <c r="F1704" i="44"/>
  <c r="G1704" i="44"/>
  <c r="H1704" i="44" s="1"/>
  <c r="F1484" i="44"/>
  <c r="G1484" i="44"/>
  <c r="H1484" i="44" s="1"/>
  <c r="F893" i="44"/>
  <c r="G893" i="44"/>
  <c r="H893" i="44" s="1"/>
  <c r="G907" i="44"/>
  <c r="H907" i="44" s="1"/>
  <c r="F907" i="44"/>
  <c r="G886" i="44"/>
  <c r="H886" i="44" s="1"/>
  <c r="F886" i="44"/>
  <c r="F890" i="44"/>
  <c r="G890" i="44"/>
  <c r="H890" i="44" s="1"/>
  <c r="G699" i="44"/>
  <c r="H699" i="44" s="1"/>
  <c r="F699" i="44"/>
  <c r="G683" i="44"/>
  <c r="H683" i="44" s="1"/>
  <c r="F683" i="44"/>
  <c r="G698" i="44"/>
  <c r="H698" i="44" s="1"/>
  <c r="F698" i="44"/>
  <c r="G694" i="44"/>
  <c r="H694" i="44" s="1"/>
  <c r="F694" i="44"/>
  <c r="G1293" i="44"/>
  <c r="H1293" i="44" s="1"/>
  <c r="F1293" i="44"/>
  <c r="F1298" i="44"/>
  <c r="G1298" i="44"/>
  <c r="H1298" i="44" s="1"/>
  <c r="G1289" i="44"/>
  <c r="H1289" i="44" s="1"/>
  <c r="F1289" i="44"/>
  <c r="F1291" i="44"/>
  <c r="G1291" i="44"/>
  <c r="H1291" i="44" s="1"/>
  <c r="F1305" i="44"/>
  <c r="G1305" i="44"/>
  <c r="H1305" i="44" s="1"/>
  <c r="G838" i="44"/>
  <c r="H838" i="44" s="1"/>
  <c r="F838" i="44"/>
  <c r="F833" i="44"/>
  <c r="G833" i="44"/>
  <c r="H833" i="44" s="1"/>
  <c r="G840" i="44"/>
  <c r="H840" i="44" s="1"/>
  <c r="F840" i="44"/>
  <c r="G837" i="44"/>
  <c r="H837" i="44" s="1"/>
  <c r="F837" i="44"/>
  <c r="F1681" i="44"/>
  <c r="G1681" i="44"/>
  <c r="H1681" i="44" s="1"/>
  <c r="F1678" i="44"/>
  <c r="G1678" i="44"/>
  <c r="H1678" i="44" s="1"/>
  <c r="F444" i="44"/>
  <c r="G444" i="44"/>
  <c r="H444" i="44" s="1"/>
  <c r="F430" i="44"/>
  <c r="G430" i="44"/>
  <c r="H430" i="44" s="1"/>
  <c r="G433" i="44"/>
  <c r="H433" i="44" s="1"/>
  <c r="F433" i="44"/>
  <c r="G419" i="44"/>
  <c r="H419" i="44" s="1"/>
  <c r="F419" i="44"/>
  <c r="F445" i="44"/>
  <c r="G445" i="44"/>
  <c r="H445" i="44" s="1"/>
  <c r="G1499" i="44"/>
  <c r="H1499" i="44" s="1"/>
  <c r="F1499" i="44"/>
  <c r="G1488" i="44"/>
  <c r="H1488" i="44" s="1"/>
  <c r="F1488" i="44"/>
  <c r="F1472" i="44"/>
  <c r="G1472" i="44"/>
  <c r="H1472" i="44" s="1"/>
  <c r="G1491" i="44"/>
  <c r="H1491" i="44" s="1"/>
  <c r="F1491" i="44"/>
  <c r="G757" i="44"/>
  <c r="H757" i="44" s="1"/>
  <c r="F757" i="44"/>
  <c r="G774" i="44"/>
  <c r="H774" i="44" s="1"/>
  <c r="F774" i="44"/>
  <c r="F763" i="44"/>
  <c r="G763" i="44"/>
  <c r="H763" i="44" s="1"/>
  <c r="G750" i="44"/>
  <c r="H750" i="44" s="1"/>
  <c r="F750" i="44"/>
  <c r="M246" i="26"/>
  <c r="K251" i="26"/>
  <c r="F290" i="44"/>
  <c r="G290" i="44"/>
  <c r="H290" i="44" s="1"/>
  <c r="G287" i="44"/>
  <c r="H287" i="44" s="1"/>
  <c r="F287" i="44"/>
  <c r="G551" i="44"/>
  <c r="H551" i="44" s="1"/>
  <c r="F551" i="44"/>
  <c r="F579" i="44"/>
  <c r="G579" i="44"/>
  <c r="H579" i="44" s="1"/>
  <c r="F561" i="44"/>
  <c r="G561" i="44"/>
  <c r="H561" i="44" s="1"/>
  <c r="K145" i="27"/>
  <c r="F1423" i="44"/>
  <c r="G1423" i="44"/>
  <c r="H1423" i="44" s="1"/>
  <c r="G1428" i="44"/>
  <c r="H1428" i="44" s="1"/>
  <c r="F1428" i="44"/>
  <c r="F1412" i="44"/>
  <c r="G1412" i="44"/>
  <c r="H1412" i="44" s="1"/>
  <c r="G1435" i="44"/>
  <c r="H1435" i="44" s="1"/>
  <c r="F1435" i="44"/>
  <c r="G1361" i="44"/>
  <c r="H1361" i="44" s="1"/>
  <c r="F1361" i="44"/>
  <c r="G1348" i="44"/>
  <c r="H1348" i="44" s="1"/>
  <c r="F1348" i="44"/>
  <c r="F1352" i="44"/>
  <c r="G1352" i="44"/>
  <c r="H1352" i="44" s="1"/>
  <c r="F1346" i="44"/>
  <c r="G1346" i="44"/>
  <c r="H1346" i="44" s="1"/>
  <c r="F1226" i="44"/>
  <c r="G1226" i="44"/>
  <c r="H1226" i="44" s="1"/>
  <c r="F1218" i="44"/>
  <c r="G1218" i="44"/>
  <c r="H1218" i="44" s="1"/>
  <c r="G1210" i="44"/>
  <c r="H1210" i="44" s="1"/>
  <c r="F1210" i="44"/>
  <c r="F1213" i="44"/>
  <c r="G1213" i="44"/>
  <c r="H1213" i="44" s="1"/>
  <c r="M73" i="2"/>
  <c r="N73" i="2" s="1"/>
  <c r="N69" i="2"/>
  <c r="F357" i="44"/>
  <c r="G357" i="44"/>
  <c r="H357" i="44" s="1"/>
  <c r="G371" i="44"/>
  <c r="H371" i="44" s="1"/>
  <c r="F371" i="44"/>
  <c r="F1565" i="44"/>
  <c r="G1565" i="44"/>
  <c r="H1565" i="44" s="1"/>
  <c r="F1552" i="44"/>
  <c r="G1552" i="44"/>
  <c r="H1552" i="44" s="1"/>
  <c r="F1560" i="44"/>
  <c r="G1560" i="44"/>
  <c r="H1560" i="44" s="1"/>
  <c r="G1559" i="44"/>
  <c r="H1559" i="44" s="1"/>
  <c r="F1559" i="44"/>
  <c r="G486" i="44"/>
  <c r="H486" i="44" s="1"/>
  <c r="F486" i="44"/>
  <c r="G494" i="44"/>
  <c r="H494" i="44" s="1"/>
  <c r="F494" i="44"/>
  <c r="G498" i="44"/>
  <c r="H498" i="44" s="1"/>
  <c r="F498" i="44"/>
  <c r="F490" i="44"/>
  <c r="G490" i="44"/>
  <c r="H490" i="44" s="1"/>
  <c r="G1621" i="44"/>
  <c r="H1621" i="44" s="1"/>
  <c r="F1621" i="44"/>
  <c r="F1628" i="44"/>
  <c r="G1628" i="44"/>
  <c r="H1628" i="44" s="1"/>
  <c r="F1616" i="44"/>
  <c r="G1616" i="44"/>
  <c r="H1616" i="44" s="1"/>
  <c r="F1605" i="44"/>
  <c r="G1605" i="44"/>
  <c r="H1605" i="44" s="1"/>
  <c r="F639" i="44"/>
  <c r="G639" i="44"/>
  <c r="H639" i="44" s="1"/>
  <c r="F627" i="44"/>
  <c r="G627" i="44"/>
  <c r="H627" i="44" s="1"/>
  <c r="G631" i="44"/>
  <c r="H631" i="44" s="1"/>
  <c r="F631" i="44"/>
  <c r="F645" i="44"/>
  <c r="G645" i="44"/>
  <c r="H645" i="44" s="1"/>
  <c r="G889" i="44"/>
  <c r="H889" i="44" s="1"/>
  <c r="F889" i="44"/>
  <c r="F689" i="44"/>
  <c r="G689" i="44"/>
  <c r="H689" i="44" s="1"/>
  <c r="F817" i="44"/>
  <c r="G817" i="44"/>
  <c r="H817" i="44" s="1"/>
  <c r="G1701" i="44"/>
  <c r="H1701" i="44" s="1"/>
  <c r="F1701" i="44"/>
  <c r="F426" i="44"/>
  <c r="G426" i="44"/>
  <c r="H426" i="44" s="1"/>
  <c r="G1500" i="44"/>
  <c r="H1500" i="44" s="1"/>
  <c r="F1500" i="44"/>
  <c r="G894" i="44"/>
  <c r="H894" i="44" s="1"/>
  <c r="F894" i="44"/>
  <c r="F892" i="44"/>
  <c r="G892" i="44"/>
  <c r="H892" i="44" s="1"/>
  <c r="G909" i="44"/>
  <c r="H909" i="44" s="1"/>
  <c r="F909" i="44"/>
  <c r="F897" i="44"/>
  <c r="G897" i="44"/>
  <c r="H897" i="44" s="1"/>
  <c r="G701" i="44"/>
  <c r="H701" i="44" s="1"/>
  <c r="F701" i="44"/>
  <c r="G712" i="44"/>
  <c r="H712" i="44" s="1"/>
  <c r="F712" i="44"/>
  <c r="F704" i="44"/>
  <c r="G704" i="44"/>
  <c r="H704" i="44" s="1"/>
  <c r="G1292" i="44"/>
  <c r="H1292" i="44" s="1"/>
  <c r="F1292" i="44"/>
  <c r="G1299" i="44"/>
  <c r="H1299" i="44" s="1"/>
  <c r="F1299" i="44"/>
  <c r="F1303" i="44"/>
  <c r="G1303" i="44"/>
  <c r="H1303" i="44" s="1"/>
  <c r="F1295" i="44"/>
  <c r="G1295" i="44"/>
  <c r="H1295" i="44" s="1"/>
  <c r="F1280" i="44"/>
  <c r="G1280" i="44"/>
  <c r="H1280" i="44" s="1"/>
  <c r="M15" i="2"/>
  <c r="K23" i="2"/>
  <c r="G824" i="44"/>
  <c r="H824" i="44" s="1"/>
  <c r="F824" i="44"/>
  <c r="G821" i="44"/>
  <c r="H821" i="44" s="1"/>
  <c r="F821" i="44"/>
  <c r="G841" i="44"/>
  <c r="H841" i="44" s="1"/>
  <c r="F841" i="44"/>
  <c r="G832" i="44"/>
  <c r="H832" i="44" s="1"/>
  <c r="F832" i="44"/>
  <c r="N47" i="27"/>
  <c r="M52" i="27"/>
  <c r="N52" i="27" s="1"/>
  <c r="F1695" i="44"/>
  <c r="G1695" i="44"/>
  <c r="H1695" i="44" s="1"/>
  <c r="F1700" i="44"/>
  <c r="G1700" i="44"/>
  <c r="H1700" i="44" s="1"/>
  <c r="F1692" i="44"/>
  <c r="G1692" i="44"/>
  <c r="H1692" i="44" s="1"/>
  <c r="M37" i="27"/>
  <c r="N37" i="27" s="1"/>
  <c r="N33" i="27"/>
  <c r="F439" i="44"/>
  <c r="G439" i="44"/>
  <c r="H439" i="44" s="1"/>
  <c r="G441" i="44"/>
  <c r="H441" i="44" s="1"/>
  <c r="F441" i="44"/>
  <c r="F447" i="44"/>
  <c r="G447" i="44"/>
  <c r="H447" i="44" s="1"/>
  <c r="M166" i="26"/>
  <c r="N166" i="26" s="1"/>
  <c r="N162" i="26"/>
  <c r="G1477" i="44"/>
  <c r="H1477" i="44" s="1"/>
  <c r="F1477" i="44"/>
  <c r="F1474" i="44"/>
  <c r="G1474" i="44"/>
  <c r="H1474" i="44" s="1"/>
  <c r="G1471" i="44"/>
  <c r="H1471" i="44" s="1"/>
  <c r="F1471" i="44"/>
  <c r="F1480" i="44"/>
  <c r="G1480" i="44"/>
  <c r="H1480" i="44" s="1"/>
  <c r="F772" i="44"/>
  <c r="G772" i="44"/>
  <c r="H772" i="44" s="1"/>
  <c r="G759" i="44"/>
  <c r="H759" i="44" s="1"/>
  <c r="F759" i="44"/>
  <c r="F764" i="44"/>
  <c r="G764" i="44"/>
  <c r="H764" i="44" s="1"/>
  <c r="F761" i="44"/>
  <c r="G761" i="44"/>
  <c r="H761" i="44" s="1"/>
  <c r="F304" i="44"/>
  <c r="G304" i="44"/>
  <c r="H304" i="44" s="1"/>
  <c r="F293" i="44"/>
  <c r="G293" i="44"/>
  <c r="H293" i="44" s="1"/>
  <c r="G289" i="44"/>
  <c r="H289" i="44" s="1"/>
  <c r="F289" i="44"/>
  <c r="G550" i="44"/>
  <c r="H550" i="44" s="1"/>
  <c r="F550" i="44"/>
  <c r="F563" i="44"/>
  <c r="G563" i="44"/>
  <c r="H563" i="44" s="1"/>
  <c r="G557" i="44"/>
  <c r="H557" i="44" s="1"/>
  <c r="F557" i="44"/>
  <c r="F565" i="44"/>
  <c r="G565" i="44"/>
  <c r="H565" i="44" s="1"/>
  <c r="M261" i="28"/>
  <c r="N261" i="28" s="1"/>
  <c r="N257" i="28"/>
  <c r="K212" i="28"/>
  <c r="F1408" i="44"/>
  <c r="G1408" i="44"/>
  <c r="H1408" i="44" s="1"/>
  <c r="F1424" i="44"/>
  <c r="G1424" i="44"/>
  <c r="H1424" i="44" s="1"/>
  <c r="F1417" i="44"/>
  <c r="G1417" i="44"/>
  <c r="H1417" i="44" s="1"/>
  <c r="F1409" i="44"/>
  <c r="G1409" i="44"/>
  <c r="H1409" i="44" s="1"/>
  <c r="G1371" i="44"/>
  <c r="H1371" i="44" s="1"/>
  <c r="F1371" i="44"/>
  <c r="G1349" i="44"/>
  <c r="H1349" i="44" s="1"/>
  <c r="F1349" i="44"/>
  <c r="F1343" i="44"/>
  <c r="G1343" i="44"/>
  <c r="H1343" i="44" s="1"/>
  <c r="F1358" i="44"/>
  <c r="G1358" i="44"/>
  <c r="H1358" i="44" s="1"/>
  <c r="F1367" i="44"/>
  <c r="G1367" i="44"/>
  <c r="H1367" i="44" s="1"/>
  <c r="F1211" i="44"/>
  <c r="G1211" i="44"/>
  <c r="H1211" i="44" s="1"/>
  <c r="G1209" i="44"/>
  <c r="H1209" i="44" s="1"/>
  <c r="F1209" i="44"/>
  <c r="G1212" i="44"/>
  <c r="H1212" i="44" s="1"/>
  <c r="F1212" i="44"/>
  <c r="G356" i="44"/>
  <c r="H356" i="44" s="1"/>
  <c r="F356" i="44"/>
  <c r="F358" i="44"/>
  <c r="G358" i="44"/>
  <c r="H358" i="44" s="1"/>
  <c r="G359" i="44"/>
  <c r="H359" i="44" s="1"/>
  <c r="F359" i="44"/>
  <c r="G378" i="44"/>
  <c r="H378" i="44" s="1"/>
  <c r="F378" i="44"/>
  <c r="G1562" i="44"/>
  <c r="H1562" i="44" s="1"/>
  <c r="F1562" i="44"/>
  <c r="F1540" i="44"/>
  <c r="G1540" i="44"/>
  <c r="H1540" i="44" s="1"/>
  <c r="G1554" i="44"/>
  <c r="H1554" i="44" s="1"/>
  <c r="F1554" i="44"/>
  <c r="F1548" i="44"/>
  <c r="G1548" i="44"/>
  <c r="H1548" i="44" s="1"/>
  <c r="G1566" i="44"/>
  <c r="H1566" i="44" s="1"/>
  <c r="F1566" i="44"/>
  <c r="F488" i="44"/>
  <c r="G488" i="44"/>
  <c r="H488" i="44" s="1"/>
  <c r="F501" i="44"/>
  <c r="G501" i="44"/>
  <c r="H501" i="44" s="1"/>
  <c r="G487" i="44"/>
  <c r="H487" i="44" s="1"/>
  <c r="F487" i="44"/>
  <c r="F1633" i="44"/>
  <c r="G1633" i="44"/>
  <c r="H1633" i="44" s="1"/>
  <c r="G1609" i="44"/>
  <c r="H1609" i="44" s="1"/>
  <c r="F1609" i="44"/>
  <c r="F1618" i="44"/>
  <c r="G1618" i="44"/>
  <c r="H1618" i="44" s="1"/>
  <c r="F630" i="44"/>
  <c r="G630" i="44"/>
  <c r="H630" i="44" s="1"/>
  <c r="G629" i="44"/>
  <c r="H629" i="44" s="1"/>
  <c r="F629" i="44"/>
  <c r="G622" i="44"/>
  <c r="H622" i="44" s="1"/>
  <c r="F622" i="44"/>
  <c r="F625" i="44"/>
  <c r="G625" i="44"/>
  <c r="H625" i="44" s="1"/>
  <c r="G636" i="44"/>
  <c r="H636" i="44" s="1"/>
  <c r="F636" i="44"/>
  <c r="J211" i="47" l="1"/>
  <c r="J214" i="47"/>
  <c r="J218" i="47" s="1"/>
  <c r="J227" i="47" s="1"/>
  <c r="K255" i="26"/>
  <c r="K256" i="26" s="1"/>
  <c r="M304" i="28"/>
  <c r="M309" i="28" s="1"/>
  <c r="K125" i="26"/>
  <c r="K126" i="26" s="1"/>
  <c r="F247" i="44"/>
  <c r="G247" i="44"/>
  <c r="H247" i="44" s="1"/>
  <c r="F124" i="44"/>
  <c r="G124" i="44"/>
  <c r="H124" i="44" s="1"/>
  <c r="F180" i="44"/>
  <c r="G180" i="44"/>
  <c r="H180" i="44" s="1"/>
  <c r="F182" i="44"/>
  <c r="G182" i="44"/>
  <c r="H182" i="44" s="1"/>
  <c r="F244" i="44"/>
  <c r="G244" i="44"/>
  <c r="H244" i="44" s="1"/>
  <c r="F117" i="44"/>
  <c r="G117" i="44"/>
  <c r="H117" i="44" s="1"/>
  <c r="F179" i="44"/>
  <c r="G179" i="44"/>
  <c r="H179" i="44" s="1"/>
  <c r="F174" i="44"/>
  <c r="G174" i="44"/>
  <c r="H174" i="44" s="1"/>
  <c r="F243" i="44"/>
  <c r="G243" i="44"/>
  <c r="H243" i="44" s="1"/>
  <c r="F122" i="44"/>
  <c r="G122" i="44"/>
  <c r="H122" i="44" s="1"/>
  <c r="G178" i="44"/>
  <c r="H178" i="44" s="1"/>
  <c r="F178" i="44"/>
  <c r="F246" i="44"/>
  <c r="G246" i="44"/>
  <c r="H246" i="44" s="1"/>
  <c r="F121" i="44"/>
  <c r="G121" i="44"/>
  <c r="H121" i="44" s="1"/>
  <c r="G181" i="44"/>
  <c r="H181" i="44" s="1"/>
  <c r="F181" i="44"/>
  <c r="F245" i="44"/>
  <c r="G245" i="44"/>
  <c r="H245" i="44" s="1"/>
  <c r="F120" i="44"/>
  <c r="G120" i="44"/>
  <c r="H120" i="44" s="1"/>
  <c r="F177" i="44"/>
  <c r="G177" i="44"/>
  <c r="H177" i="44" s="1"/>
  <c r="F118" i="44"/>
  <c r="G118" i="44"/>
  <c r="H118" i="44" s="1"/>
  <c r="F119" i="44"/>
  <c r="G119" i="44"/>
  <c r="H119" i="44" s="1"/>
  <c r="F125" i="44"/>
  <c r="G125" i="44"/>
  <c r="H125" i="44" s="1"/>
  <c r="F176" i="44"/>
  <c r="G176" i="44"/>
  <c r="H176" i="44" s="1"/>
  <c r="F123" i="44"/>
  <c r="G123" i="44"/>
  <c r="H123" i="44" s="1"/>
  <c r="F175" i="44"/>
  <c r="G175" i="44"/>
  <c r="H175" i="44" s="1"/>
  <c r="G57" i="44"/>
  <c r="H57" i="44" s="1"/>
  <c r="F57" i="44"/>
  <c r="F56" i="44"/>
  <c r="G56" i="44"/>
  <c r="H56" i="44" s="1"/>
  <c r="G53" i="44"/>
  <c r="H53" i="44" s="1"/>
  <c r="F53" i="44"/>
  <c r="G58" i="44"/>
  <c r="H58" i="44" s="1"/>
  <c r="F58" i="44"/>
  <c r="F54" i="44"/>
  <c r="G54" i="44"/>
  <c r="H54" i="44" s="1"/>
  <c r="F59" i="44"/>
  <c r="G59" i="44"/>
  <c r="H59" i="44" s="1"/>
  <c r="F52" i="44"/>
  <c r="G52" i="44"/>
  <c r="H52" i="44" s="1"/>
  <c r="F60" i="44"/>
  <c r="G60" i="44"/>
  <c r="H60" i="44" s="1"/>
  <c r="F55" i="44"/>
  <c r="G55" i="44"/>
  <c r="H55" i="44" s="1"/>
  <c r="F51" i="44"/>
  <c r="G51" i="44"/>
  <c r="H51" i="44" s="1"/>
  <c r="G169" i="44"/>
  <c r="H169" i="44" s="1"/>
  <c r="F169" i="44"/>
  <c r="G162" i="44"/>
  <c r="H162" i="44" s="1"/>
  <c r="F162" i="44"/>
  <c r="G110" i="44"/>
  <c r="H110" i="44" s="1"/>
  <c r="F110" i="44"/>
  <c r="F97" i="44"/>
  <c r="G97" i="44"/>
  <c r="H97" i="44" s="1"/>
  <c r="F41" i="44"/>
  <c r="G41" i="44"/>
  <c r="H41" i="44" s="1"/>
  <c r="F40" i="44"/>
  <c r="G40" i="44"/>
  <c r="H40" i="44" s="1"/>
  <c r="F32" i="44"/>
  <c r="G32" i="44"/>
  <c r="H32" i="44" s="1"/>
  <c r="G220" i="44"/>
  <c r="H220" i="44" s="1"/>
  <c r="F220" i="44"/>
  <c r="G221" i="44"/>
  <c r="H221" i="44" s="1"/>
  <c r="F221" i="44"/>
  <c r="N217" i="28"/>
  <c r="M222" i="28"/>
  <c r="N222" i="28" s="1"/>
  <c r="G163" i="44"/>
  <c r="H163" i="44" s="1"/>
  <c r="F163" i="44"/>
  <c r="F170" i="44"/>
  <c r="G170" i="44"/>
  <c r="H170" i="44" s="1"/>
  <c r="G165" i="44"/>
  <c r="H165" i="44" s="1"/>
  <c r="F165" i="44"/>
  <c r="F98" i="44"/>
  <c r="G98" i="44"/>
  <c r="H98" i="44" s="1"/>
  <c r="G103" i="44"/>
  <c r="H103" i="44" s="1"/>
  <c r="F103" i="44"/>
  <c r="G104" i="44"/>
  <c r="H104" i="44" s="1"/>
  <c r="F104" i="44"/>
  <c r="F116" i="44"/>
  <c r="G116" i="44"/>
  <c r="H116" i="44" s="1"/>
  <c r="M57" i="2"/>
  <c r="N57" i="2" s="1"/>
  <c r="N53" i="2"/>
  <c r="F42" i="44"/>
  <c r="G42" i="44"/>
  <c r="H42" i="44" s="1"/>
  <c r="G49" i="44"/>
  <c r="H49" i="44" s="1"/>
  <c r="F49" i="44"/>
  <c r="F241" i="44"/>
  <c r="G241" i="44"/>
  <c r="H241" i="44" s="1"/>
  <c r="G223" i="44"/>
  <c r="H223" i="44" s="1"/>
  <c r="F223" i="44"/>
  <c r="G224" i="44"/>
  <c r="H224" i="44" s="1"/>
  <c r="F224" i="44"/>
  <c r="G227" i="44"/>
  <c r="H227" i="44" s="1"/>
  <c r="F227" i="44"/>
  <c r="K226" i="27"/>
  <c r="G172" i="44"/>
  <c r="H172" i="44" s="1"/>
  <c r="F172" i="44"/>
  <c r="G166" i="44"/>
  <c r="H166" i="44" s="1"/>
  <c r="F166" i="44"/>
  <c r="G160" i="44"/>
  <c r="H160" i="44" s="1"/>
  <c r="F160" i="44"/>
  <c r="F111" i="44"/>
  <c r="G111" i="44"/>
  <c r="H111" i="44" s="1"/>
  <c r="G99" i="44"/>
  <c r="H99" i="44" s="1"/>
  <c r="F99" i="44"/>
  <c r="G113" i="44"/>
  <c r="H113" i="44" s="1"/>
  <c r="F113" i="44"/>
  <c r="F50" i="44"/>
  <c r="G50" i="44"/>
  <c r="H50" i="44" s="1"/>
  <c r="F225" i="44"/>
  <c r="G225" i="44"/>
  <c r="H225" i="44" s="1"/>
  <c r="F228" i="44"/>
  <c r="G228" i="44"/>
  <c r="H228" i="44" s="1"/>
  <c r="G234" i="44"/>
  <c r="H234" i="44" s="1"/>
  <c r="F234" i="44"/>
  <c r="F232" i="44"/>
  <c r="G232" i="44"/>
  <c r="H232" i="44" s="1"/>
  <c r="G171" i="44"/>
  <c r="H171" i="44" s="1"/>
  <c r="F171" i="44"/>
  <c r="F157" i="44"/>
  <c r="G157" i="44"/>
  <c r="H157" i="44" s="1"/>
  <c r="G158" i="44"/>
  <c r="H158" i="44" s="1"/>
  <c r="F158" i="44"/>
  <c r="G154" i="44"/>
  <c r="H154" i="44" s="1"/>
  <c r="F154" i="44"/>
  <c r="G115" i="44"/>
  <c r="H115" i="44" s="1"/>
  <c r="F115" i="44"/>
  <c r="F107" i="44"/>
  <c r="G107" i="44"/>
  <c r="H107" i="44" s="1"/>
  <c r="F114" i="44"/>
  <c r="G114" i="44"/>
  <c r="H114" i="44" s="1"/>
  <c r="F47" i="44"/>
  <c r="G47" i="44"/>
  <c r="H47" i="44" s="1"/>
  <c r="F36" i="44"/>
  <c r="G36" i="44"/>
  <c r="H36" i="44" s="1"/>
  <c r="F35" i="44"/>
  <c r="G35" i="44"/>
  <c r="H35" i="44" s="1"/>
  <c r="G39" i="44"/>
  <c r="H39" i="44" s="1"/>
  <c r="F39" i="44"/>
  <c r="G240" i="44"/>
  <c r="H240" i="44" s="1"/>
  <c r="F240" i="44"/>
  <c r="F231" i="44"/>
  <c r="G231" i="44"/>
  <c r="H231" i="44" s="1"/>
  <c r="F239" i="44"/>
  <c r="G239" i="44"/>
  <c r="H239" i="44" s="1"/>
  <c r="F237" i="44"/>
  <c r="G237" i="44"/>
  <c r="H237" i="44" s="1"/>
  <c r="N116" i="26"/>
  <c r="M121" i="26"/>
  <c r="N121" i="26" s="1"/>
  <c r="K313" i="28"/>
  <c r="K314" i="28" s="1"/>
  <c r="M154" i="27"/>
  <c r="N154" i="27" s="1"/>
  <c r="M221" i="27"/>
  <c r="N149" i="27"/>
  <c r="B262" i="26"/>
  <c r="M242" i="26"/>
  <c r="N242" i="26" s="1"/>
  <c r="F155" i="44"/>
  <c r="G155" i="44"/>
  <c r="H155" i="44" s="1"/>
  <c r="G153" i="44"/>
  <c r="H153" i="44" s="1"/>
  <c r="F153" i="44"/>
  <c r="F105" i="44"/>
  <c r="G105" i="44"/>
  <c r="H105" i="44" s="1"/>
  <c r="G96" i="44"/>
  <c r="H96" i="44" s="1"/>
  <c r="F96" i="44"/>
  <c r="G31" i="44"/>
  <c r="H31" i="44" s="1"/>
  <c r="F31" i="44"/>
  <c r="F33" i="44"/>
  <c r="G33" i="44"/>
  <c r="H33" i="44" s="1"/>
  <c r="F45" i="44"/>
  <c r="G45" i="44"/>
  <c r="H45" i="44" s="1"/>
  <c r="F48" i="44"/>
  <c r="G48" i="44"/>
  <c r="H48" i="44" s="1"/>
  <c r="F226" i="44"/>
  <c r="G226" i="44"/>
  <c r="H226" i="44" s="1"/>
  <c r="F235" i="44"/>
  <c r="G235" i="44"/>
  <c r="H235" i="44" s="1"/>
  <c r="F242" i="44"/>
  <c r="G242" i="44"/>
  <c r="H242" i="44" s="1"/>
  <c r="M276" i="26"/>
  <c r="K281" i="26"/>
  <c r="B233" i="28"/>
  <c r="M212" i="28"/>
  <c r="N212" i="28" s="1"/>
  <c r="M251" i="26"/>
  <c r="N251" i="26" s="1"/>
  <c r="N246" i="26"/>
  <c r="M154" i="28"/>
  <c r="N154" i="28" s="1"/>
  <c r="B175" i="28"/>
  <c r="K299" i="28"/>
  <c r="M299" i="28" s="1"/>
  <c r="N299" i="28" s="1"/>
  <c r="F167" i="44"/>
  <c r="G167" i="44"/>
  <c r="H167" i="44" s="1"/>
  <c r="G168" i="44"/>
  <c r="H168" i="44" s="1"/>
  <c r="F168" i="44"/>
  <c r="G164" i="44"/>
  <c r="H164" i="44" s="1"/>
  <c r="F164" i="44"/>
  <c r="G108" i="44"/>
  <c r="H108" i="44" s="1"/>
  <c r="F108" i="44"/>
  <c r="F102" i="44"/>
  <c r="G102" i="44"/>
  <c r="H102" i="44" s="1"/>
  <c r="N275" i="28"/>
  <c r="M280" i="28"/>
  <c r="N280" i="28" s="1"/>
  <c r="G44" i="44"/>
  <c r="H44" i="44" s="1"/>
  <c r="F44" i="44"/>
  <c r="G229" i="44"/>
  <c r="H229" i="44" s="1"/>
  <c r="F229" i="44"/>
  <c r="F236" i="44"/>
  <c r="G236" i="44"/>
  <c r="H236" i="44" s="1"/>
  <c r="F238" i="44"/>
  <c r="G238" i="44"/>
  <c r="H238" i="44" s="1"/>
  <c r="K92" i="2"/>
  <c r="K96" i="2" s="1"/>
  <c r="K82" i="2"/>
  <c r="B103" i="2" s="1"/>
  <c r="G173" i="44"/>
  <c r="H173" i="44" s="1"/>
  <c r="F173" i="44"/>
  <c r="F156" i="44"/>
  <c r="G156" i="44"/>
  <c r="H156" i="44" s="1"/>
  <c r="F112" i="44"/>
  <c r="G112" i="44"/>
  <c r="H112" i="44" s="1"/>
  <c r="G100" i="44"/>
  <c r="H100" i="44" s="1"/>
  <c r="F100" i="44"/>
  <c r="B132" i="26"/>
  <c r="M112" i="26"/>
  <c r="N112" i="26" s="1"/>
  <c r="K272" i="26"/>
  <c r="M272" i="26" s="1"/>
  <c r="N272" i="26" s="1"/>
  <c r="G34" i="44"/>
  <c r="H34" i="44" s="1"/>
  <c r="F34" i="44"/>
  <c r="F219" i="44"/>
  <c r="G219" i="44"/>
  <c r="H219" i="44" s="1"/>
  <c r="F233" i="44"/>
  <c r="G233" i="44"/>
  <c r="H233" i="44" s="1"/>
  <c r="F222" i="44"/>
  <c r="G222" i="44"/>
  <c r="H222" i="44" s="1"/>
  <c r="M23" i="2"/>
  <c r="N15" i="2"/>
  <c r="K217" i="27"/>
  <c r="M145" i="27"/>
  <c r="B165" i="27"/>
  <c r="G159" i="44"/>
  <c r="H159" i="44" s="1"/>
  <c r="F159" i="44"/>
  <c r="G161" i="44"/>
  <c r="H161" i="44" s="1"/>
  <c r="F161" i="44"/>
  <c r="M164" i="28"/>
  <c r="N164" i="28" s="1"/>
  <c r="N159" i="28"/>
  <c r="F106" i="44"/>
  <c r="G106" i="44"/>
  <c r="H106" i="44" s="1"/>
  <c r="G109" i="44"/>
  <c r="H109" i="44" s="1"/>
  <c r="F109" i="44"/>
  <c r="G101" i="44"/>
  <c r="H101" i="44" s="1"/>
  <c r="F101" i="44"/>
  <c r="G43" i="44"/>
  <c r="H43" i="44" s="1"/>
  <c r="F43" i="44"/>
  <c r="G37" i="44"/>
  <c r="H37" i="44" s="1"/>
  <c r="F37" i="44"/>
  <c r="G38" i="44"/>
  <c r="H38" i="44" s="1"/>
  <c r="F38" i="44"/>
  <c r="F46" i="44"/>
  <c r="G46" i="44"/>
  <c r="H46" i="44" s="1"/>
  <c r="F230" i="44"/>
  <c r="G230" i="44"/>
  <c r="H230" i="44" s="1"/>
  <c r="F218" i="44"/>
  <c r="G218" i="44"/>
  <c r="H218" i="44" s="1"/>
  <c r="N304" i="28" l="1"/>
  <c r="K86" i="2"/>
  <c r="M86" i="2" s="1"/>
  <c r="K97" i="2"/>
  <c r="M217" i="27"/>
  <c r="N217" i="27" s="1"/>
  <c r="N145" i="27"/>
  <c r="M226" i="27"/>
  <c r="N226" i="27" s="1"/>
  <c r="N221" i="27"/>
  <c r="N23" i="2"/>
  <c r="M82" i="2"/>
  <c r="N82" i="2" s="1"/>
  <c r="M281" i="26"/>
  <c r="N281" i="26" s="1"/>
  <c r="N276" i="26"/>
  <c r="N86" i="2" l="1"/>
  <c r="M92" i="2"/>
  <c r="N9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FCB16873-06BD-46E3-9B7B-A3DE3B402A73}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Bill Frequency Data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2" authorId="0" shapeId="0" xr:uid="{43CED0F6-20F1-463D-B0AB-6B221C4CF4D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rate in </t>
        </r>
      </text>
    </comment>
    <comment ref="A103" authorId="0" shapeId="0" xr:uid="{B863DF3F-04B9-4A0D-A238-3DD336A24D83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not enough historical data to do an OGIVE that makes sense</t>
        </r>
      </text>
    </comment>
    <comment ref="D129" authorId="0" shapeId="0" xr:uid="{4D5743EC-7A67-4F42-85FC-7C62F6A7124E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Set at 0 because LIRA is funded 100%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42" authorId="0" shapeId="0" xr:uid="{98FA437A-9752-4D0D-B73D-BB0FC130944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rate in </t>
        </r>
      </text>
    </comment>
  </commentList>
</comments>
</file>

<file path=xl/sharedStrings.xml><?xml version="1.0" encoding="utf-8"?>
<sst xmlns="http://schemas.openxmlformats.org/spreadsheetml/2006/main" count="3080" uniqueCount="442">
  <si>
    <t>Description</t>
  </si>
  <si>
    <t>Total</t>
  </si>
  <si>
    <t>Basic Charge</t>
  </si>
  <si>
    <t>Current</t>
  </si>
  <si>
    <t>Proposed</t>
  </si>
  <si>
    <t xml:space="preserve">Billing </t>
  </si>
  <si>
    <t>Current Base Rates</t>
  </si>
  <si>
    <t>Proposed Base Rates</t>
  </si>
  <si>
    <t xml:space="preserve">Difference </t>
  </si>
  <si>
    <t>Units</t>
  </si>
  <si>
    <t>Determinants</t>
  </si>
  <si>
    <t>Rates</t>
  </si>
  <si>
    <t>Revenues</t>
  </si>
  <si>
    <t>$</t>
  </si>
  <si>
    <t>%</t>
  </si>
  <si>
    <t>over (under)</t>
  </si>
  <si>
    <t>Total Base Revenues</t>
  </si>
  <si>
    <t>Residential Summary</t>
  </si>
  <si>
    <t>Change</t>
  </si>
  <si>
    <t>Current Rate</t>
  </si>
  <si>
    <t>Proposed Rate</t>
  </si>
  <si>
    <t>NATIONAL FUEL GAS DISTRIBUTION CORPORATION</t>
  </si>
  <si>
    <t>PENNSYLVANIA DIVISION</t>
  </si>
  <si>
    <t>TWELVE MONTHS ENDED JULY 31, 2024</t>
  </si>
  <si>
    <t>Customer Charge</t>
  </si>
  <si>
    <t>A1</t>
  </si>
  <si>
    <t>RESIDENTIAL</t>
  </si>
  <si>
    <t>A2</t>
  </si>
  <si>
    <t>LIRA</t>
  </si>
  <si>
    <t>A3</t>
  </si>
  <si>
    <t>RESIDENTIAL_TRANS</t>
  </si>
  <si>
    <t>A4</t>
  </si>
  <si>
    <t>RES_SATC</t>
  </si>
  <si>
    <t>B1</t>
  </si>
  <si>
    <t>SMALL_COMM_LE250</t>
  </si>
  <si>
    <t>B2</t>
  </si>
  <si>
    <t>SMALL_COMM_LE_ 250_TRANS</t>
  </si>
  <si>
    <t>B3</t>
  </si>
  <si>
    <t>SM_COM_LE250_SATC</t>
  </si>
  <si>
    <t>C1</t>
  </si>
  <si>
    <t>SM_COM_GT250</t>
  </si>
  <si>
    <t>C2</t>
  </si>
  <si>
    <t>SM_COMM_GT250_TRANS</t>
  </si>
  <si>
    <t>C3</t>
  </si>
  <si>
    <t>SM_COM_GT250_SATC</t>
  </si>
  <si>
    <t>D1</t>
  </si>
  <si>
    <t>LARGE_COMMERCIAL</t>
  </si>
  <si>
    <t>D2</t>
  </si>
  <si>
    <t>LARGE_COMM_MMT_TRANS</t>
  </si>
  <si>
    <t>D3</t>
  </si>
  <si>
    <t>LARGE_COMM_DMT_TRANS</t>
  </si>
  <si>
    <t>D4</t>
  </si>
  <si>
    <t>LARGE_COMM_SATC</t>
  </si>
  <si>
    <t>E1</t>
  </si>
  <si>
    <t>SMALL_PUB_AU_LE250</t>
  </si>
  <si>
    <t>F1</t>
  </si>
  <si>
    <t>SMALL_PUB_AU_GT250</t>
  </si>
  <si>
    <t>F3</t>
  </si>
  <si>
    <t>SM_PUB_GT250_SATC</t>
  </si>
  <si>
    <t>G1</t>
  </si>
  <si>
    <t>LARGE_PUBLIC_AUTH</t>
  </si>
  <si>
    <t>G3</t>
  </si>
  <si>
    <t>LARGE_DMT_TRANS</t>
  </si>
  <si>
    <t>G4</t>
  </si>
  <si>
    <t>LARGE_PUB_SATC</t>
  </si>
  <si>
    <t>K1</t>
  </si>
  <si>
    <t>SVIS</t>
  </si>
  <si>
    <t>SMALL VOLUME INDUSTRIAL SERVICE</t>
  </si>
  <si>
    <t>K2</t>
  </si>
  <si>
    <t>SVIS_MMT_TRANS</t>
  </si>
  <si>
    <t>K3</t>
  </si>
  <si>
    <t>SVIS_SATC</t>
  </si>
  <si>
    <t>H1</t>
  </si>
  <si>
    <t>IVIS</t>
  </si>
  <si>
    <t>H2</t>
  </si>
  <si>
    <t>IVIS_MMT_TRANS</t>
  </si>
  <si>
    <t>H3</t>
  </si>
  <si>
    <t>IVIS_DMT_TRANS</t>
  </si>
  <si>
    <t>H5</t>
  </si>
  <si>
    <t>IVIS_SATC</t>
  </si>
  <si>
    <t>I1</t>
  </si>
  <si>
    <t>LVIS_MMT</t>
  </si>
  <si>
    <t>I2</t>
  </si>
  <si>
    <t>LVIS_DMT</t>
  </si>
  <si>
    <t>J1</t>
  </si>
  <si>
    <t>LIS_MMT_TRANS</t>
  </si>
  <si>
    <t>J2</t>
  </si>
  <si>
    <t>LIS_DMT</t>
  </si>
  <si>
    <t>J3</t>
  </si>
  <si>
    <t>L1</t>
  </si>
  <si>
    <t>E2</t>
  </si>
  <si>
    <t>SMALL_LE_ 250_TRANS</t>
  </si>
  <si>
    <t>E3</t>
  </si>
  <si>
    <t>SM_LE250_SATC</t>
  </si>
  <si>
    <t>F2</t>
  </si>
  <si>
    <t>SM_GT250_TRANS</t>
  </si>
  <si>
    <t>G2</t>
  </si>
  <si>
    <t>LARGE_MMT_TRANS</t>
  </si>
  <si>
    <t>0-5 Mcf</t>
  </si>
  <si>
    <t>RES_BSC</t>
  </si>
  <si>
    <t>Residential Basic charge</t>
  </si>
  <si>
    <t>RES_B1</t>
  </si>
  <si>
    <t>RES_B2</t>
  </si>
  <si>
    <t>Over 5 Mcf</t>
  </si>
  <si>
    <t>SCPA_LL_BSC</t>
  </si>
  <si>
    <t>SCPA_LL_B1</t>
  </si>
  <si>
    <t>SCPA_LL_B2</t>
  </si>
  <si>
    <t>SCPA_UL_BSC</t>
  </si>
  <si>
    <t>SCPA_UL_B1</t>
  </si>
  <si>
    <t>SCPA_UL_B2</t>
  </si>
  <si>
    <t>Over 20 Mcf</t>
  </si>
  <si>
    <t>LCPA_BSC</t>
  </si>
  <si>
    <t>LCPA_B1</t>
  </si>
  <si>
    <t>LCPA_B2</t>
  </si>
  <si>
    <t>LCPA_B3</t>
  </si>
  <si>
    <t>Over 2000 Mcf</t>
  </si>
  <si>
    <t>SVIS_BSC</t>
  </si>
  <si>
    <t>SVIS_VOL</t>
  </si>
  <si>
    <t>IVIS_BSC</t>
  </si>
  <si>
    <t>IVIS_B1</t>
  </si>
  <si>
    <t>IVIS_B2</t>
  </si>
  <si>
    <t>100 - 2000 Mcf</t>
  </si>
  <si>
    <t>IVIS_B3</t>
  </si>
  <si>
    <t>LVIS_BSC</t>
  </si>
  <si>
    <t>LIS_BSC</t>
  </si>
  <si>
    <t>RES_TRANS</t>
  </si>
  <si>
    <t>SCPA_LL_TRANS</t>
  </si>
  <si>
    <t>SCPA_UL_TRANS</t>
  </si>
  <si>
    <t>LCPA_TRANS_MMT</t>
  </si>
  <si>
    <t>LCPA_TRANS_DMT</t>
  </si>
  <si>
    <t>SVIS_TRANS</t>
  </si>
  <si>
    <t>IVIS_TRANS_MMT</t>
  </si>
  <si>
    <t>IVIS_TRANS_DMT</t>
  </si>
  <si>
    <t>LVIS_TRANS_MMT</t>
  </si>
  <si>
    <t>LVIS_TRANS_DMT</t>
  </si>
  <si>
    <t>LIS_TRANS_MMT</t>
  </si>
  <si>
    <t>LIS_TRANS_DMT</t>
  </si>
  <si>
    <t>LVIS_FLEX_DMT</t>
  </si>
  <si>
    <t>LIS_FLEX_DMT</t>
  </si>
  <si>
    <t>DMLM_TRANS</t>
  </si>
  <si>
    <t>RIDER_A</t>
  </si>
  <si>
    <t>Rider A Distribution Charge</t>
  </si>
  <si>
    <t>NGS</t>
  </si>
  <si>
    <t>Natural Gas Supply Charge</t>
  </si>
  <si>
    <t>GAC</t>
  </si>
  <si>
    <t>Gas Adjustment Charge</t>
  </si>
  <si>
    <t>RIDER_B</t>
  </si>
  <si>
    <t>Rider B State Tax Adjustment Surcharge</t>
  </si>
  <si>
    <t>RIDER_E</t>
  </si>
  <si>
    <t>Rider E Customer Education Charge</t>
  </si>
  <si>
    <t>RIDER_F</t>
  </si>
  <si>
    <t>Rider F LIRA Discount Charge</t>
  </si>
  <si>
    <t>MMT_GAS</t>
  </si>
  <si>
    <t>MMT Gas Cost Charge</t>
  </si>
  <si>
    <t>RES_MFC</t>
  </si>
  <si>
    <t>Total Residential MFC</t>
  </si>
  <si>
    <t>MFC_GAC_RES</t>
  </si>
  <si>
    <t>Residential MFC GAC</t>
  </si>
  <si>
    <t>MFC_GAC_NONRES</t>
  </si>
  <si>
    <t>Non-Residential MFC GAC</t>
  </si>
  <si>
    <t>LVISLBS_DEMAND</t>
  </si>
  <si>
    <t>LVISLBS_MARGIN</t>
  </si>
  <si>
    <t>Mcf</t>
  </si>
  <si>
    <t>Customer Education Charge - Rider E</t>
  </si>
  <si>
    <t>LIRA Discount Charge - Rider F</t>
  </si>
  <si>
    <t>Cust</t>
  </si>
  <si>
    <t>Total Margin</t>
  </si>
  <si>
    <t>Difference</t>
  </si>
  <si>
    <t>% Difference</t>
  </si>
  <si>
    <t>RES</t>
  </si>
  <si>
    <t>All Volume</t>
  </si>
  <si>
    <t>Distribution Rate</t>
  </si>
  <si>
    <t>Total Customer</t>
  </si>
  <si>
    <t>Total Mcf</t>
  </si>
  <si>
    <t>A1/B1</t>
  </si>
  <si>
    <t>A1/B2</t>
  </si>
  <si>
    <t>A2/B1</t>
  </si>
  <si>
    <t>A2/B2</t>
  </si>
  <si>
    <t>A3/B1</t>
  </si>
  <si>
    <t>A4/B1</t>
  </si>
  <si>
    <t>A4/B2</t>
  </si>
  <si>
    <t>B1/B1</t>
  </si>
  <si>
    <t>B1/B2</t>
  </si>
  <si>
    <t>B2/B1</t>
  </si>
  <si>
    <t>Basic Service Charge</t>
  </si>
  <si>
    <t>B3/B1</t>
  </si>
  <si>
    <t>B3/B2</t>
  </si>
  <si>
    <t>PA_SM_COM_GT250</t>
  </si>
  <si>
    <t>C1/B1</t>
  </si>
  <si>
    <t>C1/B2</t>
  </si>
  <si>
    <t>0 - 20 Mcf</t>
  </si>
  <si>
    <t>PA_SM_COMM_GT250_TRANS</t>
  </si>
  <si>
    <t>C2/B1</t>
  </si>
  <si>
    <t>C3/B1</t>
  </si>
  <si>
    <t>C3/B2</t>
  </si>
  <si>
    <t>PA_SM_COM_GT250_SATC</t>
  </si>
  <si>
    <t>D1/B1</t>
  </si>
  <si>
    <t>D1/B2</t>
  </si>
  <si>
    <t>D1/B3</t>
  </si>
  <si>
    <t>PA_LARGE_COMMERCIAL</t>
  </si>
  <si>
    <t>0 - 300 Mcf</t>
  </si>
  <si>
    <t>300 - 2000 Mcf</t>
  </si>
  <si>
    <t>D2/B1</t>
  </si>
  <si>
    <t>PA_LARGE_COMM_MMT_TRANS</t>
  </si>
  <si>
    <t>D3/B1</t>
  </si>
  <si>
    <t>PA_LARGE_COMM_DMT_TRANS</t>
  </si>
  <si>
    <t>D4/B1</t>
  </si>
  <si>
    <t>D4/B2</t>
  </si>
  <si>
    <t>D4/B3</t>
  </si>
  <si>
    <t>PA_LARGE_COMM_SATC</t>
  </si>
  <si>
    <t>E1/B1</t>
  </si>
  <si>
    <t>E1/B2</t>
  </si>
  <si>
    <t>0 - 5 Mcf</t>
  </si>
  <si>
    <t>PA_SMALL_PUB_AU_LE250</t>
  </si>
  <si>
    <t>E2/B1</t>
  </si>
  <si>
    <t>PA_SMALL_PA_LE_ 250_TRANS</t>
  </si>
  <si>
    <t>E3/B1</t>
  </si>
  <si>
    <t>E3/B2</t>
  </si>
  <si>
    <t>PA_SM_PA_LE250_SATC</t>
  </si>
  <si>
    <t>PA_SMALL_PUB_AU_GT250</t>
  </si>
  <si>
    <t>F1/B1</t>
  </si>
  <si>
    <t>F1/B2</t>
  </si>
  <si>
    <t>0 - 20</t>
  </si>
  <si>
    <t>F2/B1</t>
  </si>
  <si>
    <t>PA_SM_PA_GT250_TRANS</t>
  </si>
  <si>
    <t>PA_SM_PUB_GT250_SATC</t>
  </si>
  <si>
    <t>F3/B1</t>
  </si>
  <si>
    <t>F3/B2</t>
  </si>
  <si>
    <t>G1/B1</t>
  </si>
  <si>
    <t>G1/B2</t>
  </si>
  <si>
    <t>G1/B3</t>
  </si>
  <si>
    <t>PA_LARGE_PUBLIC_AUTH</t>
  </si>
  <si>
    <t>G2/B1</t>
  </si>
  <si>
    <t>PA_LARGE_PA_MMT_TRANS</t>
  </si>
  <si>
    <t>PA_LARGE_PA_DMT_TRANS</t>
  </si>
  <si>
    <t>G3/B1</t>
  </si>
  <si>
    <t>PA_LARGE_PUB_SATC</t>
  </si>
  <si>
    <t>G4/B1</t>
  </si>
  <si>
    <t>G4/B2</t>
  </si>
  <si>
    <t>G4/B3</t>
  </si>
  <si>
    <t>PA_SVIS</t>
  </si>
  <si>
    <t>K1/B1</t>
  </si>
  <si>
    <t>K2/B1</t>
  </si>
  <si>
    <t>PA_SVIS_MMT_TRANS</t>
  </si>
  <si>
    <t>PA_SVIS_SATC</t>
  </si>
  <si>
    <t>K3/B1</t>
  </si>
  <si>
    <t>PA_IVIS</t>
  </si>
  <si>
    <t>H1/B1</t>
  </si>
  <si>
    <t>H1/B2</t>
  </si>
  <si>
    <t>H1/B3</t>
  </si>
  <si>
    <t>0 - 100 Mcf</t>
  </si>
  <si>
    <t>H2/B1</t>
  </si>
  <si>
    <t>PA_IVIS_MMT_TRANS</t>
  </si>
  <si>
    <t>H3/B1</t>
  </si>
  <si>
    <t>PA_IVIS_DMT_TRANS</t>
  </si>
  <si>
    <t>H5/B1</t>
  </si>
  <si>
    <t>H5/B2</t>
  </si>
  <si>
    <t>H5/B3</t>
  </si>
  <si>
    <t>PA_IVIS_SATC</t>
  </si>
  <si>
    <t>I1/B1</t>
  </si>
  <si>
    <t>PA_LVIS_MMT</t>
  </si>
  <si>
    <t>PA_LVIS_DMT</t>
  </si>
  <si>
    <t>I2/B1</t>
  </si>
  <si>
    <t>PA_LVIS_DMT_FLEX</t>
  </si>
  <si>
    <t>I3</t>
  </si>
  <si>
    <t>I3/B1</t>
  </si>
  <si>
    <t>PA_LIS_MMT_TRANS</t>
  </si>
  <si>
    <t>J1/B1</t>
  </si>
  <si>
    <t>PA_LIS_DMT</t>
  </si>
  <si>
    <t>J2/B1</t>
  </si>
  <si>
    <t>PA_LIS_DMT_FLEX</t>
  </si>
  <si>
    <t>J3/B1</t>
  </si>
  <si>
    <t>PA_DMT_LARGE_MAN_TRANS</t>
  </si>
  <si>
    <t>L1/B1</t>
  </si>
  <si>
    <t>PA_LVIS_TRANS_LOAD_BALANCING</t>
  </si>
  <si>
    <t>I4</t>
  </si>
  <si>
    <t>I4/B1</t>
  </si>
  <si>
    <t>Small Commercial</t>
  </si>
  <si>
    <t>Large Commercial</t>
  </si>
  <si>
    <t>Rider E</t>
  </si>
  <si>
    <t>Rider F</t>
  </si>
  <si>
    <t>Residential</t>
  </si>
  <si>
    <t>Industrial</t>
  </si>
  <si>
    <t>Rider G - Merchant Function Charge</t>
  </si>
  <si>
    <t>Rider H - Gas Procurement Charge</t>
  </si>
  <si>
    <t>RIDER_G_RES</t>
  </si>
  <si>
    <t>RIDER_H</t>
  </si>
  <si>
    <t>Rider G</t>
  </si>
  <si>
    <t>Rider H</t>
  </si>
  <si>
    <t>RIDER_G_NONRES</t>
  </si>
  <si>
    <t>Rider B</t>
  </si>
  <si>
    <t>D5</t>
  </si>
  <si>
    <t>D5/B1</t>
  </si>
  <si>
    <t>Natural Gas Vehicles</t>
  </si>
  <si>
    <t>NGV_MARGIN</t>
  </si>
  <si>
    <t>NO_RATE</t>
  </si>
  <si>
    <t>STA_REV</t>
  </si>
  <si>
    <t>TARGET REVENUE</t>
  </si>
  <si>
    <t>All Volumes</t>
  </si>
  <si>
    <t>SVIC Summary</t>
  </si>
  <si>
    <t>Large Commercial Summary</t>
  </si>
  <si>
    <t>IVIS Summary</t>
  </si>
  <si>
    <t>LVIS Summary</t>
  </si>
  <si>
    <t>LIS Summary</t>
  </si>
  <si>
    <t>Negotiated Contracts</t>
  </si>
  <si>
    <t>Industrial Summary</t>
  </si>
  <si>
    <t>Small Commercial LE250 Summary</t>
  </si>
  <si>
    <t>Small Commercial Summary</t>
  </si>
  <si>
    <t>Natural Gas Vehicles Summary</t>
  </si>
  <si>
    <t>Large Commercial and NGV Summary</t>
  </si>
  <si>
    <t>COMPARISON OF MONTHLY BILLS</t>
  </si>
  <si>
    <t>PRESENT</t>
  </si>
  <si>
    <t>PROPOSED</t>
  </si>
  <si>
    <t>RATES</t>
  </si>
  <si>
    <t>CUSTOMER CHARGE</t>
  </si>
  <si>
    <t>BALANCE</t>
  </si>
  <si>
    <t>LIRA RIDER</t>
  </si>
  <si>
    <t>DISTRIBUTION CHARGE</t>
  </si>
  <si>
    <t>NATURAL GAS SUPPLY CHARGE</t>
  </si>
  <si>
    <t>GAS ADJUSTMENT CHARGE</t>
  </si>
  <si>
    <t>MERCHANT FUNCTION CHARGE</t>
  </si>
  <si>
    <t>STATE TAX ADJUSTMENT</t>
  </si>
  <si>
    <t>DIFFERENCE</t>
  </si>
  <si>
    <t>CCF</t>
  </si>
  <si>
    <t>AMOUNT</t>
  </si>
  <si>
    <t>PERCENT</t>
  </si>
  <si>
    <t xml:space="preserve">$       </t>
  </si>
  <si>
    <t xml:space="preserve">$        </t>
  </si>
  <si>
    <t>$/Ccf</t>
  </si>
  <si>
    <t xml:space="preserve">$      </t>
  </si>
  <si>
    <t>Usage Per Ccf</t>
  </si>
  <si>
    <t>LOW INCOME RESIDENTIAL</t>
  </si>
  <si>
    <t>AVERAGE LIRA DISCOUNT</t>
  </si>
  <si>
    <t>SMALL COMMERCIAL &amp; PUBLIC AUTHORITY (LESS THAN 250 MCF per YEAR)</t>
  </si>
  <si>
    <t>SMALL COMMERCIAL &amp; PUBLIC AUTHORITY (GREATER THAN 250 MCF per YEAR)</t>
  </si>
  <si>
    <t>FIRST 200 CCF</t>
  </si>
  <si>
    <t>LARGE COMMERCIAL &amp; PUBLIC AUTHORITY</t>
  </si>
  <si>
    <t>FIRST   3,000 CCF</t>
  </si>
  <si>
    <t>NEXT 17,000 CCF</t>
  </si>
  <si>
    <t>LARGE VOLUME INDUSTRIAL</t>
  </si>
  <si>
    <t>LARGE INDUSTRIAL</t>
  </si>
  <si>
    <t>GAS PROCUREMENT CHARGE</t>
  </si>
  <si>
    <t>OPEB SURCREDIT</t>
  </si>
  <si>
    <t>TCJA SURCREDIT</t>
  </si>
  <si>
    <t>RES_B5</t>
  </si>
  <si>
    <t>SCPA_LL_B5</t>
  </si>
  <si>
    <t>SCPA_UL_B5</t>
  </si>
  <si>
    <t>Small Commercial GT250 Summary</t>
  </si>
  <si>
    <t>LCPA_B5</t>
  </si>
  <si>
    <t>NATURAL GAS VEHICLES</t>
  </si>
  <si>
    <t>IVIS_B5</t>
  </si>
  <si>
    <t>RESIDENTIAL SATC</t>
  </si>
  <si>
    <t>RESIDENTIAL MMT</t>
  </si>
  <si>
    <t>RESIDENTIAL SALES</t>
  </si>
  <si>
    <t>SMALL COMMERCIAL &amp; PUBLIC AUTHORITY SALES (GREATER THAN 250 MCF per YEAR)</t>
  </si>
  <si>
    <t>LARGE COMMERCIAL &amp; PUBLIC AUTHORITY SATC</t>
  </si>
  <si>
    <t>LARGE COMMERCIAL &amp; PUBLIC AUTHORITY MMT</t>
  </si>
  <si>
    <t>LARGE COMMERCIAL &amp; PUBLIC AUTHORITY DMT</t>
  </si>
  <si>
    <t>SMALL VOLUME INDUSTRIAL SALES</t>
  </si>
  <si>
    <t>SMALL VOLUME INDUSTRIAL SATC</t>
  </si>
  <si>
    <t>SMALL VOLUME INDUSTRIAL MMT</t>
  </si>
  <si>
    <t>INTERMEDIATE VOLUME INDUSTRIAL SERVICE SALES</t>
  </si>
  <si>
    <t>INTERMEDIATE VOLUME INDUSTRIAL SERVICE SATC</t>
  </si>
  <si>
    <t>INTERMEDIATE VOLUME INDUSTRIAL SERVICE MMT</t>
  </si>
  <si>
    <t>INTERMEDIATE VOLUME INDUSTRIAL SERVICE DMT</t>
  </si>
  <si>
    <t>LARGE VOLUME INDUSTRIAL MMT</t>
  </si>
  <si>
    <t>LARGE VOLUME INDUSTRIAL DMT</t>
  </si>
  <si>
    <t>LARGE INDUSTRIAL MMT</t>
  </si>
  <si>
    <t>LARGE INDUSTRIAL DMT</t>
  </si>
  <si>
    <t>&gt;200,000</t>
  </si>
  <si>
    <t>RIDER_X</t>
  </si>
  <si>
    <t>EXHIBIT JDT-3 – PROPOSED RATE DESIGN</t>
  </si>
  <si>
    <t>Summary of Proposed Rate Design</t>
  </si>
  <si>
    <t>Customer Class</t>
  </si>
  <si>
    <t>Rate Schedule</t>
  </si>
  <si>
    <t>% Change</t>
  </si>
  <si>
    <t>Sales</t>
  </si>
  <si>
    <t>SATC</t>
  </si>
  <si>
    <t>NA</t>
  </si>
  <si>
    <t>SALES</t>
  </si>
  <si>
    <t xml:space="preserve">INTERMEDIATE VOLUME INDUSTRIAL SERVICE </t>
  </si>
  <si>
    <t>MMT Transportation</t>
  </si>
  <si>
    <t>DMT Transportation</t>
  </si>
  <si>
    <t xml:space="preserve">Hide </t>
  </si>
  <si>
    <t>Hide</t>
  </si>
  <si>
    <r>
      <t xml:space="preserve">SMALL COMMERCIAL &amp; PUBLIC AUTHORITY </t>
    </r>
    <r>
      <rPr>
        <b/>
        <u/>
        <sz val="12"/>
        <rFont val="Calibri"/>
        <family val="2"/>
        <scheme val="minor"/>
      </rPr>
      <t>SALES</t>
    </r>
    <r>
      <rPr>
        <b/>
        <sz val="12"/>
        <rFont val="Calibri"/>
        <family val="2"/>
        <scheme val="minor"/>
      </rPr>
      <t xml:space="preserve"> (LESS THAN 250 MCF per YEAR)</t>
    </r>
  </si>
  <si>
    <r>
      <t xml:space="preserve">SMALL COMMERCIAL &amp; PUBLIC AUTHORITY </t>
    </r>
    <r>
      <rPr>
        <b/>
        <u/>
        <sz val="12"/>
        <rFont val="Calibri"/>
        <family val="2"/>
        <scheme val="minor"/>
      </rPr>
      <t>SATC</t>
    </r>
    <r>
      <rPr>
        <b/>
        <sz val="12"/>
        <rFont val="Calibri"/>
        <family val="2"/>
        <scheme val="minor"/>
      </rPr>
      <t xml:space="preserve"> (LESS THAN 250 MCF per YEAR)</t>
    </r>
  </si>
  <si>
    <r>
      <t xml:space="preserve">SMALL COMMERCIAL &amp; PUBLIC AUTHORITY </t>
    </r>
    <r>
      <rPr>
        <b/>
        <u/>
        <sz val="12"/>
        <rFont val="Calibri"/>
        <family val="2"/>
        <scheme val="minor"/>
      </rPr>
      <t>MMT</t>
    </r>
    <r>
      <rPr>
        <b/>
        <sz val="12"/>
        <rFont val="Calibri"/>
        <family val="2"/>
        <scheme val="minor"/>
      </rPr>
      <t xml:space="preserve"> (LESS THAN 250 MCF per YEAR)</t>
    </r>
  </si>
  <si>
    <r>
      <t xml:space="preserve">SMALL COMMERCIAL &amp; PUBLIC AUTHORITY </t>
    </r>
    <r>
      <rPr>
        <b/>
        <u/>
        <sz val="12"/>
        <rFont val="Calibri"/>
        <family val="2"/>
        <scheme val="minor"/>
      </rPr>
      <t>SATC</t>
    </r>
    <r>
      <rPr>
        <b/>
        <sz val="12"/>
        <rFont val="Calibri"/>
        <family val="2"/>
        <scheme val="minor"/>
      </rPr>
      <t xml:space="preserve"> (GREATER THAN 250 MCF per YEAR)</t>
    </r>
  </si>
  <si>
    <r>
      <t xml:space="preserve">SMALL COMMERCIAL &amp; PUBLIC AUTHORITY </t>
    </r>
    <r>
      <rPr>
        <b/>
        <u/>
        <sz val="12"/>
        <rFont val="Calibri"/>
        <family val="2"/>
        <scheme val="minor"/>
      </rPr>
      <t>MMT</t>
    </r>
    <r>
      <rPr>
        <b/>
        <sz val="12"/>
        <rFont val="Calibri"/>
        <family val="2"/>
        <scheme val="minor"/>
      </rPr>
      <t xml:space="preserve"> (GREATER THAN 250 MCF per YEAR)</t>
    </r>
  </si>
  <si>
    <t>CCF per year</t>
  </si>
  <si>
    <t>&lt;10,000</t>
  </si>
  <si>
    <t>&gt;10,000 &lt;50,000</t>
  </si>
  <si>
    <t>INDUSTRIAL</t>
  </si>
  <si>
    <t>LARGE COMMERCIAL</t>
  </si>
  <si>
    <t>SMALL COMMERCIAL</t>
  </si>
  <si>
    <t>EXHIBIT JDT-4 – COMPARISON OF MONTHLY BILLS</t>
  </si>
  <si>
    <t>FIRST 3,000 CCF</t>
  </si>
  <si>
    <t>Number of Bills</t>
  </si>
  <si>
    <t>Cumulative Bills</t>
  </si>
  <si>
    <t>Consumption Mcf</t>
  </si>
  <si>
    <t>Cumulative Consumption Mcf</t>
  </si>
  <si>
    <t>Base Tariff Rate</t>
  </si>
  <si>
    <t>Base Revenue</t>
  </si>
  <si>
    <t>Proposed Tariff Rate</t>
  </si>
  <si>
    <t>Proposed Revenue</t>
  </si>
  <si>
    <t>0-20 Mcf</t>
  </si>
  <si>
    <t>0-300 Mcf</t>
  </si>
  <si>
    <t>300-2000 Mcf</t>
  </si>
  <si>
    <t>0-100 Mcf</t>
  </si>
  <si>
    <t>100-2000 Mcf</t>
  </si>
  <si>
    <t>Residential Trans</t>
  </si>
  <si>
    <t>Residential SATC</t>
  </si>
  <si>
    <t>Small Commercial LE 250</t>
  </si>
  <si>
    <t>Small Commercial LE 250 TRANS</t>
  </si>
  <si>
    <t>Small Commercial LE 250 SATC</t>
  </si>
  <si>
    <t>Small Public Authority LE 250</t>
  </si>
  <si>
    <t>Small Public Authority LE 250 TRANS</t>
  </si>
  <si>
    <t>Small Public Authority LE 250 SATC</t>
  </si>
  <si>
    <t>Small Commercial GT 250</t>
  </si>
  <si>
    <t>Small Commercial GT 250 TRANS</t>
  </si>
  <si>
    <t>Small Commercial GT 250 SATC</t>
  </si>
  <si>
    <t>Small Public Authority GT 250</t>
  </si>
  <si>
    <t>Small Public Authority GT 250 SATC</t>
  </si>
  <si>
    <t>Small Public Authority GT 250 TRANS</t>
  </si>
  <si>
    <t>Large Commercial MMT Trans</t>
  </si>
  <si>
    <t>Large Commercial SATC</t>
  </si>
  <si>
    <t>Large Public Authority</t>
  </si>
  <si>
    <t>Large Commercial DMT Trans</t>
  </si>
  <si>
    <t>Large Public Authority DMT Trans</t>
  </si>
  <si>
    <t>Large Public Authority MMT Trans</t>
  </si>
  <si>
    <t>SVIS MMT Trans</t>
  </si>
  <si>
    <t>SVIS SATC</t>
  </si>
  <si>
    <t>IVIS MMT Trans</t>
  </si>
  <si>
    <t>IVIS DMT Trans</t>
  </si>
  <si>
    <t>IVIS SATC</t>
  </si>
  <si>
    <t>LVIS MMT</t>
  </si>
  <si>
    <t>LVIS DMT</t>
  </si>
  <si>
    <t>LIS MMT Trans</t>
  </si>
  <si>
    <t>Rider G,H,B</t>
  </si>
  <si>
    <t>Subtotal</t>
  </si>
  <si>
    <t>ATTACHMENT IV-B-5 - BILL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</si>
</sst>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&quot;$&quot;#,##0.00\ ;\(&quot;$&quot;#,##0.00\)"/>
    <numFmt numFmtId="167" formatCode="&quot;$&quot;#,##0\ ;\(&quot;$&quot;#,##0\)"/>
    <numFmt numFmtId="168" formatCode="&quot;$&quot;#,##0.00000\ ;\(&quot;$&quot;#,##0.00000\)"/>
    <numFmt numFmtId="169" formatCode="&quot;$&quot;#,##0.0000\ ;\(&quot;$&quot;#,##0.0000\)"/>
    <numFmt numFmtId="170" formatCode="_(&quot;$&quot;* #,##0.00000_);_(&quot;$&quot;* \(#,##0.00000\);_(&quot;$&quot;* &quot;-&quot;??_);_(@_)"/>
    <numFmt numFmtId="171" formatCode="_(&quot;$&quot;* #,##0_);_(&quot;$&quot;* \(#,##0\);_(&quot;$&quot;* &quot;-&quot;??_);_(@_)"/>
    <numFmt numFmtId="172" formatCode="00000"/>
    <numFmt numFmtId="173" formatCode="#,##0.00000000000;[Red]\-#,##0.00000000000"/>
    <numFmt numFmtId="174" formatCode="_(&quot;$&quot;* #,##0.0000_);_(&quot;$&quot;* \(#,##0.0000\);_(&quot;$&quot;* &quot;-&quot;????_);_(@_)"/>
    <numFmt numFmtId="175" formatCode="0.000000"/>
    <numFmt numFmtId="176" formatCode="&quot;$&quot;#,##0.00"/>
    <numFmt numFmtId="177" formatCode="&quot;$&quot;#,##0.00000000_);\(&quot;$&quot;#,##0.00000000\)"/>
    <numFmt numFmtId="178" formatCode="_(&quot;$&quot;* #,##0.0000_);_(&quot;$&quot;* \(#,##0.0000\);_(&quot;$&quot;* &quot;-&quot;??_);_(@_)"/>
    <numFmt numFmtId="179" formatCode="mmmm\ d\,\ yyyy"/>
    <numFmt numFmtId="180" formatCode="#,##0.0000_);\(#,##0.0000\)"/>
    <numFmt numFmtId="181" formatCode="_(* #,##0_);_(* \(#,##0\);_(* &quot;-&quot;??_);_(@_)"/>
    <numFmt numFmtId="182" formatCode="_(&quot;$&quot;* #,##0.000_);_(&quot;$&quot;* \(#,##0.000\);_(&quot;$&quot;* &quot;-&quot;??_);_(@_)"/>
    <numFmt numFmtId="183" formatCode="_(&quot;$&quot;* #,##0.0_);_(&quot;$&quot;* \(#,##0.0\);_(&quot;$&quot;* &quot;-&quot;??_);_(@_)"/>
    <numFmt numFmtId="184" formatCode="###,000"/>
    <numFmt numFmtId="185" formatCode="&quot;$&quot;#,##0.00000_);\(&quot;$&quot;#,##0.00000\)"/>
    <numFmt numFmtId="186" formatCode=";;;"/>
    <numFmt numFmtId="187" formatCode="&quot;$&quot;#,##0.0000_);\(&quot;$&quot;#,##0.0000\)"/>
    <numFmt numFmtId="188" formatCode="0.00000%"/>
    <numFmt numFmtId="189" formatCode="&quot;$&quot;#,##0.000000_);\(&quot;$&quot;#,##0.000000\)"/>
    <numFmt numFmtId="190" formatCode="0.0000000%"/>
    <numFmt numFmtId="191" formatCode="&quot;$&quot;#,##0.0000"/>
    <numFmt numFmtId="192" formatCode="&quot;$&quot;#,##0.0000000"/>
    <numFmt numFmtId="193" formatCode="#,##0.0000000_);\(#,##0.0000000\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Helv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sz val="8"/>
      <name val="Calibri"/>
      <family val="2"/>
      <scheme val="minor"/>
    </font>
    <font>
      <sz val="12"/>
      <name val="Times New Roman"/>
      <family val="1"/>
    </font>
    <font>
      <sz val="10"/>
      <name val="Verdan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u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 applyNumberFormat="0" applyBorder="0" applyAlignment="0"/>
    <xf numFmtId="41" fontId="1" fillId="2" borderId="0"/>
    <xf numFmtId="41" fontId="1" fillId="2" borderId="0"/>
    <xf numFmtId="4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/>
    <xf numFmtId="172" fontId="1" fillId="0" borderId="0"/>
    <xf numFmtId="2" fontId="4" fillId="0" borderId="0" applyFont="0" applyFill="0" applyBorder="0" applyAlignment="0" applyProtection="0"/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8" fontId="9" fillId="0" borderId="0"/>
    <xf numFmtId="40" fontId="9" fillId="0" borderId="0"/>
    <xf numFmtId="10" fontId="6" fillId="2" borderId="10" applyNumberFormat="0" applyBorder="0" applyAlignment="0" applyProtection="0"/>
    <xf numFmtId="44" fontId="2" fillId="0" borderId="11" applyNumberFormat="0" applyFont="0" applyAlignment="0">
      <alignment horizontal="center"/>
    </xf>
    <xf numFmtId="44" fontId="2" fillId="0" borderId="12" applyNumberFormat="0" applyFont="0" applyAlignment="0">
      <alignment horizontal="center"/>
    </xf>
    <xf numFmtId="173" fontId="1" fillId="0" borderId="0"/>
    <xf numFmtId="173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2" borderId="0"/>
    <xf numFmtId="0" fontId="5" fillId="4" borderId="0"/>
    <xf numFmtId="0" fontId="10" fillId="4" borderId="13"/>
    <xf numFmtId="0" fontId="11" fillId="5" borderId="14"/>
    <xf numFmtId="0" fontId="12" fillId="4" borderId="15"/>
    <xf numFmtId="42" fontId="13" fillId="6" borderId="3">
      <alignment vertical="center"/>
    </xf>
    <xf numFmtId="0" fontId="2" fillId="2" borderId="1" applyNumberFormat="0">
      <alignment horizontal="center" vertical="center" wrapText="1"/>
    </xf>
    <xf numFmtId="174" fontId="1" fillId="2" borderId="0"/>
    <xf numFmtId="174" fontId="1" fillId="2" borderId="0"/>
    <xf numFmtId="42" fontId="14" fillId="2" borderId="2">
      <alignment horizontal="left"/>
    </xf>
    <xf numFmtId="38" fontId="6" fillId="0" borderId="16"/>
    <xf numFmtId="38" fontId="9" fillId="0" borderId="2"/>
    <xf numFmtId="175" fontId="1" fillId="0" borderId="0">
      <alignment horizontal="left" wrapText="1"/>
    </xf>
    <xf numFmtId="175" fontId="1" fillId="0" borderId="0">
      <alignment horizontal="left" wrapText="1"/>
    </xf>
    <xf numFmtId="0" fontId="5" fillId="0" borderId="0"/>
    <xf numFmtId="0" fontId="10" fillId="4" borderId="0"/>
    <xf numFmtId="176" fontId="15" fillId="0" borderId="0">
      <alignment horizontal="left" vertical="center"/>
    </xf>
    <xf numFmtId="0" fontId="2" fillId="2" borderId="0">
      <alignment horizontal="left" wrapText="1"/>
    </xf>
    <xf numFmtId="0" fontId="16" fillId="0" borderId="0">
      <alignment horizontal="left" vertical="center"/>
    </xf>
    <xf numFmtId="0" fontId="1" fillId="0" borderId="17" applyNumberFormat="0" applyFont="0" applyFill="0" applyAlignment="0" applyProtection="0"/>
    <xf numFmtId="0" fontId="1" fillId="0" borderId="17" applyNumberFormat="0" applyFont="0" applyFill="0" applyAlignment="0" applyProtection="0"/>
    <xf numFmtId="0" fontId="18" fillId="0" borderId="0"/>
    <xf numFmtId="175" fontId="1" fillId="0" borderId="0">
      <alignment horizontal="left" wrapText="1"/>
    </xf>
    <xf numFmtId="0" fontId="2" fillId="2" borderId="18" applyNumberFormat="0">
      <alignment horizontal="center" vertical="center" wrapText="1"/>
    </xf>
    <xf numFmtId="0" fontId="19" fillId="0" borderId="0"/>
    <xf numFmtId="43" fontId="19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6" fillId="12" borderId="33" applyNumberFormat="0" applyAlignment="0" applyProtection="0">
      <alignment horizontal="left" vertical="center" indent="1"/>
    </xf>
    <xf numFmtId="184" fontId="27" fillId="13" borderId="33" applyNumberFormat="0" applyAlignment="0" applyProtection="0">
      <alignment horizontal="left" vertical="center" indent="1"/>
    </xf>
    <xf numFmtId="184" fontId="27" fillId="0" borderId="34" applyNumberFormat="0" applyProtection="0">
      <alignment horizontal="right" vertical="center"/>
    </xf>
    <xf numFmtId="0" fontId="26" fillId="12" borderId="35" applyNumberFormat="0" applyAlignment="0" applyProtection="0">
      <alignment horizontal="left" vertical="center" indent="1"/>
    </xf>
    <xf numFmtId="184" fontId="26" fillId="0" borderId="35" applyNumberFormat="0" applyProtection="0">
      <alignment horizontal="right" vertical="center"/>
    </xf>
    <xf numFmtId="37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4" borderId="25"/>
    <xf numFmtId="0" fontId="11" fillId="5" borderId="42"/>
    <xf numFmtId="0" fontId="12" fillId="4" borderId="43"/>
    <xf numFmtId="0" fontId="2" fillId="2" borderId="30" applyNumberFormat="0">
      <alignment horizontal="center" vertical="center" wrapText="1"/>
    </xf>
    <xf numFmtId="42" fontId="14" fillId="2" borderId="20">
      <alignment horizontal="left"/>
    </xf>
    <xf numFmtId="38" fontId="9" fillId="0" borderId="20"/>
    <xf numFmtId="0" fontId="2" fillId="2" borderId="30" applyNumberFormat="0">
      <alignment horizontal="center" vertical="center" wrapText="1"/>
    </xf>
  </cellStyleXfs>
  <cellXfs count="705">
    <xf numFmtId="0" fontId="0" fillId="0" borderId="0" xfId="0"/>
    <xf numFmtId="43" fontId="28" fillId="9" borderId="10" xfId="2" applyFont="1" applyFill="1" applyBorder="1" applyAlignment="1"/>
    <xf numFmtId="0" fontId="29" fillId="0" borderId="0" xfId="4" applyFont="1"/>
    <xf numFmtId="0" fontId="30" fillId="0" borderId="0" xfId="4" applyFont="1" applyAlignment="1"/>
    <xf numFmtId="0" fontId="30" fillId="0" borderId="0" xfId="4" applyFont="1" applyAlignment="1">
      <alignment horizontal="center"/>
    </xf>
    <xf numFmtId="0" fontId="29" fillId="0" borderId="0" xfId="4" applyFont="1" applyAlignment="1"/>
    <xf numFmtId="0" fontId="29" fillId="0" borderId="0" xfId="4" applyFont="1" applyAlignment="1">
      <alignment horizontal="left"/>
    </xf>
    <xf numFmtId="179" fontId="28" fillId="0" borderId="0" xfId="4" quotePrefix="1" applyNumberFormat="1" applyFont="1" applyAlignment="1">
      <alignment horizontal="left"/>
    </xf>
    <xf numFmtId="0" fontId="30" fillId="0" borderId="0" xfId="4" applyFont="1" applyAlignment="1">
      <alignment horizontal="center" wrapText="1"/>
    </xf>
    <xf numFmtId="0" fontId="29" fillId="9" borderId="10" xfId="4" applyFont="1" applyFill="1" applyBorder="1"/>
    <xf numFmtId="0" fontId="28" fillId="9" borderId="10" xfId="4" applyFont="1" applyFill="1" applyBorder="1" applyAlignment="1"/>
    <xf numFmtId="37" fontId="29" fillId="9" borderId="10" xfId="4" applyNumberFormat="1" applyFont="1" applyFill="1" applyBorder="1" applyAlignment="1">
      <alignment horizontal="left"/>
    </xf>
    <xf numFmtId="37" fontId="29" fillId="9" borderId="10" xfId="4" applyNumberFormat="1" applyFont="1" applyFill="1" applyBorder="1"/>
    <xf numFmtId="0" fontId="30" fillId="0" borderId="0" xfId="0" applyFont="1"/>
    <xf numFmtId="0" fontId="29" fillId="9" borderId="10" xfId="4" applyFont="1" applyFill="1" applyBorder="1" applyAlignment="1">
      <alignment horizontal="left" indent="1"/>
    </xf>
    <xf numFmtId="0" fontId="29" fillId="9" borderId="10" xfId="4" applyFont="1" applyFill="1" applyBorder="1" applyAlignment="1">
      <alignment horizontal="left"/>
    </xf>
    <xf numFmtId="0" fontId="29" fillId="8" borderId="10" xfId="4" applyFont="1" applyFill="1" applyBorder="1"/>
    <xf numFmtId="0" fontId="28" fillId="8" borderId="10" xfId="4" applyFont="1" applyFill="1" applyBorder="1" applyAlignment="1"/>
    <xf numFmtId="37" fontId="29" fillId="8" borderId="10" xfId="4" applyNumberFormat="1" applyFont="1" applyFill="1" applyBorder="1" applyAlignment="1">
      <alignment horizontal="left"/>
    </xf>
    <xf numFmtId="37" fontId="29" fillId="8" borderId="10" xfId="4" applyNumberFormat="1" applyFont="1" applyFill="1" applyBorder="1"/>
    <xf numFmtId="0" fontId="30" fillId="8" borderId="0" xfId="0" applyFont="1" applyFill="1"/>
    <xf numFmtId="0" fontId="29" fillId="8" borderId="10" xfId="4" applyFont="1" applyFill="1" applyBorder="1" applyAlignment="1">
      <alignment horizontal="left" indent="1"/>
    </xf>
    <xf numFmtId="0" fontId="29" fillId="8" borderId="10" xfId="4" applyFont="1" applyFill="1" applyBorder="1" applyAlignment="1">
      <alignment horizontal="left"/>
    </xf>
    <xf numFmtId="37" fontId="29" fillId="9" borderId="10" xfId="4" applyNumberFormat="1" applyFont="1" applyFill="1" applyBorder="1" applyAlignment="1">
      <alignment horizontal="center"/>
    </xf>
    <xf numFmtId="0" fontId="30" fillId="8" borderId="10" xfId="0" applyFont="1" applyFill="1" applyBorder="1"/>
    <xf numFmtId="0" fontId="30" fillId="9" borderId="10" xfId="0" applyFont="1" applyFill="1" applyBorder="1"/>
    <xf numFmtId="0" fontId="29" fillId="8" borderId="10" xfId="0" applyFont="1" applyFill="1" applyBorder="1" applyAlignment="1">
      <alignment horizontal="left"/>
    </xf>
    <xf numFmtId="37" fontId="29" fillId="8" borderId="10" xfId="4" applyNumberFormat="1" applyFont="1" applyFill="1" applyBorder="1" applyAlignment="1">
      <alignment horizontal="center"/>
    </xf>
    <xf numFmtId="0" fontId="29" fillId="8" borderId="10" xfId="0" applyFont="1" applyFill="1" applyBorder="1" applyAlignment="1">
      <alignment horizontal="left" indent="1"/>
    </xf>
    <xf numFmtId="0" fontId="30" fillId="0" borderId="10" xfId="0" applyFont="1" applyBorder="1"/>
    <xf numFmtId="0" fontId="30" fillId="8" borderId="10" xfId="0" applyFont="1" applyFill="1" applyBorder="1" applyAlignment="1">
      <alignment horizontal="left"/>
    </xf>
    <xf numFmtId="43" fontId="28" fillId="8" borderId="10" xfId="2" applyFont="1" applyFill="1" applyBorder="1" applyAlignment="1"/>
    <xf numFmtId="0" fontId="30" fillId="9" borderId="10" xfId="0" applyFont="1" applyFill="1" applyBorder="1" applyAlignment="1">
      <alignment horizontal="left"/>
    </xf>
    <xf numFmtId="0" fontId="29" fillId="9" borderId="10" xfId="0" applyFont="1" applyFill="1" applyBorder="1" applyAlignment="1">
      <alignment horizontal="left" indent="1"/>
    </xf>
    <xf numFmtId="0" fontId="29" fillId="11" borderId="10" xfId="4" applyFont="1" applyFill="1" applyBorder="1"/>
    <xf numFmtId="0" fontId="30" fillId="11" borderId="10" xfId="0" applyFont="1" applyFill="1" applyBorder="1"/>
    <xf numFmtId="0" fontId="28" fillId="11" borderId="10" xfId="0" applyFont="1" applyFill="1" applyBorder="1" applyAlignment="1">
      <alignment horizontal="left"/>
    </xf>
    <xf numFmtId="0" fontId="29" fillId="11" borderId="10" xfId="0" applyFont="1" applyFill="1" applyBorder="1" applyAlignment="1">
      <alignment horizontal="left" indent="1"/>
    </xf>
    <xf numFmtId="37" fontId="29" fillId="11" borderId="10" xfId="4" applyNumberFormat="1" applyFont="1" applyFill="1" applyBorder="1" applyAlignment="1">
      <alignment horizontal="left"/>
    </xf>
    <xf numFmtId="0" fontId="29" fillId="11" borderId="10" xfId="4" applyFont="1" applyFill="1" applyBorder="1" applyAlignment="1">
      <alignment horizontal="left"/>
    </xf>
    <xf numFmtId="0" fontId="29" fillId="0" borderId="10" xfId="4" applyFont="1" applyBorder="1"/>
    <xf numFmtId="0" fontId="28" fillId="0" borderId="10" xfId="4" applyFont="1" applyBorder="1" applyAlignment="1"/>
    <xf numFmtId="180" fontId="29" fillId="0" borderId="10" xfId="4" applyNumberFormat="1" applyFont="1" applyBorder="1"/>
    <xf numFmtId="37" fontId="29" fillId="0" borderId="10" xfId="4" applyNumberFormat="1" applyFont="1" applyBorder="1"/>
    <xf numFmtId="0" fontId="29" fillId="0" borderId="0" xfId="0" applyFont="1"/>
    <xf numFmtId="0" fontId="30" fillId="0" borderId="0" xfId="0" applyFont="1" applyFill="1" applyAlignment="1">
      <alignment horizontal="left"/>
    </xf>
    <xf numFmtId="0" fontId="29" fillId="0" borderId="7" xfId="0" applyFont="1" applyFill="1" applyBorder="1" applyAlignment="1">
      <alignment horizontal="left"/>
    </xf>
    <xf numFmtId="0" fontId="30" fillId="0" borderId="30" xfId="0" applyFont="1" applyFill="1" applyBorder="1"/>
    <xf numFmtId="0" fontId="30" fillId="0" borderId="0" xfId="0" applyFont="1" applyAlignment="1">
      <alignment horizontal="left"/>
    </xf>
    <xf numFmtId="0" fontId="31" fillId="0" borderId="0" xfId="0" applyFont="1"/>
    <xf numFmtId="0" fontId="28" fillId="0" borderId="10" xfId="4" applyFont="1" applyBorder="1" applyAlignment="1">
      <alignment horizontal="left"/>
    </xf>
    <xf numFmtId="43" fontId="28" fillId="0" borderId="0" xfId="2" applyFont="1" applyAlignment="1">
      <alignment horizontal="left"/>
    </xf>
    <xf numFmtId="191" fontId="30" fillId="0" borderId="0" xfId="4" applyNumberFormat="1" applyFont="1" applyAlignment="1">
      <alignment horizontal="center"/>
    </xf>
    <xf numFmtId="191" fontId="30" fillId="0" borderId="0" xfId="4" applyNumberFormat="1" applyFont="1" applyFill="1" applyAlignment="1">
      <alignment horizontal="center"/>
    </xf>
    <xf numFmtId="191" fontId="30" fillId="0" borderId="7" xfId="4" applyNumberFormat="1" applyFont="1" applyBorder="1" applyAlignment="1">
      <alignment horizontal="center" wrapText="1"/>
    </xf>
    <xf numFmtId="191" fontId="30" fillId="0" borderId="8" xfId="4" applyNumberFormat="1" applyFont="1" applyFill="1" applyBorder="1" applyAlignment="1">
      <alignment horizontal="center" wrapText="1"/>
    </xf>
    <xf numFmtId="191" fontId="29" fillId="9" borderId="10" xfId="4" applyNumberFormat="1" applyFont="1" applyFill="1" applyBorder="1"/>
    <xf numFmtId="191" fontId="29" fillId="8" borderId="10" xfId="4" applyNumberFormat="1" applyFont="1" applyFill="1" applyBorder="1"/>
    <xf numFmtId="191" fontId="29" fillId="7" borderId="10" xfId="4" applyNumberFormat="1" applyFont="1" applyFill="1" applyBorder="1"/>
    <xf numFmtId="191" fontId="29" fillId="11" borderId="10" xfId="4" applyNumberFormat="1" applyFont="1" applyFill="1" applyBorder="1"/>
    <xf numFmtId="191" fontId="29" fillId="0" borderId="10" xfId="4" applyNumberFormat="1" applyFont="1" applyBorder="1"/>
    <xf numFmtId="191" fontId="29" fillId="0" borderId="10" xfId="4" applyNumberFormat="1" applyFont="1" applyFill="1" applyBorder="1"/>
    <xf numFmtId="191" fontId="29" fillId="0" borderId="0" xfId="4" applyNumberFormat="1" applyFont="1"/>
    <xf numFmtId="191" fontId="29" fillId="0" borderId="0" xfId="4" applyNumberFormat="1" applyFont="1" applyFill="1"/>
    <xf numFmtId="43" fontId="28" fillId="8" borderId="0" xfId="2" applyFont="1" applyFill="1" applyBorder="1" applyAlignment="1"/>
    <xf numFmtId="43" fontId="28" fillId="9" borderId="0" xfId="2" applyFont="1" applyFill="1" applyBorder="1" applyAlignment="1">
      <alignment horizontal="left"/>
    </xf>
    <xf numFmtId="43" fontId="28" fillId="8" borderId="0" xfId="2" applyFont="1" applyFill="1" applyBorder="1" applyAlignment="1">
      <alignment horizontal="left"/>
    </xf>
    <xf numFmtId="0" fontId="30" fillId="14" borderId="10" xfId="0" applyFont="1" applyFill="1" applyBorder="1" applyAlignment="1">
      <alignment horizontal="left"/>
    </xf>
    <xf numFmtId="0" fontId="30" fillId="0" borderId="0" xfId="4" applyFont="1"/>
    <xf numFmtId="0" fontId="31" fillId="0" borderId="0" xfId="0" applyFont="1" applyAlignment="1"/>
    <xf numFmtId="164" fontId="29" fillId="0" borderId="0" xfId="3" applyNumberFormat="1" applyFont="1" applyFill="1"/>
    <xf numFmtId="164" fontId="30" fillId="0" borderId="0" xfId="3" applyNumberFormat="1" applyFont="1" applyFill="1" applyAlignment="1">
      <alignment horizontal="center"/>
    </xf>
    <xf numFmtId="164" fontId="29" fillId="0" borderId="29" xfId="3" applyNumberFormat="1" applyFont="1" applyFill="1" applyBorder="1"/>
    <xf numFmtId="164" fontId="29" fillId="0" borderId="10" xfId="3" applyNumberFormat="1" applyFont="1" applyFill="1" applyBorder="1"/>
    <xf numFmtId="43" fontId="29" fillId="0" borderId="0" xfId="2" applyNumberFormat="1" applyFont="1"/>
    <xf numFmtId="43" fontId="29" fillId="0" borderId="0" xfId="2" applyNumberFormat="1" applyFont="1" applyFill="1"/>
    <xf numFmtId="43" fontId="30" fillId="0" borderId="0" xfId="2" applyNumberFormat="1" applyFont="1" applyAlignment="1">
      <alignment horizontal="center"/>
    </xf>
    <xf numFmtId="43" fontId="30" fillId="0" borderId="0" xfId="2" applyNumberFormat="1" applyFont="1" applyFill="1" applyAlignment="1">
      <alignment horizontal="center"/>
    </xf>
    <xf numFmtId="43" fontId="29" fillId="0" borderId="29" xfId="2" applyNumberFormat="1" applyFont="1" applyFill="1" applyBorder="1"/>
    <xf numFmtId="43" fontId="29" fillId="0" borderId="10" xfId="2" applyNumberFormat="1" applyFont="1" applyFill="1" applyBorder="1"/>
    <xf numFmtId="164" fontId="30" fillId="0" borderId="0" xfId="3" applyNumberFormat="1" applyFont="1" applyFill="1"/>
    <xf numFmtId="43" fontId="30" fillId="0" borderId="0" xfId="2" applyNumberFormat="1" applyFont="1"/>
    <xf numFmtId="43" fontId="30" fillId="0" borderId="0" xfId="2" applyNumberFormat="1" applyFont="1" applyFill="1"/>
    <xf numFmtId="0" fontId="33" fillId="0" borderId="0" xfId="0" applyFont="1" applyAlignment="1"/>
    <xf numFmtId="0" fontId="33" fillId="0" borderId="0" xfId="0" applyFont="1"/>
    <xf numFmtId="0" fontId="28" fillId="0" borderId="4" xfId="4" applyFont="1" applyFill="1" applyBorder="1" applyAlignment="1"/>
    <xf numFmtId="0" fontId="28" fillId="0" borderId="6" xfId="4" applyFont="1" applyFill="1" applyBorder="1" applyAlignment="1"/>
    <xf numFmtId="164" fontId="29" fillId="0" borderId="8" xfId="3" quotePrefix="1" applyNumberFormat="1" applyFont="1" applyFill="1" applyBorder="1" applyAlignment="1">
      <alignment vertical="center"/>
    </xf>
    <xf numFmtId="0" fontId="29" fillId="0" borderId="8" xfId="4" applyFont="1" applyFill="1" applyBorder="1" applyAlignment="1">
      <alignment horizontal="center" vertical="center"/>
    </xf>
    <xf numFmtId="0" fontId="29" fillId="0" borderId="39" xfId="4" applyFont="1" applyFill="1" applyBorder="1" applyAlignment="1">
      <alignment horizontal="center" vertical="center"/>
    </xf>
    <xf numFmtId="164" fontId="29" fillId="0" borderId="8" xfId="3" applyNumberFormat="1" applyFont="1" applyFill="1" applyBorder="1"/>
    <xf numFmtId="43" fontId="28" fillId="0" borderId="6" xfId="2" applyFont="1" applyFill="1" applyBorder="1" applyAlignment="1"/>
    <xf numFmtId="43" fontId="29" fillId="0" borderId="7" xfId="2" applyNumberFormat="1" applyFont="1" applyFill="1" applyBorder="1" applyAlignment="1">
      <alignment horizontal="center" vertical="center"/>
    </xf>
    <xf numFmtId="43" fontId="29" fillId="0" borderId="0" xfId="2" applyNumberFormat="1" applyFont="1" applyFill="1" applyBorder="1" applyAlignment="1">
      <alignment horizontal="center" vertical="center"/>
    </xf>
    <xf numFmtId="164" fontId="29" fillId="0" borderId="8" xfId="0" quotePrefix="1" applyNumberFormat="1" applyFont="1" applyFill="1" applyBorder="1" applyAlignment="1">
      <alignment vertical="center"/>
    </xf>
    <xf numFmtId="43" fontId="28" fillId="0" borderId="4" xfId="2" applyFont="1" applyFill="1" applyBorder="1" applyAlignment="1"/>
    <xf numFmtId="0" fontId="30" fillId="0" borderId="8" xfId="0" applyFont="1" applyFill="1" applyBorder="1" applyAlignment="1">
      <alignment horizontal="center" vertical="center"/>
    </xf>
    <xf numFmtId="0" fontId="29" fillId="0" borderId="4" xfId="4" applyFont="1" applyFill="1" applyBorder="1"/>
    <xf numFmtId="0" fontId="28" fillId="0" borderId="4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/>
    </xf>
    <xf numFmtId="0" fontId="30" fillId="0" borderId="4" xfId="0" applyFont="1" applyFill="1" applyBorder="1"/>
    <xf numFmtId="164" fontId="29" fillId="0" borderId="39" xfId="3" quotePrefix="1" applyNumberFormat="1" applyFont="1" applyFill="1" applyBorder="1" applyAlignment="1">
      <alignment vertical="center"/>
    </xf>
    <xf numFmtId="43" fontId="29" fillId="0" borderId="38" xfId="2" applyNumberFormat="1" applyFont="1" applyFill="1" applyBorder="1" applyAlignment="1">
      <alignment horizontal="center" vertical="center"/>
    </xf>
    <xf numFmtId="43" fontId="29" fillId="0" borderId="30" xfId="2" applyNumberFormat="1" applyFont="1" applyFill="1" applyBorder="1" applyAlignment="1">
      <alignment horizontal="center" vertical="center"/>
    </xf>
    <xf numFmtId="164" fontId="29" fillId="0" borderId="39" xfId="0" quotePrefix="1" applyNumberFormat="1" applyFont="1" applyFill="1" applyBorder="1" applyAlignment="1">
      <alignment vertical="center"/>
    </xf>
    <xf numFmtId="0" fontId="29" fillId="0" borderId="10" xfId="4" applyFont="1" applyFill="1" applyBorder="1"/>
    <xf numFmtId="0" fontId="28" fillId="0" borderId="10" xfId="4" applyFont="1" applyFill="1" applyBorder="1" applyAlignment="1">
      <alignment horizontal="left"/>
    </xf>
    <xf numFmtId="164" fontId="29" fillId="0" borderId="29" xfId="0" quotePrefix="1" applyNumberFormat="1" applyFont="1" applyFill="1" applyBorder="1" applyAlignment="1">
      <alignment vertical="center"/>
    </xf>
    <xf numFmtId="164" fontId="29" fillId="0" borderId="10" xfId="0" quotePrefix="1" applyNumberFormat="1" applyFont="1" applyFill="1" applyBorder="1" applyAlignment="1">
      <alignment vertical="center"/>
    </xf>
    <xf numFmtId="43" fontId="28" fillId="0" borderId="10" xfId="2" applyFont="1" applyFill="1" applyBorder="1" applyAlignment="1">
      <alignment horizontal="left"/>
    </xf>
    <xf numFmtId="0" fontId="28" fillId="0" borderId="39" xfId="4" applyFont="1" applyFill="1" applyBorder="1" applyAlignment="1"/>
    <xf numFmtId="0" fontId="28" fillId="0" borderId="38" xfId="4" applyFont="1" applyFill="1" applyBorder="1" applyAlignment="1"/>
    <xf numFmtId="164" fontId="29" fillId="0" borderId="37" xfId="3" quotePrefix="1" applyNumberFormat="1" applyFont="1" applyFill="1" applyBorder="1" applyAlignment="1">
      <alignment vertical="center"/>
    </xf>
    <xf numFmtId="164" fontId="29" fillId="0" borderId="39" xfId="3" applyNumberFormat="1" applyFont="1" applyFill="1" applyBorder="1"/>
    <xf numFmtId="0" fontId="28" fillId="0" borderId="36" xfId="4" applyFont="1" applyFill="1" applyBorder="1" applyAlignment="1"/>
    <xf numFmtId="164" fontId="29" fillId="0" borderId="4" xfId="3" quotePrefix="1" applyNumberFormat="1" applyFont="1" applyFill="1" applyBorder="1" applyAlignment="1">
      <alignment vertical="center"/>
    </xf>
    <xf numFmtId="43" fontId="29" fillId="0" borderId="6" xfId="2" applyNumberFormat="1" applyFont="1" applyFill="1" applyBorder="1" applyAlignment="1">
      <alignment horizontal="center" vertical="center"/>
    </xf>
    <xf numFmtId="43" fontId="29" fillId="0" borderId="3" xfId="2" applyNumberFormat="1" applyFont="1" applyFill="1" applyBorder="1" applyAlignment="1">
      <alignment horizontal="center" vertical="center"/>
    </xf>
    <xf numFmtId="164" fontId="29" fillId="0" borderId="4" xfId="0" quotePrefix="1" applyNumberFormat="1" applyFont="1" applyFill="1" applyBorder="1" applyAlignment="1">
      <alignment vertical="center"/>
    </xf>
    <xf numFmtId="164" fontId="29" fillId="0" borderId="37" xfId="3" applyNumberFormat="1" applyFont="1" applyFill="1" applyBorder="1"/>
    <xf numFmtId="0" fontId="30" fillId="0" borderId="30" xfId="0" applyFont="1" applyFill="1" applyBorder="1" applyAlignment="1">
      <alignment horizontal="center" vertical="center"/>
    </xf>
    <xf numFmtId="43" fontId="28" fillId="0" borderId="30" xfId="2" applyFont="1" applyFill="1" applyBorder="1" applyAlignment="1"/>
    <xf numFmtId="43" fontId="28" fillId="0" borderId="30" xfId="2" applyFont="1" applyFill="1" applyBorder="1" applyAlignment="1">
      <alignment horizontal="left"/>
    </xf>
    <xf numFmtId="0" fontId="29" fillId="0" borderId="30" xfId="4" applyFont="1" applyFill="1" applyBorder="1"/>
    <xf numFmtId="164" fontId="29" fillId="0" borderId="4" xfId="0" quotePrefix="1" applyNumberFormat="1" applyFont="1" applyFill="1" applyBorder="1" applyAlignment="1">
      <alignment horizontal="center" vertical="center"/>
    </xf>
    <xf numFmtId="43" fontId="29" fillId="0" borderId="36" xfId="2" applyNumberFormat="1" applyFont="1" applyFill="1" applyBorder="1" applyAlignment="1">
      <alignment horizontal="center" vertical="center"/>
    </xf>
    <xf numFmtId="43" fontId="29" fillId="0" borderId="20" xfId="2" applyNumberFormat="1" applyFont="1" applyFill="1" applyBorder="1" applyAlignment="1">
      <alignment horizontal="center" vertical="center"/>
    </xf>
    <xf numFmtId="164" fontId="29" fillId="0" borderId="37" xfId="0" quotePrefix="1" applyNumberFormat="1" applyFont="1" applyFill="1" applyBorder="1" applyAlignment="1">
      <alignment vertical="center"/>
    </xf>
    <xf numFmtId="43" fontId="28" fillId="0" borderId="10" xfId="2" applyFont="1" applyFill="1" applyBorder="1" applyAlignment="1"/>
    <xf numFmtId="164" fontId="29" fillId="0" borderId="10" xfId="3" quotePrefix="1" applyNumberFormat="1" applyFont="1" applyFill="1" applyBorder="1" applyAlignment="1">
      <alignment vertical="center"/>
    </xf>
    <xf numFmtId="43" fontId="29" fillId="0" borderId="10" xfId="2" applyNumberFormat="1" applyFont="1" applyFill="1" applyBorder="1" applyAlignment="1">
      <alignment horizontal="center" vertical="center"/>
    </xf>
    <xf numFmtId="0" fontId="30" fillId="0" borderId="0" xfId="4" applyFont="1" applyAlignment="1">
      <alignment horizontal="left"/>
    </xf>
    <xf numFmtId="0" fontId="29" fillId="0" borderId="37" xfId="4" applyFont="1" applyFill="1" applyBorder="1" applyAlignment="1">
      <alignment horizontal="left"/>
    </xf>
    <xf numFmtId="0" fontId="29" fillId="0" borderId="8" xfId="4" applyFont="1" applyFill="1" applyBorder="1" applyAlignment="1">
      <alignment horizontal="left"/>
    </xf>
    <xf numFmtId="0" fontId="29" fillId="0" borderId="39" xfId="4" applyFont="1" applyFill="1" applyBorder="1" applyAlignment="1">
      <alignment horizontal="left"/>
    </xf>
    <xf numFmtId="0" fontId="29" fillId="0" borderId="10" xfId="4" applyFont="1" applyFill="1" applyBorder="1" applyAlignment="1">
      <alignment horizontal="left" vertical="center"/>
    </xf>
    <xf numFmtId="0" fontId="29" fillId="0" borderId="6" xfId="4" applyFont="1" applyFill="1" applyBorder="1" applyAlignment="1">
      <alignment horizontal="left" vertical="center"/>
    </xf>
    <xf numFmtId="0" fontId="29" fillId="0" borderId="4" xfId="4" applyFont="1" applyFill="1" applyBorder="1" applyAlignment="1">
      <alignment horizontal="left"/>
    </xf>
    <xf numFmtId="0" fontId="29" fillId="0" borderId="10" xfId="4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/>
    </xf>
    <xf numFmtId="0" fontId="29" fillId="0" borderId="37" xfId="0" applyFont="1" applyFill="1" applyBorder="1" applyAlignment="1">
      <alignment horizontal="left"/>
    </xf>
    <xf numFmtId="0" fontId="29" fillId="0" borderId="8" xfId="0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/>
    </xf>
    <xf numFmtId="0" fontId="29" fillId="0" borderId="10" xfId="4" applyFont="1" applyFill="1" applyBorder="1" applyAlignment="1">
      <alignment horizontal="left"/>
    </xf>
    <xf numFmtId="0" fontId="29" fillId="0" borderId="6" xfId="4" applyFont="1" applyFill="1" applyBorder="1" applyAlignment="1">
      <alignment horizontal="left"/>
    </xf>
    <xf numFmtId="0" fontId="29" fillId="0" borderId="24" xfId="0" applyFont="1" applyFill="1" applyBorder="1" applyAlignment="1">
      <alignment horizontal="left"/>
    </xf>
    <xf numFmtId="0" fontId="29" fillId="0" borderId="36" xfId="0" applyFont="1" applyFill="1" applyBorder="1" applyAlignment="1">
      <alignment horizontal="left"/>
    </xf>
    <xf numFmtId="0" fontId="29" fillId="0" borderId="9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left"/>
    </xf>
    <xf numFmtId="0" fontId="29" fillId="0" borderId="38" xfId="0" applyFont="1" applyFill="1" applyBorder="1" applyAlignment="1">
      <alignment horizontal="left"/>
    </xf>
    <xf numFmtId="0" fontId="29" fillId="0" borderId="39" xfId="0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29" fillId="0" borderId="29" xfId="4" applyFont="1" applyFill="1" applyBorder="1" applyAlignment="1">
      <alignment horizontal="left"/>
    </xf>
    <xf numFmtId="0" fontId="30" fillId="15" borderId="0" xfId="4" applyFont="1" applyFill="1"/>
    <xf numFmtId="0" fontId="30" fillId="15" borderId="0" xfId="4" applyFont="1" applyFill="1" applyAlignment="1"/>
    <xf numFmtId="164" fontId="30" fillId="15" borderId="10" xfId="3" applyNumberFormat="1" applyFont="1" applyFill="1" applyBorder="1" applyAlignment="1">
      <alignment horizontal="center" vertical="center" wrapText="1"/>
    </xf>
    <xf numFmtId="0" fontId="30" fillId="15" borderId="0" xfId="4" applyFont="1" applyFill="1" applyAlignment="1">
      <alignment horizontal="center" vertical="center"/>
    </xf>
    <xf numFmtId="43" fontId="30" fillId="15" borderId="24" xfId="2" applyNumberFormat="1" applyFont="1" applyFill="1" applyBorder="1" applyAlignment="1">
      <alignment horizontal="center" vertical="center" wrapText="1"/>
    </xf>
    <xf numFmtId="0" fontId="30" fillId="15" borderId="2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192" fontId="29" fillId="0" borderId="0" xfId="4" applyNumberFormat="1" applyFont="1"/>
    <xf numFmtId="191" fontId="30" fillId="0" borderId="0" xfId="4" applyNumberFormat="1" applyFont="1" applyFill="1"/>
    <xf numFmtId="191" fontId="30" fillId="15" borderId="24" xfId="4" applyNumberFormat="1" applyFont="1" applyFill="1" applyBorder="1" applyAlignment="1">
      <alignment horizontal="center" vertical="center" wrapText="1"/>
    </xf>
    <xf numFmtId="191" fontId="29" fillId="0" borderId="36" xfId="4" applyNumberFormat="1" applyFont="1" applyFill="1" applyBorder="1"/>
    <xf numFmtId="191" fontId="29" fillId="0" borderId="20" xfId="4" applyNumberFormat="1" applyFont="1" applyFill="1" applyBorder="1"/>
    <xf numFmtId="191" fontId="29" fillId="0" borderId="7" xfId="4" applyNumberFormat="1" applyFont="1" applyFill="1" applyBorder="1"/>
    <xf numFmtId="191" fontId="29" fillId="0" borderId="0" xfId="4" applyNumberFormat="1" applyFont="1" applyFill="1" applyBorder="1"/>
    <xf numFmtId="191" fontId="29" fillId="0" borderId="38" xfId="4" applyNumberFormat="1" applyFont="1" applyFill="1" applyBorder="1"/>
    <xf numFmtId="191" fontId="29" fillId="0" borderId="30" xfId="4" applyNumberFormat="1" applyFont="1" applyFill="1" applyBorder="1"/>
    <xf numFmtId="191" fontId="29" fillId="0" borderId="6" xfId="4" applyNumberFormat="1" applyFont="1" applyFill="1" applyBorder="1"/>
    <xf numFmtId="191" fontId="29" fillId="0" borderId="3" xfId="4" applyNumberFormat="1" applyFont="1" applyFill="1" applyBorder="1"/>
    <xf numFmtId="191" fontId="29" fillId="0" borderId="29" xfId="4" applyNumberFormat="1" applyFont="1" applyFill="1" applyBorder="1"/>
    <xf numFmtId="0" fontId="34" fillId="0" borderId="0" xfId="4" applyFont="1" applyFill="1"/>
    <xf numFmtId="0" fontId="35" fillId="0" borderId="0" xfId="4" applyFont="1" applyFill="1" applyAlignment="1">
      <alignment horizontal="left"/>
    </xf>
    <xf numFmtId="0" fontId="34" fillId="0" borderId="0" xfId="4" applyFont="1" applyFill="1" applyProtection="1">
      <protection locked="0"/>
    </xf>
    <xf numFmtId="0" fontId="34" fillId="0" borderId="0" xfId="4" applyFont="1" applyFill="1" applyAlignment="1">
      <alignment horizontal="centerContinuous"/>
    </xf>
    <xf numFmtId="0" fontId="34" fillId="0" borderId="0" xfId="4" applyFont="1" applyFill="1" applyAlignment="1">
      <alignment horizontal="left"/>
    </xf>
    <xf numFmtId="0" fontId="34" fillId="0" borderId="0" xfId="4" applyFont="1" applyFill="1" applyAlignment="1">
      <alignment horizontal="center"/>
    </xf>
    <xf numFmtId="185" fontId="34" fillId="0" borderId="0" xfId="4" applyNumberFormat="1" applyFont="1" applyFill="1" applyAlignment="1">
      <alignment horizontal="center"/>
    </xf>
    <xf numFmtId="7" fontId="34" fillId="0" borderId="0" xfId="4" applyNumberFormat="1" applyFont="1" applyFill="1"/>
    <xf numFmtId="186" fontId="34" fillId="0" borderId="0" xfId="4" applyNumberFormat="1" applyFont="1" applyFill="1" applyProtection="1">
      <protection locked="0"/>
    </xf>
    <xf numFmtId="185" fontId="34" fillId="0" borderId="0" xfId="4" applyNumberFormat="1" applyFont="1" applyFill="1"/>
    <xf numFmtId="187" fontId="34" fillId="0" borderId="0" xfId="4" applyNumberFormat="1" applyFont="1" applyFill="1"/>
    <xf numFmtId="37" fontId="35" fillId="0" borderId="0" xfId="74" applyFont="1" applyFill="1" applyAlignment="1">
      <alignment horizontal="left"/>
    </xf>
    <xf numFmtId="37" fontId="35" fillId="0" borderId="0" xfId="74" applyFont="1" applyFill="1" applyAlignment="1"/>
    <xf numFmtId="10" fontId="34" fillId="0" borderId="0" xfId="4" applyNumberFormat="1" applyFont="1" applyFill="1" applyProtection="1">
      <protection locked="0"/>
    </xf>
    <xf numFmtId="0" fontId="34" fillId="0" borderId="13" xfId="4" applyFont="1" applyFill="1" applyBorder="1" applyAlignment="1">
      <alignment horizontal="centerContinuous"/>
    </xf>
    <xf numFmtId="181" fontId="35" fillId="0" borderId="0" xfId="2" applyNumberFormat="1" applyFont="1" applyFill="1" applyAlignment="1">
      <alignment horizontal="left"/>
    </xf>
    <xf numFmtId="0" fontId="34" fillId="0" borderId="0" xfId="4" applyFont="1" applyFill="1" applyAlignment="1">
      <alignment horizontal="right"/>
    </xf>
    <xf numFmtId="39" fontId="34" fillId="0" borderId="0" xfId="4" applyNumberFormat="1" applyFont="1" applyFill="1"/>
    <xf numFmtId="39" fontId="34" fillId="0" borderId="0" xfId="74" applyNumberFormat="1" applyFont="1" applyFill="1" applyAlignment="1"/>
    <xf numFmtId="10" fontId="34" fillId="0" borderId="0" xfId="4" applyNumberFormat="1" applyFont="1" applyFill="1"/>
    <xf numFmtId="43" fontId="35" fillId="0" borderId="0" xfId="2" applyFont="1" applyFill="1" applyAlignment="1">
      <alignment horizontal="center"/>
    </xf>
    <xf numFmtId="181" fontId="34" fillId="0" borderId="0" xfId="2" applyNumberFormat="1" applyFont="1" applyFill="1"/>
    <xf numFmtId="181" fontId="34" fillId="0" borderId="0" xfId="4" applyNumberFormat="1" applyFont="1" applyFill="1"/>
    <xf numFmtId="7" fontId="34" fillId="0" borderId="0" xfId="75" applyNumberFormat="1" applyFont="1" applyFill="1" applyAlignment="1">
      <alignment horizontal="left"/>
    </xf>
    <xf numFmtId="186" fontId="34" fillId="0" borderId="0" xfId="4" applyNumberFormat="1" applyFont="1" applyFill="1" applyAlignment="1">
      <alignment horizontal="left"/>
    </xf>
    <xf numFmtId="185" fontId="34" fillId="0" borderId="0" xfId="75" applyNumberFormat="1" applyFont="1" applyFill="1" applyAlignment="1">
      <alignment horizontal="left"/>
    </xf>
    <xf numFmtId="0" fontId="35" fillId="0" borderId="0" xfId="4" applyFont="1" applyFill="1"/>
    <xf numFmtId="9" fontId="34" fillId="0" borderId="0" xfId="3" applyFont="1" applyFill="1"/>
    <xf numFmtId="9" fontId="34" fillId="0" borderId="0" xfId="3" applyFont="1" applyFill="1" applyAlignment="1"/>
    <xf numFmtId="188" fontId="34" fillId="0" borderId="0" xfId="40" applyNumberFormat="1" applyFont="1" applyFill="1" applyAlignment="1"/>
    <xf numFmtId="188" fontId="34" fillId="0" borderId="0" xfId="40" applyNumberFormat="1" applyFont="1" applyFill="1" applyAlignment="1">
      <alignment horizontal="left"/>
    </xf>
    <xf numFmtId="9" fontId="35" fillId="0" borderId="0" xfId="3" applyFont="1" applyFill="1" applyAlignment="1">
      <alignment horizontal="center"/>
    </xf>
    <xf numFmtId="0" fontId="35" fillId="0" borderId="0" xfId="0" applyFont="1" applyFill="1" applyAlignment="1"/>
    <xf numFmtId="0" fontId="35" fillId="0" borderId="0" xfId="4" applyFont="1" applyFill="1" applyAlignment="1"/>
    <xf numFmtId="189" fontId="34" fillId="0" borderId="0" xfId="4" applyNumberFormat="1" applyFont="1" applyFill="1"/>
    <xf numFmtId="9" fontId="35" fillId="0" borderId="0" xfId="3" applyFont="1" applyFill="1" applyAlignment="1">
      <alignment horizontal="left"/>
    </xf>
    <xf numFmtId="43" fontId="35" fillId="0" borderId="0" xfId="2" applyFont="1" applyFill="1" applyAlignment="1">
      <alignment horizontal="left"/>
    </xf>
    <xf numFmtId="43" fontId="34" fillId="0" borderId="0" xfId="2" applyFont="1" applyFill="1"/>
    <xf numFmtId="10" fontId="34" fillId="0" borderId="0" xfId="3" applyNumberFormat="1" applyFont="1" applyFill="1"/>
    <xf numFmtId="0" fontId="35" fillId="0" borderId="0" xfId="0" applyFont="1" applyFill="1"/>
    <xf numFmtId="0" fontId="38" fillId="0" borderId="0" xfId="0" applyFont="1" applyFill="1"/>
    <xf numFmtId="37" fontId="35" fillId="0" borderId="0" xfId="74" applyFont="1" applyFill="1"/>
    <xf numFmtId="37" fontId="38" fillId="0" borderId="0" xfId="74" applyFont="1" applyFill="1"/>
    <xf numFmtId="185" fontId="34" fillId="0" borderId="0" xfId="74" applyNumberFormat="1" applyFont="1" applyFill="1" applyAlignment="1"/>
    <xf numFmtId="0" fontId="39" fillId="0" borderId="0" xfId="4" applyFont="1" applyFill="1"/>
    <xf numFmtId="39" fontId="35" fillId="0" borderId="0" xfId="4" applyNumberFormat="1" applyFont="1" applyFill="1" applyAlignment="1">
      <alignment horizontal="left"/>
    </xf>
    <xf numFmtId="190" fontId="34" fillId="0" borderId="0" xfId="3" applyNumberFormat="1" applyFont="1" applyFill="1"/>
    <xf numFmtId="43" fontId="35" fillId="0" borderId="0" xfId="2" applyFont="1" applyFill="1" applyBorder="1" applyAlignment="1"/>
    <xf numFmtId="0" fontId="35" fillId="0" borderId="10" xfId="0" applyFont="1" applyFill="1" applyBorder="1" applyAlignment="1">
      <alignment horizontal="left"/>
    </xf>
    <xf numFmtId="43" fontId="35" fillId="0" borderId="0" xfId="2" applyFont="1" applyFill="1" applyBorder="1" applyAlignment="1">
      <alignment horizontal="left"/>
    </xf>
    <xf numFmtId="185" fontId="34" fillId="0" borderId="0" xfId="75" applyNumberFormat="1" applyFont="1" applyFill="1" applyAlignment="1"/>
    <xf numFmtId="0" fontId="40" fillId="0" borderId="0" xfId="4" applyFont="1" applyFill="1"/>
    <xf numFmtId="181" fontId="40" fillId="0" borderId="0" xfId="2" applyNumberFormat="1" applyFont="1" applyFill="1"/>
    <xf numFmtId="181" fontId="39" fillId="0" borderId="0" xfId="2" applyNumberFormat="1" applyFont="1" applyFill="1"/>
    <xf numFmtId="0" fontId="35" fillId="7" borderId="0" xfId="4" applyFont="1" applyFill="1" applyAlignment="1">
      <alignment horizontal="left"/>
    </xf>
    <xf numFmtId="39" fontId="34" fillId="0" borderId="0" xfId="4" applyNumberFormat="1" applyFont="1"/>
    <xf numFmtId="10" fontId="34" fillId="0" borderId="0" xfId="4" applyNumberFormat="1" applyFont="1"/>
    <xf numFmtId="0" fontId="41" fillId="0" borderId="0" xfId="0" applyFont="1" applyFill="1"/>
    <xf numFmtId="167" fontId="42" fillId="0" borderId="0" xfId="0" applyNumberFormat="1" applyFont="1" applyFill="1" applyAlignment="1">
      <alignment horizontal="centerContinuous"/>
    </xf>
    <xf numFmtId="0" fontId="42" fillId="0" borderId="0" xfId="0" applyFont="1" applyFill="1" applyAlignment="1">
      <alignment horizontal="centerContinuous"/>
    </xf>
    <xf numFmtId="0" fontId="42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Alignment="1">
      <alignment horizontal="centerContinuous"/>
    </xf>
    <xf numFmtId="164" fontId="42" fillId="0" borderId="0" xfId="3" applyNumberFormat="1" applyFont="1" applyFill="1" applyBorder="1" applyAlignment="1">
      <alignment horizontal="center"/>
    </xf>
    <xf numFmtId="3" fontId="42" fillId="0" borderId="0" xfId="0" applyNumberFormat="1" applyFont="1" applyFill="1"/>
    <xf numFmtId="166" fontId="42" fillId="0" borderId="0" xfId="0" applyNumberFormat="1" applyFont="1" applyFill="1"/>
    <xf numFmtId="167" fontId="42" fillId="0" borderId="0" xfId="0" applyNumberFormat="1" applyFont="1" applyFill="1" applyAlignment="1">
      <alignment horizontal="right"/>
    </xf>
    <xf numFmtId="0" fontId="42" fillId="0" borderId="22" xfId="0" applyFont="1" applyFill="1" applyBorder="1" applyAlignment="1">
      <alignment horizontal="center"/>
    </xf>
    <xf numFmtId="0" fontId="42" fillId="0" borderId="20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Continuous"/>
    </xf>
    <xf numFmtId="166" fontId="42" fillId="0" borderId="3" xfId="0" applyNumberFormat="1" applyFont="1" applyFill="1" applyBorder="1" applyAlignment="1">
      <alignment horizontal="centerContinuous"/>
    </xf>
    <xf numFmtId="0" fontId="42" fillId="0" borderId="20" xfId="0" applyFont="1" applyFill="1" applyBorder="1" applyAlignment="1">
      <alignment horizontal="left"/>
    </xf>
    <xf numFmtId="166" fontId="42" fillId="0" borderId="20" xfId="0" applyNumberFormat="1" applyFont="1" applyFill="1" applyBorder="1" applyAlignment="1">
      <alignment horizontal="left"/>
    </xf>
    <xf numFmtId="166" fontId="42" fillId="0" borderId="4" xfId="0" applyNumberFormat="1" applyFont="1" applyFill="1" applyBorder="1" applyAlignment="1">
      <alignment horizontal="centerContinuous"/>
    </xf>
    <xf numFmtId="166" fontId="42" fillId="0" borderId="0" xfId="0" applyNumberFormat="1" applyFont="1" applyFill="1" applyAlignment="1">
      <alignment horizontal="left"/>
    </xf>
    <xf numFmtId="0" fontId="42" fillId="0" borderId="26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166" fontId="42" fillId="0" borderId="18" xfId="0" applyNumberFormat="1" applyFont="1" applyFill="1" applyBorder="1" applyAlignment="1">
      <alignment horizontal="center"/>
    </xf>
    <xf numFmtId="165" fontId="42" fillId="0" borderId="19" xfId="0" applyNumberFormat="1" applyFont="1" applyFill="1" applyBorder="1" applyAlignment="1">
      <alignment horizontal="center"/>
    </xf>
    <xf numFmtId="165" fontId="42" fillId="0" borderId="0" xfId="0" applyNumberFormat="1" applyFont="1" applyFill="1" applyAlignment="1">
      <alignment horizontal="center"/>
    </xf>
    <xf numFmtId="0" fontId="42" fillId="0" borderId="22" xfId="0" applyFont="1" applyFill="1" applyBorder="1"/>
    <xf numFmtId="0" fontId="42" fillId="0" borderId="20" xfId="0" applyFont="1" applyFill="1" applyBorder="1"/>
    <xf numFmtId="3" fontId="42" fillId="0" borderId="20" xfId="0" applyNumberFormat="1" applyFont="1" applyFill="1" applyBorder="1"/>
    <xf numFmtId="166" fontId="42" fillId="0" borderId="20" xfId="0" applyNumberFormat="1" applyFont="1" applyFill="1" applyBorder="1"/>
    <xf numFmtId="167" fontId="42" fillId="0" borderId="21" xfId="0" applyNumberFormat="1" applyFont="1" applyFill="1" applyBorder="1" applyAlignment="1">
      <alignment horizontal="right"/>
    </xf>
    <xf numFmtId="0" fontId="41" fillId="0" borderId="6" xfId="0" applyFont="1" applyFill="1" applyBorder="1" applyAlignment="1">
      <alignment horizontal="left"/>
    </xf>
    <xf numFmtId="0" fontId="41" fillId="0" borderId="3" xfId="0" applyFont="1" applyFill="1" applyBorder="1" applyAlignment="1">
      <alignment horizontal="left"/>
    </xf>
    <xf numFmtId="0" fontId="41" fillId="0" borderId="3" xfId="0" applyFont="1" applyFill="1" applyBorder="1" applyProtection="1">
      <protection locked="0"/>
    </xf>
    <xf numFmtId="0" fontId="42" fillId="0" borderId="3" xfId="0" applyFont="1" applyFill="1" applyBorder="1"/>
    <xf numFmtId="3" fontId="42" fillId="0" borderId="3" xfId="0" applyNumberFormat="1" applyFont="1" applyFill="1" applyBorder="1"/>
    <xf numFmtId="167" fontId="42" fillId="0" borderId="3" xfId="0" applyNumberFormat="1" applyFont="1" applyFill="1" applyBorder="1"/>
    <xf numFmtId="164" fontId="42" fillId="0" borderId="4" xfId="0" applyNumberFormat="1" applyFont="1" applyFill="1" applyBorder="1" applyAlignment="1">
      <alignment horizontal="right"/>
    </xf>
    <xf numFmtId="0" fontId="42" fillId="0" borderId="7" xfId="0" applyFont="1" applyFill="1" applyBorder="1"/>
    <xf numFmtId="0" fontId="42" fillId="0" borderId="0" xfId="0" applyFont="1" applyFill="1" applyBorder="1"/>
    <xf numFmtId="3" fontId="42" fillId="0" borderId="0" xfId="0" applyNumberFormat="1" applyFont="1" applyFill="1" applyBorder="1" applyProtection="1">
      <protection locked="0"/>
    </xf>
    <xf numFmtId="167" fontId="42" fillId="0" borderId="0" xfId="0" applyNumberFormat="1" applyFont="1" applyFill="1" applyBorder="1"/>
    <xf numFmtId="164" fontId="42" fillId="0" borderId="8" xfId="0" applyNumberFormat="1" applyFont="1" applyFill="1" applyBorder="1" applyAlignment="1">
      <alignment horizontal="right"/>
    </xf>
    <xf numFmtId="0" fontId="42" fillId="0" borderId="7" xfId="0" applyFont="1" applyFill="1" applyBorder="1" applyProtection="1">
      <protection locked="0"/>
    </xf>
    <xf numFmtId="43" fontId="42" fillId="0" borderId="0" xfId="2" applyFont="1" applyFill="1" applyBorder="1" applyAlignment="1"/>
    <xf numFmtId="0" fontId="42" fillId="0" borderId="0" xfId="0" applyFont="1" applyFill="1" applyBorder="1" applyProtection="1">
      <protection locked="0"/>
    </xf>
    <xf numFmtId="3" fontId="42" fillId="0" borderId="0" xfId="0" applyNumberFormat="1" applyFont="1" applyFill="1" applyBorder="1"/>
    <xf numFmtId="178" fontId="42" fillId="0" borderId="0" xfId="1" applyNumberFormat="1" applyFont="1" applyFill="1" applyBorder="1"/>
    <xf numFmtId="166" fontId="42" fillId="0" borderId="0" xfId="0" applyNumberFormat="1" applyFont="1" applyFill="1" applyBorder="1"/>
    <xf numFmtId="164" fontId="42" fillId="0" borderId="8" xfId="0" applyNumberFormat="1" applyFont="1" applyFill="1" applyBorder="1"/>
    <xf numFmtId="0" fontId="42" fillId="0" borderId="7" xfId="0" applyFont="1" applyFill="1" applyBorder="1" applyAlignment="1">
      <alignment horizontal="left" indent="1"/>
    </xf>
    <xf numFmtId="169" fontId="42" fillId="0" borderId="0" xfId="0" applyNumberFormat="1" applyFont="1" applyFill="1" applyBorder="1"/>
    <xf numFmtId="0" fontId="42" fillId="0" borderId="28" xfId="0" applyFont="1" applyFill="1" applyBorder="1" applyAlignment="1">
      <alignment horizontal="left" indent="1"/>
    </xf>
    <xf numFmtId="3" fontId="42" fillId="0" borderId="30" xfId="0" applyNumberFormat="1" applyFont="1" applyFill="1" applyBorder="1"/>
    <xf numFmtId="167" fontId="42" fillId="0" borderId="30" xfId="0" applyNumberFormat="1" applyFont="1" applyFill="1" applyBorder="1"/>
    <xf numFmtId="169" fontId="42" fillId="0" borderId="30" xfId="0" applyNumberFormat="1" applyFont="1" applyFill="1" applyBorder="1"/>
    <xf numFmtId="164" fontId="42" fillId="0" borderId="19" xfId="0" applyNumberFormat="1" applyFont="1" applyFill="1" applyBorder="1"/>
    <xf numFmtId="44" fontId="42" fillId="0" borderId="0" xfId="0" applyNumberFormat="1" applyFont="1" applyFill="1"/>
    <xf numFmtId="43" fontId="42" fillId="0" borderId="0" xfId="2" applyFont="1" applyFill="1" applyBorder="1" applyAlignment="1">
      <alignment horizontal="left"/>
    </xf>
    <xf numFmtId="0" fontId="41" fillId="0" borderId="7" xfId="0" applyFont="1" applyFill="1" applyBorder="1"/>
    <xf numFmtId="0" fontId="41" fillId="0" borderId="0" xfId="0" applyFont="1" applyFill="1" applyBorder="1"/>
    <xf numFmtId="167" fontId="42" fillId="0" borderId="0" xfId="3" applyNumberFormat="1" applyFont="1" applyFill="1"/>
    <xf numFmtId="43" fontId="42" fillId="0" borderId="0" xfId="2" applyFont="1" applyFill="1" applyAlignment="1">
      <alignment horizontal="center"/>
    </xf>
    <xf numFmtId="0" fontId="42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>
      <alignment horizontal="left"/>
    </xf>
    <xf numFmtId="165" fontId="42" fillId="0" borderId="0" xfId="0" applyNumberFormat="1" applyFont="1" applyFill="1"/>
    <xf numFmtId="170" fontId="42" fillId="0" borderId="0" xfId="0" applyNumberFormat="1" applyFont="1" applyFill="1"/>
    <xf numFmtId="7" fontId="42" fillId="0" borderId="0" xfId="0" applyNumberFormat="1" applyFont="1" applyFill="1"/>
    <xf numFmtId="43" fontId="42" fillId="0" borderId="0" xfId="2" applyFont="1" applyFill="1" applyBorder="1" applyAlignment="1">
      <alignment horizontal="center"/>
    </xf>
    <xf numFmtId="10" fontId="42" fillId="0" borderId="0" xfId="3" applyNumberFormat="1" applyFont="1" applyFill="1"/>
    <xf numFmtId="0" fontId="42" fillId="0" borderId="7" xfId="0" applyFont="1" applyFill="1" applyBorder="1" applyAlignment="1">
      <alignment horizontal="left"/>
    </xf>
    <xf numFmtId="168" fontId="42" fillId="0" borderId="0" xfId="0" applyNumberFormat="1" applyFont="1" applyFill="1" applyBorder="1"/>
    <xf numFmtId="167" fontId="41" fillId="0" borderId="0" xfId="0" applyNumberFormat="1" applyFont="1" applyFill="1" applyBorder="1"/>
    <xf numFmtId="167" fontId="42" fillId="0" borderId="20" xfId="0" applyNumberFormat="1" applyFont="1" applyFill="1" applyBorder="1"/>
    <xf numFmtId="10" fontId="42" fillId="0" borderId="21" xfId="0" applyNumberFormat="1" applyFont="1" applyFill="1" applyBorder="1"/>
    <xf numFmtId="10" fontId="42" fillId="0" borderId="0" xfId="3" applyNumberFormat="1" applyFont="1" applyFill="1" applyBorder="1"/>
    <xf numFmtId="0" fontId="42" fillId="0" borderId="28" xfId="0" applyFont="1" applyFill="1" applyBorder="1"/>
    <xf numFmtId="0" fontId="42" fillId="0" borderId="1" xfId="0" applyFont="1" applyFill="1" applyBorder="1"/>
    <xf numFmtId="167" fontId="42" fillId="0" borderId="1" xfId="0" applyNumberFormat="1" applyFont="1" applyFill="1" applyBorder="1"/>
    <xf numFmtId="3" fontId="42" fillId="0" borderId="1" xfId="0" applyNumberFormat="1" applyFont="1" applyFill="1" applyBorder="1"/>
    <xf numFmtId="164" fontId="42" fillId="0" borderId="5" xfId="0" applyNumberFormat="1" applyFont="1" applyFill="1" applyBorder="1"/>
    <xf numFmtId="164" fontId="42" fillId="0" borderId="4" xfId="0" applyNumberFormat="1" applyFont="1" applyFill="1" applyBorder="1"/>
    <xf numFmtId="3" fontId="42" fillId="0" borderId="20" xfId="0" applyNumberFormat="1" applyFont="1" applyFill="1" applyBorder="1" applyProtection="1">
      <protection locked="0"/>
    </xf>
    <xf numFmtId="164" fontId="42" fillId="0" borderId="21" xfId="0" applyNumberFormat="1" applyFont="1" applyFill="1" applyBorder="1" applyAlignment="1">
      <alignment horizontal="right"/>
    </xf>
    <xf numFmtId="0" fontId="42" fillId="0" borderId="0" xfId="0" applyFont="1" applyFill="1" applyAlignment="1">
      <alignment horizontal="center"/>
    </xf>
    <xf numFmtId="167" fontId="42" fillId="0" borderId="0" xfId="0" applyNumberFormat="1" applyFont="1" applyFill="1" applyAlignment="1">
      <alignment horizontal="center"/>
    </xf>
    <xf numFmtId="177" fontId="42" fillId="0" borderId="0" xfId="0" applyNumberFormat="1" applyFont="1" applyFill="1" applyAlignment="1">
      <alignment horizontal="center"/>
    </xf>
    <xf numFmtId="164" fontId="42" fillId="0" borderId="21" xfId="0" applyNumberFormat="1" applyFont="1" applyFill="1" applyBorder="1"/>
    <xf numFmtId="177" fontId="42" fillId="0" borderId="0" xfId="0" applyNumberFormat="1" applyFont="1" applyFill="1"/>
    <xf numFmtId="0" fontId="42" fillId="0" borderId="7" xfId="4" applyFont="1" applyFill="1" applyBorder="1" applyAlignment="1">
      <alignment horizontal="left"/>
    </xf>
    <xf numFmtId="0" fontId="42" fillId="0" borderId="7" xfId="4" applyFont="1" applyFill="1" applyBorder="1" applyAlignment="1">
      <alignment horizontal="left" indent="1"/>
    </xf>
    <xf numFmtId="0" fontId="42" fillId="0" borderId="28" xfId="4" applyFont="1" applyFill="1" applyBorder="1" applyAlignment="1">
      <alignment horizontal="left" indent="1"/>
    </xf>
    <xf numFmtId="0" fontId="42" fillId="0" borderId="0" xfId="4" applyFont="1" applyFill="1" applyBorder="1" applyAlignment="1"/>
    <xf numFmtId="167" fontId="42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 applyProtection="1">
      <alignment horizontal="center"/>
      <protection locked="0"/>
    </xf>
    <xf numFmtId="169" fontId="42" fillId="0" borderId="0" xfId="0" applyNumberFormat="1" applyFont="1" applyFill="1" applyAlignment="1">
      <alignment horizontal="right"/>
    </xf>
    <xf numFmtId="182" fontId="42" fillId="0" borderId="0" xfId="1" applyNumberFormat="1" applyFont="1" applyFill="1" applyBorder="1"/>
    <xf numFmtId="0" fontId="42" fillId="0" borderId="27" xfId="0" applyFont="1" applyFill="1" applyBorder="1" applyProtection="1">
      <protection locked="0"/>
    </xf>
    <xf numFmtId="0" fontId="42" fillId="0" borderId="1" xfId="0" applyFont="1" applyFill="1" applyBorder="1" applyProtection="1">
      <protection locked="0"/>
    </xf>
    <xf numFmtId="10" fontId="42" fillId="0" borderId="1" xfId="3" applyNumberFormat="1" applyFont="1" applyFill="1" applyBorder="1"/>
    <xf numFmtId="164" fontId="42" fillId="0" borderId="5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0" fontId="41" fillId="0" borderId="22" xfId="0" applyFont="1" applyFill="1" applyBorder="1"/>
    <xf numFmtId="0" fontId="41" fillId="0" borderId="20" xfId="0" applyFont="1" applyFill="1" applyBorder="1"/>
    <xf numFmtId="3" fontId="42" fillId="0" borderId="3" xfId="0" applyNumberFormat="1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166" fontId="42" fillId="0" borderId="3" xfId="0" applyNumberFormat="1" applyFont="1" applyFill="1" applyBorder="1" applyAlignment="1">
      <alignment horizontal="center"/>
    </xf>
    <xf numFmtId="0" fontId="41" fillId="0" borderId="7" xfId="0" applyFont="1" applyFill="1" applyBorder="1" applyProtection="1">
      <protection locked="0"/>
    </xf>
    <xf numFmtId="181" fontId="42" fillId="0" borderId="0" xfId="2" applyNumberFormat="1" applyFont="1" applyFill="1" applyBorder="1"/>
    <xf numFmtId="167" fontId="42" fillId="0" borderId="8" xfId="0" applyNumberFormat="1" applyFont="1" applyFill="1" applyBorder="1" applyAlignment="1">
      <alignment horizontal="right"/>
    </xf>
    <xf numFmtId="0" fontId="41" fillId="0" borderId="30" xfId="0" applyFont="1" applyFill="1" applyBorder="1" applyAlignment="1">
      <alignment horizontal="center"/>
    </xf>
    <xf numFmtId="3" fontId="41" fillId="0" borderId="30" xfId="0" applyNumberFormat="1" applyFont="1" applyFill="1" applyBorder="1" applyAlignment="1">
      <alignment horizontal="center"/>
    </xf>
    <xf numFmtId="166" fontId="41" fillId="0" borderId="30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right"/>
    </xf>
    <xf numFmtId="3" fontId="42" fillId="0" borderId="0" xfId="0" applyNumberFormat="1" applyFont="1" applyFill="1" applyBorder="1" applyAlignment="1">
      <alignment horizontal="center"/>
    </xf>
    <xf numFmtId="43" fontId="42" fillId="0" borderId="0" xfId="2" applyFont="1" applyFill="1" applyBorder="1"/>
    <xf numFmtId="167" fontId="42" fillId="0" borderId="0" xfId="2" applyNumberFormat="1" applyFont="1" applyFill="1" applyBorder="1"/>
    <xf numFmtId="0" fontId="42" fillId="0" borderId="0" xfId="0" applyFont="1" applyFill="1" applyBorder="1" applyAlignment="1" applyProtection="1">
      <alignment horizontal="right"/>
      <protection locked="0"/>
    </xf>
    <xf numFmtId="43" fontId="42" fillId="0" borderId="30" xfId="2" applyFont="1" applyFill="1" applyBorder="1"/>
    <xf numFmtId="0" fontId="42" fillId="0" borderId="30" xfId="0" applyFont="1" applyFill="1" applyBorder="1"/>
    <xf numFmtId="166" fontId="42" fillId="0" borderId="30" xfId="0" applyNumberFormat="1" applyFont="1" applyFill="1" applyBorder="1"/>
    <xf numFmtId="171" fontId="41" fillId="0" borderId="0" xfId="0" applyNumberFormat="1" applyFont="1" applyFill="1" applyBorder="1"/>
    <xf numFmtId="37" fontId="41" fillId="0" borderId="0" xfId="0" applyNumberFormat="1" applyFont="1" applyFill="1" applyBorder="1"/>
    <xf numFmtId="0" fontId="42" fillId="0" borderId="30" xfId="0" applyFont="1" applyFill="1" applyBorder="1" applyProtection="1">
      <protection locked="0"/>
    </xf>
    <xf numFmtId="0" fontId="41" fillId="0" borderId="36" xfId="0" applyFont="1" applyFill="1" applyBorder="1" applyAlignment="1">
      <alignment horizontal="right"/>
    </xf>
    <xf numFmtId="0" fontId="41" fillId="0" borderId="20" xfId="0" applyFont="1" applyFill="1" applyBorder="1" applyAlignment="1">
      <alignment horizontal="left"/>
    </xf>
    <xf numFmtId="181" fontId="42" fillId="0" borderId="20" xfId="2" applyNumberFormat="1" applyFont="1" applyFill="1" applyBorder="1"/>
    <xf numFmtId="166" fontId="41" fillId="0" borderId="3" xfId="0" applyNumberFormat="1" applyFont="1" applyFill="1" applyBorder="1" applyAlignment="1">
      <alignment horizontal="center"/>
    </xf>
    <xf numFmtId="181" fontId="41" fillId="0" borderId="31" xfId="2" applyNumberFormat="1" applyFont="1" applyFill="1" applyBorder="1" applyAlignment="1">
      <alignment horizontal="right"/>
    </xf>
    <xf numFmtId="183" fontId="42" fillId="0" borderId="0" xfId="0" applyNumberFormat="1" applyFont="1" applyFill="1" applyBorder="1"/>
    <xf numFmtId="178" fontId="41" fillId="0" borderId="31" xfId="1" applyNumberFormat="1" applyFont="1" applyFill="1" applyBorder="1"/>
    <xf numFmtId="10" fontId="42" fillId="0" borderId="8" xfId="0" applyNumberFormat="1" applyFont="1" applyFill="1" applyBorder="1"/>
    <xf numFmtId="0" fontId="42" fillId="0" borderId="7" xfId="0" applyFont="1" applyFill="1" applyBorder="1" applyAlignment="1">
      <alignment horizontal="right"/>
    </xf>
    <xf numFmtId="0" fontId="41" fillId="0" borderId="0" xfId="0" applyFont="1" applyFill="1" applyBorder="1" applyAlignment="1">
      <alignment horizontal="left"/>
    </xf>
    <xf numFmtId="167" fontId="42" fillId="0" borderId="7" xfId="0" applyNumberFormat="1" applyFont="1" applyFill="1" applyBorder="1" applyAlignment="1">
      <alignment horizontal="right"/>
    </xf>
    <xf numFmtId="177" fontId="42" fillId="0" borderId="0" xfId="0" applyNumberFormat="1" applyFont="1" applyFill="1" applyBorder="1"/>
    <xf numFmtId="181" fontId="42" fillId="0" borderId="30" xfId="2" applyNumberFormat="1" applyFont="1" applyFill="1" applyBorder="1"/>
    <xf numFmtId="181" fontId="41" fillId="0" borderId="0" xfId="2" applyNumberFormat="1" applyFont="1" applyFill="1" applyBorder="1"/>
    <xf numFmtId="0" fontId="42" fillId="0" borderId="30" xfId="0" applyFont="1" applyFill="1" applyBorder="1" applyAlignment="1">
      <alignment horizontal="left"/>
    </xf>
    <xf numFmtId="0" fontId="41" fillId="0" borderId="30" xfId="0" applyFont="1" applyFill="1" applyBorder="1"/>
    <xf numFmtId="178" fontId="42" fillId="0" borderId="30" xfId="1" applyNumberFormat="1" applyFont="1" applyFill="1" applyBorder="1"/>
    <xf numFmtId="164" fontId="42" fillId="0" borderId="19" xfId="0" applyNumberFormat="1" applyFont="1" applyFill="1" applyBorder="1" applyAlignment="1">
      <alignment horizontal="right"/>
    </xf>
    <xf numFmtId="164" fontId="42" fillId="0" borderId="0" xfId="0" applyNumberFormat="1" applyFont="1" applyFill="1" applyBorder="1"/>
    <xf numFmtId="0" fontId="41" fillId="0" borderId="2" xfId="0" applyFont="1" applyFill="1" applyBorder="1"/>
    <xf numFmtId="0" fontId="41" fillId="0" borderId="2" xfId="0" applyFont="1" applyFill="1" applyBorder="1" applyAlignment="1">
      <alignment horizontal="left"/>
    </xf>
    <xf numFmtId="181" fontId="42" fillId="0" borderId="2" xfId="2" applyNumberFormat="1" applyFont="1" applyFill="1" applyBorder="1"/>
    <xf numFmtId="3" fontId="42" fillId="0" borderId="2" xfId="0" applyNumberFormat="1" applyFont="1" applyFill="1" applyBorder="1"/>
    <xf numFmtId="164" fontId="42" fillId="0" borderId="37" xfId="0" applyNumberFormat="1" applyFont="1" applyFill="1" applyBorder="1" applyAlignment="1">
      <alignment horizontal="right"/>
    </xf>
    <xf numFmtId="164" fontId="42" fillId="0" borderId="0" xfId="0" applyNumberFormat="1" applyFont="1" applyFill="1" applyAlignment="1">
      <alignment horizontal="right"/>
    </xf>
    <xf numFmtId="171" fontId="42" fillId="0" borderId="0" xfId="1" applyNumberFormat="1" applyFont="1" applyFill="1" applyBorder="1" applyAlignment="1">
      <alignment horizontal="center"/>
    </xf>
    <xf numFmtId="171" fontId="42" fillId="0" borderId="30" xfId="1" applyNumberFormat="1" applyFont="1" applyFill="1" applyBorder="1" applyAlignment="1">
      <alignment horizontal="center"/>
    </xf>
    <xf numFmtId="171" fontId="41" fillId="0" borderId="0" xfId="1" applyNumberFormat="1" applyFont="1" applyFill="1" applyBorder="1"/>
    <xf numFmtId="0" fontId="41" fillId="0" borderId="28" xfId="0" applyFont="1" applyFill="1" applyBorder="1"/>
    <xf numFmtId="167" fontId="42" fillId="0" borderId="19" xfId="0" applyNumberFormat="1" applyFont="1" applyFill="1" applyBorder="1" applyAlignment="1">
      <alignment horizontal="right"/>
    </xf>
    <xf numFmtId="0" fontId="42" fillId="0" borderId="28" xfId="0" applyFont="1" applyFill="1" applyBorder="1" applyAlignment="1">
      <alignment horizontal="center"/>
    </xf>
    <xf numFmtId="0" fontId="42" fillId="0" borderId="18" xfId="0" applyFont="1" applyFill="1" applyBorder="1" applyAlignment="1">
      <alignment horizontal="left"/>
    </xf>
    <xf numFmtId="178" fontId="42" fillId="0" borderId="0" xfId="0" applyNumberFormat="1" applyFont="1" applyFill="1" applyBorder="1"/>
    <xf numFmtId="43" fontId="42" fillId="0" borderId="0" xfId="2" applyFont="1" applyFill="1" applyAlignment="1">
      <alignment horizontal="left"/>
    </xf>
    <xf numFmtId="170" fontId="42" fillId="0" borderId="0" xfId="0" applyNumberFormat="1" applyFont="1" applyFill="1" applyBorder="1"/>
    <xf numFmtId="0" fontId="42" fillId="0" borderId="18" xfId="0" applyFont="1" applyFill="1" applyBorder="1"/>
    <xf numFmtId="167" fontId="42" fillId="0" borderId="18" xfId="0" applyNumberFormat="1" applyFont="1" applyFill="1" applyBorder="1"/>
    <xf numFmtId="3" fontId="42" fillId="0" borderId="18" xfId="0" applyNumberFormat="1" applyFont="1" applyFill="1" applyBorder="1"/>
    <xf numFmtId="0" fontId="41" fillId="0" borderId="3" xfId="0" applyFont="1" applyFill="1" applyBorder="1" applyAlignment="1" applyProtection="1">
      <alignment horizontal="left"/>
      <protection locked="0"/>
    </xf>
    <xf numFmtId="0" fontId="42" fillId="0" borderId="0" xfId="4" applyFont="1" applyFill="1" applyBorder="1" applyAlignment="1">
      <alignment horizontal="left"/>
    </xf>
    <xf numFmtId="0" fontId="42" fillId="0" borderId="28" xfId="0" applyFont="1" applyFill="1" applyBorder="1" applyProtection="1">
      <protection locked="0"/>
    </xf>
    <xf numFmtId="0" fontId="42" fillId="0" borderId="18" xfId="0" applyFont="1" applyFill="1" applyBorder="1" applyProtection="1">
      <protection locked="0"/>
    </xf>
    <xf numFmtId="0" fontId="42" fillId="0" borderId="18" xfId="0" applyFont="1" applyFill="1" applyBorder="1" applyAlignment="1" applyProtection="1">
      <alignment horizontal="left"/>
      <protection locked="0"/>
    </xf>
    <xf numFmtId="10" fontId="42" fillId="0" borderId="18" xfId="3" applyNumberFormat="1" applyFont="1" applyFill="1" applyBorder="1"/>
    <xf numFmtId="0" fontId="42" fillId="0" borderId="0" xfId="0" applyFont="1" applyFill="1" applyAlignment="1">
      <alignment horizontal="left"/>
    </xf>
    <xf numFmtId="0" fontId="41" fillId="0" borderId="24" xfId="0" applyFont="1" applyFill="1" applyBorder="1" applyAlignment="1">
      <alignment horizontal="right"/>
    </xf>
    <xf numFmtId="181" fontId="41" fillId="0" borderId="32" xfId="2" applyNumberFormat="1" applyFont="1" applyFill="1" applyBorder="1" applyAlignment="1">
      <alignment horizontal="right"/>
    </xf>
    <xf numFmtId="0" fontId="42" fillId="0" borderId="9" xfId="0" applyFont="1" applyFill="1" applyBorder="1" applyAlignment="1">
      <alignment horizontal="right"/>
    </xf>
    <xf numFmtId="167" fontId="42" fillId="0" borderId="9" xfId="0" applyNumberFormat="1" applyFont="1" applyFill="1" applyBorder="1" applyAlignment="1">
      <alignment horizontal="right"/>
    </xf>
    <xf numFmtId="165" fontId="42" fillId="0" borderId="0" xfId="0" applyNumberFormat="1" applyFont="1" applyFill="1" applyBorder="1"/>
    <xf numFmtId="0" fontId="42" fillId="0" borderId="10" xfId="0" applyFont="1" applyFill="1" applyBorder="1" applyAlignment="1">
      <alignment horizontal="left"/>
    </xf>
    <xf numFmtId="44" fontId="42" fillId="0" borderId="0" xfId="0" applyNumberFormat="1" applyFont="1" applyFill="1" applyBorder="1"/>
    <xf numFmtId="0" fontId="41" fillId="0" borderId="0" xfId="0" applyFont="1" applyFill="1" applyBorder="1" applyAlignment="1">
      <alignment horizontal="center"/>
    </xf>
    <xf numFmtId="171" fontId="41" fillId="0" borderId="31" xfId="1" applyNumberFormat="1" applyFont="1" applyFill="1" applyBorder="1" applyAlignment="1">
      <alignment horizontal="right"/>
    </xf>
    <xf numFmtId="3" fontId="42" fillId="0" borderId="30" xfId="0" applyNumberFormat="1" applyFont="1" applyFill="1" applyBorder="1" applyAlignment="1">
      <alignment horizontal="center"/>
    </xf>
    <xf numFmtId="0" fontId="42" fillId="0" borderId="30" xfId="0" applyFont="1" applyFill="1" applyBorder="1" applyAlignment="1">
      <alignment horizontal="center"/>
    </xf>
    <xf numFmtId="166" fontId="42" fillId="0" borderId="30" xfId="0" applyNumberFormat="1" applyFont="1" applyFill="1" applyBorder="1" applyAlignment="1">
      <alignment horizontal="center"/>
    </xf>
    <xf numFmtId="0" fontId="41" fillId="0" borderId="30" xfId="0" applyFont="1" applyFill="1" applyBorder="1" applyAlignment="1">
      <alignment horizontal="left"/>
    </xf>
    <xf numFmtId="3" fontId="42" fillId="0" borderId="8" xfId="0" applyNumberFormat="1" applyFont="1" applyFill="1" applyBorder="1"/>
    <xf numFmtId="3" fontId="42" fillId="0" borderId="20" xfId="0" applyNumberFormat="1" applyFont="1" applyFill="1" applyBorder="1" applyAlignment="1" applyProtection="1">
      <alignment horizontal="center"/>
      <protection locked="0"/>
    </xf>
    <xf numFmtId="0" fontId="42" fillId="0" borderId="30" xfId="0" applyFont="1" applyFill="1" applyBorder="1" applyAlignment="1" applyProtection="1">
      <alignment horizontal="left"/>
      <protection locked="0"/>
    </xf>
    <xf numFmtId="10" fontId="42" fillId="0" borderId="30" xfId="3" applyNumberFormat="1" applyFont="1" applyFill="1" applyBorder="1"/>
    <xf numFmtId="9" fontId="42" fillId="0" borderId="0" xfId="3" applyFont="1" applyFill="1" applyBorder="1"/>
    <xf numFmtId="44" fontId="42" fillId="0" borderId="0" xfId="1" applyNumberFormat="1" applyFont="1" applyFill="1" applyBorder="1"/>
    <xf numFmtId="0" fontId="42" fillId="0" borderId="30" xfId="0" applyFont="1" applyFill="1" applyBorder="1" applyAlignment="1">
      <alignment horizontal="right"/>
    </xf>
    <xf numFmtId="37" fontId="41" fillId="0" borderId="30" xfId="0" applyNumberFormat="1" applyFont="1" applyFill="1" applyBorder="1"/>
    <xf numFmtId="0" fontId="41" fillId="0" borderId="0" xfId="0" applyFont="1"/>
    <xf numFmtId="0" fontId="41" fillId="0" borderId="0" xfId="0" applyFont="1" applyAlignment="1">
      <alignment horizontal="left"/>
    </xf>
    <xf numFmtId="178" fontId="41" fillId="0" borderId="0" xfId="1" applyNumberFormat="1" applyFont="1"/>
    <xf numFmtId="167" fontId="42" fillId="0" borderId="0" xfId="0" applyNumberFormat="1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42" fillId="0" borderId="0" xfId="0" applyFont="1"/>
    <xf numFmtId="0" fontId="41" fillId="0" borderId="0" xfId="0" applyFont="1" applyAlignment="1">
      <alignment horizontal="centerContinuous"/>
    </xf>
    <xf numFmtId="178" fontId="41" fillId="0" borderId="0" xfId="1" applyNumberFormat="1" applyFont="1" applyAlignment="1">
      <alignment horizontal="centerContinuous"/>
    </xf>
    <xf numFmtId="3" fontId="42" fillId="0" borderId="0" xfId="0" applyNumberFormat="1" applyFont="1"/>
    <xf numFmtId="178" fontId="42" fillId="0" borderId="0" xfId="1" applyNumberFormat="1" applyFont="1"/>
    <xf numFmtId="166" fontId="42" fillId="0" borderId="0" xfId="0" applyNumberFormat="1" applyFont="1"/>
    <xf numFmtId="167" fontId="42" fillId="0" borderId="0" xfId="0" applyNumberFormat="1" applyFont="1" applyAlignment="1">
      <alignment horizontal="right"/>
    </xf>
    <xf numFmtId="0" fontId="42" fillId="0" borderId="22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42" fillId="0" borderId="20" xfId="0" applyFont="1" applyBorder="1" applyAlignment="1">
      <alignment horizontal="left"/>
    </xf>
    <xf numFmtId="0" fontId="42" fillId="0" borderId="3" xfId="0" applyFont="1" applyBorder="1" applyAlignment="1">
      <alignment horizontal="centerContinuous"/>
    </xf>
    <xf numFmtId="166" fontId="42" fillId="0" borderId="3" xfId="0" applyNumberFormat="1" applyFont="1" applyBorder="1" applyAlignment="1">
      <alignment horizontal="centerContinuous"/>
    </xf>
    <xf numFmtId="178" fontId="42" fillId="0" borderId="3" xfId="1" applyNumberFormat="1" applyFont="1" applyBorder="1" applyAlignment="1">
      <alignment horizontal="centerContinuous"/>
    </xf>
    <xf numFmtId="166" fontId="42" fillId="0" borderId="20" xfId="0" applyNumberFormat="1" applyFont="1" applyBorder="1" applyAlignment="1">
      <alignment horizontal="left"/>
    </xf>
    <xf numFmtId="166" fontId="42" fillId="0" borderId="4" xfId="0" applyNumberFormat="1" applyFont="1" applyBorder="1" applyAlignment="1">
      <alignment horizontal="centerContinuous"/>
    </xf>
    <xf numFmtId="166" fontId="42" fillId="0" borderId="0" xfId="0" applyNumberFormat="1" applyFont="1" applyAlignment="1">
      <alignment horizontal="left"/>
    </xf>
    <xf numFmtId="0" fontId="42" fillId="0" borderId="26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42" fillId="0" borderId="18" xfId="0" applyFont="1" applyBorder="1" applyAlignment="1">
      <alignment horizontal="center"/>
    </xf>
    <xf numFmtId="166" fontId="42" fillId="0" borderId="18" xfId="0" applyNumberFormat="1" applyFont="1" applyBorder="1" applyAlignment="1">
      <alignment horizontal="center"/>
    </xf>
    <xf numFmtId="178" fontId="42" fillId="0" borderId="18" xfId="1" applyNumberFormat="1" applyFont="1" applyBorder="1" applyAlignment="1">
      <alignment horizontal="center"/>
    </xf>
    <xf numFmtId="165" fontId="42" fillId="0" borderId="19" xfId="0" applyNumberFormat="1" applyFont="1" applyBorder="1" applyAlignment="1">
      <alignment horizontal="center"/>
    </xf>
    <xf numFmtId="165" fontId="42" fillId="0" borderId="0" xfId="0" applyNumberFormat="1" applyFont="1" applyAlignment="1">
      <alignment horizontal="center"/>
    </xf>
    <xf numFmtId="0" fontId="42" fillId="0" borderId="22" xfId="0" applyFont="1" applyBorder="1"/>
    <xf numFmtId="0" fontId="42" fillId="0" borderId="20" xfId="0" applyFont="1" applyBorder="1"/>
    <xf numFmtId="3" fontId="42" fillId="0" borderId="20" xfId="0" applyNumberFormat="1" applyFont="1" applyBorder="1"/>
    <xf numFmtId="178" fontId="42" fillId="0" borderId="20" xfId="1" applyNumberFormat="1" applyFont="1" applyBorder="1"/>
    <xf numFmtId="166" fontId="42" fillId="0" borderId="20" xfId="0" applyNumberFormat="1" applyFont="1" applyBorder="1"/>
    <xf numFmtId="167" fontId="42" fillId="0" borderId="21" xfId="0" applyNumberFormat="1" applyFont="1" applyBorder="1" applyAlignment="1">
      <alignment horizontal="right"/>
    </xf>
    <xf numFmtId="0" fontId="41" fillId="0" borderId="3" xfId="0" applyFont="1" applyBorder="1" applyAlignment="1">
      <alignment horizontal="left"/>
    </xf>
    <xf numFmtId="0" fontId="41" fillId="0" borderId="3" xfId="0" applyFont="1" applyBorder="1" applyProtection="1">
      <protection locked="0"/>
    </xf>
    <xf numFmtId="0" fontId="42" fillId="0" borderId="3" xfId="0" applyFont="1" applyBorder="1"/>
    <xf numFmtId="3" fontId="42" fillId="0" borderId="3" xfId="0" applyNumberFormat="1" applyFont="1" applyBorder="1"/>
    <xf numFmtId="178" fontId="42" fillId="0" borderId="3" xfId="1" applyNumberFormat="1" applyFont="1" applyBorder="1"/>
    <xf numFmtId="167" fontId="42" fillId="0" borderId="3" xfId="0" applyNumberFormat="1" applyFont="1" applyBorder="1"/>
    <xf numFmtId="164" fontId="42" fillId="0" borderId="4" xfId="0" applyNumberFormat="1" applyFont="1" applyBorder="1" applyAlignment="1">
      <alignment horizontal="right"/>
    </xf>
    <xf numFmtId="0" fontId="42" fillId="0" borderId="7" xfId="0" applyFont="1" applyBorder="1"/>
    <xf numFmtId="0" fontId="42" fillId="0" borderId="0" xfId="0" applyFont="1" applyBorder="1"/>
    <xf numFmtId="0" fontId="42" fillId="0" borderId="0" xfId="0" applyFont="1" applyBorder="1" applyAlignment="1">
      <alignment horizontal="left"/>
    </xf>
    <xf numFmtId="3" fontId="42" fillId="0" borderId="0" xfId="0" applyNumberFormat="1" applyFont="1" applyBorder="1" applyProtection="1">
      <protection locked="0"/>
    </xf>
    <xf numFmtId="178" fontId="42" fillId="0" borderId="0" xfId="1" applyNumberFormat="1" applyFont="1" applyBorder="1"/>
    <xf numFmtId="167" fontId="42" fillId="0" borderId="0" xfId="0" applyNumberFormat="1" applyFont="1" applyBorder="1"/>
    <xf numFmtId="164" fontId="42" fillId="0" borderId="8" xfId="0" applyNumberFormat="1" applyFont="1" applyBorder="1" applyAlignment="1">
      <alignment horizontal="right"/>
    </xf>
    <xf numFmtId="0" fontId="42" fillId="0" borderId="7" xfId="0" applyFont="1" applyBorder="1" applyProtection="1">
      <protection locked="0"/>
    </xf>
    <xf numFmtId="0" fontId="42" fillId="0" borderId="0" xfId="0" applyFont="1" applyBorder="1" applyProtection="1">
      <protection locked="0"/>
    </xf>
    <xf numFmtId="3" fontId="42" fillId="0" borderId="0" xfId="0" applyNumberFormat="1" applyFont="1" applyBorder="1"/>
    <xf numFmtId="164" fontId="42" fillId="0" borderId="8" xfId="0" applyNumberFormat="1" applyFont="1" applyBorder="1"/>
    <xf numFmtId="174" fontId="42" fillId="0" borderId="0" xfId="0" applyNumberFormat="1" applyFont="1"/>
    <xf numFmtId="7" fontId="42" fillId="0" borderId="0" xfId="0" applyNumberFormat="1" applyFont="1"/>
    <xf numFmtId="0" fontId="42" fillId="0" borderId="7" xfId="0" applyFont="1" applyBorder="1" applyAlignment="1">
      <alignment horizontal="left" indent="1"/>
    </xf>
    <xf numFmtId="0" fontId="42" fillId="0" borderId="28" xfId="0" applyFont="1" applyBorder="1" applyAlignment="1">
      <alignment horizontal="left" indent="1"/>
    </xf>
    <xf numFmtId="3" fontId="42" fillId="0" borderId="30" xfId="0" applyNumberFormat="1" applyFont="1" applyBorder="1"/>
    <xf numFmtId="167" fontId="42" fillId="0" borderId="30" xfId="0" applyNumberFormat="1" applyFont="1" applyBorder="1"/>
    <xf numFmtId="178" fontId="42" fillId="0" borderId="30" xfId="1" applyNumberFormat="1" applyFont="1" applyBorder="1"/>
    <xf numFmtId="164" fontId="42" fillId="0" borderId="19" xfId="0" applyNumberFormat="1" applyFont="1" applyBorder="1"/>
    <xf numFmtId="43" fontId="42" fillId="7" borderId="0" xfId="2" applyFont="1" applyFill="1" applyBorder="1" applyAlignment="1">
      <alignment horizontal="left"/>
    </xf>
    <xf numFmtId="0" fontId="41" fillId="0" borderId="7" xfId="0" applyFont="1" applyBorder="1"/>
    <xf numFmtId="0" fontId="41" fillId="0" borderId="0" xfId="0" applyFont="1" applyBorder="1"/>
    <xf numFmtId="0" fontId="41" fillId="0" borderId="0" xfId="0" applyFont="1" applyBorder="1" applyAlignment="1">
      <alignment horizontal="left"/>
    </xf>
    <xf numFmtId="43" fontId="42" fillId="0" borderId="0" xfId="2" applyFont="1" applyBorder="1" applyAlignment="1">
      <alignment horizontal="left"/>
    </xf>
    <xf numFmtId="0" fontId="42" fillId="0" borderId="0" xfId="0" applyFont="1" applyBorder="1" applyAlignment="1" applyProtection="1">
      <alignment horizontal="left"/>
      <protection locked="0"/>
    </xf>
    <xf numFmtId="0" fontId="42" fillId="0" borderId="0" xfId="0" applyFont="1" applyAlignment="1">
      <alignment horizontal="left"/>
    </xf>
    <xf numFmtId="165" fontId="42" fillId="0" borderId="0" xfId="0" applyNumberFormat="1" applyFont="1"/>
    <xf numFmtId="0" fontId="42" fillId="0" borderId="7" xfId="0" applyFont="1" applyBorder="1" applyAlignment="1">
      <alignment horizontal="left"/>
    </xf>
    <xf numFmtId="168" fontId="42" fillId="0" borderId="0" xfId="0" applyNumberFormat="1" applyFont="1" applyBorder="1"/>
    <xf numFmtId="167" fontId="41" fillId="0" borderId="0" xfId="0" applyNumberFormat="1" applyFont="1" applyBorder="1"/>
    <xf numFmtId="167" fontId="42" fillId="0" borderId="20" xfId="0" applyNumberFormat="1" applyFont="1" applyBorder="1"/>
    <xf numFmtId="10" fontId="42" fillId="0" borderId="21" xfId="0" applyNumberFormat="1" applyFont="1" applyBorder="1"/>
    <xf numFmtId="10" fontId="42" fillId="0" borderId="8" xfId="0" applyNumberFormat="1" applyFont="1" applyBorder="1"/>
    <xf numFmtId="164" fontId="42" fillId="0" borderId="0" xfId="3" applyNumberFormat="1" applyFont="1" applyBorder="1" applyAlignment="1">
      <alignment horizontal="center"/>
    </xf>
    <xf numFmtId="10" fontId="42" fillId="0" borderId="0" xfId="3" applyNumberFormat="1" applyFont="1" applyBorder="1"/>
    <xf numFmtId="0" fontId="42" fillId="0" borderId="28" xfId="0" applyFont="1" applyBorder="1"/>
    <xf numFmtId="0" fontId="42" fillId="0" borderId="1" xfId="0" applyFont="1" applyBorder="1"/>
    <xf numFmtId="167" fontId="42" fillId="0" borderId="1" xfId="0" applyNumberFormat="1" applyFont="1" applyBorder="1"/>
    <xf numFmtId="3" fontId="42" fillId="0" borderId="1" xfId="0" applyNumberFormat="1" applyFont="1" applyBorder="1"/>
    <xf numFmtId="178" fontId="42" fillId="0" borderId="1" xfId="1" applyNumberFormat="1" applyFont="1" applyBorder="1"/>
    <xf numFmtId="164" fontId="42" fillId="0" borderId="5" xfId="0" applyNumberFormat="1" applyFont="1" applyBorder="1"/>
    <xf numFmtId="0" fontId="41" fillId="0" borderId="3" xfId="0" applyFont="1" applyBorder="1" applyAlignment="1" applyProtection="1">
      <alignment horizontal="left"/>
      <protection locked="0"/>
    </xf>
    <xf numFmtId="164" fontId="42" fillId="0" borderId="4" xfId="0" applyNumberFormat="1" applyFont="1" applyBorder="1"/>
    <xf numFmtId="3" fontId="42" fillId="0" borderId="20" xfId="0" applyNumberFormat="1" applyFont="1" applyBorder="1" applyProtection="1">
      <protection locked="0"/>
    </xf>
    <xf numFmtId="164" fontId="42" fillId="0" borderId="21" xfId="0" applyNumberFormat="1" applyFont="1" applyBorder="1" applyAlignment="1">
      <alignment horizontal="right"/>
    </xf>
    <xf numFmtId="0" fontId="42" fillId="0" borderId="0" xfId="0" applyFont="1" applyAlignment="1">
      <alignment horizontal="center"/>
    </xf>
    <xf numFmtId="167" fontId="42" fillId="0" borderId="0" xfId="0" applyNumberFormat="1" applyFont="1" applyAlignment="1">
      <alignment horizontal="center"/>
    </xf>
    <xf numFmtId="3" fontId="41" fillId="0" borderId="0" xfId="0" applyNumberFormat="1" applyFont="1" applyBorder="1"/>
    <xf numFmtId="177" fontId="42" fillId="0" borderId="0" xfId="0" applyNumberFormat="1" applyFont="1" applyAlignment="1">
      <alignment horizontal="center"/>
    </xf>
    <xf numFmtId="177" fontId="42" fillId="0" borderId="0" xfId="0" applyNumberFormat="1" applyFont="1"/>
    <xf numFmtId="167" fontId="42" fillId="0" borderId="0" xfId="0" applyNumberFormat="1" applyFont="1"/>
    <xf numFmtId="3" fontId="42" fillId="0" borderId="0" xfId="0" applyNumberFormat="1" applyFont="1" applyProtection="1">
      <protection locked="0"/>
    </xf>
    <xf numFmtId="0" fontId="42" fillId="0" borderId="0" xfId="0" applyFont="1" applyProtection="1">
      <protection locked="0"/>
    </xf>
    <xf numFmtId="167" fontId="41" fillId="0" borderId="0" xfId="0" applyNumberFormat="1" applyFont="1"/>
    <xf numFmtId="164" fontId="42" fillId="0" borderId="21" xfId="0" applyNumberFormat="1" applyFont="1" applyBorder="1"/>
    <xf numFmtId="0" fontId="42" fillId="0" borderId="26" xfId="0" applyFont="1" applyBorder="1"/>
    <xf numFmtId="0" fontId="42" fillId="0" borderId="18" xfId="0" applyFont="1" applyBorder="1"/>
    <xf numFmtId="167" fontId="42" fillId="0" borderId="18" xfId="0" applyNumberFormat="1" applyFont="1" applyBorder="1"/>
    <xf numFmtId="178" fontId="42" fillId="0" borderId="18" xfId="1" applyNumberFormat="1" applyFont="1" applyBorder="1"/>
    <xf numFmtId="3" fontId="42" fillId="0" borderId="0" xfId="0" applyNumberFormat="1" applyFont="1" applyBorder="1" applyAlignment="1" applyProtection="1">
      <alignment horizontal="center"/>
      <protection locked="0"/>
    </xf>
    <xf numFmtId="169" fontId="42" fillId="0" borderId="0" xfId="0" applyNumberFormat="1" applyFont="1" applyAlignment="1">
      <alignment horizontal="right"/>
    </xf>
    <xf numFmtId="166" fontId="42" fillId="0" borderId="0" xfId="0" applyNumberFormat="1" applyFont="1" applyBorder="1"/>
    <xf numFmtId="0" fontId="42" fillId="0" borderId="28" xfId="0" applyFont="1" applyBorder="1" applyProtection="1">
      <protection locked="0"/>
    </xf>
    <xf numFmtId="0" fontId="42" fillId="0" borderId="1" xfId="0" applyFont="1" applyBorder="1" applyProtection="1">
      <protection locked="0"/>
    </xf>
    <xf numFmtId="0" fontId="42" fillId="0" borderId="1" xfId="0" applyFont="1" applyBorder="1" applyAlignment="1" applyProtection="1">
      <alignment horizontal="left"/>
      <protection locked="0"/>
    </xf>
    <xf numFmtId="10" fontId="42" fillId="0" borderId="1" xfId="3" applyNumberFormat="1" applyFont="1" applyBorder="1"/>
    <xf numFmtId="164" fontId="42" fillId="0" borderId="5" xfId="0" applyNumberFormat="1" applyFont="1" applyBorder="1" applyAlignment="1">
      <alignment horizontal="right"/>
    </xf>
    <xf numFmtId="181" fontId="42" fillId="0" borderId="0" xfId="2" applyNumberFormat="1" applyFont="1"/>
    <xf numFmtId="0" fontId="41" fillId="0" borderId="22" xfId="0" applyFont="1" applyBorder="1"/>
    <xf numFmtId="0" fontId="41" fillId="0" borderId="20" xfId="0" applyFont="1" applyBorder="1"/>
    <xf numFmtId="3" fontId="42" fillId="0" borderId="20" xfId="0" applyNumberFormat="1" applyFont="1" applyFill="1" applyBorder="1" applyAlignment="1">
      <alignment horizontal="center"/>
    </xf>
    <xf numFmtId="0" fontId="42" fillId="0" borderId="3" xfId="0" applyFont="1" applyBorder="1" applyAlignment="1">
      <alignment horizontal="center"/>
    </xf>
    <xf numFmtId="166" fontId="42" fillId="0" borderId="3" xfId="0" applyNumberFormat="1" applyFont="1" applyBorder="1" applyAlignment="1">
      <alignment horizontal="center"/>
    </xf>
    <xf numFmtId="0" fontId="41" fillId="0" borderId="7" xfId="0" applyFont="1" applyBorder="1" applyProtection="1">
      <protection locked="0"/>
    </xf>
    <xf numFmtId="178" fontId="41" fillId="0" borderId="0" xfId="1" applyNumberFormat="1" applyFont="1" applyBorder="1"/>
    <xf numFmtId="164" fontId="41" fillId="0" borderId="8" xfId="0" applyNumberFormat="1" applyFont="1" applyBorder="1"/>
    <xf numFmtId="174" fontId="42" fillId="0" borderId="0" xfId="0" applyNumberFormat="1" applyFont="1" applyBorder="1"/>
    <xf numFmtId="181" fontId="42" fillId="0" borderId="0" xfId="2" applyNumberFormat="1" applyFont="1" applyBorder="1"/>
    <xf numFmtId="0" fontId="41" fillId="0" borderId="30" xfId="0" applyFont="1" applyBorder="1" applyAlignment="1">
      <alignment horizontal="center"/>
    </xf>
    <xf numFmtId="178" fontId="41" fillId="0" borderId="30" xfId="1" applyNumberFormat="1" applyFont="1" applyBorder="1" applyAlignment="1">
      <alignment horizontal="center"/>
    </xf>
    <xf numFmtId="166" fontId="41" fillId="0" borderId="30" xfId="0" applyNumberFormat="1" applyFont="1" applyBorder="1" applyAlignment="1">
      <alignment horizontal="center"/>
    </xf>
    <xf numFmtId="3" fontId="42" fillId="0" borderId="0" xfId="0" applyNumberFormat="1" applyFont="1" applyBorder="1" applyAlignment="1">
      <alignment horizontal="center"/>
    </xf>
    <xf numFmtId="183" fontId="42" fillId="0" borderId="0" xfId="0" applyNumberFormat="1" applyFont="1" applyBorder="1"/>
    <xf numFmtId="43" fontId="42" fillId="0" borderId="0" xfId="2" applyFont="1" applyBorder="1"/>
    <xf numFmtId="181" fontId="42" fillId="0" borderId="20" xfId="2" applyNumberFormat="1" applyFont="1" applyBorder="1"/>
    <xf numFmtId="10" fontId="42" fillId="0" borderId="0" xfId="3" applyNumberFormat="1" applyFont="1"/>
    <xf numFmtId="181" fontId="42" fillId="0" borderId="30" xfId="2" applyNumberFormat="1" applyFont="1" applyBorder="1"/>
    <xf numFmtId="171" fontId="41" fillId="0" borderId="0" xfId="0" applyNumberFormat="1" applyFont="1" applyBorder="1"/>
    <xf numFmtId="171" fontId="42" fillId="0" borderId="0" xfId="0" applyNumberFormat="1" applyFont="1"/>
    <xf numFmtId="167" fontId="42" fillId="0" borderId="8" xfId="0" applyNumberFormat="1" applyFont="1" applyBorder="1" applyAlignment="1">
      <alignment horizontal="right"/>
    </xf>
    <xf numFmtId="181" fontId="42" fillId="0" borderId="0" xfId="0" applyNumberFormat="1" applyFont="1"/>
    <xf numFmtId="37" fontId="41" fillId="0" borderId="0" xfId="0" applyNumberFormat="1" applyFont="1" applyBorder="1"/>
    <xf numFmtId="0" fontId="41" fillId="0" borderId="30" xfId="0" applyFont="1" applyBorder="1"/>
    <xf numFmtId="0" fontId="41" fillId="0" borderId="24" xfId="0" applyFont="1" applyBorder="1" applyAlignment="1">
      <alignment horizontal="right"/>
    </xf>
    <xf numFmtId="0" fontId="41" fillId="0" borderId="20" xfId="0" applyFont="1" applyBorder="1" applyAlignment="1">
      <alignment horizontal="left"/>
    </xf>
    <xf numFmtId="166" fontId="41" fillId="0" borderId="3" xfId="0" applyNumberFormat="1" applyFont="1" applyBorder="1" applyAlignment="1">
      <alignment horizontal="center"/>
    </xf>
    <xf numFmtId="0" fontId="42" fillId="0" borderId="40" xfId="0" applyFont="1" applyFill="1" applyBorder="1" applyAlignment="1">
      <alignment horizontal="right"/>
    </xf>
    <xf numFmtId="0" fontId="42" fillId="0" borderId="0" xfId="0" applyFont="1" applyFill="1" applyBorder="1" applyAlignment="1">
      <alignment horizontal="center"/>
    </xf>
    <xf numFmtId="44" fontId="42" fillId="0" borderId="0" xfId="0" applyNumberFormat="1" applyFont="1"/>
    <xf numFmtId="181" fontId="41" fillId="0" borderId="0" xfId="2" applyNumberFormat="1" applyFont="1" applyBorder="1"/>
    <xf numFmtId="0" fontId="42" fillId="0" borderId="30" xfId="0" applyFont="1" applyBorder="1"/>
    <xf numFmtId="0" fontId="42" fillId="0" borderId="30" xfId="0" applyFont="1" applyBorder="1" applyAlignment="1">
      <alignment horizontal="left"/>
    </xf>
    <xf numFmtId="166" fontId="42" fillId="0" borderId="30" xfId="0" applyNumberFormat="1" applyFont="1" applyBorder="1"/>
    <xf numFmtId="164" fontId="42" fillId="0" borderId="19" xfId="0" applyNumberFormat="1" applyFont="1" applyBorder="1" applyAlignment="1">
      <alignment horizontal="right"/>
    </xf>
    <xf numFmtId="164" fontId="42" fillId="0" borderId="0" xfId="0" applyNumberFormat="1" applyFont="1" applyAlignment="1">
      <alignment horizontal="right"/>
    </xf>
    <xf numFmtId="164" fontId="42" fillId="0" borderId="0" xfId="0" applyNumberFormat="1" applyFont="1"/>
    <xf numFmtId="0" fontId="34" fillId="0" borderId="41" xfId="4" applyFont="1" applyFill="1" applyBorder="1"/>
    <xf numFmtId="0" fontId="39" fillId="0" borderId="41" xfId="4" applyFont="1" applyFill="1" applyBorder="1"/>
    <xf numFmtId="0" fontId="40" fillId="0" borderId="41" xfId="4" applyFont="1" applyFill="1" applyBorder="1"/>
    <xf numFmtId="0" fontId="34" fillId="0" borderId="0" xfId="0" applyFont="1" applyAlignment="1">
      <alignment vertical="center"/>
    </xf>
    <xf numFmtId="3" fontId="34" fillId="0" borderId="0" xfId="0" applyNumberFormat="1" applyFont="1"/>
    <xf numFmtId="181" fontId="34" fillId="0" borderId="0" xfId="2" applyNumberFormat="1" applyFont="1"/>
    <xf numFmtId="0" fontId="41" fillId="0" borderId="0" xfId="0" applyFont="1" applyFill="1" applyAlignment="1">
      <alignment horizontal="right"/>
    </xf>
    <xf numFmtId="0" fontId="42" fillId="0" borderId="20" xfId="0" applyFont="1" applyFill="1" applyBorder="1" applyAlignment="1">
      <alignment horizontal="right"/>
    </xf>
    <xf numFmtId="0" fontId="42" fillId="0" borderId="18" xfId="0" applyFont="1" applyFill="1" applyBorder="1" applyAlignment="1">
      <alignment horizontal="right"/>
    </xf>
    <xf numFmtId="0" fontId="41" fillId="0" borderId="3" xfId="0" applyFont="1" applyFill="1" applyBorder="1" applyAlignment="1" applyProtection="1">
      <alignment horizontal="right"/>
      <protection locked="0"/>
    </xf>
    <xf numFmtId="0" fontId="41" fillId="0" borderId="0" xfId="0" applyFont="1" applyFill="1" applyBorder="1" applyAlignment="1">
      <alignment horizontal="right"/>
    </xf>
    <xf numFmtId="0" fontId="41" fillId="0" borderId="20" xfId="0" applyFont="1" applyFill="1" applyBorder="1" applyAlignment="1">
      <alignment horizontal="right"/>
    </xf>
    <xf numFmtId="3" fontId="42" fillId="0" borderId="0" xfId="0" applyNumberFormat="1" applyFont="1" applyFill="1" applyBorder="1" applyAlignment="1">
      <alignment horizontal="right"/>
    </xf>
    <xf numFmtId="0" fontId="41" fillId="0" borderId="30" xfId="0" applyFont="1" applyFill="1" applyBorder="1" applyAlignment="1">
      <alignment horizontal="right"/>
    </xf>
    <xf numFmtId="3" fontId="42" fillId="0" borderId="0" xfId="0" applyNumberFormat="1" applyFont="1" applyFill="1" applyBorder="1" applyAlignment="1" applyProtection="1">
      <alignment horizontal="right"/>
      <protection locked="0"/>
    </xf>
    <xf numFmtId="0" fontId="34" fillId="0" borderId="0" xfId="4" applyFont="1" applyFill="1" applyAlignment="1">
      <alignment wrapText="1"/>
    </xf>
    <xf numFmtId="0" fontId="34" fillId="0" borderId="0" xfId="4" applyFont="1" applyFill="1" applyAlignment="1">
      <alignment horizontal="center" wrapText="1"/>
    </xf>
    <xf numFmtId="181" fontId="35" fillId="0" borderId="0" xfId="2" applyNumberFormat="1" applyFont="1" applyFill="1" applyAlignment="1">
      <alignment horizontal="left" wrapText="1"/>
    </xf>
    <xf numFmtId="0" fontId="34" fillId="0" borderId="41" xfId="4" applyFont="1" applyFill="1" applyBorder="1" applyAlignment="1">
      <alignment wrapText="1"/>
    </xf>
    <xf numFmtId="0" fontId="43" fillId="0" borderId="0" xfId="4" applyFont="1" applyFill="1"/>
    <xf numFmtId="185" fontId="43" fillId="0" borderId="0" xfId="4" applyNumberFormat="1" applyFont="1" applyFill="1"/>
    <xf numFmtId="187" fontId="43" fillId="0" borderId="0" xfId="4" applyNumberFormat="1" applyFont="1" applyFill="1"/>
    <xf numFmtId="37" fontId="43" fillId="0" borderId="0" xfId="74" applyFont="1" applyFill="1" applyAlignment="1">
      <alignment horizontal="left"/>
    </xf>
    <xf numFmtId="0" fontId="43" fillId="0" borderId="41" xfId="4" applyFont="1" applyFill="1" applyBorder="1"/>
    <xf numFmtId="37" fontId="43" fillId="0" borderId="0" xfId="74" applyFont="1" applyFill="1" applyAlignment="1"/>
    <xf numFmtId="0" fontId="43" fillId="0" borderId="0" xfId="4" applyFont="1" applyFill="1" applyAlignment="1">
      <alignment horizontal="left"/>
    </xf>
    <xf numFmtId="10" fontId="43" fillId="0" borderId="0" xfId="4" applyNumberFormat="1" applyFont="1" applyFill="1" applyProtection="1">
      <protection locked="0"/>
    </xf>
    <xf numFmtId="0" fontId="36" fillId="0" borderId="0" xfId="4" applyFont="1" applyFill="1" applyAlignment="1">
      <alignment horizontal="left"/>
    </xf>
    <xf numFmtId="0" fontId="34" fillId="0" borderId="0" xfId="4" applyFont="1" applyFill="1" applyAlignment="1">
      <alignment horizontal="left" wrapText="1"/>
    </xf>
    <xf numFmtId="0" fontId="34" fillId="0" borderId="0" xfId="4" quotePrefix="1" applyFont="1" applyFill="1" applyAlignment="1">
      <alignment horizontal="left"/>
    </xf>
    <xf numFmtId="0" fontId="37" fillId="0" borderId="0" xfId="4" applyFont="1" applyFill="1" applyAlignment="1">
      <alignment horizontal="left"/>
    </xf>
    <xf numFmtId="0" fontId="40" fillId="0" borderId="0" xfId="4" applyFont="1" applyFill="1" applyAlignment="1">
      <alignment horizontal="left"/>
    </xf>
    <xf numFmtId="0" fontId="40" fillId="0" borderId="0" xfId="4" quotePrefix="1" applyFont="1" applyFill="1" applyAlignment="1">
      <alignment horizontal="left"/>
    </xf>
    <xf numFmtId="44" fontId="42" fillId="0" borderId="0" xfId="1" applyFont="1" applyBorder="1"/>
    <xf numFmtId="44" fontId="42" fillId="0" borderId="0" xfId="1" applyNumberFormat="1" applyFont="1" applyBorder="1"/>
    <xf numFmtId="44" fontId="41" fillId="0" borderId="31" xfId="1" applyNumberFormat="1" applyFont="1" applyFill="1" applyBorder="1"/>
    <xf numFmtId="44" fontId="42" fillId="0" borderId="0" xfId="1" applyFont="1" applyFill="1" applyBorder="1"/>
    <xf numFmtId="0" fontId="41" fillId="0" borderId="2" xfId="0" applyFont="1" applyFill="1" applyBorder="1" applyAlignment="1">
      <alignment horizontal="right"/>
    </xf>
    <xf numFmtId="5" fontId="3" fillId="0" borderId="0" xfId="75" applyFont="1"/>
    <xf numFmtId="37" fontId="3" fillId="0" borderId="0" xfId="74" applyFont="1"/>
    <xf numFmtId="5" fontId="3" fillId="0" borderId="30" xfId="75" applyFont="1" applyBorder="1"/>
    <xf numFmtId="5" fontId="3" fillId="0" borderId="44" xfId="75" applyFont="1" applyBorder="1"/>
    <xf numFmtId="0" fontId="42" fillId="0" borderId="0" xfId="4" applyFont="1"/>
    <xf numFmtId="0" fontId="42" fillId="0" borderId="0" xfId="4" applyFont="1" applyAlignment="1">
      <alignment horizontal="left" wrapText="1"/>
    </xf>
    <xf numFmtId="193" fontId="42" fillId="0" borderId="0" xfId="4" applyNumberFormat="1" applyFont="1" applyFill="1" applyAlignment="1">
      <alignment horizontal="center" wrapText="1"/>
    </xf>
    <xf numFmtId="0" fontId="42" fillId="0" borderId="0" xfId="4" applyFont="1" applyAlignment="1">
      <alignment horizontal="center" wrapText="1"/>
    </xf>
    <xf numFmtId="187" fontId="42" fillId="0" borderId="0" xfId="4" applyNumberFormat="1" applyFont="1" applyAlignment="1">
      <alignment horizontal="center" wrapText="1"/>
    </xf>
    <xf numFmtId="0" fontId="41" fillId="0" borderId="0" xfId="4" applyFont="1"/>
    <xf numFmtId="193" fontId="42" fillId="0" borderId="0" xfId="4" applyNumberFormat="1" applyFont="1" applyFill="1"/>
    <xf numFmtId="187" fontId="42" fillId="0" borderId="0" xfId="4" applyNumberFormat="1" applyFont="1"/>
    <xf numFmtId="37" fontId="42" fillId="0" borderId="0" xfId="4" applyNumberFormat="1" applyFont="1"/>
    <xf numFmtId="193" fontId="42" fillId="0" borderId="0" xfId="75" applyNumberFormat="1" applyFont="1" applyFill="1"/>
    <xf numFmtId="37" fontId="42" fillId="0" borderId="30" xfId="4" applyNumberFormat="1" applyFont="1" applyBorder="1"/>
    <xf numFmtId="5" fontId="42" fillId="0" borderId="0" xfId="4" applyNumberFormat="1" applyFont="1"/>
    <xf numFmtId="37" fontId="42" fillId="0" borderId="44" xfId="4" applyNumberFormat="1" applyFont="1" applyBorder="1"/>
    <xf numFmtId="3" fontId="42" fillId="0" borderId="0" xfId="4" applyNumberFormat="1" applyFont="1"/>
    <xf numFmtId="0" fontId="42" fillId="0" borderId="0" xfId="4" quotePrefix="1" applyFont="1"/>
    <xf numFmtId="37" fontId="42" fillId="0" borderId="0" xfId="4" applyNumberFormat="1" applyFont="1" applyBorder="1"/>
    <xf numFmtId="0" fontId="41" fillId="0" borderId="0" xfId="4" applyFont="1" applyFill="1"/>
    <xf numFmtId="171" fontId="42" fillId="0" borderId="0" xfId="1" applyNumberFormat="1" applyFont="1"/>
    <xf numFmtId="193" fontId="41" fillId="0" borderId="0" xfId="4" applyNumberFormat="1" applyFont="1" applyFill="1"/>
    <xf numFmtId="187" fontId="41" fillId="0" borderId="0" xfId="4" applyNumberFormat="1" applyFont="1"/>
    <xf numFmtId="0" fontId="41" fillId="15" borderId="10" xfId="4" applyFont="1" applyFill="1" applyBorder="1" applyAlignment="1">
      <alignment horizontal="center" vertical="center" wrapText="1"/>
    </xf>
    <xf numFmtId="193" fontId="46" fillId="15" borderId="10" xfId="4" applyNumberFormat="1" applyFont="1" applyFill="1" applyBorder="1" applyAlignment="1">
      <alignment horizontal="center" wrapText="1"/>
    </xf>
    <xf numFmtId="187" fontId="41" fillId="15" borderId="10" xfId="4" applyNumberFormat="1" applyFont="1" applyFill="1" applyBorder="1" applyAlignment="1">
      <alignment horizontal="center" vertical="center" wrapText="1"/>
    </xf>
    <xf numFmtId="171" fontId="42" fillId="0" borderId="44" xfId="1" applyNumberFormat="1" applyFont="1" applyBorder="1"/>
    <xf numFmtId="0" fontId="41" fillId="0" borderId="0" xfId="4" applyFont="1" applyBorder="1"/>
    <xf numFmtId="0" fontId="41" fillId="0" borderId="0" xfId="4" applyFont="1" applyBorder="1" applyAlignment="1">
      <alignment horizontal="left" indent="1"/>
    </xf>
    <xf numFmtId="0" fontId="42" fillId="0" borderId="0" xfId="4" applyFont="1" applyBorder="1"/>
    <xf numFmtId="37" fontId="41" fillId="0" borderId="0" xfId="4" applyNumberFormat="1" applyFont="1"/>
    <xf numFmtId="5" fontId="32" fillId="0" borderId="0" xfId="75" applyFont="1"/>
    <xf numFmtId="5" fontId="41" fillId="0" borderId="23" xfId="4" applyNumberFormat="1" applyFont="1" applyBorder="1"/>
    <xf numFmtId="171" fontId="41" fillId="0" borderId="0" xfId="4" applyNumberFormat="1" applyFont="1" applyBorder="1"/>
    <xf numFmtId="43" fontId="42" fillId="0" borderId="0" xfId="2" applyFont="1"/>
    <xf numFmtId="176" fontId="42" fillId="0" borderId="0" xfId="1" applyNumberFormat="1" applyFont="1"/>
    <xf numFmtId="176" fontId="42" fillId="0" borderId="0" xfId="2" applyNumberFormat="1" applyFont="1"/>
    <xf numFmtId="7" fontId="42" fillId="0" borderId="0" xfId="4" applyNumberFormat="1" applyFont="1"/>
    <xf numFmtId="0" fontId="29" fillId="0" borderId="24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29" xfId="0" applyFont="1" applyFill="1" applyBorder="1" applyAlignment="1">
      <alignment horizontal="left" vertical="center"/>
    </xf>
    <xf numFmtId="191" fontId="30" fillId="15" borderId="10" xfId="4" applyNumberFormat="1" applyFont="1" applyFill="1" applyBorder="1" applyAlignment="1">
      <alignment horizontal="center"/>
    </xf>
    <xf numFmtId="43" fontId="29" fillId="0" borderId="20" xfId="2" applyNumberFormat="1" applyFont="1" applyFill="1" applyBorder="1" applyAlignment="1">
      <alignment horizontal="center" vertical="center"/>
    </xf>
    <xf numFmtId="43" fontId="29" fillId="0" borderId="0" xfId="2" applyNumberFormat="1" applyFont="1" applyFill="1" applyBorder="1" applyAlignment="1">
      <alignment horizontal="center" vertical="center"/>
    </xf>
    <xf numFmtId="43" fontId="29" fillId="0" borderId="30" xfId="2" applyNumberFormat="1" applyFont="1" applyFill="1" applyBorder="1" applyAlignment="1">
      <alignment horizontal="center" vertical="center"/>
    </xf>
    <xf numFmtId="164" fontId="29" fillId="0" borderId="37" xfId="0" quotePrefix="1" applyNumberFormat="1" applyFont="1" applyFill="1" applyBorder="1" applyAlignment="1">
      <alignment vertical="center"/>
    </xf>
    <xf numFmtId="164" fontId="29" fillId="0" borderId="8" xfId="0" quotePrefix="1" applyNumberFormat="1" applyFont="1" applyFill="1" applyBorder="1" applyAlignment="1">
      <alignment vertical="center"/>
    </xf>
    <xf numFmtId="164" fontId="29" fillId="0" borderId="39" xfId="0" quotePrefix="1" applyNumberFormat="1" applyFont="1" applyFill="1" applyBorder="1" applyAlignment="1">
      <alignment vertical="center"/>
    </xf>
    <xf numFmtId="43" fontId="29" fillId="0" borderId="7" xfId="2" applyNumberFormat="1" applyFont="1" applyFill="1" applyBorder="1" applyAlignment="1">
      <alignment horizontal="center" vertical="center"/>
    </xf>
    <xf numFmtId="43" fontId="29" fillId="0" borderId="36" xfId="2" applyNumberFormat="1" applyFont="1" applyFill="1" applyBorder="1" applyAlignment="1">
      <alignment horizontal="center" vertical="center"/>
    </xf>
    <xf numFmtId="43" fontId="29" fillId="0" borderId="38" xfId="2" applyNumberFormat="1" applyFont="1" applyFill="1" applyBorder="1" applyAlignment="1">
      <alignment horizontal="center" vertical="center"/>
    </xf>
    <xf numFmtId="0" fontId="29" fillId="0" borderId="9" xfId="4" applyFont="1" applyFill="1" applyBorder="1" applyAlignment="1">
      <alignment horizontal="left" vertical="center"/>
    </xf>
    <xf numFmtId="0" fontId="29" fillId="0" borderId="24" xfId="4" applyFont="1" applyFill="1" applyBorder="1" applyAlignment="1">
      <alignment horizontal="left" vertical="center"/>
    </xf>
    <xf numFmtId="0" fontId="29" fillId="0" borderId="29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29" fillId="0" borderId="7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29" fillId="0" borderId="24" xfId="4" applyFont="1" applyFill="1" applyBorder="1" applyAlignment="1">
      <alignment horizontal="left" vertical="center" wrapText="1"/>
    </xf>
    <xf numFmtId="0" fontId="29" fillId="0" borderId="9" xfId="4" applyFont="1" applyFill="1" applyBorder="1" applyAlignment="1">
      <alignment horizontal="left" vertical="center" wrapText="1"/>
    </xf>
    <xf numFmtId="0" fontId="29" fillId="0" borderId="29" xfId="4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9" fillId="0" borderId="3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164" fontId="29" fillId="0" borderId="37" xfId="0" quotePrefix="1" applyNumberFormat="1" applyFont="1" applyFill="1" applyBorder="1" applyAlignment="1">
      <alignment horizontal="center" vertical="center"/>
    </xf>
    <xf numFmtId="164" fontId="29" fillId="0" borderId="8" xfId="0" quotePrefix="1" applyNumberFormat="1" applyFont="1" applyFill="1" applyBorder="1" applyAlignment="1">
      <alignment horizontal="center" vertical="center"/>
    </xf>
    <xf numFmtId="164" fontId="29" fillId="0" borderId="39" xfId="0" quotePrefix="1" applyNumberFormat="1" applyFont="1" applyFill="1" applyBorder="1" applyAlignment="1">
      <alignment horizontal="center" vertical="center"/>
    </xf>
    <xf numFmtId="0" fontId="30" fillId="15" borderId="24" xfId="4" applyFont="1" applyFill="1" applyBorder="1" applyAlignment="1">
      <alignment horizontal="center" vertical="center"/>
    </xf>
    <xf numFmtId="0" fontId="30" fillId="15" borderId="29" xfId="4" applyFont="1" applyFill="1" applyBorder="1" applyAlignment="1">
      <alignment horizontal="center" vertical="center"/>
    </xf>
    <xf numFmtId="0" fontId="30" fillId="15" borderId="36" xfId="4" applyFont="1" applyFill="1" applyBorder="1" applyAlignment="1">
      <alignment horizontal="center" vertical="center"/>
    </xf>
    <xf numFmtId="0" fontId="30" fillId="15" borderId="37" xfId="4" applyFont="1" applyFill="1" applyBorder="1" applyAlignment="1">
      <alignment horizontal="center" vertical="center"/>
    </xf>
    <xf numFmtId="0" fontId="30" fillId="15" borderId="38" xfId="4" applyFont="1" applyFill="1" applyBorder="1" applyAlignment="1">
      <alignment horizontal="center" vertical="center"/>
    </xf>
    <xf numFmtId="0" fontId="30" fillId="15" borderId="39" xfId="4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166" fontId="41" fillId="0" borderId="20" xfId="0" applyNumberFormat="1" applyFont="1" applyBorder="1" applyAlignment="1">
      <alignment horizontal="center"/>
    </xf>
    <xf numFmtId="166" fontId="41" fillId="0" borderId="3" xfId="0" applyNumberFormat="1" applyFont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166" fontId="41" fillId="0" borderId="20" xfId="0" applyNumberFormat="1" applyFont="1" applyFill="1" applyBorder="1" applyAlignment="1">
      <alignment horizontal="center"/>
    </xf>
    <xf numFmtId="166" fontId="41" fillId="0" borderId="3" xfId="0" applyNumberFormat="1" applyFont="1" applyFill="1" applyBorder="1" applyAlignment="1">
      <alignment horizontal="center"/>
    </xf>
    <xf numFmtId="166" fontId="41" fillId="0" borderId="2" xfId="0" applyNumberFormat="1" applyFont="1" applyFill="1" applyBorder="1" applyAlignment="1">
      <alignment horizontal="center"/>
    </xf>
    <xf numFmtId="0" fontId="29" fillId="8" borderId="24" xfId="4" applyFont="1" applyFill="1" applyBorder="1" applyAlignment="1">
      <alignment horizontal="center" vertical="center"/>
    </xf>
    <xf numFmtId="0" fontId="29" fillId="8" borderId="9" xfId="4" applyFont="1" applyFill="1" applyBorder="1" applyAlignment="1">
      <alignment horizontal="center" vertical="center"/>
    </xf>
    <xf numFmtId="0" fontId="29" fillId="8" borderId="29" xfId="4" applyFont="1" applyFill="1" applyBorder="1" applyAlignment="1">
      <alignment horizontal="center" vertical="center"/>
    </xf>
    <xf numFmtId="0" fontId="29" fillId="9" borderId="24" xfId="4" applyFont="1" applyFill="1" applyBorder="1" applyAlignment="1">
      <alignment horizontal="center" vertical="center"/>
    </xf>
    <xf numFmtId="0" fontId="29" fillId="9" borderId="9" xfId="4" applyFont="1" applyFill="1" applyBorder="1" applyAlignment="1">
      <alignment horizontal="center" vertical="center"/>
    </xf>
    <xf numFmtId="0" fontId="29" fillId="9" borderId="29" xfId="4" applyFont="1" applyFill="1" applyBorder="1" applyAlignment="1">
      <alignment horizontal="center" vertical="center"/>
    </xf>
    <xf numFmtId="191" fontId="29" fillId="10" borderId="22" xfId="4" applyNumberFormat="1" applyFont="1" applyFill="1" applyBorder="1" applyAlignment="1">
      <alignment horizontal="center"/>
    </xf>
    <xf numFmtId="191" fontId="29" fillId="10" borderId="21" xfId="4" applyNumberFormat="1" applyFont="1" applyFill="1" applyBorder="1" applyAlignment="1">
      <alignment horizontal="center"/>
    </xf>
    <xf numFmtId="0" fontId="30" fillId="8" borderId="24" xfId="0" applyFont="1" applyFill="1" applyBorder="1" applyAlignment="1">
      <alignment horizontal="center" vertical="center"/>
    </xf>
    <xf numFmtId="0" fontId="30" fillId="8" borderId="29" xfId="0" applyFont="1" applyFill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9" borderId="29" xfId="0" applyFont="1" applyFill="1" applyBorder="1" applyAlignment="1">
      <alignment horizontal="center" vertical="center"/>
    </xf>
    <xf numFmtId="0" fontId="30" fillId="8" borderId="9" xfId="0" applyFont="1" applyFill="1" applyBorder="1" applyAlignment="1">
      <alignment horizontal="center" vertical="center"/>
    </xf>
    <xf numFmtId="0" fontId="34" fillId="0" borderId="0" xfId="4" applyFont="1" applyFill="1" applyAlignment="1">
      <alignment horizontal="center"/>
    </xf>
  </cellXfs>
  <cellStyles count="83">
    <cellStyle name="Calculation 2" xfId="7" xr:uid="{00000000-0005-0000-0000-000000000000}"/>
    <cellStyle name="Calculation 3" xfId="8" xr:uid="{00000000-0005-0000-0000-000001000000}"/>
    <cellStyle name="Comma" xfId="2" builtinId="3"/>
    <cellStyle name="Comma 2" xfId="9" xr:uid="{00000000-0005-0000-0000-000003000000}"/>
    <cellStyle name="Comma 3" xfId="66" xr:uid="{584CC732-8161-4197-B059-D1288E955133}"/>
    <cellStyle name="Comma 3 2" xfId="68" xr:uid="{2C36F694-2B57-4DDD-B139-C6D5C4F64F17}"/>
    <cellStyle name="Comma 4" xfId="74" xr:uid="{2F31ED8B-D113-4FA0-9B31-65770C15585B}"/>
    <cellStyle name="Comma0" xfId="10" xr:uid="{00000000-0005-0000-0000-000004000000}"/>
    <cellStyle name="Comma0 - Style4" xfId="11" xr:uid="{00000000-0005-0000-0000-000005000000}"/>
    <cellStyle name="Comma1 - Style1" xfId="12" xr:uid="{00000000-0005-0000-0000-000006000000}"/>
    <cellStyle name="Curren - Style2" xfId="13" xr:uid="{00000000-0005-0000-0000-000007000000}"/>
    <cellStyle name="Currency" xfId="1" builtinId="4"/>
    <cellStyle name="Currency 2" xfId="14" xr:uid="{00000000-0005-0000-0000-000009000000}"/>
    <cellStyle name="Currency 3" xfId="15" xr:uid="{00000000-0005-0000-0000-00000A000000}"/>
    <cellStyle name="Currency 4" xfId="75" xr:uid="{4F87A797-EDCA-48A3-AD11-7A5C77998795}"/>
    <cellStyle name="Currency0" xfId="16" xr:uid="{00000000-0005-0000-0000-00000B000000}"/>
    <cellStyle name="Date" xfId="17" xr:uid="{00000000-0005-0000-0000-00000C000000}"/>
    <cellStyle name="Date 2" xfId="18" xr:uid="{00000000-0005-0000-0000-00000D000000}"/>
    <cellStyle name="Entered" xfId="19" xr:uid="{00000000-0005-0000-0000-00000E000000}"/>
    <cellStyle name="Entered 2" xfId="20" xr:uid="{00000000-0005-0000-0000-00000F000000}"/>
    <cellStyle name="Fixed" xfId="21" xr:uid="{00000000-0005-0000-0000-000010000000}"/>
    <cellStyle name="Grey" xfId="22" xr:uid="{00000000-0005-0000-0000-000011000000}"/>
    <cellStyle name="Heading 1 2" xfId="23" xr:uid="{00000000-0005-0000-0000-000012000000}"/>
    <cellStyle name="Heading 1 3" xfId="24" xr:uid="{00000000-0005-0000-0000-000013000000}"/>
    <cellStyle name="Heading 2 2" xfId="25" xr:uid="{00000000-0005-0000-0000-000014000000}"/>
    <cellStyle name="Heading 2 3" xfId="26" xr:uid="{00000000-0005-0000-0000-000015000000}"/>
    <cellStyle name="Heading1" xfId="27" xr:uid="{00000000-0005-0000-0000-000016000000}"/>
    <cellStyle name="Heading2" xfId="28" xr:uid="{00000000-0005-0000-0000-000017000000}"/>
    <cellStyle name="Input [yellow]" xfId="29" xr:uid="{00000000-0005-0000-0000-000019000000}"/>
    <cellStyle name="modified border" xfId="30" xr:uid="{00000000-0005-0000-0000-00001A000000}"/>
    <cellStyle name="modified border1" xfId="31" xr:uid="{00000000-0005-0000-0000-00001B000000}"/>
    <cellStyle name="Normal" xfId="0" builtinId="0"/>
    <cellStyle name="Normal - Style1" xfId="32" xr:uid="{00000000-0005-0000-0000-00001D000000}"/>
    <cellStyle name="Normal - Style1 2" xfId="33" xr:uid="{00000000-0005-0000-0000-00001E000000}"/>
    <cellStyle name="Normal 2" xfId="4" xr:uid="{00000000-0005-0000-0000-00001F000000}"/>
    <cellStyle name="Normal 2 16 2" xfId="34" xr:uid="{00000000-0005-0000-0000-000020000000}"/>
    <cellStyle name="Normal 3" xfId="35" xr:uid="{00000000-0005-0000-0000-000021000000}"/>
    <cellStyle name="Normal 3 2" xfId="63" xr:uid="{00000000-0005-0000-0000-000022000000}"/>
    <cellStyle name="Normal 4" xfId="62" xr:uid="{00000000-0005-0000-0000-000023000000}"/>
    <cellStyle name="Normal 4 3" xfId="67" xr:uid="{16049DE5-C782-4AC3-AD1C-61BB9BC98E51}"/>
    <cellStyle name="Normal 5" xfId="65" xr:uid="{3CAE7CCA-EC47-45E3-9A1E-05442D768188}"/>
    <cellStyle name="Percen - Style2" xfId="36" xr:uid="{00000000-0005-0000-0000-000024000000}"/>
    <cellStyle name="Percen - Style3" xfId="37" xr:uid="{00000000-0005-0000-0000-000025000000}"/>
    <cellStyle name="Percent" xfId="3" builtinId="5"/>
    <cellStyle name="Percent [2]" xfId="38" xr:uid="{00000000-0005-0000-0000-000027000000}"/>
    <cellStyle name="Percent [2] 2" xfId="39" xr:uid="{00000000-0005-0000-0000-000028000000}"/>
    <cellStyle name="Percent 2" xfId="40" xr:uid="{00000000-0005-0000-0000-000029000000}"/>
    <cellStyle name="Percent 3" xfId="5" xr:uid="{00000000-0005-0000-0000-00002A000000}"/>
    <cellStyle name="Report" xfId="41" xr:uid="{00000000-0005-0000-0000-00002B000000}"/>
    <cellStyle name="Report - Style5" xfId="42" xr:uid="{00000000-0005-0000-0000-00002C000000}"/>
    <cellStyle name="Report - Style6" xfId="43" xr:uid="{00000000-0005-0000-0000-00002D000000}"/>
    <cellStyle name="Report - Style6 2" xfId="76" xr:uid="{E586FA20-5B1B-4270-A078-86709858888F}"/>
    <cellStyle name="Report - Style7" xfId="44" xr:uid="{00000000-0005-0000-0000-00002E000000}"/>
    <cellStyle name="Report - Style7 2" xfId="77" xr:uid="{CD681454-A843-45B8-8EB0-EB066FD90CF6}"/>
    <cellStyle name="Report - Style8" xfId="45" xr:uid="{00000000-0005-0000-0000-00002F000000}"/>
    <cellStyle name="Report - Style8 2" xfId="78" xr:uid="{7B4C54DB-199F-4AF5-B074-95C83D9DD4A3}"/>
    <cellStyle name="Report Bar" xfId="46" xr:uid="{00000000-0005-0000-0000-000030000000}"/>
    <cellStyle name="Report Heading" xfId="47" xr:uid="{00000000-0005-0000-0000-000031000000}"/>
    <cellStyle name="Report Heading 2" xfId="64" xr:uid="{00000000-0005-0000-0000-000032000000}"/>
    <cellStyle name="Report Heading 2 2" xfId="82" xr:uid="{81047886-4D4D-4F25-9355-1D756ED5759F}"/>
    <cellStyle name="Report Heading 3" xfId="79" xr:uid="{608E6476-15F4-400D-B208-BE1FEE8EB788}"/>
    <cellStyle name="Report Unit Cost" xfId="48" xr:uid="{00000000-0005-0000-0000-000033000000}"/>
    <cellStyle name="Report Unit Cost 2" xfId="49" xr:uid="{00000000-0005-0000-0000-000034000000}"/>
    <cellStyle name="Reports Total" xfId="50" xr:uid="{00000000-0005-0000-0000-000035000000}"/>
    <cellStyle name="Reports Total 2" xfId="80" xr:uid="{DFA5DB81-2EDA-407B-8C57-A9FD21E7147E}"/>
    <cellStyle name="SAPDataCell" xfId="71" xr:uid="{715065DD-1B08-4A09-9995-AE16C40A2FC7}"/>
    <cellStyle name="SAPDataTotalCell" xfId="73" xr:uid="{E94A7065-597E-4F68-A512-737E5F9AB6CD}"/>
    <cellStyle name="SAPDimensionCell" xfId="69" xr:uid="{5C7DD5DE-EF34-4EA8-8EB1-9AF372C200A0}"/>
    <cellStyle name="SAPMemberCell" xfId="70" xr:uid="{C010881A-5D68-4AEC-BD9D-4B7C266954AA}"/>
    <cellStyle name="SAPMemberTotalCell" xfId="72" xr:uid="{00D177F9-4AFB-45A0-A47C-443DD32F2A5B}"/>
    <cellStyle name="StmtTtl1" xfId="51" xr:uid="{00000000-0005-0000-0000-000036000000}"/>
    <cellStyle name="StmtTtl2" xfId="52" xr:uid="{00000000-0005-0000-0000-000037000000}"/>
    <cellStyle name="StmtTtl2 2" xfId="81" xr:uid="{BF4454FF-9859-464C-91DE-B7143CAC89B6}"/>
    <cellStyle name="Style 1" xfId="53" xr:uid="{00000000-0005-0000-0000-000038000000}"/>
    <cellStyle name="Style 1 2" xfId="54" xr:uid="{00000000-0005-0000-0000-000039000000}"/>
    <cellStyle name="Test" xfId="6" xr:uid="{00000000-0005-0000-0000-00003A000000}"/>
    <cellStyle name="Title: - Style3" xfId="55" xr:uid="{00000000-0005-0000-0000-00003B000000}"/>
    <cellStyle name="Title: - Style4" xfId="56" xr:uid="{00000000-0005-0000-0000-00003C000000}"/>
    <cellStyle name="Title: Major" xfId="57" xr:uid="{00000000-0005-0000-0000-00003D000000}"/>
    <cellStyle name="Title: Minor" xfId="58" xr:uid="{00000000-0005-0000-0000-00003E000000}"/>
    <cellStyle name="Title: Worksheet" xfId="59" xr:uid="{00000000-0005-0000-0000-00003F000000}"/>
    <cellStyle name="Total 2" xfId="60" xr:uid="{00000000-0005-0000-0000-000040000000}"/>
    <cellStyle name="Total 3" xfId="61" xr:uid="{00000000-0005-0000-0000-000041000000}"/>
  </cellStyles>
  <dxfs count="0"/>
  <tableStyles count="0" defaultTableStyle="TableStyleMedium2" defaultPivotStyle="PivotStyleLight16"/>
  <colors>
    <mruColors>
      <color rgb="FF0000FF"/>
      <color rgb="FFFFFF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'Exhibit JDT-4'!$A$6</c:f>
          <c:strCache>
            <c:ptCount val="1"/>
            <c:pt idx="0">
              <c:v>RESIDENTIAL SALES</c:v>
            </c:pt>
          </c:strCache>
        </c:strRef>
      </c:tx>
      <c:layout>
        <c:manualLayout>
          <c:xMode val="edge"/>
          <c:yMode val="edge"/>
          <c:x val="0.43251796181117858"/>
          <c:y val="2.85359382677195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JDT-4'!$E$27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JDT-4'!$B$31:$B$60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JDT-4'!$E$31:$E$60</c:f>
              <c:numCache>
                <c:formatCode>#,##0.00_);\(#,##0.00\)</c:formatCode>
                <c:ptCount val="30"/>
                <c:pt idx="0">
                  <c:v>1.5210000000000001</c:v>
                </c:pt>
                <c:pt idx="1">
                  <c:v>0.92149999999999999</c:v>
                </c:pt>
                <c:pt idx="2">
                  <c:v>0.72133333333333338</c:v>
                </c:pt>
                <c:pt idx="3">
                  <c:v>0.62149999999999994</c:v>
                </c:pt>
                <c:pt idx="4">
                  <c:v>0.56140000000000001</c:v>
                </c:pt>
                <c:pt idx="5">
                  <c:v>0.50616666666666665</c:v>
                </c:pt>
                <c:pt idx="6">
                  <c:v>0.46671428571428575</c:v>
                </c:pt>
                <c:pt idx="7">
                  <c:v>0.43712499999999999</c:v>
                </c:pt>
                <c:pt idx="8">
                  <c:v>0.41411111111111115</c:v>
                </c:pt>
                <c:pt idx="9">
                  <c:v>0.3957</c:v>
                </c:pt>
                <c:pt idx="10">
                  <c:v>0.38063636363636361</c:v>
                </c:pt>
                <c:pt idx="11">
                  <c:v>0.36808333333333337</c:v>
                </c:pt>
                <c:pt idx="12">
                  <c:v>0.35746153846153844</c:v>
                </c:pt>
                <c:pt idx="13">
                  <c:v>0.34835714285714287</c:v>
                </c:pt>
                <c:pt idx="14">
                  <c:v>0.3404666666666667</c:v>
                </c:pt>
                <c:pt idx="15">
                  <c:v>0.33356249999999998</c:v>
                </c:pt>
                <c:pt idx="16">
                  <c:v>0.32741176470588235</c:v>
                </c:pt>
                <c:pt idx="17">
                  <c:v>0.32200000000000001</c:v>
                </c:pt>
                <c:pt idx="18">
                  <c:v>0.31715789473684208</c:v>
                </c:pt>
                <c:pt idx="19">
                  <c:v>0.31280000000000002</c:v>
                </c:pt>
                <c:pt idx="20">
                  <c:v>0.30885714285714283</c:v>
                </c:pt>
                <c:pt idx="21">
                  <c:v>0.30527272727272725</c:v>
                </c:pt>
                <c:pt idx="22">
                  <c:v>0.30199999999999999</c:v>
                </c:pt>
                <c:pt idx="23">
                  <c:v>0.29900000000000004</c:v>
                </c:pt>
                <c:pt idx="24">
                  <c:v>0.29624</c:v>
                </c:pt>
                <c:pt idx="25">
                  <c:v>0.2936923076923077</c:v>
                </c:pt>
                <c:pt idx="26">
                  <c:v>0.29133333333333333</c:v>
                </c:pt>
                <c:pt idx="27">
                  <c:v>0.28914285714285715</c:v>
                </c:pt>
                <c:pt idx="28">
                  <c:v>0.28710344827586209</c:v>
                </c:pt>
                <c:pt idx="29">
                  <c:v>0.28520000000000001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7-4D88-9FE1-0A45719CED8C}"/>
            </c:ext>
          </c:extLst>
        </c:ser>
        <c:ser>
          <c:idx val="3"/>
          <c:order val="1"/>
          <c:tx>
            <c:strRef>
              <c:f>'Exhibit JDT-4'!$F$27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JDT-4'!$B$31:$B$60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JDT-4'!$F$31:$F$60</c:f>
              <c:numCache>
                <c:formatCode>#,##0.00_);\(#,##0.00\)</c:formatCode>
                <c:ptCount val="30"/>
                <c:pt idx="0">
                  <c:v>2.105</c:v>
                </c:pt>
                <c:pt idx="1">
                  <c:v>1.2044999999999999</c:v>
                </c:pt>
                <c:pt idx="2">
                  <c:v>0.90466666666666673</c:v>
                </c:pt>
                <c:pt idx="3">
                  <c:v>0.75449999999999995</c:v>
                </c:pt>
                <c:pt idx="4">
                  <c:v>0.66459999999999997</c:v>
                </c:pt>
                <c:pt idx="5">
                  <c:v>0.60450000000000004</c:v>
                </c:pt>
                <c:pt idx="6">
                  <c:v>0.56171428571428572</c:v>
                </c:pt>
                <c:pt idx="7">
                  <c:v>0.52962500000000001</c:v>
                </c:pt>
                <c:pt idx="8">
                  <c:v>0.50455555555555553</c:v>
                </c:pt>
                <c:pt idx="9">
                  <c:v>0.48460000000000003</c:v>
                </c:pt>
                <c:pt idx="10">
                  <c:v>0.4681818181818182</c:v>
                </c:pt>
                <c:pt idx="11">
                  <c:v>0.45458333333333328</c:v>
                </c:pt>
                <c:pt idx="12">
                  <c:v>0.443</c:v>
                </c:pt>
                <c:pt idx="13">
                  <c:v>0.43314285714285716</c:v>
                </c:pt>
                <c:pt idx="14">
                  <c:v>0.42459999999999998</c:v>
                </c:pt>
                <c:pt idx="15">
                  <c:v>0.4170625</c:v>
                </c:pt>
                <c:pt idx="16">
                  <c:v>0.41047058823529414</c:v>
                </c:pt>
                <c:pt idx="17">
                  <c:v>0.4045555555555555</c:v>
                </c:pt>
                <c:pt idx="18">
                  <c:v>0.39931578947368424</c:v>
                </c:pt>
                <c:pt idx="19">
                  <c:v>0.39454999999999996</c:v>
                </c:pt>
                <c:pt idx="20">
                  <c:v>0.39028571428571424</c:v>
                </c:pt>
                <c:pt idx="21">
                  <c:v>0.38640909090909092</c:v>
                </c:pt>
                <c:pt idx="22">
                  <c:v>0.38282608695652171</c:v>
                </c:pt>
                <c:pt idx="23">
                  <c:v>0.37958333333333333</c:v>
                </c:pt>
                <c:pt idx="24">
                  <c:v>0.37656000000000001</c:v>
                </c:pt>
                <c:pt idx="25">
                  <c:v>0.37380769230769229</c:v>
                </c:pt>
                <c:pt idx="26">
                  <c:v>0.37122222222222223</c:v>
                </c:pt>
                <c:pt idx="27">
                  <c:v>0.36885714285714288</c:v>
                </c:pt>
                <c:pt idx="28">
                  <c:v>0.36665517241379308</c:v>
                </c:pt>
                <c:pt idx="29">
                  <c:v>0.36456666666666671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7-4D88-9FE1-0A45719C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MMT (GREATER THAN 250 MCF per YEAR)</a:t>
            </a:r>
          </a:p>
        </c:rich>
      </c:tx>
      <c:layout>
        <c:manualLayout>
          <c:xMode val="edge"/>
          <c:yMode val="edge"/>
          <c:x val="0.17146464646464646"/>
          <c:y val="2.64316392269148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JDT-4'!$E$612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JDT-4'!$B$616:$B$645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JDT-4'!$E$616:$E$645</c:f>
              <c:numCache>
                <c:formatCode>#,##0.00_);\(#,##0.00\)</c:formatCode>
                <c:ptCount val="30"/>
                <c:pt idx="0">
                  <c:v>0.7390000000000001</c:v>
                </c:pt>
                <c:pt idx="1">
                  <c:v>0.46380000000000005</c:v>
                </c:pt>
                <c:pt idx="2">
                  <c:v>0.372</c:v>
                </c:pt>
                <c:pt idx="3">
                  <c:v>0.3261</c:v>
                </c:pt>
                <c:pt idx="4">
                  <c:v>0.29855999999999999</c:v>
                </c:pt>
                <c:pt idx="5">
                  <c:v>0.28023333333333333</c:v>
                </c:pt>
                <c:pt idx="6">
                  <c:v>0.26711428571428569</c:v>
                </c:pt>
                <c:pt idx="7">
                  <c:v>0.25727499999999998</c:v>
                </c:pt>
                <c:pt idx="8">
                  <c:v>0.24962222222222222</c:v>
                </c:pt>
                <c:pt idx="9">
                  <c:v>0.24352000000000001</c:v>
                </c:pt>
                <c:pt idx="10">
                  <c:v>0.23850909090909092</c:v>
                </c:pt>
                <c:pt idx="11">
                  <c:v>0.23433333333333331</c:v>
                </c:pt>
                <c:pt idx="12">
                  <c:v>0.23080000000000001</c:v>
                </c:pt>
                <c:pt idx="13">
                  <c:v>0.22778571428571426</c:v>
                </c:pt>
                <c:pt idx="14">
                  <c:v>0.22516</c:v>
                </c:pt>
                <c:pt idx="15">
                  <c:v>0.22286249999999999</c:v>
                </c:pt>
                <c:pt idx="16">
                  <c:v>0.22083529411764707</c:v>
                </c:pt>
                <c:pt idx="17">
                  <c:v>0.21904444444444443</c:v>
                </c:pt>
                <c:pt idx="18">
                  <c:v>0.21743157894736842</c:v>
                </c:pt>
                <c:pt idx="19">
                  <c:v>0.21597999999999998</c:v>
                </c:pt>
                <c:pt idx="20">
                  <c:v>0.21466666666666667</c:v>
                </c:pt>
                <c:pt idx="21">
                  <c:v>0.21348181818181819</c:v>
                </c:pt>
                <c:pt idx="22">
                  <c:v>0.21239130434782608</c:v>
                </c:pt>
                <c:pt idx="23">
                  <c:v>0.21139166666666664</c:v>
                </c:pt>
                <c:pt idx="24">
                  <c:v>0.21047199999999999</c:v>
                </c:pt>
                <c:pt idx="25">
                  <c:v>0.2096307692307692</c:v>
                </c:pt>
                <c:pt idx="26">
                  <c:v>0.20884444444444444</c:v>
                </c:pt>
                <c:pt idx="27">
                  <c:v>0.20811428571428572</c:v>
                </c:pt>
                <c:pt idx="28">
                  <c:v>0.20743448275862067</c:v>
                </c:pt>
                <c:pt idx="29">
                  <c:v>0.20680666666666667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F-4B80-B7F8-518791D59C23}"/>
            </c:ext>
          </c:extLst>
        </c:ser>
        <c:ser>
          <c:idx val="3"/>
          <c:order val="1"/>
          <c:tx>
            <c:strRef>
              <c:f>'Exhibit JDT-4'!$F$612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JDT-4'!$B$616:$B$645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JDT-4'!$F$616:$F$645</c:f>
              <c:numCache>
                <c:formatCode>#,##0.00_);\(#,##0.00\)</c:formatCode>
                <c:ptCount val="30"/>
                <c:pt idx="0">
                  <c:v>1.0286</c:v>
                </c:pt>
                <c:pt idx="1">
                  <c:v>0.61350000000000005</c:v>
                </c:pt>
                <c:pt idx="2">
                  <c:v>0.47520000000000001</c:v>
                </c:pt>
                <c:pt idx="3">
                  <c:v>0.40600000000000003</c:v>
                </c:pt>
                <c:pt idx="4">
                  <c:v>0.36451999999999996</c:v>
                </c:pt>
                <c:pt idx="5">
                  <c:v>0.33683333333333332</c:v>
                </c:pt>
                <c:pt idx="6">
                  <c:v>0.3170857142857143</c:v>
                </c:pt>
                <c:pt idx="7">
                  <c:v>0.30225000000000002</c:v>
                </c:pt>
                <c:pt idx="8">
                  <c:v>0.29073333333333334</c:v>
                </c:pt>
                <c:pt idx="9">
                  <c:v>0.28149999999999997</c:v>
                </c:pt>
                <c:pt idx="10">
                  <c:v>0.27396363636363635</c:v>
                </c:pt>
                <c:pt idx="11">
                  <c:v>0.26766666666666666</c:v>
                </c:pt>
                <c:pt idx="12">
                  <c:v>0.26235384615384616</c:v>
                </c:pt>
                <c:pt idx="13">
                  <c:v>0.25778571428571428</c:v>
                </c:pt>
                <c:pt idx="14">
                  <c:v>0.25384000000000001</c:v>
                </c:pt>
                <c:pt idx="15">
                  <c:v>0.25037500000000001</c:v>
                </c:pt>
                <c:pt idx="16">
                  <c:v>0.24732941176470588</c:v>
                </c:pt>
                <c:pt idx="17">
                  <c:v>0.24461111111111111</c:v>
                </c:pt>
                <c:pt idx="18">
                  <c:v>0.24218947368421054</c:v>
                </c:pt>
                <c:pt idx="19">
                  <c:v>0.24</c:v>
                </c:pt>
                <c:pt idx="20">
                  <c:v>0.23802857142857142</c:v>
                </c:pt>
                <c:pt idx="21">
                  <c:v>0.23622727272727276</c:v>
                </c:pt>
                <c:pt idx="22">
                  <c:v>0.23459130434782607</c:v>
                </c:pt>
                <c:pt idx="23">
                  <c:v>0.23308333333333334</c:v>
                </c:pt>
                <c:pt idx="24">
                  <c:v>0.23170399999999999</c:v>
                </c:pt>
                <c:pt idx="25">
                  <c:v>0.23042307692307692</c:v>
                </c:pt>
                <c:pt idx="26">
                  <c:v>0.22924444444444445</c:v>
                </c:pt>
                <c:pt idx="27">
                  <c:v>0.22814285714285712</c:v>
                </c:pt>
                <c:pt idx="28">
                  <c:v>0.22712413793103448</c:v>
                </c:pt>
                <c:pt idx="29">
                  <c:v>0.22616666666666665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5F-4B80-B7F8-518791D5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COMMERCIAL &amp; PUBLIC AUTHORITY</a:t>
            </a:r>
          </a:p>
        </c:rich>
      </c:tx>
      <c:layout>
        <c:manualLayout>
          <c:xMode val="edge"/>
          <c:yMode val="edge"/>
          <c:x val="0.29723656702003159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JDT-4'!$E$679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JDT-4'!$B$683:$B$712</c:f>
              <c:numCache>
                <c:formatCode>General</c:formatCode>
                <c:ptCount val="30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  <c:pt idx="8">
                  <c:v>1800</c:v>
                </c:pt>
                <c:pt idx="9">
                  <c:v>2000</c:v>
                </c:pt>
                <c:pt idx="10">
                  <c:v>2200</c:v>
                </c:pt>
                <c:pt idx="11">
                  <c:v>2400</c:v>
                </c:pt>
                <c:pt idx="12">
                  <c:v>2600</c:v>
                </c:pt>
                <c:pt idx="13">
                  <c:v>2800</c:v>
                </c:pt>
                <c:pt idx="14">
                  <c:v>3000</c:v>
                </c:pt>
                <c:pt idx="15">
                  <c:v>3200</c:v>
                </c:pt>
                <c:pt idx="16">
                  <c:v>3400</c:v>
                </c:pt>
                <c:pt idx="17">
                  <c:v>3600</c:v>
                </c:pt>
                <c:pt idx="18">
                  <c:v>3800</c:v>
                </c:pt>
                <c:pt idx="19">
                  <c:v>4000</c:v>
                </c:pt>
                <c:pt idx="20">
                  <c:v>4200</c:v>
                </c:pt>
                <c:pt idx="21">
                  <c:v>4400</c:v>
                </c:pt>
                <c:pt idx="22">
                  <c:v>4600</c:v>
                </c:pt>
                <c:pt idx="23">
                  <c:v>4800</c:v>
                </c:pt>
                <c:pt idx="24">
                  <c:v>5000</c:v>
                </c:pt>
                <c:pt idx="25">
                  <c:v>5200</c:v>
                </c:pt>
                <c:pt idx="26">
                  <c:v>5400</c:v>
                </c:pt>
                <c:pt idx="27">
                  <c:v>5600</c:v>
                </c:pt>
                <c:pt idx="28">
                  <c:v>5800</c:v>
                </c:pt>
                <c:pt idx="29">
                  <c:v>6000</c:v>
                </c:pt>
              </c:numCache>
            </c:numRef>
          </c:cat>
          <c:val>
            <c:numRef>
              <c:f>'Exhibit JDT-4'!$E$683:$E$712</c:f>
              <c:numCache>
                <c:formatCode>#,##0.00_);\(#,##0.00\)</c:formatCode>
                <c:ptCount val="30"/>
                <c:pt idx="0">
                  <c:v>0.76705000000000001</c:v>
                </c:pt>
                <c:pt idx="1">
                  <c:v>0.46450000000000002</c:v>
                </c:pt>
                <c:pt idx="2">
                  <c:v>0.36366666666666664</c:v>
                </c:pt>
                <c:pt idx="3">
                  <c:v>0.3132375</c:v>
                </c:pt>
                <c:pt idx="4">
                  <c:v>0.28299000000000002</c:v>
                </c:pt>
                <c:pt idx="5">
                  <c:v>0.26281666666666664</c:v>
                </c:pt>
                <c:pt idx="6">
                  <c:v>0.2484142857142857</c:v>
                </c:pt>
                <c:pt idx="7">
                  <c:v>0.23760625000000002</c:v>
                </c:pt>
                <c:pt idx="8">
                  <c:v>0.22920555555555555</c:v>
                </c:pt>
                <c:pt idx="9">
                  <c:v>0.22247999999999998</c:v>
                </c:pt>
                <c:pt idx="10">
                  <c:v>0.21698181818181819</c:v>
                </c:pt>
                <c:pt idx="11">
                  <c:v>0.21239583333333334</c:v>
                </c:pt>
                <c:pt idx="12">
                  <c:v>0.20851923076923076</c:v>
                </c:pt>
                <c:pt idx="13">
                  <c:v>0.20519285714285712</c:v>
                </c:pt>
                <c:pt idx="14">
                  <c:v>0.20231333333333335</c:v>
                </c:pt>
                <c:pt idx="15">
                  <c:v>0.19908124999999999</c:v>
                </c:pt>
                <c:pt idx="16">
                  <c:v>0.1962323529411765</c:v>
                </c:pt>
                <c:pt idx="17">
                  <c:v>0.19369722222222222</c:v>
                </c:pt>
                <c:pt idx="18">
                  <c:v>0.19142894736842103</c:v>
                </c:pt>
                <c:pt idx="19">
                  <c:v>0.18938999999999998</c:v>
                </c:pt>
                <c:pt idx="20">
                  <c:v>0.18754285714285712</c:v>
                </c:pt>
                <c:pt idx="21">
                  <c:v>0.18586363636363634</c:v>
                </c:pt>
                <c:pt idx="22">
                  <c:v>0.18433260869565216</c:v>
                </c:pt>
                <c:pt idx="23">
                  <c:v>0.18292708333333332</c:v>
                </c:pt>
                <c:pt idx="24">
                  <c:v>0.18163399999999999</c:v>
                </c:pt>
                <c:pt idx="25">
                  <c:v>0.18044230769230768</c:v>
                </c:pt>
                <c:pt idx="26">
                  <c:v>0.17933703703703702</c:v>
                </c:pt>
                <c:pt idx="27">
                  <c:v>0.17831071428571427</c:v>
                </c:pt>
                <c:pt idx="28">
                  <c:v>0.17735689655172415</c:v>
                </c:pt>
                <c:pt idx="29">
                  <c:v>0.17646499999999998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C3F-91B8-25293EF52311}"/>
            </c:ext>
          </c:extLst>
        </c:ser>
        <c:ser>
          <c:idx val="3"/>
          <c:order val="1"/>
          <c:tx>
            <c:strRef>
              <c:f>'Exhibit JDT-4'!$F$679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JDT-4'!$B$683:$B$712</c:f>
              <c:numCache>
                <c:formatCode>General</c:formatCode>
                <c:ptCount val="30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  <c:pt idx="8">
                  <c:v>1800</c:v>
                </c:pt>
                <c:pt idx="9">
                  <c:v>2000</c:v>
                </c:pt>
                <c:pt idx="10">
                  <c:v>2200</c:v>
                </c:pt>
                <c:pt idx="11">
                  <c:v>2400</c:v>
                </c:pt>
                <c:pt idx="12">
                  <c:v>2600</c:v>
                </c:pt>
                <c:pt idx="13">
                  <c:v>2800</c:v>
                </c:pt>
                <c:pt idx="14">
                  <c:v>3000</c:v>
                </c:pt>
                <c:pt idx="15">
                  <c:v>3200</c:v>
                </c:pt>
                <c:pt idx="16">
                  <c:v>3400</c:v>
                </c:pt>
                <c:pt idx="17">
                  <c:v>3600</c:v>
                </c:pt>
                <c:pt idx="18">
                  <c:v>3800</c:v>
                </c:pt>
                <c:pt idx="19">
                  <c:v>4000</c:v>
                </c:pt>
                <c:pt idx="20">
                  <c:v>4200</c:v>
                </c:pt>
                <c:pt idx="21">
                  <c:v>4400</c:v>
                </c:pt>
                <c:pt idx="22">
                  <c:v>4600</c:v>
                </c:pt>
                <c:pt idx="23">
                  <c:v>4800</c:v>
                </c:pt>
                <c:pt idx="24">
                  <c:v>5000</c:v>
                </c:pt>
                <c:pt idx="25">
                  <c:v>5200</c:v>
                </c:pt>
                <c:pt idx="26">
                  <c:v>5400</c:v>
                </c:pt>
                <c:pt idx="27">
                  <c:v>5600</c:v>
                </c:pt>
                <c:pt idx="28">
                  <c:v>5800</c:v>
                </c:pt>
                <c:pt idx="29">
                  <c:v>6000</c:v>
                </c:pt>
              </c:numCache>
            </c:numRef>
          </c:cat>
          <c:val>
            <c:numRef>
              <c:f>'Exhibit JDT-4'!$F$683:$F$712</c:f>
              <c:numCache>
                <c:formatCode>#,##0.00_);\(#,##0.00\)</c:formatCode>
                <c:ptCount val="30"/>
                <c:pt idx="0">
                  <c:v>1.0781000000000001</c:v>
                </c:pt>
                <c:pt idx="1">
                  <c:v>0.62435000000000007</c:v>
                </c:pt>
                <c:pt idx="2">
                  <c:v>0.47308333333333336</c:v>
                </c:pt>
                <c:pt idx="3">
                  <c:v>0.39746250000000005</c:v>
                </c:pt>
                <c:pt idx="4">
                  <c:v>0.35208999999999996</c:v>
                </c:pt>
                <c:pt idx="5">
                  <c:v>0.32184166666666664</c:v>
                </c:pt>
                <c:pt idx="6">
                  <c:v>0.30023571428571427</c:v>
                </c:pt>
                <c:pt idx="7">
                  <c:v>0.28402499999999997</c:v>
                </c:pt>
                <c:pt idx="8">
                  <c:v>0.27142222222222223</c:v>
                </c:pt>
                <c:pt idx="9">
                  <c:v>0.26133999999999996</c:v>
                </c:pt>
                <c:pt idx="10">
                  <c:v>0.25309090909090909</c:v>
                </c:pt>
                <c:pt idx="11">
                  <c:v>0.24621666666666664</c:v>
                </c:pt>
                <c:pt idx="12">
                  <c:v>0.24039615384615384</c:v>
                </c:pt>
                <c:pt idx="13">
                  <c:v>0.23541071428571428</c:v>
                </c:pt>
                <c:pt idx="14">
                  <c:v>0.23108999999999999</c:v>
                </c:pt>
                <c:pt idx="15">
                  <c:v>0.22730937500000001</c:v>
                </c:pt>
                <c:pt idx="16">
                  <c:v>0.22397352941176471</c:v>
                </c:pt>
                <c:pt idx="17">
                  <c:v>0.22100555555555557</c:v>
                </c:pt>
                <c:pt idx="18">
                  <c:v>0.21835263157894738</c:v>
                </c:pt>
                <c:pt idx="19">
                  <c:v>0.21596499999999999</c:v>
                </c:pt>
                <c:pt idx="20">
                  <c:v>0.21380476190476191</c:v>
                </c:pt>
                <c:pt idx="21">
                  <c:v>0.21184090909090911</c:v>
                </c:pt>
                <c:pt idx="22">
                  <c:v>0.21004565217391305</c:v>
                </c:pt>
                <c:pt idx="23">
                  <c:v>0.20840208333333335</c:v>
                </c:pt>
                <c:pt idx="24">
                  <c:v>0.20689000000000002</c:v>
                </c:pt>
                <c:pt idx="25">
                  <c:v>0.20549423076923076</c:v>
                </c:pt>
                <c:pt idx="26">
                  <c:v>0.20420185185185186</c:v>
                </c:pt>
                <c:pt idx="27">
                  <c:v>0.20299999999999999</c:v>
                </c:pt>
                <c:pt idx="28">
                  <c:v>0.20188275862068966</c:v>
                </c:pt>
                <c:pt idx="29">
                  <c:v>0.20083999999999999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D-4C3F-91B8-25293EF5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COMMERCIAL &amp; PUBLIC AUTHORITY SATC</a:t>
            </a:r>
          </a:p>
        </c:rich>
      </c:tx>
      <c:layout>
        <c:manualLayout>
          <c:xMode val="edge"/>
          <c:yMode val="edge"/>
          <c:x val="0.29002155980502436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JDT-4'!$E$746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JDT-4'!$B$750:$B$779</c:f>
              <c:numCache>
                <c:formatCode>General</c:formatCode>
                <c:ptCount val="30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  <c:pt idx="8">
                  <c:v>1800</c:v>
                </c:pt>
                <c:pt idx="9">
                  <c:v>2000</c:v>
                </c:pt>
                <c:pt idx="10">
                  <c:v>2200</c:v>
                </c:pt>
                <c:pt idx="11">
                  <c:v>2400</c:v>
                </c:pt>
                <c:pt idx="12">
                  <c:v>2600</c:v>
                </c:pt>
                <c:pt idx="13">
                  <c:v>2800</c:v>
                </c:pt>
                <c:pt idx="14">
                  <c:v>3000</c:v>
                </c:pt>
                <c:pt idx="15">
                  <c:v>3200</c:v>
                </c:pt>
                <c:pt idx="16">
                  <c:v>3400</c:v>
                </c:pt>
                <c:pt idx="17">
                  <c:v>3600</c:v>
                </c:pt>
                <c:pt idx="18">
                  <c:v>3800</c:v>
                </c:pt>
                <c:pt idx="19">
                  <c:v>4000</c:v>
                </c:pt>
                <c:pt idx="20">
                  <c:v>4200</c:v>
                </c:pt>
                <c:pt idx="21">
                  <c:v>4400</c:v>
                </c:pt>
                <c:pt idx="22">
                  <c:v>4600</c:v>
                </c:pt>
                <c:pt idx="23">
                  <c:v>4800</c:v>
                </c:pt>
                <c:pt idx="24">
                  <c:v>5000</c:v>
                </c:pt>
                <c:pt idx="25">
                  <c:v>5200</c:v>
                </c:pt>
                <c:pt idx="26">
                  <c:v>5400</c:v>
                </c:pt>
                <c:pt idx="27">
                  <c:v>5600</c:v>
                </c:pt>
                <c:pt idx="28">
                  <c:v>5800</c:v>
                </c:pt>
                <c:pt idx="29">
                  <c:v>6000</c:v>
                </c:pt>
              </c:numCache>
            </c:numRef>
          </c:cat>
          <c:val>
            <c:numRef>
              <c:f>'Exhibit JDT-4'!$E$750:$E$779</c:f>
              <c:numCache>
                <c:formatCode>#,##0.00_);\(#,##0.00\)</c:formatCode>
                <c:ptCount val="30"/>
                <c:pt idx="0">
                  <c:v>0.75454999999999994</c:v>
                </c:pt>
                <c:pt idx="1">
                  <c:v>0.45200000000000001</c:v>
                </c:pt>
                <c:pt idx="2">
                  <c:v>0.35116666666666663</c:v>
                </c:pt>
                <c:pt idx="3">
                  <c:v>0.30073749999999999</c:v>
                </c:pt>
                <c:pt idx="4">
                  <c:v>0.27049000000000001</c:v>
                </c:pt>
                <c:pt idx="5">
                  <c:v>0.25032499999999996</c:v>
                </c:pt>
                <c:pt idx="6">
                  <c:v>0.23591428571428569</c:v>
                </c:pt>
                <c:pt idx="7">
                  <c:v>0.22511249999999999</c:v>
                </c:pt>
                <c:pt idx="8">
                  <c:v>0.21670555555555554</c:v>
                </c:pt>
                <c:pt idx="9">
                  <c:v>0.209985</c:v>
                </c:pt>
                <c:pt idx="10">
                  <c:v>0.20448636363636363</c:v>
                </c:pt>
                <c:pt idx="11">
                  <c:v>0.19989999999999999</c:v>
                </c:pt>
                <c:pt idx="12">
                  <c:v>0.19602307692307694</c:v>
                </c:pt>
                <c:pt idx="13">
                  <c:v>0.19269642857142855</c:v>
                </c:pt>
                <c:pt idx="14">
                  <c:v>0.18981666666666669</c:v>
                </c:pt>
                <c:pt idx="15">
                  <c:v>0.18658437500000002</c:v>
                </c:pt>
                <c:pt idx="16">
                  <c:v>0.18373529411764708</c:v>
                </c:pt>
                <c:pt idx="17">
                  <c:v>0.18120000000000003</c:v>
                </c:pt>
                <c:pt idx="18">
                  <c:v>0.17893421052631581</c:v>
                </c:pt>
                <c:pt idx="19">
                  <c:v>0.17689250000000001</c:v>
                </c:pt>
                <c:pt idx="20">
                  <c:v>0.17504523809523811</c:v>
                </c:pt>
                <c:pt idx="21">
                  <c:v>0.17336818181818184</c:v>
                </c:pt>
                <c:pt idx="22">
                  <c:v>0.17183478260869567</c:v>
                </c:pt>
                <c:pt idx="23">
                  <c:v>0.17043125000000001</c:v>
                </c:pt>
                <c:pt idx="24">
                  <c:v>0.16913800000000001</c:v>
                </c:pt>
                <c:pt idx="25">
                  <c:v>0.16794423076923076</c:v>
                </c:pt>
                <c:pt idx="26">
                  <c:v>0.16684074074074076</c:v>
                </c:pt>
                <c:pt idx="27">
                  <c:v>0.16581428571428569</c:v>
                </c:pt>
                <c:pt idx="28">
                  <c:v>0.16486034482758621</c:v>
                </c:pt>
                <c:pt idx="29">
                  <c:v>0.16396833333333333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F-455C-98BA-9D2CB1187918}"/>
            </c:ext>
          </c:extLst>
        </c:ser>
        <c:ser>
          <c:idx val="3"/>
          <c:order val="1"/>
          <c:tx>
            <c:strRef>
              <c:f>'Exhibit JDT-4'!$F$746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JDT-4'!$B$750:$B$779</c:f>
              <c:numCache>
                <c:formatCode>General</c:formatCode>
                <c:ptCount val="30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  <c:pt idx="8">
                  <c:v>1800</c:v>
                </c:pt>
                <c:pt idx="9">
                  <c:v>2000</c:v>
                </c:pt>
                <c:pt idx="10">
                  <c:v>2200</c:v>
                </c:pt>
                <c:pt idx="11">
                  <c:v>2400</c:v>
                </c:pt>
                <c:pt idx="12">
                  <c:v>2600</c:v>
                </c:pt>
                <c:pt idx="13">
                  <c:v>2800</c:v>
                </c:pt>
                <c:pt idx="14">
                  <c:v>3000</c:v>
                </c:pt>
                <c:pt idx="15">
                  <c:v>3200</c:v>
                </c:pt>
                <c:pt idx="16">
                  <c:v>3400</c:v>
                </c:pt>
                <c:pt idx="17">
                  <c:v>3600</c:v>
                </c:pt>
                <c:pt idx="18">
                  <c:v>3800</c:v>
                </c:pt>
                <c:pt idx="19">
                  <c:v>4000</c:v>
                </c:pt>
                <c:pt idx="20">
                  <c:v>4200</c:v>
                </c:pt>
                <c:pt idx="21">
                  <c:v>4400</c:v>
                </c:pt>
                <c:pt idx="22">
                  <c:v>4600</c:v>
                </c:pt>
                <c:pt idx="23">
                  <c:v>4800</c:v>
                </c:pt>
                <c:pt idx="24">
                  <c:v>5000</c:v>
                </c:pt>
                <c:pt idx="25">
                  <c:v>5200</c:v>
                </c:pt>
                <c:pt idx="26">
                  <c:v>5400</c:v>
                </c:pt>
                <c:pt idx="27">
                  <c:v>5600</c:v>
                </c:pt>
                <c:pt idx="28">
                  <c:v>5800</c:v>
                </c:pt>
                <c:pt idx="29">
                  <c:v>6000</c:v>
                </c:pt>
              </c:numCache>
            </c:numRef>
          </c:cat>
          <c:val>
            <c:numRef>
              <c:f>'Exhibit JDT-4'!$F$750:$F$779</c:f>
              <c:numCache>
                <c:formatCode>#,##0.00_);\(#,##0.00\)</c:formatCode>
                <c:ptCount val="30"/>
                <c:pt idx="0">
                  <c:v>1.0621499999999999</c:v>
                </c:pt>
                <c:pt idx="1">
                  <c:v>0.60840000000000005</c:v>
                </c:pt>
                <c:pt idx="2">
                  <c:v>0.45715000000000006</c:v>
                </c:pt>
                <c:pt idx="3">
                  <c:v>0.38152500000000006</c:v>
                </c:pt>
                <c:pt idx="4">
                  <c:v>0.33615</c:v>
                </c:pt>
                <c:pt idx="5">
                  <c:v>0.30590000000000001</c:v>
                </c:pt>
                <c:pt idx="6">
                  <c:v>0.28429285714285712</c:v>
                </c:pt>
                <c:pt idx="7">
                  <c:v>0.26808749999999998</c:v>
                </c:pt>
                <c:pt idx="8">
                  <c:v>0.25548333333333334</c:v>
                </c:pt>
                <c:pt idx="9">
                  <c:v>0.24540000000000001</c:v>
                </c:pt>
                <c:pt idx="10">
                  <c:v>0.23715</c:v>
                </c:pt>
                <c:pt idx="11">
                  <c:v>0.23027499999999998</c:v>
                </c:pt>
                <c:pt idx="12">
                  <c:v>0.22445769230769233</c:v>
                </c:pt>
                <c:pt idx="13">
                  <c:v>0.21947142857142857</c:v>
                </c:pt>
                <c:pt idx="14">
                  <c:v>0.21515000000000001</c:v>
                </c:pt>
                <c:pt idx="15">
                  <c:v>0.21136874999999999</c:v>
                </c:pt>
                <c:pt idx="16">
                  <c:v>0.20803235294117645</c:v>
                </c:pt>
                <c:pt idx="17">
                  <c:v>0.20506666666666667</c:v>
                </c:pt>
                <c:pt idx="18">
                  <c:v>0.20241315789473682</c:v>
                </c:pt>
                <c:pt idx="19">
                  <c:v>0.20002500000000001</c:v>
                </c:pt>
                <c:pt idx="20">
                  <c:v>0.19786428571428571</c:v>
                </c:pt>
                <c:pt idx="21">
                  <c:v>0.19590000000000002</c:v>
                </c:pt>
                <c:pt idx="22">
                  <c:v>0.19410652173913043</c:v>
                </c:pt>
                <c:pt idx="23">
                  <c:v>0.19246250000000001</c:v>
                </c:pt>
                <c:pt idx="24">
                  <c:v>0.19095000000000001</c:v>
                </c:pt>
                <c:pt idx="25">
                  <c:v>0.18955384615384616</c:v>
                </c:pt>
                <c:pt idx="26">
                  <c:v>0.1882611111111111</c:v>
                </c:pt>
                <c:pt idx="27">
                  <c:v>0.18706071428571427</c:v>
                </c:pt>
                <c:pt idx="28">
                  <c:v>0.18594310344827586</c:v>
                </c:pt>
                <c:pt idx="29">
                  <c:v>0.18490000000000001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F-455C-98BA-9D2CB1187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COMMERCIAL &amp; PUBLIC AUTHORITY MMT</a:t>
            </a:r>
          </a:p>
        </c:rich>
      </c:tx>
      <c:layout>
        <c:manualLayout>
          <c:xMode val="edge"/>
          <c:yMode val="edge"/>
          <c:x val="0.26476903455249912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JDT-4'!$E$811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JDT-4'!$B$815:$B$844</c:f>
              <c:numCache>
                <c:formatCode>General</c:formatCode>
                <c:ptCount val="30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</c:numCache>
            </c:numRef>
          </c:cat>
          <c:val>
            <c:numRef>
              <c:f>'Exhibit JDT-4'!$E$815:$E$844</c:f>
              <c:numCache>
                <c:formatCode>#,##0.00_);\(#,##0.00\)</c:formatCode>
                <c:ptCount val="30"/>
                <c:pt idx="0">
                  <c:v>0.38563999999999998</c:v>
                </c:pt>
                <c:pt idx="1">
                  <c:v>0.26462999999999998</c:v>
                </c:pt>
                <c:pt idx="2">
                  <c:v>0.22429333333333334</c:v>
                </c:pt>
                <c:pt idx="3">
                  <c:v>0.204125</c:v>
                </c:pt>
                <c:pt idx="4">
                  <c:v>0.192024</c:v>
                </c:pt>
                <c:pt idx="5">
                  <c:v>0.18395666666666666</c:v>
                </c:pt>
                <c:pt idx="6">
                  <c:v>0.17819428571428569</c:v>
                </c:pt>
                <c:pt idx="7">
                  <c:v>0.17387250000000001</c:v>
                </c:pt>
                <c:pt idx="8">
                  <c:v>0.17051111111111111</c:v>
                </c:pt>
                <c:pt idx="9">
                  <c:v>0.167822</c:v>
                </c:pt>
                <c:pt idx="10">
                  <c:v>0.16562181818181818</c:v>
                </c:pt>
                <c:pt idx="11">
                  <c:v>0.16378833333333334</c:v>
                </c:pt>
                <c:pt idx="12">
                  <c:v>0.16223692307692308</c:v>
                </c:pt>
                <c:pt idx="13">
                  <c:v>0.16090714285714283</c:v>
                </c:pt>
                <c:pt idx="14">
                  <c:v>0.15975466666666668</c:v>
                </c:pt>
                <c:pt idx="15">
                  <c:v>0.15874625000000001</c:v>
                </c:pt>
                <c:pt idx="16">
                  <c:v>0.15785647058823529</c:v>
                </c:pt>
                <c:pt idx="17">
                  <c:v>0.15706555555555554</c:v>
                </c:pt>
                <c:pt idx="18">
                  <c:v>0.15635789473684211</c:v>
                </c:pt>
                <c:pt idx="19">
                  <c:v>0.155721</c:v>
                </c:pt>
                <c:pt idx="20">
                  <c:v>0.1551447619047619</c:v>
                </c:pt>
                <c:pt idx="21">
                  <c:v>0.15462090909090909</c:v>
                </c:pt>
                <c:pt idx="22">
                  <c:v>0.15414260869565219</c:v>
                </c:pt>
                <c:pt idx="23">
                  <c:v>0.15370416666666667</c:v>
                </c:pt>
                <c:pt idx="24">
                  <c:v>0.15330079999999999</c:v>
                </c:pt>
                <c:pt idx="25">
                  <c:v>0.15292846153846154</c:v>
                </c:pt>
                <c:pt idx="26">
                  <c:v>0.15258370370370372</c:v>
                </c:pt>
                <c:pt idx="27">
                  <c:v>0.15226357142857144</c:v>
                </c:pt>
                <c:pt idx="28">
                  <c:v>0.1519655172413793</c:v>
                </c:pt>
                <c:pt idx="29">
                  <c:v>0.15168733333333334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D-41E8-BA58-42BE36808AFA}"/>
            </c:ext>
          </c:extLst>
        </c:ser>
        <c:ser>
          <c:idx val="3"/>
          <c:order val="1"/>
          <c:tx>
            <c:strRef>
              <c:f>'Exhibit JDT-4'!$F$811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JDT-4'!$B$815:$B$844</c:f>
              <c:numCache>
                <c:formatCode>General</c:formatCode>
                <c:ptCount val="30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</c:numCache>
            </c:numRef>
          </c:cat>
          <c:val>
            <c:numRef>
              <c:f>'Exhibit JDT-4'!$F$815:$F$844</c:f>
              <c:numCache>
                <c:formatCode>#,##0.00_);\(#,##0.00\)</c:formatCode>
                <c:ptCount val="30"/>
                <c:pt idx="0">
                  <c:v>0.51766000000000001</c:v>
                </c:pt>
                <c:pt idx="1">
                  <c:v>0.33615</c:v>
                </c:pt>
                <c:pt idx="2">
                  <c:v>0.27565333333333336</c:v>
                </c:pt>
                <c:pt idx="3">
                  <c:v>0.24540000000000001</c:v>
                </c:pt>
                <c:pt idx="4">
                  <c:v>0.22725200000000001</c:v>
                </c:pt>
                <c:pt idx="5">
                  <c:v>0.21515000000000001</c:v>
                </c:pt>
                <c:pt idx="6">
                  <c:v>0.20650857142857143</c:v>
                </c:pt>
                <c:pt idx="7">
                  <c:v>0.20002500000000001</c:v>
                </c:pt>
                <c:pt idx="8">
                  <c:v>0.19498444444444443</c:v>
                </c:pt>
                <c:pt idx="9">
                  <c:v>0.19095000000000001</c:v>
                </c:pt>
                <c:pt idx="10">
                  <c:v>0.18765090909090909</c:v>
                </c:pt>
                <c:pt idx="11">
                  <c:v>0.18490000000000001</c:v>
                </c:pt>
                <c:pt idx="12">
                  <c:v>0.18257384615384617</c:v>
                </c:pt>
                <c:pt idx="13">
                  <c:v>0.18057857142857142</c:v>
                </c:pt>
                <c:pt idx="14">
                  <c:v>0.17885066666666669</c:v>
                </c:pt>
                <c:pt idx="15">
                  <c:v>0.17733750000000001</c:v>
                </c:pt>
                <c:pt idx="16">
                  <c:v>0.1760035294117647</c:v>
                </c:pt>
                <c:pt idx="17">
                  <c:v>0.17481666666666665</c:v>
                </c:pt>
                <c:pt idx="18">
                  <c:v>0.17375578947368422</c:v>
                </c:pt>
                <c:pt idx="19">
                  <c:v>0.17280000000000001</c:v>
                </c:pt>
                <c:pt idx="20">
                  <c:v>0.17193619047619046</c:v>
                </c:pt>
                <c:pt idx="21">
                  <c:v>0.17115</c:v>
                </c:pt>
                <c:pt idx="22">
                  <c:v>0.17043304347826088</c:v>
                </c:pt>
                <c:pt idx="23">
                  <c:v>0.16977500000000001</c:v>
                </c:pt>
                <c:pt idx="24">
                  <c:v>0.1691704</c:v>
                </c:pt>
                <c:pt idx="25">
                  <c:v>0.16861153846153845</c:v>
                </c:pt>
                <c:pt idx="26">
                  <c:v>0.16809481481481484</c:v>
                </c:pt>
                <c:pt idx="27">
                  <c:v>0.16761428571428572</c:v>
                </c:pt>
                <c:pt idx="28">
                  <c:v>0.16716758620689653</c:v>
                </c:pt>
                <c:pt idx="29">
                  <c:v>0.16675000000000001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CD-41E8-BA58-42BE3680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COMMERCIAL &amp; PUBLIC AUTHORITY DMT</a:t>
            </a:r>
          </a:p>
        </c:rich>
      </c:tx>
      <c:layout>
        <c:manualLayout>
          <c:xMode val="edge"/>
          <c:yMode val="edge"/>
          <c:x val="0.28641405619752075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JDT-4'!$E$876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JDT-4'!$B$880:$B$909</c:f>
              <c:numCache>
                <c:formatCode>General</c:formatCode>
                <c:ptCount val="30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  <c:pt idx="10">
                  <c:v>55000</c:v>
                </c:pt>
                <c:pt idx="11">
                  <c:v>60000</c:v>
                </c:pt>
                <c:pt idx="12">
                  <c:v>65000</c:v>
                </c:pt>
                <c:pt idx="13">
                  <c:v>70000</c:v>
                </c:pt>
                <c:pt idx="14">
                  <c:v>75000</c:v>
                </c:pt>
                <c:pt idx="15">
                  <c:v>80000</c:v>
                </c:pt>
                <c:pt idx="16">
                  <c:v>85000</c:v>
                </c:pt>
                <c:pt idx="17">
                  <c:v>90000</c:v>
                </c:pt>
                <c:pt idx="18">
                  <c:v>95000</c:v>
                </c:pt>
                <c:pt idx="19">
                  <c:v>100000</c:v>
                </c:pt>
                <c:pt idx="20">
                  <c:v>105000</c:v>
                </c:pt>
                <c:pt idx="21">
                  <c:v>110000</c:v>
                </c:pt>
                <c:pt idx="22">
                  <c:v>115000</c:v>
                </c:pt>
                <c:pt idx="23">
                  <c:v>120000</c:v>
                </c:pt>
                <c:pt idx="24">
                  <c:v>125000</c:v>
                </c:pt>
                <c:pt idx="25">
                  <c:v>130000</c:v>
                </c:pt>
                <c:pt idx="26">
                  <c:v>135000</c:v>
                </c:pt>
                <c:pt idx="27">
                  <c:v>140000</c:v>
                </c:pt>
                <c:pt idx="28">
                  <c:v>145000</c:v>
                </c:pt>
                <c:pt idx="29">
                  <c:v>150000</c:v>
                </c:pt>
              </c:numCache>
            </c:numRef>
          </c:cat>
          <c:val>
            <c:numRef>
              <c:f>'Exhibit JDT-4'!$E$880:$E$909</c:f>
              <c:numCache>
                <c:formatCode>#,##0.00_);\(#,##0.00\)</c:formatCode>
                <c:ptCount val="30"/>
                <c:pt idx="0">
                  <c:v>0.165822</c:v>
                </c:pt>
                <c:pt idx="1">
                  <c:v>0.153721</c:v>
                </c:pt>
                <c:pt idx="2">
                  <c:v>0.14968733333333334</c:v>
                </c:pt>
                <c:pt idx="3">
                  <c:v>0.14767049999999998</c:v>
                </c:pt>
                <c:pt idx="4">
                  <c:v>0.14646040000000002</c:v>
                </c:pt>
                <c:pt idx="5">
                  <c:v>0.14565366666666665</c:v>
                </c:pt>
                <c:pt idx="6">
                  <c:v>0.14507742857142858</c:v>
                </c:pt>
                <c:pt idx="7">
                  <c:v>0.14464525</c:v>
                </c:pt>
                <c:pt idx="8">
                  <c:v>0.14430911111111111</c:v>
                </c:pt>
                <c:pt idx="9">
                  <c:v>0.14404020000000001</c:v>
                </c:pt>
                <c:pt idx="10">
                  <c:v>0.14382018181818182</c:v>
                </c:pt>
                <c:pt idx="11">
                  <c:v>0.14363683333333332</c:v>
                </c:pt>
                <c:pt idx="12">
                  <c:v>0.14348169230769231</c:v>
                </c:pt>
                <c:pt idx="13">
                  <c:v>0.14334871428571427</c:v>
                </c:pt>
                <c:pt idx="14">
                  <c:v>0.14323346666666667</c:v>
                </c:pt>
                <c:pt idx="15">
                  <c:v>0.14313262500000001</c:v>
                </c:pt>
                <c:pt idx="16">
                  <c:v>0.14304364705882353</c:v>
                </c:pt>
                <c:pt idx="17">
                  <c:v>0.14296455555555554</c:v>
                </c:pt>
                <c:pt idx="18">
                  <c:v>0.1428937894736842</c:v>
                </c:pt>
                <c:pt idx="19">
                  <c:v>0.14283010000000002</c:v>
                </c:pt>
                <c:pt idx="20">
                  <c:v>0.1427724761904762</c:v>
                </c:pt>
                <c:pt idx="21">
                  <c:v>0.14272009090909091</c:v>
                </c:pt>
                <c:pt idx="22">
                  <c:v>0.14267226086956522</c:v>
                </c:pt>
                <c:pt idx="23">
                  <c:v>0.14262841666666667</c:v>
                </c:pt>
                <c:pt idx="24">
                  <c:v>0.14258807999999998</c:v>
                </c:pt>
                <c:pt idx="25">
                  <c:v>0.14255084615384617</c:v>
                </c:pt>
                <c:pt idx="26">
                  <c:v>0.14251637037037038</c:v>
                </c:pt>
                <c:pt idx="27">
                  <c:v>0.14248435714285715</c:v>
                </c:pt>
                <c:pt idx="28">
                  <c:v>0.14245455172413793</c:v>
                </c:pt>
                <c:pt idx="29">
                  <c:v>0.14242673333333333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5-4467-B614-851A8706C6A8}"/>
            </c:ext>
          </c:extLst>
        </c:ser>
        <c:ser>
          <c:idx val="3"/>
          <c:order val="1"/>
          <c:tx>
            <c:strRef>
              <c:f>'Exhibit JDT-4'!$F$876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JDT-4'!$B$880:$B$909</c:f>
              <c:numCache>
                <c:formatCode>General</c:formatCode>
                <c:ptCount val="30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  <c:pt idx="10">
                  <c:v>55000</c:v>
                </c:pt>
                <c:pt idx="11">
                  <c:v>60000</c:v>
                </c:pt>
                <c:pt idx="12">
                  <c:v>65000</c:v>
                </c:pt>
                <c:pt idx="13">
                  <c:v>70000</c:v>
                </c:pt>
                <c:pt idx="14">
                  <c:v>75000</c:v>
                </c:pt>
                <c:pt idx="15">
                  <c:v>80000</c:v>
                </c:pt>
                <c:pt idx="16">
                  <c:v>85000</c:v>
                </c:pt>
                <c:pt idx="17">
                  <c:v>90000</c:v>
                </c:pt>
                <c:pt idx="18">
                  <c:v>95000</c:v>
                </c:pt>
                <c:pt idx="19">
                  <c:v>100000</c:v>
                </c:pt>
                <c:pt idx="20">
                  <c:v>105000</c:v>
                </c:pt>
                <c:pt idx="21">
                  <c:v>110000</c:v>
                </c:pt>
                <c:pt idx="22">
                  <c:v>115000</c:v>
                </c:pt>
                <c:pt idx="23">
                  <c:v>120000</c:v>
                </c:pt>
                <c:pt idx="24">
                  <c:v>125000</c:v>
                </c:pt>
                <c:pt idx="25">
                  <c:v>130000</c:v>
                </c:pt>
                <c:pt idx="26">
                  <c:v>135000</c:v>
                </c:pt>
                <c:pt idx="27">
                  <c:v>140000</c:v>
                </c:pt>
                <c:pt idx="28">
                  <c:v>145000</c:v>
                </c:pt>
                <c:pt idx="29">
                  <c:v>150000</c:v>
                </c:pt>
              </c:numCache>
            </c:numRef>
          </c:cat>
          <c:val>
            <c:numRef>
              <c:f>'Exhibit JDT-4'!$F$880:$F$909</c:f>
              <c:numCache>
                <c:formatCode>#,##0.00_);\(#,##0.00\)</c:formatCode>
                <c:ptCount val="30"/>
                <c:pt idx="0">
                  <c:v>0.19095000000000001</c:v>
                </c:pt>
                <c:pt idx="1">
                  <c:v>0.17280000000000001</c:v>
                </c:pt>
                <c:pt idx="2">
                  <c:v>0.16675000000000001</c:v>
                </c:pt>
                <c:pt idx="3">
                  <c:v>0.16372500000000001</c:v>
                </c:pt>
                <c:pt idx="4">
                  <c:v>0.16191</c:v>
                </c:pt>
                <c:pt idx="5">
                  <c:v>0.16070000000000001</c:v>
                </c:pt>
                <c:pt idx="6">
                  <c:v>0.15983571428571428</c:v>
                </c:pt>
                <c:pt idx="7">
                  <c:v>0.15918750000000001</c:v>
                </c:pt>
                <c:pt idx="8">
                  <c:v>0.15868333333333334</c:v>
                </c:pt>
                <c:pt idx="9">
                  <c:v>0.15828</c:v>
                </c:pt>
                <c:pt idx="10">
                  <c:v>0.15795000000000001</c:v>
                </c:pt>
                <c:pt idx="11">
                  <c:v>0.15767500000000001</c:v>
                </c:pt>
                <c:pt idx="12">
                  <c:v>0.15744230769230769</c:v>
                </c:pt>
                <c:pt idx="13">
                  <c:v>0.15724285714285716</c:v>
                </c:pt>
                <c:pt idx="14">
                  <c:v>0.15706999999999999</c:v>
                </c:pt>
                <c:pt idx="15">
                  <c:v>0.15691875</c:v>
                </c:pt>
                <c:pt idx="16">
                  <c:v>0.15678529411764705</c:v>
                </c:pt>
                <c:pt idx="17">
                  <c:v>0.15666666666666668</c:v>
                </c:pt>
                <c:pt idx="18">
                  <c:v>0.15656052631578948</c:v>
                </c:pt>
                <c:pt idx="19">
                  <c:v>0.15646499999999999</c:v>
                </c:pt>
                <c:pt idx="20">
                  <c:v>0.15637857142857142</c:v>
                </c:pt>
                <c:pt idx="21">
                  <c:v>0.15629999999999999</c:v>
                </c:pt>
                <c:pt idx="22">
                  <c:v>0.15622826086956521</c:v>
                </c:pt>
                <c:pt idx="23">
                  <c:v>0.15616250000000001</c:v>
                </c:pt>
                <c:pt idx="24">
                  <c:v>0.15610199999999999</c:v>
                </c:pt>
                <c:pt idx="25">
                  <c:v>0.15604615384615383</c:v>
                </c:pt>
                <c:pt idx="26">
                  <c:v>0.15599444444444444</c:v>
                </c:pt>
                <c:pt idx="27">
                  <c:v>0.15594642857142857</c:v>
                </c:pt>
                <c:pt idx="28">
                  <c:v>0.15590172413793105</c:v>
                </c:pt>
                <c:pt idx="29">
                  <c:v>0.15586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35-4467-B614-851A8706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NATURAL GAS VEHICLES</a:t>
            </a:r>
          </a:p>
        </c:rich>
      </c:tx>
      <c:layout>
        <c:manualLayout>
          <c:xMode val="edge"/>
          <c:yMode val="edge"/>
          <c:x val="0.41628418606765061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JDT-4'!$E$941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JDT-4'!$B$945:$B$974</c:f>
              <c:numCache>
                <c:formatCode>General</c:formatCode>
                <c:ptCount val="3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</c:numCache>
            </c:numRef>
          </c:cat>
          <c:val>
            <c:numRef>
              <c:f>'Exhibit JDT-4'!$E$945:$E$974</c:f>
              <c:numCache>
                <c:formatCode>#,##0.00_);\(#,##0.00\)</c:formatCode>
                <c:ptCount val="3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9-4904-9112-202BA11AEDC0}"/>
            </c:ext>
          </c:extLst>
        </c:ser>
        <c:ser>
          <c:idx val="3"/>
          <c:order val="1"/>
          <c:tx>
            <c:strRef>
              <c:f>'Exhibit JDT-4'!$F$941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JDT-4'!$B$945:$B$974</c:f>
              <c:numCache>
                <c:formatCode>General</c:formatCode>
                <c:ptCount val="3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</c:numCache>
            </c:numRef>
          </c:cat>
          <c:val>
            <c:numRef>
              <c:f>'Exhibit JDT-4'!$F$945:$F$974</c:f>
              <c:numCache>
                <c:formatCode>#,##0.00_);\(#,##0.00\)</c:formatCode>
                <c:ptCount val="30"/>
                <c:pt idx="0">
                  <c:v>3.5189999999999999E-2</c:v>
                </c:pt>
                <c:pt idx="1">
                  <c:v>3.5189999999999999E-2</c:v>
                </c:pt>
                <c:pt idx="2">
                  <c:v>3.5189999999999999E-2</c:v>
                </c:pt>
                <c:pt idx="3">
                  <c:v>3.5189999999999999E-2</c:v>
                </c:pt>
                <c:pt idx="4">
                  <c:v>3.5189999999999999E-2</c:v>
                </c:pt>
                <c:pt idx="5">
                  <c:v>3.5189999999999999E-2</c:v>
                </c:pt>
                <c:pt idx="6">
                  <c:v>3.5189999999999999E-2</c:v>
                </c:pt>
                <c:pt idx="7">
                  <c:v>3.5189999999999999E-2</c:v>
                </c:pt>
                <c:pt idx="8">
                  <c:v>3.5189999999999999E-2</c:v>
                </c:pt>
                <c:pt idx="9">
                  <c:v>3.5189999999999999E-2</c:v>
                </c:pt>
                <c:pt idx="10">
                  <c:v>3.5189999999999999E-2</c:v>
                </c:pt>
                <c:pt idx="11">
                  <c:v>3.5189999999999999E-2</c:v>
                </c:pt>
                <c:pt idx="12">
                  <c:v>3.5189999999999999E-2</c:v>
                </c:pt>
                <c:pt idx="13">
                  <c:v>3.5189999999999999E-2</c:v>
                </c:pt>
                <c:pt idx="14">
                  <c:v>3.5189999999999999E-2</c:v>
                </c:pt>
                <c:pt idx="15">
                  <c:v>3.5189999999999999E-2</c:v>
                </c:pt>
                <c:pt idx="16">
                  <c:v>3.5189999999999999E-2</c:v>
                </c:pt>
                <c:pt idx="17">
                  <c:v>3.5189999999999999E-2</c:v>
                </c:pt>
                <c:pt idx="18">
                  <c:v>3.5189999999999999E-2</c:v>
                </c:pt>
                <c:pt idx="19">
                  <c:v>3.5189999999999999E-2</c:v>
                </c:pt>
                <c:pt idx="20">
                  <c:v>3.5189999999999999E-2</c:v>
                </c:pt>
                <c:pt idx="21">
                  <c:v>3.5189999999999999E-2</c:v>
                </c:pt>
                <c:pt idx="22">
                  <c:v>3.5189999999999999E-2</c:v>
                </c:pt>
                <c:pt idx="23">
                  <c:v>3.5189999999999999E-2</c:v>
                </c:pt>
                <c:pt idx="24">
                  <c:v>3.5189999999999999E-2</c:v>
                </c:pt>
                <c:pt idx="25">
                  <c:v>3.5189999999999999E-2</c:v>
                </c:pt>
                <c:pt idx="26">
                  <c:v>3.5189999999999999E-2</c:v>
                </c:pt>
                <c:pt idx="27">
                  <c:v>3.5189999999999999E-2</c:v>
                </c:pt>
                <c:pt idx="28">
                  <c:v>3.5189999999999999E-2</c:v>
                </c:pt>
                <c:pt idx="29">
                  <c:v>3.5189999999999999E-2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9-4904-9112-202BA11A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VOLUME INDUSTRIAL SALES</a:t>
            </a:r>
          </a:p>
        </c:rich>
      </c:tx>
      <c:layout>
        <c:manualLayout>
          <c:xMode val="edge"/>
          <c:yMode val="edge"/>
          <c:x val="0.3495453693288339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JDT-4'!$E$1007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JDT-4'!$B$1011:$B$1040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JDT-4'!$E$1011:$E$1040</c:f>
              <c:numCache>
                <c:formatCode>#,##0.00_);\(#,##0.00\)</c:formatCode>
                <c:ptCount val="30"/>
                <c:pt idx="0">
                  <c:v>1.5297999999999998</c:v>
                </c:pt>
                <c:pt idx="1">
                  <c:v>0.87379999999999991</c:v>
                </c:pt>
                <c:pt idx="2">
                  <c:v>0.65513333333333335</c:v>
                </c:pt>
                <c:pt idx="3">
                  <c:v>0.54579999999999995</c:v>
                </c:pt>
                <c:pt idx="4">
                  <c:v>0.48020000000000002</c:v>
                </c:pt>
                <c:pt idx="5">
                  <c:v>0.43646666666666667</c:v>
                </c:pt>
                <c:pt idx="6">
                  <c:v>0.40522857142857144</c:v>
                </c:pt>
                <c:pt idx="7">
                  <c:v>0.38179999999999997</c:v>
                </c:pt>
                <c:pt idx="8">
                  <c:v>0.36357777777777783</c:v>
                </c:pt>
                <c:pt idx="9">
                  <c:v>0.34899999999999998</c:v>
                </c:pt>
                <c:pt idx="10">
                  <c:v>0.33707272727272725</c:v>
                </c:pt>
                <c:pt idx="11">
                  <c:v>0.32713333333333333</c:v>
                </c:pt>
                <c:pt idx="12">
                  <c:v>0.31872307692307689</c:v>
                </c:pt>
                <c:pt idx="13">
                  <c:v>0.31151428571428574</c:v>
                </c:pt>
                <c:pt idx="14">
                  <c:v>0.30526666666666663</c:v>
                </c:pt>
                <c:pt idx="15">
                  <c:v>0.29981249999999998</c:v>
                </c:pt>
                <c:pt idx="16">
                  <c:v>0.29498823529411766</c:v>
                </c:pt>
                <c:pt idx="17">
                  <c:v>0.29070000000000001</c:v>
                </c:pt>
                <c:pt idx="18">
                  <c:v>0.28686315789473682</c:v>
                </c:pt>
                <c:pt idx="19">
                  <c:v>0.28341000000000005</c:v>
                </c:pt>
                <c:pt idx="20">
                  <c:v>0.2802857142857143</c:v>
                </c:pt>
                <c:pt idx="21">
                  <c:v>0.27744545454545455</c:v>
                </c:pt>
                <c:pt idx="22">
                  <c:v>0.27485217391304345</c:v>
                </c:pt>
                <c:pt idx="23">
                  <c:v>0.27247500000000002</c:v>
                </c:pt>
                <c:pt idx="24">
                  <c:v>0.27028800000000003</c:v>
                </c:pt>
                <c:pt idx="25">
                  <c:v>0.26826923076923076</c:v>
                </c:pt>
                <c:pt idx="26">
                  <c:v>0.26639999999999997</c:v>
                </c:pt>
                <c:pt idx="27">
                  <c:v>0.26466428571428569</c:v>
                </c:pt>
                <c:pt idx="28">
                  <c:v>0.26304827586206897</c:v>
                </c:pt>
                <c:pt idx="29">
                  <c:v>0.26153999999999999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47F-817E-507B9642C85D}"/>
            </c:ext>
          </c:extLst>
        </c:ser>
        <c:ser>
          <c:idx val="3"/>
          <c:order val="1"/>
          <c:tx>
            <c:strRef>
              <c:f>'Exhibit JDT-4'!$F$1007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JDT-4'!$B$1011:$B$1040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JDT-4'!$F$1011:$F$1040</c:f>
              <c:numCache>
                <c:formatCode>#,##0.00_);\(#,##0.00\)</c:formatCode>
                <c:ptCount val="30"/>
                <c:pt idx="0">
                  <c:v>2.1734</c:v>
                </c:pt>
                <c:pt idx="1">
                  <c:v>1.1884000000000001</c:v>
                </c:pt>
                <c:pt idx="2">
                  <c:v>0.86</c:v>
                </c:pt>
                <c:pt idx="3">
                  <c:v>0.69584999999999997</c:v>
                </c:pt>
                <c:pt idx="4">
                  <c:v>0.59736</c:v>
                </c:pt>
                <c:pt idx="5">
                  <c:v>0.53169999999999995</c:v>
                </c:pt>
                <c:pt idx="6">
                  <c:v>0.48480000000000001</c:v>
                </c:pt>
                <c:pt idx="7">
                  <c:v>0.4496</c:v>
                </c:pt>
                <c:pt idx="8">
                  <c:v>0.42224444444444442</c:v>
                </c:pt>
                <c:pt idx="9">
                  <c:v>0.40035999999999999</c:v>
                </c:pt>
                <c:pt idx="10">
                  <c:v>0.38245454545454544</c:v>
                </c:pt>
                <c:pt idx="11">
                  <c:v>0.36753333333333332</c:v>
                </c:pt>
                <c:pt idx="12">
                  <c:v>0.35489230769230773</c:v>
                </c:pt>
                <c:pt idx="13">
                  <c:v>0.34407142857142858</c:v>
                </c:pt>
                <c:pt idx="14">
                  <c:v>0.33469333333333334</c:v>
                </c:pt>
                <c:pt idx="15">
                  <c:v>0.32648749999999999</c:v>
                </c:pt>
                <c:pt idx="16">
                  <c:v>0.31924705882352944</c:v>
                </c:pt>
                <c:pt idx="17">
                  <c:v>0.31279999999999997</c:v>
                </c:pt>
                <c:pt idx="18">
                  <c:v>0.30704210526315789</c:v>
                </c:pt>
                <c:pt idx="19">
                  <c:v>0.30186000000000002</c:v>
                </c:pt>
                <c:pt idx="20">
                  <c:v>0.29717142857142853</c:v>
                </c:pt>
                <c:pt idx="21">
                  <c:v>0.2929090909090909</c:v>
                </c:pt>
                <c:pt idx="22">
                  <c:v>0.28900869565217391</c:v>
                </c:pt>
                <c:pt idx="23">
                  <c:v>0.28544166666666665</c:v>
                </c:pt>
                <c:pt idx="24">
                  <c:v>0.28215999999999997</c:v>
                </c:pt>
                <c:pt idx="25">
                  <c:v>0.27913076923076924</c:v>
                </c:pt>
                <c:pt idx="26">
                  <c:v>0.27632592592592592</c:v>
                </c:pt>
                <c:pt idx="27">
                  <c:v>0.27371428571428569</c:v>
                </c:pt>
                <c:pt idx="28">
                  <c:v>0.27128965517241382</c:v>
                </c:pt>
                <c:pt idx="29">
                  <c:v>0.26902666666666669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D6-447F-817E-507B9642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VOLUME INDUSTRIAL SATC</a:t>
            </a:r>
          </a:p>
        </c:rich>
      </c:tx>
      <c:layout>
        <c:manualLayout>
          <c:xMode val="edge"/>
          <c:yMode val="edge"/>
          <c:x val="0.38381665360011818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JDT-4'!$E$1073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JDT-4'!$B$1077:$B$1106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JDT-4'!$E$1077:$E$1106</c:f>
              <c:numCache>
                <c:formatCode>#,##0.00_);\(#,##0.00\)</c:formatCode>
                <c:ptCount val="30"/>
                <c:pt idx="0">
                  <c:v>1.5174000000000001</c:v>
                </c:pt>
                <c:pt idx="1">
                  <c:v>0.86129999999999995</c:v>
                </c:pt>
                <c:pt idx="2">
                  <c:v>0.64266666666666672</c:v>
                </c:pt>
                <c:pt idx="3">
                  <c:v>0.5333</c:v>
                </c:pt>
                <c:pt idx="4">
                  <c:v>0.46772000000000002</c:v>
                </c:pt>
                <c:pt idx="5">
                  <c:v>0.42396666666666666</c:v>
                </c:pt>
                <c:pt idx="6">
                  <c:v>0.39274285714285717</c:v>
                </c:pt>
                <c:pt idx="7">
                  <c:v>0.36930000000000002</c:v>
                </c:pt>
                <c:pt idx="8">
                  <c:v>0.35108888888888889</c:v>
                </c:pt>
                <c:pt idx="9">
                  <c:v>0.33651999999999999</c:v>
                </c:pt>
                <c:pt idx="10">
                  <c:v>0.32458181818181819</c:v>
                </c:pt>
                <c:pt idx="11">
                  <c:v>0.31464999999999999</c:v>
                </c:pt>
                <c:pt idx="12">
                  <c:v>0.30623076923076925</c:v>
                </c:pt>
                <c:pt idx="13">
                  <c:v>0.29902857142857142</c:v>
                </c:pt>
                <c:pt idx="14">
                  <c:v>0.29277333333333333</c:v>
                </c:pt>
                <c:pt idx="15">
                  <c:v>0.28731249999999997</c:v>
                </c:pt>
                <c:pt idx="16">
                  <c:v>0.28248235294117646</c:v>
                </c:pt>
                <c:pt idx="17">
                  <c:v>0.2782</c:v>
                </c:pt>
                <c:pt idx="18">
                  <c:v>0.27435789473684208</c:v>
                </c:pt>
                <c:pt idx="19">
                  <c:v>0.27091000000000004</c:v>
                </c:pt>
                <c:pt idx="20">
                  <c:v>0.26779047619047619</c:v>
                </c:pt>
                <c:pt idx="21">
                  <c:v>0.26494545454545454</c:v>
                </c:pt>
                <c:pt idx="22">
                  <c:v>0.26235652173913043</c:v>
                </c:pt>
                <c:pt idx="23">
                  <c:v>0.25997500000000001</c:v>
                </c:pt>
                <c:pt idx="24">
                  <c:v>0.25779200000000002</c:v>
                </c:pt>
                <c:pt idx="25">
                  <c:v>0.25576923076923075</c:v>
                </c:pt>
                <c:pt idx="26">
                  <c:v>0.25390370370370369</c:v>
                </c:pt>
                <c:pt idx="27">
                  <c:v>0.25216428571428567</c:v>
                </c:pt>
                <c:pt idx="28">
                  <c:v>0.25055172413793103</c:v>
                </c:pt>
                <c:pt idx="29">
                  <c:v>0.24904666666666667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205-9293-E9B534F1364D}"/>
            </c:ext>
          </c:extLst>
        </c:ser>
        <c:ser>
          <c:idx val="3"/>
          <c:order val="1"/>
          <c:tx>
            <c:strRef>
              <c:f>'Exhibit JDT-4'!$F$1073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JDT-4'!$B$1077:$B$1106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JDT-4'!$F$1077:$F$1106</c:f>
              <c:numCache>
                <c:formatCode>#,##0.00_);\(#,##0.00\)</c:formatCode>
                <c:ptCount val="30"/>
                <c:pt idx="0">
                  <c:v>2.1574</c:v>
                </c:pt>
                <c:pt idx="1">
                  <c:v>1.1723999999999999</c:v>
                </c:pt>
                <c:pt idx="2">
                  <c:v>0.84406666666666663</c:v>
                </c:pt>
                <c:pt idx="3">
                  <c:v>0.67989999999999995</c:v>
                </c:pt>
                <c:pt idx="4">
                  <c:v>0.58144000000000007</c:v>
                </c:pt>
                <c:pt idx="5">
                  <c:v>0.5157666666666666</c:v>
                </c:pt>
                <c:pt idx="6">
                  <c:v>0.46885714285714286</c:v>
                </c:pt>
                <c:pt idx="7">
                  <c:v>0.43367499999999998</c:v>
                </c:pt>
                <c:pt idx="8">
                  <c:v>0.40631111111111112</c:v>
                </c:pt>
                <c:pt idx="9">
                  <c:v>0.38442000000000004</c:v>
                </c:pt>
                <c:pt idx="10">
                  <c:v>0.36650909090909095</c:v>
                </c:pt>
                <c:pt idx="11">
                  <c:v>0.3515833333333333</c:v>
                </c:pt>
                <c:pt idx="12">
                  <c:v>0.33895384615384616</c:v>
                </c:pt>
                <c:pt idx="13">
                  <c:v>0.32812857142857144</c:v>
                </c:pt>
                <c:pt idx="14">
                  <c:v>0.31875999999999999</c:v>
                </c:pt>
                <c:pt idx="15">
                  <c:v>0.31054999999999999</c:v>
                </c:pt>
                <c:pt idx="16">
                  <c:v>0.3033058823529412</c:v>
                </c:pt>
                <c:pt idx="17">
                  <c:v>0.29686666666666667</c:v>
                </c:pt>
                <c:pt idx="18">
                  <c:v>0.29110526315789476</c:v>
                </c:pt>
                <c:pt idx="19">
                  <c:v>0.28592000000000001</c:v>
                </c:pt>
                <c:pt idx="20">
                  <c:v>0.28122857142857144</c:v>
                </c:pt>
                <c:pt idx="21">
                  <c:v>0.27696363636363641</c:v>
                </c:pt>
                <c:pt idx="22">
                  <c:v>0.27306956521739129</c:v>
                </c:pt>
                <c:pt idx="23">
                  <c:v>0.26949999999999996</c:v>
                </c:pt>
                <c:pt idx="24">
                  <c:v>0.26622399999999996</c:v>
                </c:pt>
                <c:pt idx="25">
                  <c:v>0.26319230769230767</c:v>
                </c:pt>
                <c:pt idx="26">
                  <c:v>0.26038518518518516</c:v>
                </c:pt>
                <c:pt idx="27">
                  <c:v>0.25777857142857141</c:v>
                </c:pt>
                <c:pt idx="28">
                  <c:v>0.255351724137931</c:v>
                </c:pt>
                <c:pt idx="29">
                  <c:v>0.25308666666666668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B2-4205-9293-E9B534F13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VOLUME INDUSTRIAL MMT</a:t>
            </a:r>
          </a:p>
        </c:rich>
      </c:tx>
      <c:layout>
        <c:manualLayout>
          <c:xMode val="edge"/>
          <c:yMode val="edge"/>
          <c:x val="0.38562040540386999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JDT-4'!$E$1138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JDT-4'!$B$1142:$B$1171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JDT-4'!$E$1142:$E$1171</c:f>
              <c:numCache>
                <c:formatCode>#,##0.00_);\(#,##0.00\)</c:formatCode>
                <c:ptCount val="30"/>
                <c:pt idx="0">
                  <c:v>1.5306</c:v>
                </c:pt>
                <c:pt idx="1">
                  <c:v>0.87459999999999993</c:v>
                </c:pt>
                <c:pt idx="2">
                  <c:v>0.65593333333333337</c:v>
                </c:pt>
                <c:pt idx="3">
                  <c:v>0.54654999999999998</c:v>
                </c:pt>
                <c:pt idx="4">
                  <c:v>0.48096</c:v>
                </c:pt>
                <c:pt idx="5">
                  <c:v>0.43723333333333331</c:v>
                </c:pt>
                <c:pt idx="6">
                  <c:v>0.40599999999999997</c:v>
                </c:pt>
                <c:pt idx="7">
                  <c:v>0.382575</c:v>
                </c:pt>
                <c:pt idx="8">
                  <c:v>0.3643555555555556</c:v>
                </c:pt>
                <c:pt idx="9">
                  <c:v>0.34977999999999998</c:v>
                </c:pt>
                <c:pt idx="10">
                  <c:v>0.33783636363636366</c:v>
                </c:pt>
                <c:pt idx="11">
                  <c:v>0.32790000000000002</c:v>
                </c:pt>
                <c:pt idx="12">
                  <c:v>0.31949230769230769</c:v>
                </c:pt>
                <c:pt idx="13">
                  <c:v>0.31228571428571428</c:v>
                </c:pt>
                <c:pt idx="14">
                  <c:v>0.30603999999999998</c:v>
                </c:pt>
                <c:pt idx="15">
                  <c:v>0.30057500000000004</c:v>
                </c:pt>
                <c:pt idx="16">
                  <c:v>0.29574117647058823</c:v>
                </c:pt>
                <c:pt idx="17">
                  <c:v>0.29145555555555558</c:v>
                </c:pt>
                <c:pt idx="18">
                  <c:v>0.28762105263157894</c:v>
                </c:pt>
                <c:pt idx="19">
                  <c:v>0.28417000000000003</c:v>
                </c:pt>
                <c:pt idx="20">
                  <c:v>0.28104761904761905</c:v>
                </c:pt>
                <c:pt idx="21">
                  <c:v>0.27820909090909091</c:v>
                </c:pt>
                <c:pt idx="22">
                  <c:v>0.27561739130434781</c:v>
                </c:pt>
                <c:pt idx="23">
                  <c:v>0.27323333333333333</c:v>
                </c:pt>
                <c:pt idx="24">
                  <c:v>0.27104800000000001</c:v>
                </c:pt>
                <c:pt idx="25">
                  <c:v>0.26903076923076924</c:v>
                </c:pt>
                <c:pt idx="26">
                  <c:v>0.26716296296296299</c:v>
                </c:pt>
                <c:pt idx="27">
                  <c:v>0.26542857142857146</c:v>
                </c:pt>
                <c:pt idx="28">
                  <c:v>0.26381379310344827</c:v>
                </c:pt>
                <c:pt idx="29">
                  <c:v>0.26230666666666663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2-4EFE-AA4F-C73131F5AD83}"/>
            </c:ext>
          </c:extLst>
        </c:ser>
        <c:ser>
          <c:idx val="3"/>
          <c:order val="1"/>
          <c:tx>
            <c:strRef>
              <c:f>'Exhibit JDT-4'!$F$1138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JDT-4'!$B$1142:$B$1171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JDT-4'!$F$1142:$F$1171</c:f>
              <c:numCache>
                <c:formatCode>#,##0.00_);\(#,##0.00\)</c:formatCode>
                <c:ptCount val="30"/>
                <c:pt idx="0">
                  <c:v>2.1574</c:v>
                </c:pt>
                <c:pt idx="1">
                  <c:v>1.1723999999999999</c:v>
                </c:pt>
                <c:pt idx="2">
                  <c:v>0.84406666666666663</c:v>
                </c:pt>
                <c:pt idx="3">
                  <c:v>0.67989999999999995</c:v>
                </c:pt>
                <c:pt idx="4">
                  <c:v>0.58144000000000007</c:v>
                </c:pt>
                <c:pt idx="5">
                  <c:v>0.5157666666666666</c:v>
                </c:pt>
                <c:pt idx="6">
                  <c:v>0.46885714285714286</c:v>
                </c:pt>
                <c:pt idx="7">
                  <c:v>0.43367499999999998</c:v>
                </c:pt>
                <c:pt idx="8">
                  <c:v>0.40631111111111112</c:v>
                </c:pt>
                <c:pt idx="9">
                  <c:v>0.38442000000000004</c:v>
                </c:pt>
                <c:pt idx="10">
                  <c:v>0.36650909090909095</c:v>
                </c:pt>
                <c:pt idx="11">
                  <c:v>0.3515833333333333</c:v>
                </c:pt>
                <c:pt idx="12">
                  <c:v>0.33895384615384616</c:v>
                </c:pt>
                <c:pt idx="13">
                  <c:v>0.32812857142857144</c:v>
                </c:pt>
                <c:pt idx="14">
                  <c:v>0.31875999999999999</c:v>
                </c:pt>
                <c:pt idx="15">
                  <c:v>0.31054999999999999</c:v>
                </c:pt>
                <c:pt idx="16">
                  <c:v>0.3033058823529412</c:v>
                </c:pt>
                <c:pt idx="17">
                  <c:v>0.29686666666666667</c:v>
                </c:pt>
                <c:pt idx="18">
                  <c:v>0.29110526315789476</c:v>
                </c:pt>
                <c:pt idx="19">
                  <c:v>0.28592000000000001</c:v>
                </c:pt>
                <c:pt idx="20">
                  <c:v>0.28122857142857144</c:v>
                </c:pt>
                <c:pt idx="21">
                  <c:v>0.27696363636363641</c:v>
                </c:pt>
                <c:pt idx="22">
                  <c:v>0.27306956521739129</c:v>
                </c:pt>
                <c:pt idx="23">
                  <c:v>0.26949999999999996</c:v>
                </c:pt>
                <c:pt idx="24">
                  <c:v>0.26622399999999996</c:v>
                </c:pt>
                <c:pt idx="25">
                  <c:v>0.26319230769230767</c:v>
                </c:pt>
                <c:pt idx="26">
                  <c:v>0.26038518518518516</c:v>
                </c:pt>
                <c:pt idx="27">
                  <c:v>0.25777857142857141</c:v>
                </c:pt>
                <c:pt idx="28">
                  <c:v>0.255351724137931</c:v>
                </c:pt>
                <c:pt idx="29">
                  <c:v>0.25308666666666668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2-4EFE-AA4F-C73131F5A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INTERMEDIATE VOLUME INDUSTRIAL SERVICE SALES</a:t>
            </a:r>
          </a:p>
        </c:rich>
      </c:tx>
      <c:layout>
        <c:manualLayout>
          <c:xMode val="edge"/>
          <c:yMode val="edge"/>
          <c:x val="0.26098484848484854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JDT-4'!$E$1205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JDT-4'!$B$1209:$B$1238</c:f>
              <c:numCache>
                <c:formatCode>General</c:formatCode>
                <c:ptCount val="30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  <c:pt idx="8">
                  <c:v>2250</c:v>
                </c:pt>
                <c:pt idx="9">
                  <c:v>2500</c:v>
                </c:pt>
                <c:pt idx="10">
                  <c:v>2750</c:v>
                </c:pt>
                <c:pt idx="11">
                  <c:v>3000</c:v>
                </c:pt>
                <c:pt idx="12">
                  <c:v>3250</c:v>
                </c:pt>
                <c:pt idx="13">
                  <c:v>3500</c:v>
                </c:pt>
                <c:pt idx="14">
                  <c:v>3750</c:v>
                </c:pt>
                <c:pt idx="15">
                  <c:v>4000</c:v>
                </c:pt>
                <c:pt idx="16">
                  <c:v>4250</c:v>
                </c:pt>
                <c:pt idx="17">
                  <c:v>4500</c:v>
                </c:pt>
                <c:pt idx="18">
                  <c:v>4750</c:v>
                </c:pt>
                <c:pt idx="19">
                  <c:v>5000</c:v>
                </c:pt>
                <c:pt idx="20">
                  <c:v>5250</c:v>
                </c:pt>
                <c:pt idx="21">
                  <c:v>5500</c:v>
                </c:pt>
                <c:pt idx="22">
                  <c:v>5750</c:v>
                </c:pt>
                <c:pt idx="23">
                  <c:v>6000</c:v>
                </c:pt>
                <c:pt idx="24">
                  <c:v>6250</c:v>
                </c:pt>
                <c:pt idx="25">
                  <c:v>6500</c:v>
                </c:pt>
                <c:pt idx="26">
                  <c:v>6750</c:v>
                </c:pt>
                <c:pt idx="27">
                  <c:v>7000</c:v>
                </c:pt>
                <c:pt idx="28">
                  <c:v>7250</c:v>
                </c:pt>
                <c:pt idx="29">
                  <c:v>7500</c:v>
                </c:pt>
              </c:numCache>
            </c:numRef>
          </c:cat>
          <c:val>
            <c:numRef>
              <c:f>'Exhibit JDT-4'!$E$1209:$E$1238</c:f>
              <c:numCache>
                <c:formatCode>#,##0.00_);\(#,##0.00\)</c:formatCode>
                <c:ptCount val="30"/>
                <c:pt idx="0">
                  <c:v>0.96960000000000002</c:v>
                </c:pt>
                <c:pt idx="1">
                  <c:v>0.56579999999999997</c:v>
                </c:pt>
                <c:pt idx="2">
                  <c:v>0.43118666666666666</c:v>
                </c:pt>
                <c:pt idx="3">
                  <c:v>0.36388999999999999</c:v>
                </c:pt>
                <c:pt idx="4">
                  <c:v>0.32350400000000001</c:v>
                </c:pt>
                <c:pt idx="5">
                  <c:v>0.29658000000000001</c:v>
                </c:pt>
                <c:pt idx="6">
                  <c:v>0.27735428571428572</c:v>
                </c:pt>
                <c:pt idx="7">
                  <c:v>0.26293</c:v>
                </c:pt>
                <c:pt idx="8">
                  <c:v>0.25171555555555558</c:v>
                </c:pt>
                <c:pt idx="9">
                  <c:v>0.24274000000000001</c:v>
                </c:pt>
                <c:pt idx="10">
                  <c:v>0.2354</c:v>
                </c:pt>
                <c:pt idx="11">
                  <c:v>0.22928000000000001</c:v>
                </c:pt>
                <c:pt idx="12">
                  <c:v>0.22106461538461539</c:v>
                </c:pt>
                <c:pt idx="13">
                  <c:v>0.21402285714285715</c:v>
                </c:pt>
                <c:pt idx="14">
                  <c:v>0.20792000000000002</c:v>
                </c:pt>
                <c:pt idx="15">
                  <c:v>0.2025825</c:v>
                </c:pt>
                <c:pt idx="16">
                  <c:v>0.19787058823529413</c:v>
                </c:pt>
                <c:pt idx="17">
                  <c:v>0.19368222222222223</c:v>
                </c:pt>
                <c:pt idx="18">
                  <c:v>0.18993473684210527</c:v>
                </c:pt>
                <c:pt idx="19">
                  <c:v>0.18656199999999998</c:v>
                </c:pt>
                <c:pt idx="20">
                  <c:v>0.18351047619047617</c:v>
                </c:pt>
                <c:pt idx="21">
                  <c:v>0.1807381818181818</c:v>
                </c:pt>
                <c:pt idx="22">
                  <c:v>0.17820521739130435</c:v>
                </c:pt>
                <c:pt idx="23">
                  <c:v>0.17588333333333334</c:v>
                </c:pt>
                <c:pt idx="24">
                  <c:v>0.17374720000000002</c:v>
                </c:pt>
                <c:pt idx="25">
                  <c:v>0.17177538461538461</c:v>
                </c:pt>
                <c:pt idx="26">
                  <c:v>0.16994962962962964</c:v>
                </c:pt>
                <c:pt idx="27">
                  <c:v>0.16825571428571429</c:v>
                </c:pt>
                <c:pt idx="28">
                  <c:v>0.16667724137931036</c:v>
                </c:pt>
                <c:pt idx="29">
                  <c:v>0.16520399999999999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8-474C-BEB1-BEA04D122FF1}"/>
            </c:ext>
          </c:extLst>
        </c:ser>
        <c:ser>
          <c:idx val="3"/>
          <c:order val="1"/>
          <c:tx>
            <c:strRef>
              <c:f>'Exhibit JDT-4'!$F$1205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JDT-4'!$B$1209:$B$1238</c:f>
              <c:numCache>
                <c:formatCode>General</c:formatCode>
                <c:ptCount val="30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  <c:pt idx="8">
                  <c:v>2250</c:v>
                </c:pt>
                <c:pt idx="9">
                  <c:v>2500</c:v>
                </c:pt>
                <c:pt idx="10">
                  <c:v>2750</c:v>
                </c:pt>
                <c:pt idx="11">
                  <c:v>3000</c:v>
                </c:pt>
                <c:pt idx="12">
                  <c:v>3250</c:v>
                </c:pt>
                <c:pt idx="13">
                  <c:v>3500</c:v>
                </c:pt>
                <c:pt idx="14">
                  <c:v>3750</c:v>
                </c:pt>
                <c:pt idx="15">
                  <c:v>4000</c:v>
                </c:pt>
                <c:pt idx="16">
                  <c:v>4250</c:v>
                </c:pt>
                <c:pt idx="17">
                  <c:v>4500</c:v>
                </c:pt>
                <c:pt idx="18">
                  <c:v>4750</c:v>
                </c:pt>
                <c:pt idx="19">
                  <c:v>5000</c:v>
                </c:pt>
                <c:pt idx="20">
                  <c:v>5250</c:v>
                </c:pt>
                <c:pt idx="21">
                  <c:v>5500</c:v>
                </c:pt>
                <c:pt idx="22">
                  <c:v>5750</c:v>
                </c:pt>
                <c:pt idx="23">
                  <c:v>6000</c:v>
                </c:pt>
                <c:pt idx="24">
                  <c:v>6250</c:v>
                </c:pt>
                <c:pt idx="25">
                  <c:v>6500</c:v>
                </c:pt>
                <c:pt idx="26">
                  <c:v>6750</c:v>
                </c:pt>
                <c:pt idx="27">
                  <c:v>7000</c:v>
                </c:pt>
                <c:pt idx="28">
                  <c:v>7250</c:v>
                </c:pt>
                <c:pt idx="29">
                  <c:v>7500</c:v>
                </c:pt>
              </c:numCache>
            </c:numRef>
          </c:cat>
          <c:val>
            <c:numRef>
              <c:f>'Exhibit JDT-4'!$F$1209:$F$1238</c:f>
              <c:numCache>
                <c:formatCode>#,##0.00_);\(#,##0.00\)</c:formatCode>
                <c:ptCount val="30"/>
                <c:pt idx="0">
                  <c:v>1.3446800000000001</c:v>
                </c:pt>
                <c:pt idx="1">
                  <c:v>0.73870000000000002</c:v>
                </c:pt>
                <c:pt idx="2">
                  <c:v>0.53669333333333336</c:v>
                </c:pt>
                <c:pt idx="3">
                  <c:v>0.43569000000000002</c:v>
                </c:pt>
                <c:pt idx="4">
                  <c:v>0.37508800000000003</c:v>
                </c:pt>
                <c:pt idx="5">
                  <c:v>0.33469333333333334</c:v>
                </c:pt>
                <c:pt idx="6">
                  <c:v>0.30583428571428573</c:v>
                </c:pt>
                <c:pt idx="7">
                  <c:v>0.28419</c:v>
                </c:pt>
                <c:pt idx="8">
                  <c:v>0.26735555555555551</c:v>
                </c:pt>
                <c:pt idx="9">
                  <c:v>0.25389200000000001</c:v>
                </c:pt>
                <c:pt idx="10">
                  <c:v>0.24287272727272727</c:v>
                </c:pt>
                <c:pt idx="11">
                  <c:v>0.23369000000000001</c:v>
                </c:pt>
                <c:pt idx="12">
                  <c:v>0.22592000000000001</c:v>
                </c:pt>
                <c:pt idx="13">
                  <c:v>0.21926285714285712</c:v>
                </c:pt>
                <c:pt idx="14">
                  <c:v>0.21349066666666666</c:v>
                </c:pt>
                <c:pt idx="15">
                  <c:v>0.20843999999999999</c:v>
                </c:pt>
                <c:pt idx="16">
                  <c:v>0.2039835294117647</c:v>
                </c:pt>
                <c:pt idx="17">
                  <c:v>0.20002444444444445</c:v>
                </c:pt>
                <c:pt idx="18">
                  <c:v>0.19647999999999999</c:v>
                </c:pt>
                <c:pt idx="19">
                  <c:v>0.19329000000000002</c:v>
                </c:pt>
                <c:pt idx="20">
                  <c:v>0.19040380952380953</c:v>
                </c:pt>
                <c:pt idx="21">
                  <c:v>0.18778181818181816</c:v>
                </c:pt>
                <c:pt idx="22">
                  <c:v>0.18538608695652176</c:v>
                </c:pt>
                <c:pt idx="23">
                  <c:v>0.18319000000000002</c:v>
                </c:pt>
                <c:pt idx="24">
                  <c:v>0.18116959999999999</c:v>
                </c:pt>
                <c:pt idx="25">
                  <c:v>0.17930615384615384</c:v>
                </c:pt>
                <c:pt idx="26">
                  <c:v>0.17757925925925927</c:v>
                </c:pt>
                <c:pt idx="27">
                  <c:v>0.17597571428571426</c:v>
                </c:pt>
                <c:pt idx="28">
                  <c:v>0.17448275862068965</c:v>
                </c:pt>
                <c:pt idx="29">
                  <c:v>0.17309066666666667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78-474C-BEB1-BEA04D12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LOW INCOME RESIDENTIAL</a:t>
            </a:r>
          </a:p>
        </c:rich>
      </c:tx>
      <c:layout>
        <c:manualLayout>
          <c:xMode val="edge"/>
          <c:yMode val="edge"/>
          <c:x val="0.43251796181117858"/>
          <c:y val="2.8535938267719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JDT-4'!$E$92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JDT-4'!$B$96:$B$125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JDT-4'!$E$96:$E$125</c:f>
              <c:numCache>
                <c:formatCode>#,##0.00_);\(#,##0.00\)</c:formatCode>
                <c:ptCount val="30"/>
                <c:pt idx="0">
                  <c:v>1.1720000000000002</c:v>
                </c:pt>
                <c:pt idx="1">
                  <c:v>0.70950000000000002</c:v>
                </c:pt>
                <c:pt idx="2">
                  <c:v>0.55566666666666675</c:v>
                </c:pt>
                <c:pt idx="3">
                  <c:v>0.47850000000000004</c:v>
                </c:pt>
                <c:pt idx="4">
                  <c:v>0.43240000000000001</c:v>
                </c:pt>
                <c:pt idx="5">
                  <c:v>0.38983333333333337</c:v>
                </c:pt>
                <c:pt idx="6">
                  <c:v>0.35942857142857143</c:v>
                </c:pt>
                <c:pt idx="7">
                  <c:v>0.33662500000000001</c:v>
                </c:pt>
                <c:pt idx="8">
                  <c:v>0.31888888888888889</c:v>
                </c:pt>
                <c:pt idx="9">
                  <c:v>0.30469999999999997</c:v>
                </c:pt>
                <c:pt idx="10">
                  <c:v>0.29309090909090912</c:v>
                </c:pt>
                <c:pt idx="11">
                  <c:v>0.28341666666666665</c:v>
                </c:pt>
                <c:pt idx="12">
                  <c:v>0.27523076923076922</c:v>
                </c:pt>
                <c:pt idx="13">
                  <c:v>0.26821428571428568</c:v>
                </c:pt>
                <c:pt idx="14">
                  <c:v>0.26213333333333333</c:v>
                </c:pt>
                <c:pt idx="15">
                  <c:v>0.2568125</c:v>
                </c:pt>
                <c:pt idx="16">
                  <c:v>0.2521176470588235</c:v>
                </c:pt>
                <c:pt idx="17">
                  <c:v>0.24794444444444447</c:v>
                </c:pt>
                <c:pt idx="18">
                  <c:v>0.24421052631578946</c:v>
                </c:pt>
                <c:pt idx="19">
                  <c:v>0.24085000000000001</c:v>
                </c:pt>
                <c:pt idx="20">
                  <c:v>0.2378095238095238</c:v>
                </c:pt>
                <c:pt idx="21">
                  <c:v>0.23504545454545456</c:v>
                </c:pt>
                <c:pt idx="22">
                  <c:v>0.23252173913043478</c:v>
                </c:pt>
                <c:pt idx="23">
                  <c:v>0.23024999999999998</c:v>
                </c:pt>
                <c:pt idx="24">
                  <c:v>0.22812000000000002</c:v>
                </c:pt>
                <c:pt idx="25">
                  <c:v>0.22615384615384615</c:v>
                </c:pt>
                <c:pt idx="26">
                  <c:v>0.22433333333333333</c:v>
                </c:pt>
                <c:pt idx="27">
                  <c:v>0.22264285714285714</c:v>
                </c:pt>
                <c:pt idx="28">
                  <c:v>0.22106896551724137</c:v>
                </c:pt>
                <c:pt idx="29">
                  <c:v>0.21959999999999999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D-4E4B-8630-FDA71EEC5770}"/>
            </c:ext>
          </c:extLst>
        </c:ser>
        <c:ser>
          <c:idx val="3"/>
          <c:order val="1"/>
          <c:tx>
            <c:strRef>
              <c:f>'Exhibit JDT-4'!$F$92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JDT-4'!$B$96:$B$125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JDT-4'!$F$96:$F$125</c:f>
              <c:numCache>
                <c:formatCode>#,##0.00_);\(#,##0.00\)</c:formatCode>
                <c:ptCount val="30"/>
                <c:pt idx="0">
                  <c:v>1.621</c:v>
                </c:pt>
                <c:pt idx="1">
                  <c:v>0.92749999999999999</c:v>
                </c:pt>
                <c:pt idx="2">
                  <c:v>0.69666666666666666</c:v>
                </c:pt>
                <c:pt idx="3">
                  <c:v>0.58099999999999996</c:v>
                </c:pt>
                <c:pt idx="4">
                  <c:v>0.51180000000000003</c:v>
                </c:pt>
                <c:pt idx="5">
                  <c:v>0.46549999999999997</c:v>
                </c:pt>
                <c:pt idx="6">
                  <c:v>0.43257142857142861</c:v>
                </c:pt>
                <c:pt idx="7">
                  <c:v>0.40774999999999995</c:v>
                </c:pt>
                <c:pt idx="8">
                  <c:v>0.38855555555555554</c:v>
                </c:pt>
                <c:pt idx="9">
                  <c:v>0.37310000000000004</c:v>
                </c:pt>
                <c:pt idx="10">
                  <c:v>0.3605454545454545</c:v>
                </c:pt>
                <c:pt idx="11">
                  <c:v>0.35</c:v>
                </c:pt>
                <c:pt idx="12">
                  <c:v>0.34115384615384614</c:v>
                </c:pt>
                <c:pt idx="13">
                  <c:v>0.33349999999999996</c:v>
                </c:pt>
                <c:pt idx="14">
                  <c:v>0.32693333333333335</c:v>
                </c:pt>
                <c:pt idx="15">
                  <c:v>0.32112499999999999</c:v>
                </c:pt>
                <c:pt idx="16">
                  <c:v>0.31605882352941173</c:v>
                </c:pt>
                <c:pt idx="17">
                  <c:v>0.3115</c:v>
                </c:pt>
                <c:pt idx="18">
                  <c:v>0.30747368421052634</c:v>
                </c:pt>
                <c:pt idx="19">
                  <c:v>0.30380000000000001</c:v>
                </c:pt>
                <c:pt idx="20">
                  <c:v>0.30052380952380953</c:v>
                </c:pt>
                <c:pt idx="21">
                  <c:v>0.29749999999999999</c:v>
                </c:pt>
                <c:pt idx="22">
                  <c:v>0.29478260869565215</c:v>
                </c:pt>
                <c:pt idx="23">
                  <c:v>0.29225000000000001</c:v>
                </c:pt>
                <c:pt idx="24">
                  <c:v>0.28996</c:v>
                </c:pt>
                <c:pt idx="25">
                  <c:v>0.28780769230769232</c:v>
                </c:pt>
                <c:pt idx="26">
                  <c:v>0.28585185185185186</c:v>
                </c:pt>
                <c:pt idx="27">
                  <c:v>0.28403571428571428</c:v>
                </c:pt>
                <c:pt idx="28">
                  <c:v>0.28231034482758621</c:v>
                </c:pt>
                <c:pt idx="29">
                  <c:v>0.28073333333333333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4D-4E4B-8630-FDA71EEC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INTERMEDIATE VOLUME INDUSTRIAL SERVICE SATC</a:t>
            </a:r>
          </a:p>
        </c:rich>
      </c:tx>
      <c:layout>
        <c:manualLayout>
          <c:xMode val="edge"/>
          <c:yMode val="edge"/>
          <c:x val="0.26681991455613507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JDT-4'!$E$1273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JDT-4'!$B$1277:$B$1306</c:f>
              <c:numCache>
                <c:formatCode>General</c:formatCode>
                <c:ptCount val="3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</c:numCache>
            </c:numRef>
          </c:cat>
          <c:val>
            <c:numRef>
              <c:f>'Exhibit JDT-4'!$E$1277:$E$1306</c:f>
              <c:numCache>
                <c:formatCode>#,##0.00_);\(#,##0.00\)</c:formatCode>
                <c:ptCount val="30"/>
                <c:pt idx="0">
                  <c:v>2.1686000000000001</c:v>
                </c:pt>
                <c:pt idx="1">
                  <c:v>1.1590499999999999</c:v>
                </c:pt>
                <c:pt idx="2">
                  <c:v>0.82250000000000001</c:v>
                </c:pt>
                <c:pt idx="3">
                  <c:v>0.65425</c:v>
                </c:pt>
                <c:pt idx="4">
                  <c:v>0.5532999999999999</c:v>
                </c:pt>
                <c:pt idx="5">
                  <c:v>0.48600000000000004</c:v>
                </c:pt>
                <c:pt idx="6">
                  <c:v>0.43792857142857144</c:v>
                </c:pt>
                <c:pt idx="7">
                  <c:v>0.40186250000000001</c:v>
                </c:pt>
                <c:pt idx="8">
                  <c:v>0.37382222222222222</c:v>
                </c:pt>
                <c:pt idx="9">
                  <c:v>0.35138999999999998</c:v>
                </c:pt>
                <c:pt idx="10">
                  <c:v>0.33303636363636363</c:v>
                </c:pt>
                <c:pt idx="11">
                  <c:v>0.3177416666666667</c:v>
                </c:pt>
                <c:pt idx="12">
                  <c:v>0.3047923076923077</c:v>
                </c:pt>
                <c:pt idx="13">
                  <c:v>0.29370000000000002</c:v>
                </c:pt>
                <c:pt idx="14">
                  <c:v>0.28408666666666665</c:v>
                </c:pt>
                <c:pt idx="15">
                  <c:v>0.275675</c:v>
                </c:pt>
                <c:pt idx="16">
                  <c:v>0.26825294117647058</c:v>
                </c:pt>
                <c:pt idx="17">
                  <c:v>0.26164999999999999</c:v>
                </c:pt>
                <c:pt idx="18">
                  <c:v>0.25574736842105267</c:v>
                </c:pt>
                <c:pt idx="19">
                  <c:v>0.25043500000000002</c:v>
                </c:pt>
                <c:pt idx="20">
                  <c:v>0.24562857142857145</c:v>
                </c:pt>
                <c:pt idx="21">
                  <c:v>0.2412590909090909</c:v>
                </c:pt>
                <c:pt idx="22">
                  <c:v>0.23726521739130435</c:v>
                </c:pt>
                <c:pt idx="23">
                  <c:v>0.23360833333333331</c:v>
                </c:pt>
                <c:pt idx="24">
                  <c:v>0.230244</c:v>
                </c:pt>
                <c:pt idx="25">
                  <c:v>0.22713846153846151</c:v>
                </c:pt>
                <c:pt idx="26">
                  <c:v>0.22426296296296297</c:v>
                </c:pt>
                <c:pt idx="27">
                  <c:v>0.22158928571428574</c:v>
                </c:pt>
                <c:pt idx="28">
                  <c:v>0.21910344827586206</c:v>
                </c:pt>
                <c:pt idx="29">
                  <c:v>0.21678333333333333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C-4452-ADA7-CE14030480A0}"/>
            </c:ext>
          </c:extLst>
        </c:ser>
        <c:ser>
          <c:idx val="3"/>
          <c:order val="1"/>
          <c:tx>
            <c:strRef>
              <c:f>'Exhibit JDT-4'!$F$1273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JDT-4'!$B$1277:$B$1306</c:f>
              <c:numCache>
                <c:formatCode>General</c:formatCode>
                <c:ptCount val="3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</c:numCache>
            </c:numRef>
          </c:cat>
          <c:val>
            <c:numRef>
              <c:f>'Exhibit JDT-4'!$F$1277:$F$1306</c:f>
              <c:numCache>
                <c:formatCode>#,##0.00_);\(#,##0.00\)</c:formatCode>
                <c:ptCount val="30"/>
                <c:pt idx="0">
                  <c:v>3.1468000000000003</c:v>
                </c:pt>
                <c:pt idx="1">
                  <c:v>1.63175</c:v>
                </c:pt>
                <c:pt idx="2">
                  <c:v>1.1267666666666665</c:v>
                </c:pt>
                <c:pt idx="3">
                  <c:v>0.87424999999999997</c:v>
                </c:pt>
                <c:pt idx="4">
                  <c:v>0.72275999999999996</c:v>
                </c:pt>
                <c:pt idx="5">
                  <c:v>0.62175000000000002</c:v>
                </c:pt>
                <c:pt idx="6">
                  <c:v>0.54961428571428572</c:v>
                </c:pt>
                <c:pt idx="7">
                  <c:v>0.4955</c:v>
                </c:pt>
                <c:pt idx="8">
                  <c:v>0.45342222222222223</c:v>
                </c:pt>
                <c:pt idx="9">
                  <c:v>0.41975000000000001</c:v>
                </c:pt>
                <c:pt idx="10">
                  <c:v>0.3922090909090909</c:v>
                </c:pt>
                <c:pt idx="11">
                  <c:v>0.36925000000000002</c:v>
                </c:pt>
                <c:pt idx="12">
                  <c:v>0.34983076923076922</c:v>
                </c:pt>
                <c:pt idx="13">
                  <c:v>0.33317857142857144</c:v>
                </c:pt>
                <c:pt idx="14">
                  <c:v>0.31875333333333333</c:v>
                </c:pt>
                <c:pt idx="15">
                  <c:v>0.30612499999999998</c:v>
                </c:pt>
                <c:pt idx="16">
                  <c:v>0.29498823529411766</c:v>
                </c:pt>
                <c:pt idx="17">
                  <c:v>0.2850833333333333</c:v>
                </c:pt>
                <c:pt idx="18">
                  <c:v>0.27622631578947371</c:v>
                </c:pt>
                <c:pt idx="19">
                  <c:v>0.26824999999999999</c:v>
                </c:pt>
                <c:pt idx="20">
                  <c:v>0.26103809523809524</c:v>
                </c:pt>
                <c:pt idx="21">
                  <c:v>0.25447727272727272</c:v>
                </c:pt>
                <c:pt idx="22">
                  <c:v>0.24849130434782607</c:v>
                </c:pt>
                <c:pt idx="23">
                  <c:v>0.24300000000000002</c:v>
                </c:pt>
                <c:pt idx="24">
                  <c:v>0.237952</c:v>
                </c:pt>
                <c:pt idx="25">
                  <c:v>0.23328846153846153</c:v>
                </c:pt>
                <c:pt idx="26">
                  <c:v>0.22897407407407408</c:v>
                </c:pt>
                <c:pt idx="27">
                  <c:v>0.2249642857142857</c:v>
                </c:pt>
                <c:pt idx="28">
                  <c:v>0.2212344827586207</c:v>
                </c:pt>
                <c:pt idx="29">
                  <c:v>0.21775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4C-4452-ADA7-CE140304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INTERMEDIATE VOLUME INDUSTRIAL SERVICE MMT</a:t>
            </a:r>
          </a:p>
        </c:rich>
      </c:tx>
      <c:layout>
        <c:manualLayout>
          <c:xMode val="edge"/>
          <c:yMode val="edge"/>
          <c:x val="0.25394652372998827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JDT-4'!$E$1338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JDT-4'!$B$1342:$B$1371</c:f>
              <c:numCache>
                <c:formatCode>General</c:formatCode>
                <c:ptCount val="3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</c:numCache>
            </c:numRef>
          </c:cat>
          <c:val>
            <c:numRef>
              <c:f>'Exhibit JDT-4'!$E$1342:$E$1371</c:f>
              <c:numCache>
                <c:formatCode>#,##0.00_);\(#,##0.00\)</c:formatCode>
                <c:ptCount val="30"/>
                <c:pt idx="0">
                  <c:v>0.31095</c:v>
                </c:pt>
                <c:pt idx="1">
                  <c:v>0.20999500000000001</c:v>
                </c:pt>
                <c:pt idx="2">
                  <c:v>0.17634333333333332</c:v>
                </c:pt>
                <c:pt idx="3">
                  <c:v>0.15951750000000001</c:v>
                </c:pt>
                <c:pt idx="4">
                  <c:v>0.149422</c:v>
                </c:pt>
                <c:pt idx="5">
                  <c:v>0.14269166666666666</c:v>
                </c:pt>
                <c:pt idx="6">
                  <c:v>0.13788428571428571</c:v>
                </c:pt>
                <c:pt idx="7">
                  <c:v>0.13427875</c:v>
                </c:pt>
                <c:pt idx="8">
                  <c:v>0.13147444444444445</c:v>
                </c:pt>
                <c:pt idx="9">
                  <c:v>0.12923099999999998</c:v>
                </c:pt>
                <c:pt idx="10">
                  <c:v>0.12739545454545453</c:v>
                </c:pt>
                <c:pt idx="11">
                  <c:v>0.12586583333333334</c:v>
                </c:pt>
                <c:pt idx="12">
                  <c:v>0.12457153846153847</c:v>
                </c:pt>
                <c:pt idx="13">
                  <c:v>0.12346214285714285</c:v>
                </c:pt>
                <c:pt idx="14">
                  <c:v>0.12250066666666666</c:v>
                </c:pt>
                <c:pt idx="15">
                  <c:v>0.121659375</c:v>
                </c:pt>
                <c:pt idx="16">
                  <c:v>0.12091705882352942</c:v>
                </c:pt>
                <c:pt idx="17">
                  <c:v>0.12025722222222222</c:v>
                </c:pt>
                <c:pt idx="18">
                  <c:v>0.11966684210526315</c:v>
                </c:pt>
                <c:pt idx="19">
                  <c:v>0.11913550000000001</c:v>
                </c:pt>
                <c:pt idx="20">
                  <c:v>0.1186547619047619</c:v>
                </c:pt>
                <c:pt idx="21">
                  <c:v>0.11821772727272727</c:v>
                </c:pt>
                <c:pt idx="22">
                  <c:v>0.11781869565217391</c:v>
                </c:pt>
                <c:pt idx="23">
                  <c:v>0.11745291666666666</c:v>
                </c:pt>
                <c:pt idx="24">
                  <c:v>0.1171164</c:v>
                </c:pt>
                <c:pt idx="25">
                  <c:v>0.11680576923076923</c:v>
                </c:pt>
                <c:pt idx="26">
                  <c:v>0.11651814814814813</c:v>
                </c:pt>
                <c:pt idx="27">
                  <c:v>0.11625107142857144</c:v>
                </c:pt>
                <c:pt idx="28">
                  <c:v>0.11600241379310346</c:v>
                </c:pt>
                <c:pt idx="29">
                  <c:v>0.11577033333333334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1-42E2-838F-0D6F29051D01}"/>
            </c:ext>
          </c:extLst>
        </c:ser>
        <c:ser>
          <c:idx val="3"/>
          <c:order val="1"/>
          <c:tx>
            <c:strRef>
              <c:f>'Exhibit JDT-4'!$F$1338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JDT-4'!$B$1342:$B$1371</c:f>
              <c:numCache>
                <c:formatCode>General</c:formatCode>
                <c:ptCount val="3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</c:numCache>
            </c:numRef>
          </c:cat>
          <c:val>
            <c:numRef>
              <c:f>'Exhibit JDT-4'!$F$1342:$F$1371</c:f>
              <c:numCache>
                <c:formatCode>#,##0.00_);\(#,##0.00\)</c:formatCode>
                <c:ptCount val="30"/>
                <c:pt idx="0">
                  <c:v>0.41975000000000001</c:v>
                </c:pt>
                <c:pt idx="1">
                  <c:v>0.26824999999999999</c:v>
                </c:pt>
                <c:pt idx="2">
                  <c:v>0.21775</c:v>
                </c:pt>
                <c:pt idx="3">
                  <c:v>0.1925</c:v>
                </c:pt>
                <c:pt idx="4">
                  <c:v>0.17735000000000001</c:v>
                </c:pt>
                <c:pt idx="5">
                  <c:v>0.16725000000000001</c:v>
                </c:pt>
                <c:pt idx="6">
                  <c:v>0.16003571428571428</c:v>
                </c:pt>
                <c:pt idx="7">
                  <c:v>0.15462500000000001</c:v>
                </c:pt>
                <c:pt idx="8">
                  <c:v>0.15041666666666667</c:v>
                </c:pt>
                <c:pt idx="9">
                  <c:v>0.14704999999999999</c:v>
                </c:pt>
                <c:pt idx="10">
                  <c:v>0.14429545454545453</c:v>
                </c:pt>
                <c:pt idx="11">
                  <c:v>0.14199999999999999</c:v>
                </c:pt>
                <c:pt idx="12">
                  <c:v>0.1400576923076923</c:v>
                </c:pt>
                <c:pt idx="13">
                  <c:v>0.13839285714285715</c:v>
                </c:pt>
                <c:pt idx="14">
                  <c:v>0.13694999999999999</c:v>
                </c:pt>
                <c:pt idx="15">
                  <c:v>0.13568749999999999</c:v>
                </c:pt>
                <c:pt idx="16">
                  <c:v>0.1345735294117647</c:v>
                </c:pt>
                <c:pt idx="17">
                  <c:v>0.13358333333333333</c:v>
                </c:pt>
                <c:pt idx="18">
                  <c:v>0.13269736842105262</c:v>
                </c:pt>
                <c:pt idx="19">
                  <c:v>0.13189999999999999</c:v>
                </c:pt>
                <c:pt idx="20">
                  <c:v>0.13117857142857142</c:v>
                </c:pt>
                <c:pt idx="21">
                  <c:v>0.13052272727272726</c:v>
                </c:pt>
                <c:pt idx="22">
                  <c:v>0.12992391304347825</c:v>
                </c:pt>
                <c:pt idx="23">
                  <c:v>0.12937499999999999</c:v>
                </c:pt>
                <c:pt idx="24">
                  <c:v>0.12887000000000001</c:v>
                </c:pt>
                <c:pt idx="25">
                  <c:v>0.12840384615384615</c:v>
                </c:pt>
                <c:pt idx="26">
                  <c:v>0.12797222222222221</c:v>
                </c:pt>
                <c:pt idx="27">
                  <c:v>0.12757142857142856</c:v>
                </c:pt>
                <c:pt idx="28">
                  <c:v>0.12719827586206897</c:v>
                </c:pt>
                <c:pt idx="29">
                  <c:v>0.12684999999999999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D1-42E2-838F-0D6F29051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INTERMEDIATE VOLUME INDUSTRIAL SERVICE DMT</a:t>
            </a:r>
          </a:p>
        </c:rich>
      </c:tx>
      <c:layout>
        <c:manualLayout>
          <c:xMode val="edge"/>
          <c:yMode val="edge"/>
          <c:x val="0.25214277192623652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JDT-4'!$E$1403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JDT-4'!$B$1407:$B$1436</c:f>
              <c:numCache>
                <c:formatCode>General</c:formatCode>
                <c:ptCount val="30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8000</c:v>
                </c:pt>
                <c:pt idx="4">
                  <c:v>10000</c:v>
                </c:pt>
                <c:pt idx="5">
                  <c:v>12000</c:v>
                </c:pt>
                <c:pt idx="6">
                  <c:v>14000</c:v>
                </c:pt>
                <c:pt idx="7">
                  <c:v>16000</c:v>
                </c:pt>
                <c:pt idx="8">
                  <c:v>18000</c:v>
                </c:pt>
                <c:pt idx="9">
                  <c:v>20000</c:v>
                </c:pt>
                <c:pt idx="10">
                  <c:v>22000</c:v>
                </c:pt>
                <c:pt idx="11">
                  <c:v>24000</c:v>
                </c:pt>
                <c:pt idx="12">
                  <c:v>26000</c:v>
                </c:pt>
                <c:pt idx="13">
                  <c:v>28000</c:v>
                </c:pt>
                <c:pt idx="14">
                  <c:v>30000</c:v>
                </c:pt>
                <c:pt idx="15">
                  <c:v>32000</c:v>
                </c:pt>
                <c:pt idx="16">
                  <c:v>34000</c:v>
                </c:pt>
                <c:pt idx="17">
                  <c:v>36000</c:v>
                </c:pt>
                <c:pt idx="18">
                  <c:v>38000</c:v>
                </c:pt>
                <c:pt idx="19">
                  <c:v>40000</c:v>
                </c:pt>
                <c:pt idx="20">
                  <c:v>42000</c:v>
                </c:pt>
                <c:pt idx="21">
                  <c:v>44000</c:v>
                </c:pt>
                <c:pt idx="22">
                  <c:v>46000</c:v>
                </c:pt>
                <c:pt idx="23">
                  <c:v>48000</c:v>
                </c:pt>
                <c:pt idx="24">
                  <c:v>50000</c:v>
                </c:pt>
                <c:pt idx="25">
                  <c:v>52000</c:v>
                </c:pt>
                <c:pt idx="26">
                  <c:v>54000</c:v>
                </c:pt>
                <c:pt idx="27">
                  <c:v>56000</c:v>
                </c:pt>
                <c:pt idx="28">
                  <c:v>58000</c:v>
                </c:pt>
                <c:pt idx="29">
                  <c:v>60000</c:v>
                </c:pt>
              </c:numCache>
            </c:numRef>
          </c:cat>
          <c:val>
            <c:numRef>
              <c:f>'Exhibit JDT-4'!$E$1407:$E$1436</c:f>
              <c:numCache>
                <c:formatCode>#,##0.00_);\(#,##0.00\)</c:formatCode>
                <c:ptCount val="30"/>
                <c:pt idx="0">
                  <c:v>0.20799500000000001</c:v>
                </c:pt>
                <c:pt idx="1">
                  <c:v>0.1575175</c:v>
                </c:pt>
                <c:pt idx="2">
                  <c:v>0.14069166666666666</c:v>
                </c:pt>
                <c:pt idx="3">
                  <c:v>0.13227875</c:v>
                </c:pt>
                <c:pt idx="4">
                  <c:v>0.12723099999999998</c:v>
                </c:pt>
                <c:pt idx="5">
                  <c:v>0.12386583333333334</c:v>
                </c:pt>
                <c:pt idx="6">
                  <c:v>0.12146214285714287</c:v>
                </c:pt>
                <c:pt idx="7">
                  <c:v>0.119659375</c:v>
                </c:pt>
                <c:pt idx="8">
                  <c:v>0.11825722222222222</c:v>
                </c:pt>
                <c:pt idx="9">
                  <c:v>0.1171355</c:v>
                </c:pt>
                <c:pt idx="10">
                  <c:v>0.11621772727272726</c:v>
                </c:pt>
                <c:pt idx="11">
                  <c:v>0.11545291666666667</c:v>
                </c:pt>
                <c:pt idx="12">
                  <c:v>0.11480576923076923</c:v>
                </c:pt>
                <c:pt idx="13">
                  <c:v>0.11425107142857144</c:v>
                </c:pt>
                <c:pt idx="14">
                  <c:v>0.11377033333333333</c:v>
                </c:pt>
                <c:pt idx="15">
                  <c:v>0.1133496875</c:v>
                </c:pt>
                <c:pt idx="16">
                  <c:v>0.1129785294117647</c:v>
                </c:pt>
                <c:pt idx="17">
                  <c:v>0.1126486111111111</c:v>
                </c:pt>
                <c:pt idx="18">
                  <c:v>0.11235342105263159</c:v>
                </c:pt>
                <c:pt idx="19">
                  <c:v>0.11208775</c:v>
                </c:pt>
                <c:pt idx="20">
                  <c:v>0.11184738095238096</c:v>
                </c:pt>
                <c:pt idx="21">
                  <c:v>0.11162886363636364</c:v>
                </c:pt>
                <c:pt idx="22">
                  <c:v>0.11142934782608696</c:v>
                </c:pt>
                <c:pt idx="23">
                  <c:v>0.11124645833333333</c:v>
                </c:pt>
                <c:pt idx="24">
                  <c:v>0.1110782</c:v>
                </c:pt>
                <c:pt idx="25">
                  <c:v>0.11092288461538462</c:v>
                </c:pt>
                <c:pt idx="26">
                  <c:v>0.11077907407407407</c:v>
                </c:pt>
                <c:pt idx="27">
                  <c:v>0.1106455357142857</c:v>
                </c:pt>
                <c:pt idx="28">
                  <c:v>0.11052120689655172</c:v>
                </c:pt>
                <c:pt idx="29">
                  <c:v>0.11040516666666668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4-4922-8372-3DA1786C29D9}"/>
            </c:ext>
          </c:extLst>
        </c:ser>
        <c:ser>
          <c:idx val="3"/>
          <c:order val="1"/>
          <c:tx>
            <c:strRef>
              <c:f>'Exhibit JDT-4'!$F$1403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JDT-4'!$B$1407:$B$1436</c:f>
              <c:numCache>
                <c:formatCode>General</c:formatCode>
                <c:ptCount val="30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8000</c:v>
                </c:pt>
                <c:pt idx="4">
                  <c:v>10000</c:v>
                </c:pt>
                <c:pt idx="5">
                  <c:v>12000</c:v>
                </c:pt>
                <c:pt idx="6">
                  <c:v>14000</c:v>
                </c:pt>
                <c:pt idx="7">
                  <c:v>16000</c:v>
                </c:pt>
                <c:pt idx="8">
                  <c:v>18000</c:v>
                </c:pt>
                <c:pt idx="9">
                  <c:v>20000</c:v>
                </c:pt>
                <c:pt idx="10">
                  <c:v>22000</c:v>
                </c:pt>
                <c:pt idx="11">
                  <c:v>24000</c:v>
                </c:pt>
                <c:pt idx="12">
                  <c:v>26000</c:v>
                </c:pt>
                <c:pt idx="13">
                  <c:v>28000</c:v>
                </c:pt>
                <c:pt idx="14">
                  <c:v>30000</c:v>
                </c:pt>
                <c:pt idx="15">
                  <c:v>32000</c:v>
                </c:pt>
                <c:pt idx="16">
                  <c:v>34000</c:v>
                </c:pt>
                <c:pt idx="17">
                  <c:v>36000</c:v>
                </c:pt>
                <c:pt idx="18">
                  <c:v>38000</c:v>
                </c:pt>
                <c:pt idx="19">
                  <c:v>40000</c:v>
                </c:pt>
                <c:pt idx="20">
                  <c:v>42000</c:v>
                </c:pt>
                <c:pt idx="21">
                  <c:v>44000</c:v>
                </c:pt>
                <c:pt idx="22">
                  <c:v>46000</c:v>
                </c:pt>
                <c:pt idx="23">
                  <c:v>48000</c:v>
                </c:pt>
                <c:pt idx="24">
                  <c:v>50000</c:v>
                </c:pt>
                <c:pt idx="25">
                  <c:v>52000</c:v>
                </c:pt>
                <c:pt idx="26">
                  <c:v>54000</c:v>
                </c:pt>
                <c:pt idx="27">
                  <c:v>56000</c:v>
                </c:pt>
                <c:pt idx="28">
                  <c:v>58000</c:v>
                </c:pt>
                <c:pt idx="29">
                  <c:v>60000</c:v>
                </c:pt>
              </c:numCache>
            </c:numRef>
          </c:cat>
          <c:val>
            <c:numRef>
              <c:f>'Exhibit JDT-4'!$F$1407:$F$1436</c:f>
              <c:numCache>
                <c:formatCode>#,##0.00_);\(#,##0.00\)</c:formatCode>
                <c:ptCount val="30"/>
                <c:pt idx="0">
                  <c:v>0.26824999999999999</c:v>
                </c:pt>
                <c:pt idx="1">
                  <c:v>0.1925</c:v>
                </c:pt>
                <c:pt idx="2">
                  <c:v>0.16725000000000001</c:v>
                </c:pt>
                <c:pt idx="3">
                  <c:v>0.15462500000000001</c:v>
                </c:pt>
                <c:pt idx="4">
                  <c:v>0.14704999999999999</c:v>
                </c:pt>
                <c:pt idx="5">
                  <c:v>0.14199999999999999</c:v>
                </c:pt>
                <c:pt idx="6">
                  <c:v>0.13839285714285715</c:v>
                </c:pt>
                <c:pt idx="7">
                  <c:v>0.13568749999999999</c:v>
                </c:pt>
                <c:pt idx="8">
                  <c:v>0.13358333333333333</c:v>
                </c:pt>
                <c:pt idx="9">
                  <c:v>0.13189999999999999</c:v>
                </c:pt>
                <c:pt idx="10">
                  <c:v>0.13052272727272726</c:v>
                </c:pt>
                <c:pt idx="11">
                  <c:v>0.12937499999999999</c:v>
                </c:pt>
                <c:pt idx="12">
                  <c:v>0.12840384615384615</c:v>
                </c:pt>
                <c:pt idx="13">
                  <c:v>0.12757142857142856</c:v>
                </c:pt>
                <c:pt idx="14">
                  <c:v>0.12684999999999999</c:v>
                </c:pt>
                <c:pt idx="15">
                  <c:v>0.12621874999999999</c:v>
                </c:pt>
                <c:pt idx="16">
                  <c:v>0.12566176470588236</c:v>
                </c:pt>
                <c:pt idx="17">
                  <c:v>0.12516666666666668</c:v>
                </c:pt>
                <c:pt idx="18">
                  <c:v>0.12472368421052632</c:v>
                </c:pt>
                <c:pt idx="19">
                  <c:v>0.124325</c:v>
                </c:pt>
                <c:pt idx="20">
                  <c:v>0.12396428571428571</c:v>
                </c:pt>
                <c:pt idx="21">
                  <c:v>0.12363636363636364</c:v>
                </c:pt>
                <c:pt idx="22">
                  <c:v>0.12333695652173914</c:v>
                </c:pt>
                <c:pt idx="23">
                  <c:v>0.12306250000000001</c:v>
                </c:pt>
                <c:pt idx="24">
                  <c:v>0.12281</c:v>
                </c:pt>
                <c:pt idx="25">
                  <c:v>0.12257692307692308</c:v>
                </c:pt>
                <c:pt idx="26">
                  <c:v>0.12236111111111111</c:v>
                </c:pt>
                <c:pt idx="27">
                  <c:v>0.12216071428571429</c:v>
                </c:pt>
                <c:pt idx="28">
                  <c:v>0.12197413793103448</c:v>
                </c:pt>
                <c:pt idx="29">
                  <c:v>0.12180000000000001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94-4922-8372-3DA1786C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VOLUME INDUSTRIAL MMT</a:t>
            </a:r>
          </a:p>
        </c:rich>
      </c:tx>
      <c:layout>
        <c:manualLayout>
          <c:xMode val="edge"/>
          <c:yMode val="edge"/>
          <c:x val="0.35315287293633751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JDT-4'!$E$1467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JDT-4'!$B$1471:$B$1500</c:f>
              <c:numCache>
                <c:formatCode>General</c:formatCode>
                <c:ptCount val="30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  <c:pt idx="10">
                  <c:v>55000</c:v>
                </c:pt>
                <c:pt idx="11">
                  <c:v>60000</c:v>
                </c:pt>
                <c:pt idx="12">
                  <c:v>65000</c:v>
                </c:pt>
                <c:pt idx="13">
                  <c:v>70000</c:v>
                </c:pt>
                <c:pt idx="14">
                  <c:v>75000</c:v>
                </c:pt>
                <c:pt idx="15">
                  <c:v>80000</c:v>
                </c:pt>
                <c:pt idx="16">
                  <c:v>85000</c:v>
                </c:pt>
                <c:pt idx="17">
                  <c:v>90000</c:v>
                </c:pt>
                <c:pt idx="18">
                  <c:v>95000</c:v>
                </c:pt>
                <c:pt idx="19">
                  <c:v>100000</c:v>
                </c:pt>
                <c:pt idx="20">
                  <c:v>105000</c:v>
                </c:pt>
                <c:pt idx="21">
                  <c:v>110000</c:v>
                </c:pt>
                <c:pt idx="22">
                  <c:v>115000</c:v>
                </c:pt>
                <c:pt idx="23">
                  <c:v>120000</c:v>
                </c:pt>
                <c:pt idx="24">
                  <c:v>125000</c:v>
                </c:pt>
                <c:pt idx="25">
                  <c:v>130000</c:v>
                </c:pt>
                <c:pt idx="26">
                  <c:v>135000</c:v>
                </c:pt>
                <c:pt idx="27">
                  <c:v>140000</c:v>
                </c:pt>
                <c:pt idx="28">
                  <c:v>145000</c:v>
                </c:pt>
                <c:pt idx="29">
                  <c:v>150000</c:v>
                </c:pt>
              </c:numCache>
            </c:numRef>
          </c:cat>
          <c:val>
            <c:numRef>
              <c:f>'Exhibit JDT-4'!$E$1471:$E$1500</c:f>
              <c:numCache>
                <c:formatCode>#,##0.00_);\(#,##0.00\)</c:formatCode>
                <c:ptCount val="30"/>
                <c:pt idx="0">
                  <c:v>0.24465999999999999</c:v>
                </c:pt>
                <c:pt idx="1">
                  <c:v>0.16375999999999999</c:v>
                </c:pt>
                <c:pt idx="2">
                  <c:v>0.13679333333333335</c:v>
                </c:pt>
                <c:pt idx="3">
                  <c:v>0.12330999999999999</c:v>
                </c:pt>
                <c:pt idx="4">
                  <c:v>0.11522</c:v>
                </c:pt>
                <c:pt idx="5">
                  <c:v>0.10982666666666667</c:v>
                </c:pt>
                <c:pt idx="6">
                  <c:v>0.10597428571428572</c:v>
                </c:pt>
                <c:pt idx="7">
                  <c:v>0.103085</c:v>
                </c:pt>
                <c:pt idx="8">
                  <c:v>0.10083777777777778</c:v>
                </c:pt>
                <c:pt idx="9">
                  <c:v>9.9040000000000003E-2</c:v>
                </c:pt>
                <c:pt idx="10">
                  <c:v>9.7569090909090911E-2</c:v>
                </c:pt>
                <c:pt idx="11">
                  <c:v>9.6343333333333336E-2</c:v>
                </c:pt>
                <c:pt idx="12">
                  <c:v>9.5306153846153846E-2</c:v>
                </c:pt>
                <c:pt idx="13">
                  <c:v>9.4417142857142852E-2</c:v>
                </c:pt>
                <c:pt idx="14">
                  <c:v>9.364666666666667E-2</c:v>
                </c:pt>
                <c:pt idx="15">
                  <c:v>9.29725E-2</c:v>
                </c:pt>
                <c:pt idx="16">
                  <c:v>9.2377647058823537E-2</c:v>
                </c:pt>
                <c:pt idx="17">
                  <c:v>9.1848888888888883E-2</c:v>
                </c:pt>
                <c:pt idx="18">
                  <c:v>9.1375789473684216E-2</c:v>
                </c:pt>
                <c:pt idx="19">
                  <c:v>9.0950000000000003E-2</c:v>
                </c:pt>
                <c:pt idx="20">
                  <c:v>9.0564761904761898E-2</c:v>
                </c:pt>
                <c:pt idx="21">
                  <c:v>9.0214545454545464E-2</c:v>
                </c:pt>
                <c:pt idx="22">
                  <c:v>8.9894782608695656E-2</c:v>
                </c:pt>
                <c:pt idx="23">
                  <c:v>8.9601666666666677E-2</c:v>
                </c:pt>
                <c:pt idx="24">
                  <c:v>8.9331999999999995E-2</c:v>
                </c:pt>
                <c:pt idx="25">
                  <c:v>8.9083076923076918E-2</c:v>
                </c:pt>
                <c:pt idx="26">
                  <c:v>8.8852592592592594E-2</c:v>
                </c:pt>
                <c:pt idx="27">
                  <c:v>8.8638571428571428E-2</c:v>
                </c:pt>
                <c:pt idx="28">
                  <c:v>8.843931034482759E-2</c:v>
                </c:pt>
                <c:pt idx="29">
                  <c:v>8.8253333333333336E-2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C-4057-B901-DD55C96CB75A}"/>
            </c:ext>
          </c:extLst>
        </c:ser>
        <c:ser>
          <c:idx val="3"/>
          <c:order val="1"/>
          <c:tx>
            <c:strRef>
              <c:f>'Exhibit JDT-4'!$F$1467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JDT-4'!$B$1471:$B$1500</c:f>
              <c:numCache>
                <c:formatCode>General</c:formatCode>
                <c:ptCount val="30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  <c:pt idx="10">
                  <c:v>55000</c:v>
                </c:pt>
                <c:pt idx="11">
                  <c:v>60000</c:v>
                </c:pt>
                <c:pt idx="12">
                  <c:v>65000</c:v>
                </c:pt>
                <c:pt idx="13">
                  <c:v>70000</c:v>
                </c:pt>
                <c:pt idx="14">
                  <c:v>75000</c:v>
                </c:pt>
                <c:pt idx="15">
                  <c:v>80000</c:v>
                </c:pt>
                <c:pt idx="16">
                  <c:v>85000</c:v>
                </c:pt>
                <c:pt idx="17">
                  <c:v>90000</c:v>
                </c:pt>
                <c:pt idx="18">
                  <c:v>95000</c:v>
                </c:pt>
                <c:pt idx="19">
                  <c:v>100000</c:v>
                </c:pt>
                <c:pt idx="20">
                  <c:v>105000</c:v>
                </c:pt>
                <c:pt idx="21">
                  <c:v>110000</c:v>
                </c:pt>
                <c:pt idx="22">
                  <c:v>115000</c:v>
                </c:pt>
                <c:pt idx="23">
                  <c:v>120000</c:v>
                </c:pt>
                <c:pt idx="24">
                  <c:v>125000</c:v>
                </c:pt>
                <c:pt idx="25">
                  <c:v>130000</c:v>
                </c:pt>
                <c:pt idx="26">
                  <c:v>135000</c:v>
                </c:pt>
                <c:pt idx="27">
                  <c:v>140000</c:v>
                </c:pt>
                <c:pt idx="28">
                  <c:v>145000</c:v>
                </c:pt>
                <c:pt idx="29">
                  <c:v>150000</c:v>
                </c:pt>
              </c:numCache>
            </c:numRef>
          </c:cat>
          <c:val>
            <c:numRef>
              <c:f>'Exhibit JDT-4'!$F$1471:$F$1500</c:f>
              <c:numCache>
                <c:formatCode>#,##0.00_);\(#,##0.00\)</c:formatCode>
                <c:ptCount val="30"/>
                <c:pt idx="0">
                  <c:v>0.33324999999999999</c:v>
                </c:pt>
                <c:pt idx="1">
                  <c:v>0.21190000000000001</c:v>
                </c:pt>
                <c:pt idx="2">
                  <c:v>0.17144999999999999</c:v>
                </c:pt>
                <c:pt idx="3">
                  <c:v>0.151225</c:v>
                </c:pt>
                <c:pt idx="4">
                  <c:v>0.13908999999999999</c:v>
                </c:pt>
                <c:pt idx="5">
                  <c:v>0.13100000000000001</c:v>
                </c:pt>
                <c:pt idx="6">
                  <c:v>0.12522142857142857</c:v>
                </c:pt>
                <c:pt idx="7">
                  <c:v>0.12088749999999999</c:v>
                </c:pt>
                <c:pt idx="8">
                  <c:v>0.11751666666666667</c:v>
                </c:pt>
                <c:pt idx="9">
                  <c:v>0.11482000000000001</c:v>
                </c:pt>
                <c:pt idx="10">
                  <c:v>0.11261363636363636</c:v>
                </c:pt>
                <c:pt idx="11">
                  <c:v>0.110775</c:v>
                </c:pt>
                <c:pt idx="12">
                  <c:v>0.10921923076923076</c:v>
                </c:pt>
                <c:pt idx="13">
                  <c:v>0.10788571428571428</c:v>
                </c:pt>
                <c:pt idx="14">
                  <c:v>0.10673000000000001</c:v>
                </c:pt>
                <c:pt idx="15">
                  <c:v>0.10571875</c:v>
                </c:pt>
                <c:pt idx="16">
                  <c:v>0.1048264705882353</c:v>
                </c:pt>
                <c:pt idx="17">
                  <c:v>0.10403333333333334</c:v>
                </c:pt>
                <c:pt idx="18">
                  <c:v>0.10332368421052632</c:v>
                </c:pt>
                <c:pt idx="19">
                  <c:v>0.102685</c:v>
                </c:pt>
                <c:pt idx="20">
                  <c:v>0.10210714285714285</c:v>
                </c:pt>
                <c:pt idx="21">
                  <c:v>0.10158181818181818</c:v>
                </c:pt>
                <c:pt idx="22">
                  <c:v>0.10110217391304348</c:v>
                </c:pt>
                <c:pt idx="23">
                  <c:v>0.1006625</c:v>
                </c:pt>
                <c:pt idx="24">
                  <c:v>0.100258</c:v>
                </c:pt>
                <c:pt idx="25">
                  <c:v>9.9884615384615391E-2</c:v>
                </c:pt>
                <c:pt idx="26">
                  <c:v>9.9538888888888885E-2</c:v>
                </c:pt>
                <c:pt idx="27">
                  <c:v>9.9217857142857149E-2</c:v>
                </c:pt>
                <c:pt idx="28">
                  <c:v>9.8918965517241386E-2</c:v>
                </c:pt>
                <c:pt idx="29">
                  <c:v>9.8640000000000005E-2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7C-4057-B901-DD55C96C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VOLUME INDUSTRIAL DMT</a:t>
            </a:r>
          </a:p>
        </c:rich>
      </c:tx>
      <c:layout>
        <c:manualLayout>
          <c:xMode val="edge"/>
          <c:yMode val="edge"/>
          <c:x val="0.34413411391757848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JDT-4'!$E$1535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JDT-4'!$B$1539:$B$1568</c:f>
              <c:numCache>
                <c:formatCode>General</c:formatCode>
                <c:ptCount val="3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</c:numCache>
            </c:numRef>
          </c:cat>
          <c:val>
            <c:numRef>
              <c:f>'Exhibit JDT-4'!$E$1539:$E$1568</c:f>
              <c:numCache>
                <c:formatCode>#,##0.00_);\(#,##0.00\)</c:formatCode>
                <c:ptCount val="30"/>
                <c:pt idx="0">
                  <c:v>0.16175999999999999</c:v>
                </c:pt>
                <c:pt idx="1">
                  <c:v>0.12130999999999999</c:v>
                </c:pt>
                <c:pt idx="2">
                  <c:v>0.10782666666666667</c:v>
                </c:pt>
                <c:pt idx="3">
                  <c:v>0.10108500000000001</c:v>
                </c:pt>
                <c:pt idx="4">
                  <c:v>9.7040000000000001E-2</c:v>
                </c:pt>
                <c:pt idx="5">
                  <c:v>9.4343333333333335E-2</c:v>
                </c:pt>
                <c:pt idx="6">
                  <c:v>9.241714285714285E-2</c:v>
                </c:pt>
                <c:pt idx="7">
                  <c:v>9.0972499999999998E-2</c:v>
                </c:pt>
                <c:pt idx="8">
                  <c:v>8.9848888888888881E-2</c:v>
                </c:pt>
                <c:pt idx="9">
                  <c:v>8.8950000000000001E-2</c:v>
                </c:pt>
                <c:pt idx="10">
                  <c:v>8.8214545454545462E-2</c:v>
                </c:pt>
                <c:pt idx="11">
                  <c:v>8.7601666666666675E-2</c:v>
                </c:pt>
                <c:pt idx="12">
                  <c:v>8.7083076923076916E-2</c:v>
                </c:pt>
                <c:pt idx="13">
                  <c:v>8.6638571428571426E-2</c:v>
                </c:pt>
                <c:pt idx="14">
                  <c:v>8.6253333333333335E-2</c:v>
                </c:pt>
                <c:pt idx="15">
                  <c:v>8.591625E-2</c:v>
                </c:pt>
                <c:pt idx="16">
                  <c:v>8.5618823529411775E-2</c:v>
                </c:pt>
                <c:pt idx="17">
                  <c:v>8.5354444444444441E-2</c:v>
                </c:pt>
                <c:pt idx="18">
                  <c:v>8.5117894736842101E-2</c:v>
                </c:pt>
                <c:pt idx="19">
                  <c:v>8.4904999999999994E-2</c:v>
                </c:pt>
                <c:pt idx="20">
                  <c:v>8.4712380952380942E-2</c:v>
                </c:pt>
                <c:pt idx="21">
                  <c:v>8.4537272727272725E-2</c:v>
                </c:pt>
                <c:pt idx="22">
                  <c:v>8.4377391304347821E-2</c:v>
                </c:pt>
                <c:pt idx="23">
                  <c:v>8.4230833333333338E-2</c:v>
                </c:pt>
                <c:pt idx="24">
                  <c:v>8.4096000000000004E-2</c:v>
                </c:pt>
                <c:pt idx="25">
                  <c:v>8.3971538461538459E-2</c:v>
                </c:pt>
                <c:pt idx="26">
                  <c:v>8.3856296296296304E-2</c:v>
                </c:pt>
                <c:pt idx="27">
                  <c:v>8.3749285714285707E-2</c:v>
                </c:pt>
                <c:pt idx="28">
                  <c:v>8.3649655172413795E-2</c:v>
                </c:pt>
                <c:pt idx="29">
                  <c:v>8.3556666666666668E-2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D-49AE-8AAE-8E835CE4CE70}"/>
            </c:ext>
          </c:extLst>
        </c:ser>
        <c:ser>
          <c:idx val="3"/>
          <c:order val="1"/>
          <c:tx>
            <c:strRef>
              <c:f>'Exhibit JDT-4'!$F$1535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JDT-4'!$B$1539:$B$1568</c:f>
              <c:numCache>
                <c:formatCode>General</c:formatCode>
                <c:ptCount val="3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</c:numCache>
            </c:numRef>
          </c:cat>
          <c:val>
            <c:numRef>
              <c:f>'Exhibit JDT-4'!$F$1539:$F$1568</c:f>
              <c:numCache>
                <c:formatCode>#,##0.00_);\(#,##0.00\)</c:formatCode>
                <c:ptCount val="30"/>
                <c:pt idx="0">
                  <c:v>0.21190000000000001</c:v>
                </c:pt>
                <c:pt idx="1">
                  <c:v>0.151225</c:v>
                </c:pt>
                <c:pt idx="2">
                  <c:v>0.13100000000000001</c:v>
                </c:pt>
                <c:pt idx="3">
                  <c:v>0.12088749999999999</c:v>
                </c:pt>
                <c:pt idx="4">
                  <c:v>0.11482000000000001</c:v>
                </c:pt>
                <c:pt idx="5">
                  <c:v>0.110775</c:v>
                </c:pt>
                <c:pt idx="6">
                  <c:v>0.10788571428571428</c:v>
                </c:pt>
                <c:pt idx="7">
                  <c:v>0.10571875</c:v>
                </c:pt>
                <c:pt idx="8">
                  <c:v>0.10403333333333334</c:v>
                </c:pt>
                <c:pt idx="9">
                  <c:v>0.102685</c:v>
                </c:pt>
                <c:pt idx="10">
                  <c:v>0.10158181818181818</c:v>
                </c:pt>
                <c:pt idx="11">
                  <c:v>0.1006625</c:v>
                </c:pt>
                <c:pt idx="12">
                  <c:v>9.9884615384615391E-2</c:v>
                </c:pt>
                <c:pt idx="13">
                  <c:v>9.9217857142857149E-2</c:v>
                </c:pt>
                <c:pt idx="14">
                  <c:v>9.8640000000000005E-2</c:v>
                </c:pt>
                <c:pt idx="15">
                  <c:v>9.8134374999999996E-2</c:v>
                </c:pt>
                <c:pt idx="16">
                  <c:v>9.7688235294117645E-2</c:v>
                </c:pt>
                <c:pt idx="17">
                  <c:v>9.7291666666666665E-2</c:v>
                </c:pt>
                <c:pt idx="18">
                  <c:v>9.6936842105263155E-2</c:v>
                </c:pt>
                <c:pt idx="19">
                  <c:v>9.6617499999999995E-2</c:v>
                </c:pt>
                <c:pt idx="20">
                  <c:v>9.632857142857143E-2</c:v>
                </c:pt>
                <c:pt idx="21">
                  <c:v>9.6065909090909091E-2</c:v>
                </c:pt>
                <c:pt idx="22">
                  <c:v>9.5826086956521742E-2</c:v>
                </c:pt>
                <c:pt idx="23">
                  <c:v>9.5606250000000004E-2</c:v>
                </c:pt>
                <c:pt idx="24">
                  <c:v>9.5404000000000003E-2</c:v>
                </c:pt>
                <c:pt idx="25">
                  <c:v>9.5217307692307698E-2</c:v>
                </c:pt>
                <c:pt idx="26">
                  <c:v>9.5044444444444445E-2</c:v>
                </c:pt>
                <c:pt idx="27">
                  <c:v>9.4883928571428577E-2</c:v>
                </c:pt>
                <c:pt idx="28">
                  <c:v>9.4734482758620689E-2</c:v>
                </c:pt>
                <c:pt idx="29">
                  <c:v>9.4594999999999999E-2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DD-49AE-8AAE-8E835CE4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INDUSTRIAL MMT</a:t>
            </a:r>
          </a:p>
        </c:rich>
      </c:tx>
      <c:layout>
        <c:manualLayout>
          <c:xMode val="edge"/>
          <c:yMode val="edge"/>
          <c:x val="0.39103166081512536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JDT-4'!$E$1601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JDT-4'!$B$1605:$B$1634</c:f>
              <c:numCache>
                <c:formatCode>General</c:formatCode>
                <c:ptCount val="30"/>
                <c:pt idx="0">
                  <c:v>25000</c:v>
                </c:pt>
                <c:pt idx="1">
                  <c:v>50000</c:v>
                </c:pt>
                <c:pt idx="2">
                  <c:v>75000</c:v>
                </c:pt>
                <c:pt idx="3">
                  <c:v>100000</c:v>
                </c:pt>
                <c:pt idx="4">
                  <c:v>125000</c:v>
                </c:pt>
                <c:pt idx="5">
                  <c:v>150000</c:v>
                </c:pt>
                <c:pt idx="6">
                  <c:v>175000</c:v>
                </c:pt>
                <c:pt idx="7">
                  <c:v>200000</c:v>
                </c:pt>
                <c:pt idx="8">
                  <c:v>225000</c:v>
                </c:pt>
                <c:pt idx="9">
                  <c:v>250000</c:v>
                </c:pt>
                <c:pt idx="10">
                  <c:v>275000</c:v>
                </c:pt>
                <c:pt idx="11">
                  <c:v>300000</c:v>
                </c:pt>
                <c:pt idx="12">
                  <c:v>325000</c:v>
                </c:pt>
                <c:pt idx="13">
                  <c:v>350000</c:v>
                </c:pt>
                <c:pt idx="14">
                  <c:v>375000</c:v>
                </c:pt>
                <c:pt idx="15">
                  <c:v>400000</c:v>
                </c:pt>
                <c:pt idx="16">
                  <c:v>425000</c:v>
                </c:pt>
                <c:pt idx="17">
                  <c:v>450000</c:v>
                </c:pt>
                <c:pt idx="18">
                  <c:v>475000</c:v>
                </c:pt>
                <c:pt idx="19">
                  <c:v>500000</c:v>
                </c:pt>
                <c:pt idx="20">
                  <c:v>525000</c:v>
                </c:pt>
                <c:pt idx="21">
                  <c:v>550000</c:v>
                </c:pt>
                <c:pt idx="22">
                  <c:v>575000</c:v>
                </c:pt>
                <c:pt idx="23">
                  <c:v>600000</c:v>
                </c:pt>
                <c:pt idx="24">
                  <c:v>625000</c:v>
                </c:pt>
                <c:pt idx="25">
                  <c:v>650000</c:v>
                </c:pt>
                <c:pt idx="26">
                  <c:v>675000</c:v>
                </c:pt>
                <c:pt idx="27">
                  <c:v>700000</c:v>
                </c:pt>
                <c:pt idx="28">
                  <c:v>725000</c:v>
                </c:pt>
                <c:pt idx="29">
                  <c:v>750000</c:v>
                </c:pt>
              </c:numCache>
            </c:numRef>
          </c:cat>
          <c:val>
            <c:numRef>
              <c:f>'Exhibit JDT-4'!$E$1605:$E$1634</c:f>
              <c:numCache>
                <c:formatCode>#,##0.00_);\(#,##0.00\)</c:formatCode>
                <c:ptCount val="30"/>
                <c:pt idx="0">
                  <c:v>9.1550000000000006E-2</c:v>
                </c:pt>
                <c:pt idx="1">
                  <c:v>7.0970000000000005E-2</c:v>
                </c:pt>
                <c:pt idx="2">
                  <c:v>6.411E-2</c:v>
                </c:pt>
                <c:pt idx="3">
                  <c:v>6.0679999999999998E-2</c:v>
                </c:pt>
                <c:pt idx="4">
                  <c:v>5.8622E-2</c:v>
                </c:pt>
                <c:pt idx="5">
                  <c:v>5.7250000000000002E-2</c:v>
                </c:pt>
                <c:pt idx="6">
                  <c:v>5.6270000000000001E-2</c:v>
                </c:pt>
                <c:pt idx="7">
                  <c:v>5.5535000000000001E-2</c:v>
                </c:pt>
                <c:pt idx="8">
                  <c:v>5.4963333333333336E-2</c:v>
                </c:pt>
                <c:pt idx="9">
                  <c:v>5.4505999999999999E-2</c:v>
                </c:pt>
                <c:pt idx="10">
                  <c:v>5.4131818181818184E-2</c:v>
                </c:pt>
                <c:pt idx="11">
                  <c:v>5.382E-2</c:v>
                </c:pt>
                <c:pt idx="12">
                  <c:v>5.3556153846153844E-2</c:v>
                </c:pt>
                <c:pt idx="13">
                  <c:v>5.3330000000000002E-2</c:v>
                </c:pt>
                <c:pt idx="14">
                  <c:v>5.3134000000000001E-2</c:v>
                </c:pt>
                <c:pt idx="15">
                  <c:v>5.2962500000000003E-2</c:v>
                </c:pt>
                <c:pt idx="16">
                  <c:v>5.2811176470588236E-2</c:v>
                </c:pt>
                <c:pt idx="17">
                  <c:v>5.2676666666666663E-2</c:v>
                </c:pt>
                <c:pt idx="18">
                  <c:v>5.2556315789473687E-2</c:v>
                </c:pt>
                <c:pt idx="19">
                  <c:v>5.2448000000000002E-2</c:v>
                </c:pt>
                <c:pt idx="20">
                  <c:v>5.2350000000000001E-2</c:v>
                </c:pt>
                <c:pt idx="21">
                  <c:v>5.2260909090909094E-2</c:v>
                </c:pt>
                <c:pt idx="22">
                  <c:v>5.2179565217391304E-2</c:v>
                </c:pt>
                <c:pt idx="23">
                  <c:v>5.2104999999999999E-2</c:v>
                </c:pt>
                <c:pt idx="24">
                  <c:v>5.2036399999999997E-2</c:v>
                </c:pt>
                <c:pt idx="25">
                  <c:v>5.197307692307692E-2</c:v>
                </c:pt>
                <c:pt idx="26">
                  <c:v>5.1914444444444444E-2</c:v>
                </c:pt>
                <c:pt idx="27">
                  <c:v>5.1860000000000003E-2</c:v>
                </c:pt>
                <c:pt idx="28">
                  <c:v>5.1809310344827587E-2</c:v>
                </c:pt>
                <c:pt idx="29">
                  <c:v>5.1762000000000002E-2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D-4E6A-8E48-B88BFEE6C1B4}"/>
            </c:ext>
          </c:extLst>
        </c:ser>
        <c:ser>
          <c:idx val="3"/>
          <c:order val="1"/>
          <c:tx>
            <c:strRef>
              <c:f>'Exhibit JDT-4'!$F$1601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JDT-4'!$B$1605:$B$1634</c:f>
              <c:numCache>
                <c:formatCode>General</c:formatCode>
                <c:ptCount val="30"/>
                <c:pt idx="0">
                  <c:v>25000</c:v>
                </c:pt>
                <c:pt idx="1">
                  <c:v>50000</c:v>
                </c:pt>
                <c:pt idx="2">
                  <c:v>75000</c:v>
                </c:pt>
                <c:pt idx="3">
                  <c:v>100000</c:v>
                </c:pt>
                <c:pt idx="4">
                  <c:v>125000</c:v>
                </c:pt>
                <c:pt idx="5">
                  <c:v>150000</c:v>
                </c:pt>
                <c:pt idx="6">
                  <c:v>175000</c:v>
                </c:pt>
                <c:pt idx="7">
                  <c:v>200000</c:v>
                </c:pt>
                <c:pt idx="8">
                  <c:v>225000</c:v>
                </c:pt>
                <c:pt idx="9">
                  <c:v>250000</c:v>
                </c:pt>
                <c:pt idx="10">
                  <c:v>275000</c:v>
                </c:pt>
                <c:pt idx="11">
                  <c:v>300000</c:v>
                </c:pt>
                <c:pt idx="12">
                  <c:v>325000</c:v>
                </c:pt>
                <c:pt idx="13">
                  <c:v>350000</c:v>
                </c:pt>
                <c:pt idx="14">
                  <c:v>375000</c:v>
                </c:pt>
                <c:pt idx="15">
                  <c:v>400000</c:v>
                </c:pt>
                <c:pt idx="16">
                  <c:v>425000</c:v>
                </c:pt>
                <c:pt idx="17">
                  <c:v>450000</c:v>
                </c:pt>
                <c:pt idx="18">
                  <c:v>475000</c:v>
                </c:pt>
                <c:pt idx="19">
                  <c:v>500000</c:v>
                </c:pt>
                <c:pt idx="20">
                  <c:v>525000</c:v>
                </c:pt>
                <c:pt idx="21">
                  <c:v>550000</c:v>
                </c:pt>
                <c:pt idx="22">
                  <c:v>575000</c:v>
                </c:pt>
                <c:pt idx="23">
                  <c:v>600000</c:v>
                </c:pt>
                <c:pt idx="24">
                  <c:v>625000</c:v>
                </c:pt>
                <c:pt idx="25">
                  <c:v>650000</c:v>
                </c:pt>
                <c:pt idx="26">
                  <c:v>675000</c:v>
                </c:pt>
                <c:pt idx="27">
                  <c:v>700000</c:v>
                </c:pt>
                <c:pt idx="28">
                  <c:v>725000</c:v>
                </c:pt>
                <c:pt idx="29">
                  <c:v>750000</c:v>
                </c:pt>
              </c:numCache>
            </c:numRef>
          </c:cat>
          <c:val>
            <c:numRef>
              <c:f>'Exhibit JDT-4'!$F$1605:$F$1634</c:f>
              <c:numCache>
                <c:formatCode>#,##0.00_);\(#,##0.00\)</c:formatCode>
                <c:ptCount val="30"/>
                <c:pt idx="0">
                  <c:v>0.11715</c:v>
                </c:pt>
                <c:pt idx="1">
                  <c:v>8.6279999999999996E-2</c:v>
                </c:pt>
                <c:pt idx="2">
                  <c:v>7.5990000000000002E-2</c:v>
                </c:pt>
                <c:pt idx="3">
                  <c:v>7.0845000000000005E-2</c:v>
                </c:pt>
                <c:pt idx="4">
                  <c:v>6.7757999999999999E-2</c:v>
                </c:pt>
                <c:pt idx="5">
                  <c:v>6.5699999999999995E-2</c:v>
                </c:pt>
                <c:pt idx="6">
                  <c:v>6.4229999999999995E-2</c:v>
                </c:pt>
                <c:pt idx="7">
                  <c:v>6.3127500000000003E-2</c:v>
                </c:pt>
                <c:pt idx="8">
                  <c:v>6.2269999999999999E-2</c:v>
                </c:pt>
                <c:pt idx="9">
                  <c:v>6.1584E-2</c:v>
                </c:pt>
                <c:pt idx="10">
                  <c:v>6.102272727272727E-2</c:v>
                </c:pt>
                <c:pt idx="11">
                  <c:v>6.0554999999999998E-2</c:v>
                </c:pt>
                <c:pt idx="12">
                  <c:v>6.015923076923077E-2</c:v>
                </c:pt>
                <c:pt idx="13">
                  <c:v>5.9819999999999998E-2</c:v>
                </c:pt>
                <c:pt idx="14">
                  <c:v>5.9526000000000003E-2</c:v>
                </c:pt>
                <c:pt idx="15">
                  <c:v>5.9268750000000002E-2</c:v>
                </c:pt>
                <c:pt idx="16">
                  <c:v>5.9041764705882356E-2</c:v>
                </c:pt>
                <c:pt idx="17">
                  <c:v>5.8840000000000003E-2</c:v>
                </c:pt>
                <c:pt idx="18">
                  <c:v>5.8659473684210525E-2</c:v>
                </c:pt>
                <c:pt idx="19">
                  <c:v>5.8497E-2</c:v>
                </c:pt>
                <c:pt idx="20">
                  <c:v>5.8349999999999999E-2</c:v>
                </c:pt>
                <c:pt idx="21">
                  <c:v>5.8216363636363636E-2</c:v>
                </c:pt>
                <c:pt idx="22">
                  <c:v>5.8094347826086953E-2</c:v>
                </c:pt>
                <c:pt idx="23">
                  <c:v>5.7982499999999999E-2</c:v>
                </c:pt>
                <c:pt idx="24">
                  <c:v>5.7879600000000003E-2</c:v>
                </c:pt>
                <c:pt idx="25">
                  <c:v>5.7784615384615386E-2</c:v>
                </c:pt>
                <c:pt idx="26">
                  <c:v>5.7696666666666667E-2</c:v>
                </c:pt>
                <c:pt idx="27">
                  <c:v>5.7615E-2</c:v>
                </c:pt>
                <c:pt idx="28">
                  <c:v>5.7538965517241379E-2</c:v>
                </c:pt>
                <c:pt idx="29">
                  <c:v>5.7467999999999998E-2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8D-4E6A-8E48-B88BFEE6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INDUSTRIAL DMT</a:t>
            </a:r>
          </a:p>
        </c:rich>
      </c:tx>
      <c:layout>
        <c:manualLayout>
          <c:xMode val="edge"/>
          <c:yMode val="edge"/>
          <c:x val="0.42530294508640965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JDT-4'!$E$1674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JDT-4'!$B$1678:$B$1707</c:f>
              <c:numCache>
                <c:formatCode>General</c:formatCode>
                <c:ptCount val="30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</c:numCache>
            </c:numRef>
          </c:cat>
          <c:val>
            <c:numRef>
              <c:f>'Exhibit JDT-4'!$E$1678:$E$1707</c:f>
              <c:numCache>
                <c:formatCode>#,##0.00_);\(#,##0.00\)</c:formatCode>
                <c:ptCount val="30"/>
                <c:pt idx="0">
                  <c:v>6.8970000000000004E-2</c:v>
                </c:pt>
                <c:pt idx="1">
                  <c:v>5.8680000000000003E-2</c:v>
                </c:pt>
                <c:pt idx="2">
                  <c:v>5.525E-2</c:v>
                </c:pt>
                <c:pt idx="3">
                  <c:v>5.3534999999999999E-2</c:v>
                </c:pt>
                <c:pt idx="4">
                  <c:v>5.2505999999999997E-2</c:v>
                </c:pt>
                <c:pt idx="5">
                  <c:v>5.1819999999999998E-2</c:v>
                </c:pt>
                <c:pt idx="6">
                  <c:v>5.1330000000000001E-2</c:v>
                </c:pt>
                <c:pt idx="7">
                  <c:v>5.0962500000000001E-2</c:v>
                </c:pt>
                <c:pt idx="8">
                  <c:v>5.0676666666666668E-2</c:v>
                </c:pt>
                <c:pt idx="9">
                  <c:v>5.0448E-2</c:v>
                </c:pt>
                <c:pt idx="10">
                  <c:v>5.0260909090909092E-2</c:v>
                </c:pt>
                <c:pt idx="11">
                  <c:v>5.0104999999999997E-2</c:v>
                </c:pt>
                <c:pt idx="12">
                  <c:v>4.9973076923076926E-2</c:v>
                </c:pt>
                <c:pt idx="13">
                  <c:v>4.9860000000000002E-2</c:v>
                </c:pt>
                <c:pt idx="14">
                  <c:v>4.9762000000000001E-2</c:v>
                </c:pt>
                <c:pt idx="15">
                  <c:v>4.9676249999999998E-2</c:v>
                </c:pt>
                <c:pt idx="16">
                  <c:v>4.9600588235294119E-2</c:v>
                </c:pt>
                <c:pt idx="17">
                  <c:v>4.9533333333333332E-2</c:v>
                </c:pt>
                <c:pt idx="18">
                  <c:v>4.9473157894736844E-2</c:v>
                </c:pt>
                <c:pt idx="19">
                  <c:v>4.9418999999999998E-2</c:v>
                </c:pt>
                <c:pt idx="20">
                  <c:v>4.9369999999999997E-2</c:v>
                </c:pt>
                <c:pt idx="21">
                  <c:v>4.9325454545454547E-2</c:v>
                </c:pt>
                <c:pt idx="22">
                  <c:v>4.9284782608695656E-2</c:v>
                </c:pt>
                <c:pt idx="23">
                  <c:v>4.92475E-2</c:v>
                </c:pt>
                <c:pt idx="24">
                  <c:v>4.9213199999999999E-2</c:v>
                </c:pt>
                <c:pt idx="25">
                  <c:v>4.9181538461538464E-2</c:v>
                </c:pt>
                <c:pt idx="26">
                  <c:v>4.9152222222222222E-2</c:v>
                </c:pt>
                <c:pt idx="27">
                  <c:v>4.9125000000000002E-2</c:v>
                </c:pt>
                <c:pt idx="28">
                  <c:v>4.9099655172413791E-2</c:v>
                </c:pt>
                <c:pt idx="29">
                  <c:v>4.9076000000000002E-2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AF0-9F7F-9835497131CB}"/>
            </c:ext>
          </c:extLst>
        </c:ser>
        <c:ser>
          <c:idx val="3"/>
          <c:order val="1"/>
          <c:tx>
            <c:strRef>
              <c:f>'Exhibit JDT-4'!$F$1674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JDT-4'!$B$1678:$B$1707</c:f>
              <c:numCache>
                <c:formatCode>General</c:formatCode>
                <c:ptCount val="30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</c:numCache>
            </c:numRef>
          </c:cat>
          <c:val>
            <c:numRef>
              <c:f>'Exhibit JDT-4'!$F$1678:$F$1707</c:f>
              <c:numCache>
                <c:formatCode>#,##0.00_);\(#,##0.00\)</c:formatCode>
                <c:ptCount val="30"/>
                <c:pt idx="0">
                  <c:v>8.6279999999999996E-2</c:v>
                </c:pt>
                <c:pt idx="1">
                  <c:v>7.0845000000000005E-2</c:v>
                </c:pt>
                <c:pt idx="2">
                  <c:v>6.5699999999999995E-2</c:v>
                </c:pt>
                <c:pt idx="3">
                  <c:v>6.3127500000000003E-2</c:v>
                </c:pt>
                <c:pt idx="4">
                  <c:v>6.1584E-2</c:v>
                </c:pt>
                <c:pt idx="5">
                  <c:v>6.0554999999999998E-2</c:v>
                </c:pt>
                <c:pt idx="6">
                  <c:v>5.9819999999999998E-2</c:v>
                </c:pt>
                <c:pt idx="7">
                  <c:v>5.9268750000000002E-2</c:v>
                </c:pt>
                <c:pt idx="8">
                  <c:v>5.8840000000000003E-2</c:v>
                </c:pt>
                <c:pt idx="9">
                  <c:v>5.8497E-2</c:v>
                </c:pt>
                <c:pt idx="10">
                  <c:v>5.8216363636363636E-2</c:v>
                </c:pt>
                <c:pt idx="11">
                  <c:v>5.7982499999999999E-2</c:v>
                </c:pt>
                <c:pt idx="12">
                  <c:v>5.7784615384615386E-2</c:v>
                </c:pt>
                <c:pt idx="13">
                  <c:v>5.7615E-2</c:v>
                </c:pt>
                <c:pt idx="14">
                  <c:v>5.7467999999999998E-2</c:v>
                </c:pt>
                <c:pt idx="15">
                  <c:v>5.7339374999999998E-2</c:v>
                </c:pt>
                <c:pt idx="16">
                  <c:v>5.7225882352941175E-2</c:v>
                </c:pt>
                <c:pt idx="17">
                  <c:v>5.7125000000000002E-2</c:v>
                </c:pt>
                <c:pt idx="18">
                  <c:v>5.7034736842105263E-2</c:v>
                </c:pt>
                <c:pt idx="19">
                  <c:v>5.6953499999999997E-2</c:v>
                </c:pt>
                <c:pt idx="20">
                  <c:v>5.688E-2</c:v>
                </c:pt>
                <c:pt idx="21">
                  <c:v>5.6813181818181818E-2</c:v>
                </c:pt>
                <c:pt idx="22">
                  <c:v>5.6752173913043477E-2</c:v>
                </c:pt>
                <c:pt idx="23">
                  <c:v>5.6696249999999997E-2</c:v>
                </c:pt>
                <c:pt idx="24">
                  <c:v>5.6644800000000002E-2</c:v>
                </c:pt>
                <c:pt idx="25">
                  <c:v>5.659730769230769E-2</c:v>
                </c:pt>
                <c:pt idx="26">
                  <c:v>5.655333333333333E-2</c:v>
                </c:pt>
                <c:pt idx="27">
                  <c:v>5.65125E-2</c:v>
                </c:pt>
                <c:pt idx="28">
                  <c:v>5.6474482758620687E-2</c:v>
                </c:pt>
                <c:pt idx="29">
                  <c:v>5.6439000000000003E-2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35-4AF0-9F7F-98354971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'Exhibit JDT-4'!$A$127</c:f>
          <c:strCache>
            <c:ptCount val="1"/>
            <c:pt idx="0">
              <c:v>RESIDENTIAL SATC</c:v>
            </c:pt>
          </c:strCache>
        </c:strRef>
      </c:tx>
      <c:layout>
        <c:manualLayout>
          <c:xMode val="edge"/>
          <c:yMode val="edge"/>
          <c:x val="0.44654156873146428"/>
          <c:y val="2.85359382677195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26286994341944"/>
          <c:y val="9.3309368329804618E-2"/>
          <c:w val="0.78396103707744846"/>
          <c:h val="0.70818053479148502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JDT-4'!$E$149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JDT-4'!$B$153:$B$182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JDT-4'!$E$153:$E$182</c:f>
              <c:numCache>
                <c:formatCode>#,##0.00_);\(#,##0.00\)</c:formatCode>
                <c:ptCount val="30"/>
                <c:pt idx="0">
                  <c:v>1.4910000000000001</c:v>
                </c:pt>
                <c:pt idx="1">
                  <c:v>0.89149999999999996</c:v>
                </c:pt>
                <c:pt idx="2">
                  <c:v>0.69133333333333324</c:v>
                </c:pt>
                <c:pt idx="3">
                  <c:v>0.59150000000000003</c:v>
                </c:pt>
                <c:pt idx="4">
                  <c:v>0.53139999999999998</c:v>
                </c:pt>
                <c:pt idx="5">
                  <c:v>0.47616666666666668</c:v>
                </c:pt>
                <c:pt idx="6">
                  <c:v>0.43671428571428572</c:v>
                </c:pt>
                <c:pt idx="7">
                  <c:v>0.40712500000000001</c:v>
                </c:pt>
                <c:pt idx="8">
                  <c:v>0.38411111111111113</c:v>
                </c:pt>
                <c:pt idx="9">
                  <c:v>0.36570000000000003</c:v>
                </c:pt>
                <c:pt idx="10">
                  <c:v>0.35063636363636363</c:v>
                </c:pt>
                <c:pt idx="11">
                  <c:v>0.33808333333333335</c:v>
                </c:pt>
                <c:pt idx="12">
                  <c:v>0.32746153846153847</c:v>
                </c:pt>
                <c:pt idx="13">
                  <c:v>0.31835714285714284</c:v>
                </c:pt>
                <c:pt idx="14">
                  <c:v>0.31046666666666667</c:v>
                </c:pt>
                <c:pt idx="15">
                  <c:v>0.30356250000000001</c:v>
                </c:pt>
                <c:pt idx="16">
                  <c:v>0.2974705882352941</c:v>
                </c:pt>
                <c:pt idx="17">
                  <c:v>0.29205555555555557</c:v>
                </c:pt>
                <c:pt idx="18">
                  <c:v>0.28721052631578947</c:v>
                </c:pt>
                <c:pt idx="19">
                  <c:v>0.28284999999999999</c:v>
                </c:pt>
                <c:pt idx="20">
                  <c:v>0.27890476190476193</c:v>
                </c:pt>
                <c:pt idx="21">
                  <c:v>0.27527272727272728</c:v>
                </c:pt>
                <c:pt idx="22">
                  <c:v>0.27200000000000002</c:v>
                </c:pt>
                <c:pt idx="23">
                  <c:v>0.26900000000000002</c:v>
                </c:pt>
                <c:pt idx="24">
                  <c:v>0.26624000000000003</c:v>
                </c:pt>
                <c:pt idx="25">
                  <c:v>0.26369230769230773</c:v>
                </c:pt>
                <c:pt idx="26">
                  <c:v>0.26133333333333336</c:v>
                </c:pt>
                <c:pt idx="27">
                  <c:v>0.25914285714285717</c:v>
                </c:pt>
                <c:pt idx="28">
                  <c:v>0.25710344827586207</c:v>
                </c:pt>
                <c:pt idx="29">
                  <c:v>0.25519999999999998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1-4AD4-ABC4-AE339876F5ED}"/>
            </c:ext>
          </c:extLst>
        </c:ser>
        <c:ser>
          <c:idx val="3"/>
          <c:order val="1"/>
          <c:tx>
            <c:strRef>
              <c:f>'Exhibit JDT-4'!$F$149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JDT-4'!$B$153:$B$182</c:f>
              <c:numCache>
                <c:formatCode>General</c:formatCode>
                <c:ptCount val="3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</c:numCache>
            </c:numRef>
          </c:cat>
          <c:val>
            <c:numRef>
              <c:f>'Exhibit JDT-4'!$F$153:$F$182</c:f>
              <c:numCache>
                <c:formatCode>#,##0.00_);\(#,##0.00\)</c:formatCode>
                <c:ptCount val="30"/>
                <c:pt idx="0">
                  <c:v>2.0699999999999998</c:v>
                </c:pt>
                <c:pt idx="1">
                  <c:v>1.1695</c:v>
                </c:pt>
                <c:pt idx="2">
                  <c:v>0.8696666666666667</c:v>
                </c:pt>
                <c:pt idx="3">
                  <c:v>0.71950000000000003</c:v>
                </c:pt>
                <c:pt idx="4">
                  <c:v>0.62960000000000005</c:v>
                </c:pt>
                <c:pt idx="5">
                  <c:v>0.56966666666666665</c:v>
                </c:pt>
                <c:pt idx="6">
                  <c:v>0.52671428571428569</c:v>
                </c:pt>
                <c:pt idx="7">
                  <c:v>0.49462499999999998</c:v>
                </c:pt>
                <c:pt idx="8">
                  <c:v>0.46955555555555556</c:v>
                </c:pt>
                <c:pt idx="9">
                  <c:v>0.4496</c:v>
                </c:pt>
                <c:pt idx="10">
                  <c:v>0.43318181818181817</c:v>
                </c:pt>
                <c:pt idx="11">
                  <c:v>0.41958333333333336</c:v>
                </c:pt>
                <c:pt idx="12">
                  <c:v>0.40807692307692306</c:v>
                </c:pt>
                <c:pt idx="13">
                  <c:v>0.39814285714285713</c:v>
                </c:pt>
                <c:pt idx="14">
                  <c:v>0.3896</c:v>
                </c:pt>
                <c:pt idx="15">
                  <c:v>0.38206250000000003</c:v>
                </c:pt>
                <c:pt idx="16">
                  <c:v>0.37547058823529411</c:v>
                </c:pt>
                <c:pt idx="17">
                  <c:v>0.36961111111111111</c:v>
                </c:pt>
                <c:pt idx="18">
                  <c:v>0.3643157894736842</c:v>
                </c:pt>
                <c:pt idx="19">
                  <c:v>0.35960000000000003</c:v>
                </c:pt>
                <c:pt idx="20">
                  <c:v>0.35528571428571426</c:v>
                </c:pt>
                <c:pt idx="21">
                  <c:v>0.35140909090909089</c:v>
                </c:pt>
                <c:pt idx="22">
                  <c:v>0.34786956521739132</c:v>
                </c:pt>
                <c:pt idx="23">
                  <c:v>0.34458333333333335</c:v>
                </c:pt>
                <c:pt idx="24">
                  <c:v>0.34160000000000001</c:v>
                </c:pt>
                <c:pt idx="25">
                  <c:v>0.33880769230769231</c:v>
                </c:pt>
                <c:pt idx="26">
                  <c:v>0.33625925925925926</c:v>
                </c:pt>
                <c:pt idx="27">
                  <c:v>0.3338928571428571</c:v>
                </c:pt>
                <c:pt idx="28">
                  <c:v>0.33165517241379311</c:v>
                </c:pt>
                <c:pt idx="29">
                  <c:v>0.3296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1-4AD4-ABC4-AE339876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7.3142093109052037E-2"/>
              <c:y val="0.3615946937834644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80878004113168"/>
          <c:y val="0.84597042345991036"/>
          <c:w val="0.16072800399679019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RESIDENTIAL MMT</a:t>
            </a:r>
          </a:p>
        </c:rich>
      </c:tx>
      <c:layout>
        <c:manualLayout>
          <c:xMode val="edge"/>
          <c:yMode val="edge"/>
          <c:x val="0.43251796181117858"/>
          <c:y val="2.8535938267719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JDT-4'!$E$214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JDT-4'!$B$218:$B$247</c:f>
              <c:numCache>
                <c:formatCode>General</c:formatCode>
                <c:ptCount val="30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</c:numCache>
            </c:numRef>
          </c:cat>
          <c:val>
            <c:numRef>
              <c:f>'Exhibit JDT-4'!$E$218:$E$247</c:f>
              <c:numCache>
                <c:formatCode>#,##0.00_);\(#,##0.00\)</c:formatCode>
                <c:ptCount val="30"/>
                <c:pt idx="0">
                  <c:v>0.64766666666666661</c:v>
                </c:pt>
                <c:pt idx="1">
                  <c:v>0.44750000000000001</c:v>
                </c:pt>
                <c:pt idx="2">
                  <c:v>0.38088888888888889</c:v>
                </c:pt>
                <c:pt idx="3">
                  <c:v>0.34758333333333336</c:v>
                </c:pt>
                <c:pt idx="4">
                  <c:v>0.3276</c:v>
                </c:pt>
                <c:pt idx="5">
                  <c:v>0.31422222222222224</c:v>
                </c:pt>
                <c:pt idx="6">
                  <c:v>0.30471428571428572</c:v>
                </c:pt>
                <c:pt idx="7">
                  <c:v>0.29758333333333337</c:v>
                </c:pt>
                <c:pt idx="8">
                  <c:v>0.29203703703703704</c:v>
                </c:pt>
                <c:pt idx="9">
                  <c:v>0.28756666666666664</c:v>
                </c:pt>
                <c:pt idx="10">
                  <c:v>0.28393939393939394</c:v>
                </c:pt>
                <c:pt idx="11">
                  <c:v>0.28091666666666665</c:v>
                </c:pt>
                <c:pt idx="12">
                  <c:v>0.27835897435897439</c:v>
                </c:pt>
                <c:pt idx="13">
                  <c:v>0.27614285714285713</c:v>
                </c:pt>
                <c:pt idx="14">
                  <c:v>0.27424444444444446</c:v>
                </c:pt>
                <c:pt idx="15">
                  <c:v>0.27258333333333334</c:v>
                </c:pt>
                <c:pt idx="16">
                  <c:v>0.27111764705882357</c:v>
                </c:pt>
                <c:pt idx="17">
                  <c:v>0.26979629629629631</c:v>
                </c:pt>
                <c:pt idx="18">
                  <c:v>0.26863157894736844</c:v>
                </c:pt>
                <c:pt idx="19">
                  <c:v>0.26758333333333334</c:v>
                </c:pt>
                <c:pt idx="20">
                  <c:v>0.26663492063492061</c:v>
                </c:pt>
                <c:pt idx="21">
                  <c:v>0.26575757575757575</c:v>
                </c:pt>
                <c:pt idx="22">
                  <c:v>0.26497101449275362</c:v>
                </c:pt>
                <c:pt idx="23">
                  <c:v>0.26424999999999998</c:v>
                </c:pt>
                <c:pt idx="24">
                  <c:v>0.26358666666666669</c:v>
                </c:pt>
                <c:pt idx="25">
                  <c:v>0.26296153846153847</c:v>
                </c:pt>
                <c:pt idx="26">
                  <c:v>0.26239506172839505</c:v>
                </c:pt>
                <c:pt idx="27">
                  <c:v>0.26186904761904761</c:v>
                </c:pt>
                <c:pt idx="28">
                  <c:v>0.26136781609195403</c:v>
                </c:pt>
                <c:pt idx="29">
                  <c:v>0.26091111111111109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2-4BC3-8F2B-C3B224279C92}"/>
            </c:ext>
          </c:extLst>
        </c:ser>
        <c:ser>
          <c:idx val="3"/>
          <c:order val="1"/>
          <c:tx>
            <c:strRef>
              <c:f>'Exhibit JDT-4'!$F$214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JDT-4'!$B$218:$B$247</c:f>
              <c:numCache>
                <c:formatCode>General</c:formatCode>
                <c:ptCount val="30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</c:numCache>
            </c:numRef>
          </c:cat>
          <c:val>
            <c:numRef>
              <c:f>'Exhibit JDT-4'!$F$218:$F$247</c:f>
              <c:numCache>
                <c:formatCode>#,##0.00_);\(#,##0.00\)</c:formatCode>
                <c:ptCount val="30"/>
                <c:pt idx="0">
                  <c:v>0.8696666666666667</c:v>
                </c:pt>
                <c:pt idx="1">
                  <c:v>0.56966666666666665</c:v>
                </c:pt>
                <c:pt idx="2">
                  <c:v>0.46955555555555556</c:v>
                </c:pt>
                <c:pt idx="3">
                  <c:v>0.41958333333333336</c:v>
                </c:pt>
                <c:pt idx="4">
                  <c:v>0.3896</c:v>
                </c:pt>
                <c:pt idx="5">
                  <c:v>0.36961111111111111</c:v>
                </c:pt>
                <c:pt idx="6">
                  <c:v>0.35528571428571426</c:v>
                </c:pt>
                <c:pt idx="7">
                  <c:v>0.34458333333333335</c:v>
                </c:pt>
                <c:pt idx="8">
                  <c:v>0.33625925925925926</c:v>
                </c:pt>
                <c:pt idx="9">
                  <c:v>0.3296</c:v>
                </c:pt>
                <c:pt idx="10">
                  <c:v>0.32412121212121209</c:v>
                </c:pt>
                <c:pt idx="11">
                  <c:v>0.31958333333333333</c:v>
                </c:pt>
                <c:pt idx="12">
                  <c:v>0.31574358974358974</c:v>
                </c:pt>
                <c:pt idx="13">
                  <c:v>0.31245238095238093</c:v>
                </c:pt>
                <c:pt idx="14">
                  <c:v>0.30959999999999999</c:v>
                </c:pt>
                <c:pt idx="15">
                  <c:v>0.30708333333333332</c:v>
                </c:pt>
                <c:pt idx="16">
                  <c:v>0.30488235294117649</c:v>
                </c:pt>
                <c:pt idx="17">
                  <c:v>0.30292592592592593</c:v>
                </c:pt>
                <c:pt idx="18">
                  <c:v>0.30117543859649121</c:v>
                </c:pt>
                <c:pt idx="19">
                  <c:v>0.29958333333333331</c:v>
                </c:pt>
                <c:pt idx="20">
                  <c:v>0.29815873015873018</c:v>
                </c:pt>
                <c:pt idx="21">
                  <c:v>0.29686363636363639</c:v>
                </c:pt>
                <c:pt idx="22">
                  <c:v>0.29568115942028989</c:v>
                </c:pt>
                <c:pt idx="23">
                  <c:v>0.29458333333333331</c:v>
                </c:pt>
                <c:pt idx="24">
                  <c:v>0.29358666666666666</c:v>
                </c:pt>
                <c:pt idx="25">
                  <c:v>0.29266666666666669</c:v>
                </c:pt>
                <c:pt idx="26">
                  <c:v>0.2918148148148148</c:v>
                </c:pt>
                <c:pt idx="27">
                  <c:v>0.29102380952380952</c:v>
                </c:pt>
                <c:pt idx="28">
                  <c:v>0.2902758620689655</c:v>
                </c:pt>
                <c:pt idx="29">
                  <c:v>0.2895888888888889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2-4BC3-8F2B-C3B22427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SALES (LESS THAN 250 MCF per YEAR)</a:t>
            </a:r>
          </a:p>
        </c:rich>
      </c:tx>
      <c:layout>
        <c:manualLayout>
          <c:xMode val="edge"/>
          <c:yMode val="edge"/>
          <c:x val="0.1613997113997114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JDT-4'!$E$280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JDT-4'!$B$284:$B$313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JDT-4'!$E$284:$E$313</c:f>
              <c:numCache>
                <c:formatCode>#,##0.00_);\(#,##0.00\)</c:formatCode>
                <c:ptCount val="30"/>
                <c:pt idx="0">
                  <c:v>1.2484999999999999</c:v>
                </c:pt>
                <c:pt idx="1">
                  <c:v>0.75124999999999997</c:v>
                </c:pt>
                <c:pt idx="2">
                  <c:v>0.58066666666666678</c:v>
                </c:pt>
                <c:pt idx="3">
                  <c:v>0.49162499999999998</c:v>
                </c:pt>
                <c:pt idx="4">
                  <c:v>0.43829999999999997</c:v>
                </c:pt>
                <c:pt idx="5">
                  <c:v>0.40266666666666667</c:v>
                </c:pt>
                <c:pt idx="6">
                  <c:v>0.37728571428571428</c:v>
                </c:pt>
                <c:pt idx="7">
                  <c:v>0.35818749999999999</c:v>
                </c:pt>
                <c:pt idx="8">
                  <c:v>0.34338888888888891</c:v>
                </c:pt>
                <c:pt idx="9">
                  <c:v>0.33149999999999996</c:v>
                </c:pt>
                <c:pt idx="10">
                  <c:v>0.32181818181818178</c:v>
                </c:pt>
                <c:pt idx="11">
                  <c:v>0.31370833333333337</c:v>
                </c:pt>
                <c:pt idx="12">
                  <c:v>0.30688461538461542</c:v>
                </c:pt>
                <c:pt idx="13">
                  <c:v>0.30099999999999999</c:v>
                </c:pt>
                <c:pt idx="14">
                  <c:v>0.29593333333333333</c:v>
                </c:pt>
                <c:pt idx="15">
                  <c:v>0.29146875</c:v>
                </c:pt>
                <c:pt idx="16">
                  <c:v>0.28755882352941176</c:v>
                </c:pt>
                <c:pt idx="17">
                  <c:v>0.28405555555555556</c:v>
                </c:pt>
                <c:pt idx="18">
                  <c:v>0.28094736842105267</c:v>
                </c:pt>
                <c:pt idx="19">
                  <c:v>0.27812500000000001</c:v>
                </c:pt>
                <c:pt idx="20">
                  <c:v>0.27559523809523812</c:v>
                </c:pt>
                <c:pt idx="21">
                  <c:v>0.27327272727272728</c:v>
                </c:pt>
                <c:pt idx="22">
                  <c:v>0.27117391304347827</c:v>
                </c:pt>
                <c:pt idx="23">
                  <c:v>0.26922916666666663</c:v>
                </c:pt>
                <c:pt idx="24">
                  <c:v>0.26745999999999998</c:v>
                </c:pt>
                <c:pt idx="25">
                  <c:v>0.2658076923076923</c:v>
                </c:pt>
                <c:pt idx="26">
                  <c:v>0.26429629629629631</c:v>
                </c:pt>
                <c:pt idx="27">
                  <c:v>0.26287500000000003</c:v>
                </c:pt>
                <c:pt idx="28">
                  <c:v>0.2615689655172414</c:v>
                </c:pt>
                <c:pt idx="29">
                  <c:v>0.26033333333333331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04-4826-A1E1-95653BE22BF4}"/>
            </c:ext>
          </c:extLst>
        </c:ser>
        <c:ser>
          <c:idx val="3"/>
          <c:order val="1"/>
          <c:tx>
            <c:strRef>
              <c:f>'Exhibit JDT-4'!$F$280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JDT-4'!$B$284:$B$313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JDT-4'!$F$284:$F$313</c:f>
              <c:numCache>
                <c:formatCode>#,##0.00_);\(#,##0.00\)</c:formatCode>
                <c:ptCount val="30"/>
                <c:pt idx="0">
                  <c:v>1.7385000000000002</c:v>
                </c:pt>
                <c:pt idx="1">
                  <c:v>0.98874999999999991</c:v>
                </c:pt>
                <c:pt idx="2">
                  <c:v>0.73866666666666669</c:v>
                </c:pt>
                <c:pt idx="3">
                  <c:v>0.61362500000000009</c:v>
                </c:pt>
                <c:pt idx="4">
                  <c:v>0.53869999999999996</c:v>
                </c:pt>
                <c:pt idx="5">
                  <c:v>0.48866666666666669</c:v>
                </c:pt>
                <c:pt idx="6">
                  <c:v>0.45300000000000001</c:v>
                </c:pt>
                <c:pt idx="7">
                  <c:v>0.4261875</c:v>
                </c:pt>
                <c:pt idx="8">
                  <c:v>0.40533333333333332</c:v>
                </c:pt>
                <c:pt idx="9">
                  <c:v>0.38869999999999999</c:v>
                </c:pt>
                <c:pt idx="10">
                  <c:v>0.37504545454545457</c:v>
                </c:pt>
                <c:pt idx="11">
                  <c:v>0.36366666666666669</c:v>
                </c:pt>
                <c:pt idx="12">
                  <c:v>0.35407692307692307</c:v>
                </c:pt>
                <c:pt idx="13">
                  <c:v>0.34582142857142856</c:v>
                </c:pt>
                <c:pt idx="14">
                  <c:v>0.33866666666666667</c:v>
                </c:pt>
                <c:pt idx="15">
                  <c:v>0.3324375</c:v>
                </c:pt>
                <c:pt idx="16">
                  <c:v>0.32691176470588235</c:v>
                </c:pt>
                <c:pt idx="17">
                  <c:v>0.32200000000000001</c:v>
                </c:pt>
                <c:pt idx="18">
                  <c:v>0.31763157894736843</c:v>
                </c:pt>
                <c:pt idx="19">
                  <c:v>0.31367499999999998</c:v>
                </c:pt>
                <c:pt idx="20">
                  <c:v>0.31011904761904763</c:v>
                </c:pt>
                <c:pt idx="21">
                  <c:v>0.30686363636363639</c:v>
                </c:pt>
                <c:pt idx="22">
                  <c:v>0.30389130434782607</c:v>
                </c:pt>
                <c:pt idx="23">
                  <c:v>0.3011875</c:v>
                </c:pt>
                <c:pt idx="24">
                  <c:v>0.29868</c:v>
                </c:pt>
                <c:pt idx="25">
                  <c:v>0.29636538461538464</c:v>
                </c:pt>
                <c:pt idx="26">
                  <c:v>0.29424074074074069</c:v>
                </c:pt>
                <c:pt idx="27">
                  <c:v>0.29225000000000001</c:v>
                </c:pt>
                <c:pt idx="28">
                  <c:v>0.29039655172413792</c:v>
                </c:pt>
                <c:pt idx="29">
                  <c:v>0.28868333333333335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04-4826-A1E1-95653BE2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SATC (LESS THAN 250 MCF per YEAR)</a:t>
            </a:r>
          </a:p>
        </c:rich>
      </c:tx>
      <c:layout>
        <c:manualLayout>
          <c:xMode val="edge"/>
          <c:yMode val="edge"/>
          <c:x val="0.16001991228369181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JDT-4'!$E$347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JDT-4'!$B$351:$B$380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JDT-4'!$E$351:$E$380</c:f>
              <c:numCache>
                <c:formatCode>#,##0.00_);\(#,##0.00\)</c:formatCode>
                <c:ptCount val="30"/>
                <c:pt idx="0">
                  <c:v>1.236</c:v>
                </c:pt>
                <c:pt idx="1">
                  <c:v>0.73875000000000002</c:v>
                </c:pt>
                <c:pt idx="2">
                  <c:v>0.56816666666666671</c:v>
                </c:pt>
                <c:pt idx="3">
                  <c:v>0.47912499999999997</c:v>
                </c:pt>
                <c:pt idx="4">
                  <c:v>0.42579999999999996</c:v>
                </c:pt>
                <c:pt idx="5">
                  <c:v>0.39016666666666666</c:v>
                </c:pt>
                <c:pt idx="6">
                  <c:v>0.36478571428571427</c:v>
                </c:pt>
                <c:pt idx="7">
                  <c:v>0.34568750000000004</c:v>
                </c:pt>
                <c:pt idx="8">
                  <c:v>0.3308888888888889</c:v>
                </c:pt>
                <c:pt idx="9">
                  <c:v>0.31900000000000001</c:v>
                </c:pt>
                <c:pt idx="10">
                  <c:v>0.30931818181818183</c:v>
                </c:pt>
                <c:pt idx="11">
                  <c:v>0.30120833333333336</c:v>
                </c:pt>
                <c:pt idx="12">
                  <c:v>0.29438461538461541</c:v>
                </c:pt>
                <c:pt idx="13">
                  <c:v>0.28849999999999998</c:v>
                </c:pt>
                <c:pt idx="14">
                  <c:v>0.28343333333333331</c:v>
                </c:pt>
                <c:pt idx="15">
                  <c:v>0.27896874999999999</c:v>
                </c:pt>
                <c:pt idx="16">
                  <c:v>0.27505882352941174</c:v>
                </c:pt>
                <c:pt idx="17">
                  <c:v>0.27155555555555555</c:v>
                </c:pt>
                <c:pt idx="18">
                  <c:v>0.26844736842105266</c:v>
                </c:pt>
                <c:pt idx="19">
                  <c:v>0.265625</c:v>
                </c:pt>
                <c:pt idx="20">
                  <c:v>0.2630952380952381</c:v>
                </c:pt>
                <c:pt idx="21">
                  <c:v>0.26077272727272727</c:v>
                </c:pt>
                <c:pt idx="22">
                  <c:v>0.25867391304347825</c:v>
                </c:pt>
                <c:pt idx="23">
                  <c:v>0.25672916666666667</c:v>
                </c:pt>
                <c:pt idx="24">
                  <c:v>0.25496000000000002</c:v>
                </c:pt>
                <c:pt idx="25">
                  <c:v>0.25330769230769229</c:v>
                </c:pt>
                <c:pt idx="26">
                  <c:v>0.2517962962962963</c:v>
                </c:pt>
                <c:pt idx="27">
                  <c:v>0.25037500000000001</c:v>
                </c:pt>
                <c:pt idx="28">
                  <c:v>0.24906896551724139</c:v>
                </c:pt>
                <c:pt idx="29">
                  <c:v>0.24783333333333332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2-40C8-AE9A-98AF3CDA559A}"/>
            </c:ext>
          </c:extLst>
        </c:ser>
        <c:ser>
          <c:idx val="3"/>
          <c:order val="1"/>
          <c:tx>
            <c:strRef>
              <c:f>'Exhibit JDT-4'!$F$347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JDT-4'!$B$351:$B$380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JDT-4'!$F$351:$F$380</c:f>
              <c:numCache>
                <c:formatCode>#,##0.00_);\(#,##0.00\)</c:formatCode>
                <c:ptCount val="30"/>
                <c:pt idx="0">
                  <c:v>1.7225000000000001</c:v>
                </c:pt>
                <c:pt idx="1">
                  <c:v>0.97274999999999989</c:v>
                </c:pt>
                <c:pt idx="2">
                  <c:v>0.72266666666666668</c:v>
                </c:pt>
                <c:pt idx="3">
                  <c:v>0.59775</c:v>
                </c:pt>
                <c:pt idx="4">
                  <c:v>0.52270000000000005</c:v>
                </c:pt>
                <c:pt idx="5">
                  <c:v>0.47274999999999995</c:v>
                </c:pt>
                <c:pt idx="6">
                  <c:v>0.437</c:v>
                </c:pt>
                <c:pt idx="7">
                  <c:v>0.41025</c:v>
                </c:pt>
                <c:pt idx="8">
                  <c:v>0.3893888888888889</c:v>
                </c:pt>
                <c:pt idx="9">
                  <c:v>0.37274999999999997</c:v>
                </c:pt>
                <c:pt idx="10">
                  <c:v>0.35909090909090907</c:v>
                </c:pt>
                <c:pt idx="11">
                  <c:v>0.34774999999999995</c:v>
                </c:pt>
                <c:pt idx="12">
                  <c:v>0.3381153846153846</c:v>
                </c:pt>
                <c:pt idx="13">
                  <c:v>0.32989285714285715</c:v>
                </c:pt>
                <c:pt idx="14">
                  <c:v>0.32273333333333332</c:v>
                </c:pt>
                <c:pt idx="15">
                  <c:v>0.3165</c:v>
                </c:pt>
                <c:pt idx="16">
                  <c:v>0.31097058823529411</c:v>
                </c:pt>
                <c:pt idx="17">
                  <c:v>0.30608333333333332</c:v>
                </c:pt>
                <c:pt idx="18">
                  <c:v>0.30168421052631578</c:v>
                </c:pt>
                <c:pt idx="19">
                  <c:v>0.29774999999999996</c:v>
                </c:pt>
                <c:pt idx="20">
                  <c:v>0.29416666666666669</c:v>
                </c:pt>
                <c:pt idx="21">
                  <c:v>0.29093181818181818</c:v>
                </c:pt>
                <c:pt idx="22">
                  <c:v>0.28795652173913044</c:v>
                </c:pt>
                <c:pt idx="23">
                  <c:v>0.28524999999999995</c:v>
                </c:pt>
                <c:pt idx="24">
                  <c:v>0.28273999999999999</c:v>
                </c:pt>
                <c:pt idx="25">
                  <c:v>0.28042307692307689</c:v>
                </c:pt>
                <c:pt idx="26">
                  <c:v>0.27829629629629632</c:v>
                </c:pt>
                <c:pt idx="27">
                  <c:v>0.27630357142857143</c:v>
                </c:pt>
                <c:pt idx="28">
                  <c:v>0.2744655172413793</c:v>
                </c:pt>
                <c:pt idx="29">
                  <c:v>0.27273333333333333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2-40C8-AE9A-98AF3CDA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MMT (LESS THAN 250 MCF per YEAR)</a:t>
            </a:r>
          </a:p>
        </c:rich>
      </c:tx>
      <c:layout>
        <c:manualLayout>
          <c:xMode val="edge"/>
          <c:yMode val="edge"/>
          <c:x val="0.17346681096681096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JDT-4'!$E$414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JDT-4'!$B$418:$B$447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JDT-4'!$E$418:$E$447</c:f>
              <c:numCache>
                <c:formatCode>#,##0.00_);\(#,##0.00\)</c:formatCode>
                <c:ptCount val="30"/>
                <c:pt idx="0">
                  <c:v>1.2330000000000001</c:v>
                </c:pt>
                <c:pt idx="1">
                  <c:v>0.73575000000000002</c:v>
                </c:pt>
                <c:pt idx="2">
                  <c:v>0.57000000000000006</c:v>
                </c:pt>
                <c:pt idx="3">
                  <c:v>0.48712499999999997</c:v>
                </c:pt>
                <c:pt idx="4">
                  <c:v>0.4375</c:v>
                </c:pt>
                <c:pt idx="5">
                  <c:v>0.40433333333333338</c:v>
                </c:pt>
                <c:pt idx="6">
                  <c:v>0.38064285714285712</c:v>
                </c:pt>
                <c:pt idx="7">
                  <c:v>0.362875</c:v>
                </c:pt>
                <c:pt idx="8">
                  <c:v>0.34905555555555556</c:v>
                </c:pt>
                <c:pt idx="9">
                  <c:v>0.33799999999999997</c:v>
                </c:pt>
                <c:pt idx="10">
                  <c:v>0.3289545454545455</c:v>
                </c:pt>
                <c:pt idx="11">
                  <c:v>0.32141666666666668</c:v>
                </c:pt>
                <c:pt idx="12">
                  <c:v>0.31507692307692309</c:v>
                </c:pt>
                <c:pt idx="13">
                  <c:v>0.30960714285714286</c:v>
                </c:pt>
                <c:pt idx="14">
                  <c:v>0.30486666666666662</c:v>
                </c:pt>
                <c:pt idx="15">
                  <c:v>0.30071875000000003</c:v>
                </c:pt>
                <c:pt idx="16">
                  <c:v>0.29705882352941176</c:v>
                </c:pt>
                <c:pt idx="17">
                  <c:v>0.29380555555555554</c:v>
                </c:pt>
                <c:pt idx="18">
                  <c:v>0.29089473684210526</c:v>
                </c:pt>
                <c:pt idx="19">
                  <c:v>0.288275</c:v>
                </c:pt>
                <c:pt idx="20">
                  <c:v>0.28592857142857142</c:v>
                </c:pt>
                <c:pt idx="21">
                  <c:v>0.28377272727272729</c:v>
                </c:pt>
                <c:pt idx="22">
                  <c:v>0.28180434782608693</c:v>
                </c:pt>
                <c:pt idx="23">
                  <c:v>0.28000000000000003</c:v>
                </c:pt>
                <c:pt idx="24">
                  <c:v>0.27833999999999998</c:v>
                </c:pt>
                <c:pt idx="25">
                  <c:v>0.27680769230769231</c:v>
                </c:pt>
                <c:pt idx="26">
                  <c:v>0.27538888888888891</c:v>
                </c:pt>
                <c:pt idx="27">
                  <c:v>0.27407142857142858</c:v>
                </c:pt>
                <c:pt idx="28">
                  <c:v>0.27284482758620687</c:v>
                </c:pt>
                <c:pt idx="29">
                  <c:v>0.27171666666666666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8-413F-AF13-FEE722992FE1}"/>
            </c:ext>
          </c:extLst>
        </c:ser>
        <c:ser>
          <c:idx val="3"/>
          <c:order val="1"/>
          <c:tx>
            <c:strRef>
              <c:f>'Exhibit JDT-4'!$F$414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JDT-4'!$B$418:$B$447</c:f>
              <c:numCache>
                <c:formatCode>General</c:formatCode>
                <c:ptCount val="3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</c:numCache>
            </c:numRef>
          </c:cat>
          <c:val>
            <c:numRef>
              <c:f>'Exhibit JDT-4'!$F$418:$F$447</c:f>
              <c:numCache>
                <c:formatCode>#,##0.00_);\(#,##0.00\)</c:formatCode>
                <c:ptCount val="30"/>
                <c:pt idx="0">
                  <c:v>1.7225000000000001</c:v>
                </c:pt>
                <c:pt idx="1">
                  <c:v>0.97274999999999989</c:v>
                </c:pt>
                <c:pt idx="2">
                  <c:v>0.72266666666666668</c:v>
                </c:pt>
                <c:pt idx="3">
                  <c:v>0.59775</c:v>
                </c:pt>
                <c:pt idx="4">
                  <c:v>0.52270000000000005</c:v>
                </c:pt>
                <c:pt idx="5">
                  <c:v>0.47274999999999995</c:v>
                </c:pt>
                <c:pt idx="6">
                  <c:v>0.437</c:v>
                </c:pt>
                <c:pt idx="7">
                  <c:v>0.41025</c:v>
                </c:pt>
                <c:pt idx="8">
                  <c:v>0.3893888888888889</c:v>
                </c:pt>
                <c:pt idx="9">
                  <c:v>0.37274999999999997</c:v>
                </c:pt>
                <c:pt idx="10">
                  <c:v>0.35909090909090907</c:v>
                </c:pt>
                <c:pt idx="11">
                  <c:v>0.34774999999999995</c:v>
                </c:pt>
                <c:pt idx="12">
                  <c:v>0.3381153846153846</c:v>
                </c:pt>
                <c:pt idx="13">
                  <c:v>0.32989285714285715</c:v>
                </c:pt>
                <c:pt idx="14">
                  <c:v>0.32273333333333332</c:v>
                </c:pt>
                <c:pt idx="15">
                  <c:v>0.3165</c:v>
                </c:pt>
                <c:pt idx="16">
                  <c:v>0.31097058823529411</c:v>
                </c:pt>
                <c:pt idx="17">
                  <c:v>0.30608333333333332</c:v>
                </c:pt>
                <c:pt idx="18">
                  <c:v>0.30168421052631578</c:v>
                </c:pt>
                <c:pt idx="19">
                  <c:v>0.29774999999999996</c:v>
                </c:pt>
                <c:pt idx="20">
                  <c:v>0.29416666666666669</c:v>
                </c:pt>
                <c:pt idx="21">
                  <c:v>0.29093181818181818</c:v>
                </c:pt>
                <c:pt idx="22">
                  <c:v>0.28795652173913044</c:v>
                </c:pt>
                <c:pt idx="23">
                  <c:v>0.28524999999999995</c:v>
                </c:pt>
                <c:pt idx="24">
                  <c:v>0.28273999999999999</c:v>
                </c:pt>
                <c:pt idx="25">
                  <c:v>0.28042307692307689</c:v>
                </c:pt>
                <c:pt idx="26">
                  <c:v>0.27829629629629632</c:v>
                </c:pt>
                <c:pt idx="27">
                  <c:v>0.27630357142857143</c:v>
                </c:pt>
                <c:pt idx="28">
                  <c:v>0.2744655172413793</c:v>
                </c:pt>
                <c:pt idx="29">
                  <c:v>0.27273333333333333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8-413F-AF13-FEE72299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SALES (GREATER THAN 250 MCF per YEAR)</a:t>
            </a:r>
          </a:p>
        </c:rich>
      </c:tx>
      <c:layout>
        <c:manualLayout>
          <c:xMode val="edge"/>
          <c:yMode val="edge"/>
          <c:x val="0.15398629148629153"/>
          <c:y val="2.64316392269148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JDT-4'!$E$480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JDT-4'!$B$484:$B$513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JDT-4'!$E$484:$E$513</c:f>
              <c:numCache>
                <c:formatCode>#,##0.00_);\(#,##0.00\)</c:formatCode>
                <c:ptCount val="30"/>
                <c:pt idx="0">
                  <c:v>0.74659999999999993</c:v>
                </c:pt>
                <c:pt idx="1">
                  <c:v>0.47119999999999995</c:v>
                </c:pt>
                <c:pt idx="2">
                  <c:v>0.37946666666666667</c:v>
                </c:pt>
                <c:pt idx="3">
                  <c:v>0.33360000000000001</c:v>
                </c:pt>
                <c:pt idx="4">
                  <c:v>0.30348000000000003</c:v>
                </c:pt>
                <c:pt idx="5">
                  <c:v>0.28339999999999999</c:v>
                </c:pt>
                <c:pt idx="6">
                  <c:v>0.26908571428571432</c:v>
                </c:pt>
                <c:pt idx="7">
                  <c:v>0.25832499999999997</c:v>
                </c:pt>
                <c:pt idx="8">
                  <c:v>0.24995555555555557</c:v>
                </c:pt>
                <c:pt idx="9">
                  <c:v>0.24326</c:v>
                </c:pt>
                <c:pt idx="10">
                  <c:v>0.23779999999999998</c:v>
                </c:pt>
                <c:pt idx="11">
                  <c:v>0.23323333333333332</c:v>
                </c:pt>
                <c:pt idx="12">
                  <c:v>0.22936923076923077</c:v>
                </c:pt>
                <c:pt idx="13">
                  <c:v>0.22607142857142856</c:v>
                </c:pt>
                <c:pt idx="14">
                  <c:v>0.22320000000000001</c:v>
                </c:pt>
                <c:pt idx="15">
                  <c:v>0.22068750000000001</c:v>
                </c:pt>
                <c:pt idx="16">
                  <c:v>0.21847058823529411</c:v>
                </c:pt>
                <c:pt idx="17">
                  <c:v>0.21651111111111113</c:v>
                </c:pt>
                <c:pt idx="18">
                  <c:v>0.21474736842105263</c:v>
                </c:pt>
                <c:pt idx="19">
                  <c:v>0.21315999999999999</c:v>
                </c:pt>
                <c:pt idx="20">
                  <c:v>0.21173333333333333</c:v>
                </c:pt>
                <c:pt idx="21">
                  <c:v>0.21042727272727271</c:v>
                </c:pt>
                <c:pt idx="22">
                  <c:v>0.20923478260869566</c:v>
                </c:pt>
                <c:pt idx="23">
                  <c:v>0.20814166666666667</c:v>
                </c:pt>
                <c:pt idx="24">
                  <c:v>0.20714399999999999</c:v>
                </c:pt>
                <c:pt idx="25">
                  <c:v>0.20621538461538461</c:v>
                </c:pt>
                <c:pt idx="26">
                  <c:v>0.20535555555555557</c:v>
                </c:pt>
                <c:pt idx="27">
                  <c:v>0.2045642857142857</c:v>
                </c:pt>
                <c:pt idx="28">
                  <c:v>0.20382068965517242</c:v>
                </c:pt>
                <c:pt idx="29">
                  <c:v>0.20312666666666668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8-444D-A2E5-D116FD43949A}"/>
            </c:ext>
          </c:extLst>
        </c:ser>
        <c:ser>
          <c:idx val="3"/>
          <c:order val="1"/>
          <c:tx>
            <c:strRef>
              <c:f>'Exhibit JDT-4'!$F$480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JDT-4'!$B$484:$B$513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JDT-4'!$F$484:$F$513</c:f>
              <c:numCache>
                <c:formatCode>#,##0.00_);\(#,##0.00\)</c:formatCode>
                <c:ptCount val="30"/>
                <c:pt idx="0">
                  <c:v>1.0444</c:v>
                </c:pt>
                <c:pt idx="1">
                  <c:v>0.62939999999999996</c:v>
                </c:pt>
                <c:pt idx="2">
                  <c:v>0.49113333333333337</c:v>
                </c:pt>
                <c:pt idx="3">
                  <c:v>0.42194999999999999</c:v>
                </c:pt>
                <c:pt idx="4">
                  <c:v>0.38044</c:v>
                </c:pt>
                <c:pt idx="5">
                  <c:v>0.35276666666666667</c:v>
                </c:pt>
                <c:pt idx="6">
                  <c:v>0.33300000000000002</c:v>
                </c:pt>
                <c:pt idx="7">
                  <c:v>0.31819999999999998</c:v>
                </c:pt>
                <c:pt idx="8">
                  <c:v>0.30666666666666664</c:v>
                </c:pt>
                <c:pt idx="9">
                  <c:v>0.29743999999999998</c:v>
                </c:pt>
                <c:pt idx="10">
                  <c:v>0.28989090909090909</c:v>
                </c:pt>
                <c:pt idx="11">
                  <c:v>0.28360000000000002</c:v>
                </c:pt>
                <c:pt idx="12">
                  <c:v>0.27829230769230767</c:v>
                </c:pt>
                <c:pt idx="13">
                  <c:v>0.27372857142857143</c:v>
                </c:pt>
                <c:pt idx="14">
                  <c:v>0.26977333333333336</c:v>
                </c:pt>
                <c:pt idx="15">
                  <c:v>0.26631250000000001</c:v>
                </c:pt>
                <c:pt idx="16">
                  <c:v>0.26325882352941177</c:v>
                </c:pt>
                <c:pt idx="17">
                  <c:v>0.26055555555555554</c:v>
                </c:pt>
                <c:pt idx="18">
                  <c:v>0.2581263157894737</c:v>
                </c:pt>
                <c:pt idx="19">
                  <c:v>0.25594</c:v>
                </c:pt>
                <c:pt idx="20">
                  <c:v>0.25396190476190478</c:v>
                </c:pt>
                <c:pt idx="21">
                  <c:v>0.25216363636363637</c:v>
                </c:pt>
                <c:pt idx="22">
                  <c:v>0.25053043478260872</c:v>
                </c:pt>
                <c:pt idx="23">
                  <c:v>0.249025</c:v>
                </c:pt>
                <c:pt idx="24">
                  <c:v>0.24764</c:v>
                </c:pt>
                <c:pt idx="25">
                  <c:v>0.24636153846153844</c:v>
                </c:pt>
                <c:pt idx="26">
                  <c:v>0.24517777777777777</c:v>
                </c:pt>
                <c:pt idx="27">
                  <c:v>0.24408571428571429</c:v>
                </c:pt>
                <c:pt idx="28">
                  <c:v>0.24306206896551724</c:v>
                </c:pt>
                <c:pt idx="29">
                  <c:v>0.24210666666666669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8-444D-A2E5-D116FD43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SMALL COMMERCIAL &amp; PUBLIC AUTHORITY SATC (GREATER THAN 250 MCF per YEAR)</a:t>
            </a:r>
          </a:p>
        </c:rich>
      </c:tx>
      <c:layout>
        <c:manualLayout>
          <c:xMode val="edge"/>
          <c:yMode val="edge"/>
          <c:x val="0.16162510936132987"/>
          <c:y val="2.8536016331291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3591410480695"/>
          <c:y val="9.8272310373078542E-2"/>
          <c:w val="0.81618790783971529"/>
          <c:h val="0.70321756621719855"/>
        </c:manualLayout>
      </c:layout>
      <c:lineChart>
        <c:grouping val="standard"/>
        <c:varyColors val="0"/>
        <c:ser>
          <c:idx val="2"/>
          <c:order val="0"/>
          <c:tx>
            <c:strRef>
              <c:f>'Exhibit JDT-4'!$E$546</c:f>
              <c:strCache>
                <c:ptCount val="1"/>
                <c:pt idx="0">
                  <c:v>PRESENT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'Exhibit JDT-4'!$B$550:$B$579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JDT-4'!$E$550:$E$579</c:f>
              <c:numCache>
                <c:formatCode>#,##0.00_);\(#,##0.00\)</c:formatCode>
                <c:ptCount val="30"/>
                <c:pt idx="0">
                  <c:v>0.7340000000000001</c:v>
                </c:pt>
                <c:pt idx="1">
                  <c:v>0.45229999999999998</c:v>
                </c:pt>
                <c:pt idx="2">
                  <c:v>0.3584</c:v>
                </c:pt>
                <c:pt idx="3">
                  <c:v>0.31145</c:v>
                </c:pt>
                <c:pt idx="4">
                  <c:v>0.28323999999999999</c:v>
                </c:pt>
                <c:pt idx="5">
                  <c:v>0.26446666666666668</c:v>
                </c:pt>
                <c:pt idx="6">
                  <c:v>0.25105714285714287</c:v>
                </c:pt>
                <c:pt idx="7">
                  <c:v>0.24100000000000002</c:v>
                </c:pt>
                <c:pt idx="8">
                  <c:v>0.23317777777777779</c:v>
                </c:pt>
                <c:pt idx="9">
                  <c:v>0.22690000000000002</c:v>
                </c:pt>
                <c:pt idx="10">
                  <c:v>0.22178181818181819</c:v>
                </c:pt>
                <c:pt idx="11">
                  <c:v>0.21751666666666666</c:v>
                </c:pt>
                <c:pt idx="12">
                  <c:v>0.2139076923076923</c:v>
                </c:pt>
                <c:pt idx="13">
                  <c:v>0.2108142857142857</c:v>
                </c:pt>
                <c:pt idx="14">
                  <c:v>0.20812</c:v>
                </c:pt>
                <c:pt idx="15">
                  <c:v>0.20577500000000001</c:v>
                </c:pt>
                <c:pt idx="16">
                  <c:v>0.20370588235294118</c:v>
                </c:pt>
                <c:pt idx="17">
                  <c:v>0.20186666666666667</c:v>
                </c:pt>
                <c:pt idx="18">
                  <c:v>0.20022105263157897</c:v>
                </c:pt>
                <c:pt idx="19">
                  <c:v>0.19872999999999999</c:v>
                </c:pt>
                <c:pt idx="20">
                  <c:v>0.19739047619047617</c:v>
                </c:pt>
                <c:pt idx="21">
                  <c:v>0.19617272727272728</c:v>
                </c:pt>
                <c:pt idx="22">
                  <c:v>0.1950608695652174</c:v>
                </c:pt>
                <c:pt idx="23">
                  <c:v>0.19404166666666667</c:v>
                </c:pt>
                <c:pt idx="24">
                  <c:v>0.19309599999999999</c:v>
                </c:pt>
                <c:pt idx="25">
                  <c:v>0.19223076923076923</c:v>
                </c:pt>
                <c:pt idx="26">
                  <c:v>0.19142962962962964</c:v>
                </c:pt>
                <c:pt idx="27">
                  <c:v>0.19068571428571426</c:v>
                </c:pt>
                <c:pt idx="28">
                  <c:v>0.18999310344827586</c:v>
                </c:pt>
                <c:pt idx="29">
                  <c:v>0.18933999999999998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9-47C5-8FF1-718896720BC8}"/>
            </c:ext>
          </c:extLst>
        </c:ser>
        <c:ser>
          <c:idx val="3"/>
          <c:order val="1"/>
          <c:tx>
            <c:strRef>
              <c:f>'Exhibit JDT-4'!$F$546</c:f>
              <c:strCache>
                <c:ptCount val="1"/>
                <c:pt idx="0">
                  <c:v>PROPOSED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'Exhibit JDT-4'!$B$550:$B$579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cat>
          <c:val>
            <c:numRef>
              <c:f>'Exhibit JDT-4'!$F$550:$F$579</c:f>
              <c:numCache>
                <c:formatCode>#,##0.00_);\(#,##0.00\)</c:formatCode>
                <c:ptCount val="30"/>
                <c:pt idx="0">
                  <c:v>1.0286</c:v>
                </c:pt>
                <c:pt idx="1">
                  <c:v>0.61350000000000005</c:v>
                </c:pt>
                <c:pt idx="2">
                  <c:v>0.47520000000000001</c:v>
                </c:pt>
                <c:pt idx="3">
                  <c:v>0.40600000000000003</c:v>
                </c:pt>
                <c:pt idx="4">
                  <c:v>0.36451999999999996</c:v>
                </c:pt>
                <c:pt idx="5">
                  <c:v>0.33683333333333332</c:v>
                </c:pt>
                <c:pt idx="6">
                  <c:v>0.3170857142857143</c:v>
                </c:pt>
                <c:pt idx="7">
                  <c:v>0.30225000000000002</c:v>
                </c:pt>
                <c:pt idx="8">
                  <c:v>0.29073333333333334</c:v>
                </c:pt>
                <c:pt idx="9">
                  <c:v>0.28149999999999997</c:v>
                </c:pt>
                <c:pt idx="10">
                  <c:v>0.27396363636363635</c:v>
                </c:pt>
                <c:pt idx="11">
                  <c:v>0.26766666666666666</c:v>
                </c:pt>
                <c:pt idx="12">
                  <c:v>0.26235384615384616</c:v>
                </c:pt>
                <c:pt idx="13">
                  <c:v>0.25778571428571428</c:v>
                </c:pt>
                <c:pt idx="14">
                  <c:v>0.25384000000000001</c:v>
                </c:pt>
                <c:pt idx="15">
                  <c:v>0.25037500000000001</c:v>
                </c:pt>
                <c:pt idx="16">
                  <c:v>0.24732941176470588</c:v>
                </c:pt>
                <c:pt idx="17">
                  <c:v>0.24461111111111111</c:v>
                </c:pt>
                <c:pt idx="18">
                  <c:v>0.24218947368421054</c:v>
                </c:pt>
                <c:pt idx="19">
                  <c:v>0.24</c:v>
                </c:pt>
                <c:pt idx="20">
                  <c:v>0.23802857142857142</c:v>
                </c:pt>
                <c:pt idx="21">
                  <c:v>0.23622727272727276</c:v>
                </c:pt>
                <c:pt idx="22">
                  <c:v>0.23459130434782607</c:v>
                </c:pt>
                <c:pt idx="23">
                  <c:v>0.23308333333333334</c:v>
                </c:pt>
                <c:pt idx="24">
                  <c:v>0.23170399999999999</c:v>
                </c:pt>
                <c:pt idx="25">
                  <c:v>0.23042307692307692</c:v>
                </c:pt>
                <c:pt idx="26">
                  <c:v>0.22924444444444445</c:v>
                </c:pt>
                <c:pt idx="27">
                  <c:v>0.22814285714285712</c:v>
                </c:pt>
                <c:pt idx="28">
                  <c:v>0.22712413793103448</c:v>
                </c:pt>
                <c:pt idx="29">
                  <c:v>0.22616666666666665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49-47C5-8FF1-71889672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269631"/>
        <c:axId val="1"/>
      </c:lineChart>
      <c:catAx>
        <c:axId val="1004269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Monthly Consumption (Ccf)</a:t>
                </a:r>
              </a:p>
            </c:rich>
          </c:tx>
          <c:layout>
            <c:manualLayout>
              <c:xMode val="edge"/>
              <c:yMode val="edge"/>
              <c:x val="0.43985956949236504"/>
              <c:y val="0.85111783516143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Rate $ Per Ccf</a:t>
                </a:r>
              </a:p>
            </c:rich>
          </c:tx>
          <c:layout>
            <c:manualLayout>
              <c:xMode val="edge"/>
              <c:yMode val="edge"/>
              <c:x val="3.6927410407715154E-2"/>
              <c:y val="0.3535287624534774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69631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59276061918301"/>
          <c:y val="0.86633262005952505"/>
          <c:w val="0.16332625067053078"/>
          <c:h val="5.9286072387019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54428</xdr:rowOff>
    </xdr:from>
    <xdr:to>
      <xdr:col>23</xdr:col>
      <xdr:colOff>266224</xdr:colOff>
      <xdr:row>58</xdr:row>
      <xdr:rowOff>17280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803E27-E92F-46CF-BC2E-EFDD70061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93</xdr:row>
      <xdr:rowOff>45924</xdr:rowOff>
    </xdr:from>
    <xdr:to>
      <xdr:col>23</xdr:col>
      <xdr:colOff>266224</xdr:colOff>
      <xdr:row>123</xdr:row>
      <xdr:rowOff>8776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B62B3-77A8-4BF6-9355-C295BCD36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150</xdr:row>
      <xdr:rowOff>35717</xdr:rowOff>
    </xdr:from>
    <xdr:to>
      <xdr:col>23</xdr:col>
      <xdr:colOff>266224</xdr:colOff>
      <xdr:row>179</xdr:row>
      <xdr:rowOff>200976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D4CF99-D585-435F-9DA8-A66D9B0F5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215</xdr:row>
      <xdr:rowOff>35719</xdr:rowOff>
    </xdr:from>
    <xdr:to>
      <xdr:col>23</xdr:col>
      <xdr:colOff>266224</xdr:colOff>
      <xdr:row>244</xdr:row>
      <xdr:rowOff>200977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D2199-150F-459B-9206-3B72FD50E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281</xdr:row>
      <xdr:rowOff>47623</xdr:rowOff>
    </xdr:from>
    <xdr:to>
      <xdr:col>23</xdr:col>
      <xdr:colOff>266224</xdr:colOff>
      <xdr:row>311</xdr:row>
      <xdr:rowOff>10475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673042-462B-4C1C-874F-C0D5EA3C7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348</xdr:row>
      <xdr:rowOff>35714</xdr:rowOff>
    </xdr:from>
    <xdr:to>
      <xdr:col>23</xdr:col>
      <xdr:colOff>266224</xdr:colOff>
      <xdr:row>377</xdr:row>
      <xdr:rowOff>200973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B31738-939D-45F3-8B30-6A47C0A67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415</xdr:row>
      <xdr:rowOff>35719</xdr:rowOff>
    </xdr:from>
    <xdr:to>
      <xdr:col>23</xdr:col>
      <xdr:colOff>266224</xdr:colOff>
      <xdr:row>444</xdr:row>
      <xdr:rowOff>200977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1B64D71-8C78-488E-A1CD-A47C9D8B6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481</xdr:row>
      <xdr:rowOff>47624</xdr:rowOff>
    </xdr:from>
    <xdr:to>
      <xdr:col>23</xdr:col>
      <xdr:colOff>266224</xdr:colOff>
      <xdr:row>511</xdr:row>
      <xdr:rowOff>10476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1352A1-54FB-42C2-9536-C7C764E3B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547</xdr:row>
      <xdr:rowOff>35719</xdr:rowOff>
    </xdr:from>
    <xdr:to>
      <xdr:col>23</xdr:col>
      <xdr:colOff>266224</xdr:colOff>
      <xdr:row>576</xdr:row>
      <xdr:rowOff>200978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EFA7C4-E1A8-44C5-BAC7-77C291722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613</xdr:row>
      <xdr:rowOff>59532</xdr:rowOff>
    </xdr:from>
    <xdr:to>
      <xdr:col>23</xdr:col>
      <xdr:colOff>266224</xdr:colOff>
      <xdr:row>643</xdr:row>
      <xdr:rowOff>22384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D8BA064-F9B4-4A7E-AB30-FA75DC91F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680</xdr:row>
      <xdr:rowOff>47622</xdr:rowOff>
    </xdr:from>
    <xdr:to>
      <xdr:col>23</xdr:col>
      <xdr:colOff>266224</xdr:colOff>
      <xdr:row>710</xdr:row>
      <xdr:rowOff>10475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B75E91-437E-4A4D-BC05-630BB3E68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747</xdr:row>
      <xdr:rowOff>35717</xdr:rowOff>
    </xdr:from>
    <xdr:to>
      <xdr:col>23</xdr:col>
      <xdr:colOff>266224</xdr:colOff>
      <xdr:row>776</xdr:row>
      <xdr:rowOff>200976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4ED778D-FFD2-4D0A-8DAF-7D6286355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812</xdr:row>
      <xdr:rowOff>35710</xdr:rowOff>
    </xdr:from>
    <xdr:to>
      <xdr:col>23</xdr:col>
      <xdr:colOff>266224</xdr:colOff>
      <xdr:row>841</xdr:row>
      <xdr:rowOff>200969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3C94532-4516-40F1-AF11-0B813F044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877</xdr:row>
      <xdr:rowOff>35718</xdr:rowOff>
    </xdr:from>
    <xdr:to>
      <xdr:col>23</xdr:col>
      <xdr:colOff>266224</xdr:colOff>
      <xdr:row>906</xdr:row>
      <xdr:rowOff>200977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E14F968-6ED3-4E21-A608-A8698BEA5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942</xdr:row>
      <xdr:rowOff>35714</xdr:rowOff>
    </xdr:from>
    <xdr:to>
      <xdr:col>23</xdr:col>
      <xdr:colOff>266224</xdr:colOff>
      <xdr:row>971</xdr:row>
      <xdr:rowOff>200972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CE75AF2-FE3B-4F00-A4AE-BCCED612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1008</xdr:row>
      <xdr:rowOff>35714</xdr:rowOff>
    </xdr:from>
    <xdr:to>
      <xdr:col>23</xdr:col>
      <xdr:colOff>266224</xdr:colOff>
      <xdr:row>1037</xdr:row>
      <xdr:rowOff>200973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37D422-2668-42B0-8CB1-FF156ADF9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1074</xdr:row>
      <xdr:rowOff>47623</xdr:rowOff>
    </xdr:from>
    <xdr:to>
      <xdr:col>23</xdr:col>
      <xdr:colOff>266224</xdr:colOff>
      <xdr:row>1104</xdr:row>
      <xdr:rowOff>10476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041ECEE-F15B-4F20-9C48-A385F48BE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1139</xdr:row>
      <xdr:rowOff>47623</xdr:rowOff>
    </xdr:from>
    <xdr:to>
      <xdr:col>23</xdr:col>
      <xdr:colOff>266224</xdr:colOff>
      <xdr:row>1169</xdr:row>
      <xdr:rowOff>10475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26EC414-39D8-4B3C-AA0A-F28EA7676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1206</xdr:row>
      <xdr:rowOff>35718</xdr:rowOff>
    </xdr:from>
    <xdr:to>
      <xdr:col>23</xdr:col>
      <xdr:colOff>266224</xdr:colOff>
      <xdr:row>1236</xdr:row>
      <xdr:rowOff>2536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67D8A50-C8A8-4D92-B901-836675D23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1274</xdr:row>
      <xdr:rowOff>47624</xdr:rowOff>
    </xdr:from>
    <xdr:to>
      <xdr:col>23</xdr:col>
      <xdr:colOff>266224</xdr:colOff>
      <xdr:row>1304</xdr:row>
      <xdr:rowOff>10477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4C3812E-E93B-4686-80DF-C9CD422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1339</xdr:row>
      <xdr:rowOff>35718</xdr:rowOff>
    </xdr:from>
    <xdr:to>
      <xdr:col>23</xdr:col>
      <xdr:colOff>266224</xdr:colOff>
      <xdr:row>1368</xdr:row>
      <xdr:rowOff>200977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86D5925-06B6-45B4-AC89-B003AC91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1404</xdr:row>
      <xdr:rowOff>35716</xdr:rowOff>
    </xdr:from>
    <xdr:to>
      <xdr:col>23</xdr:col>
      <xdr:colOff>266224</xdr:colOff>
      <xdr:row>1433</xdr:row>
      <xdr:rowOff>200974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E1B937C-6A79-4E27-8096-7B68F76FD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1468</xdr:row>
      <xdr:rowOff>47621</xdr:rowOff>
    </xdr:from>
    <xdr:to>
      <xdr:col>23</xdr:col>
      <xdr:colOff>266224</xdr:colOff>
      <xdr:row>1498</xdr:row>
      <xdr:rowOff>10473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B477498-60C3-4424-BCE8-2A3BEB79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0</xdr:colOff>
      <xdr:row>1536</xdr:row>
      <xdr:rowOff>47625</xdr:rowOff>
    </xdr:from>
    <xdr:to>
      <xdr:col>23</xdr:col>
      <xdr:colOff>266224</xdr:colOff>
      <xdr:row>1566</xdr:row>
      <xdr:rowOff>10478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14D19CB-51FE-4E19-9990-791F16714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0</xdr:colOff>
      <xdr:row>1602</xdr:row>
      <xdr:rowOff>23593</xdr:rowOff>
    </xdr:from>
    <xdr:to>
      <xdr:col>23</xdr:col>
      <xdr:colOff>266224</xdr:colOff>
      <xdr:row>1631</xdr:row>
      <xdr:rowOff>188852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5E14FD5-4E3A-4D50-964A-2401D99B0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0</xdr:colOff>
      <xdr:row>1675</xdr:row>
      <xdr:rowOff>35720</xdr:rowOff>
    </xdr:from>
    <xdr:to>
      <xdr:col>23</xdr:col>
      <xdr:colOff>266224</xdr:colOff>
      <xdr:row>1704</xdr:row>
      <xdr:rowOff>200978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2BAA44C-C37A-4F3E-A277-FFDFFF9F9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RA\Common\VA_DATA\ANNREC\ANREC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pbwprd.puget.com:50100/irj/go/km/docs/documents/Public%20Documents/Sales%20and%20Margin%20Reports%20(Final)/Sales%20of%20Electricity/2011/Sales_of_Electricity_2011_01_final_20110209_11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"/>
      <sheetName val="C "/>
      <sheetName val="E"/>
      <sheetName val="D"/>
      <sheetName val="LAUF"/>
      <sheetName val="LAUF (DTI)"/>
      <sheetName val="1"/>
      <sheetName val="3"/>
      <sheetName val="2"/>
      <sheetName val="4"/>
      <sheetName val="5"/>
      <sheetName val="6"/>
      <sheetName val="7"/>
      <sheetName val="8"/>
      <sheetName val="9"/>
      <sheetName val="10"/>
      <sheetName val="11"/>
      <sheetName val="NY"/>
      <sheetName val="volumes"/>
      <sheetName val="Trans vols"/>
      <sheetName val="stranded transition"/>
      <sheetName val="Demand Transfer"/>
      <sheetName val="99-00 interest"/>
      <sheetName val="HISTORICAL o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  <sheetName val="Rock Island 1"/>
      <sheetName val="NI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  <sheetName val="98-07 Ind. Company WEFOR &amp; WEAF"/>
      <sheetName val="Data"/>
      <sheetName val="Controls"/>
      <sheetName val="1999O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onthly"/>
      <sheetName val="QTD"/>
      <sheetName val="YTD"/>
      <sheetName val="12ME"/>
      <sheetName val="Footnotes"/>
      <sheetName val="Strings"/>
      <sheetName val="ZZCOOM_M03_Q004"/>
      <sheetName val="ZZCOOM_M03_Q004SKF"/>
      <sheetName val="ZZCOOM_M03_Q004ORDERS"/>
      <sheetName val="Revision History"/>
      <sheetName val="Grap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S110"/>
  <sheetViews>
    <sheetView workbookViewId="0">
      <selection activeCell="B4" sqref="B4"/>
    </sheetView>
  </sheetViews>
  <sheetFormatPr defaultColWidth="9.28515625" defaultRowHeight="15" outlineLevelCol="1" x14ac:dyDescent="0.25"/>
  <cols>
    <col min="1" max="1" width="0.42578125" style="426" customWidth="1"/>
    <col min="2" max="2" width="37.42578125" style="421" customWidth="1"/>
    <col min="3" max="3" width="6" style="421" hidden="1" customWidth="1" outlineLevel="1"/>
    <col min="4" max="4" width="31.7109375" style="422" hidden="1" customWidth="1" outlineLevel="1"/>
    <col min="5" max="5" width="8.28515625" style="421" customWidth="1" collapsed="1"/>
    <col min="6" max="6" width="15.85546875" style="426" customWidth="1"/>
    <col min="7" max="7" width="10.85546875" style="426" customWidth="1"/>
    <col min="8" max="8" width="14.42578125" style="421" customWidth="1"/>
    <col min="9" max="9" width="2.28515625" style="429" customWidth="1"/>
    <col min="10" max="10" width="11.7109375" style="430" customWidth="1"/>
    <col min="11" max="11" width="14.42578125" style="431" customWidth="1"/>
    <col min="12" max="12" width="2.28515625" style="431" customWidth="1"/>
    <col min="13" max="13" width="13.5703125" style="426" customWidth="1"/>
    <col min="14" max="14" width="10.85546875" style="432" customWidth="1"/>
    <col min="15" max="15" width="2.7109375" style="432" customWidth="1"/>
    <col min="16" max="16" width="17.42578125" style="426" customWidth="1"/>
    <col min="17" max="17" width="14.28515625" style="426" bestFit="1" customWidth="1"/>
    <col min="18" max="18" width="9.28515625" style="426"/>
    <col min="19" max="19" width="10" style="426" bestFit="1" customWidth="1"/>
    <col min="20" max="16384" width="9.28515625" style="426"/>
  </cols>
  <sheetData>
    <row r="1" spans="2:19" x14ac:dyDescent="0.25">
      <c r="B1" s="421" t="s">
        <v>21</v>
      </c>
      <c r="F1" s="421"/>
      <c r="G1" s="421"/>
      <c r="I1" s="421"/>
      <c r="J1" s="423"/>
      <c r="K1" s="421"/>
      <c r="L1" s="421"/>
      <c r="M1" s="421"/>
      <c r="N1" s="421"/>
      <c r="O1" s="424"/>
      <c r="P1" s="425"/>
    </row>
    <row r="2" spans="2:19" x14ac:dyDescent="0.25">
      <c r="B2" s="421" t="s">
        <v>22</v>
      </c>
      <c r="F2" s="421"/>
      <c r="G2" s="421"/>
      <c r="I2" s="421"/>
      <c r="J2" s="423"/>
      <c r="K2" s="421"/>
      <c r="L2" s="421"/>
      <c r="M2" s="421"/>
      <c r="N2" s="421"/>
      <c r="O2" s="424"/>
      <c r="P2" s="425"/>
    </row>
    <row r="3" spans="2:19" x14ac:dyDescent="0.25">
      <c r="B3" s="422" t="s">
        <v>23</v>
      </c>
      <c r="C3" s="422"/>
      <c r="E3" s="427"/>
      <c r="F3" s="427"/>
      <c r="G3" s="427"/>
      <c r="H3" s="427"/>
      <c r="I3" s="427"/>
      <c r="J3" s="428"/>
      <c r="K3" s="427"/>
      <c r="L3" s="427"/>
      <c r="M3" s="427"/>
      <c r="N3" s="427"/>
      <c r="O3" s="424"/>
      <c r="P3" s="425"/>
    </row>
    <row r="4" spans="2:19" x14ac:dyDescent="0.25">
      <c r="B4" s="422" t="s">
        <v>371</v>
      </c>
      <c r="C4" s="422"/>
      <c r="E4" s="427"/>
      <c r="F4" s="427"/>
      <c r="G4" s="427"/>
      <c r="H4" s="427"/>
      <c r="I4" s="427"/>
      <c r="J4" s="428"/>
      <c r="K4" s="427"/>
      <c r="L4" s="427"/>
      <c r="M4" s="427"/>
      <c r="N4" s="427"/>
      <c r="O4" s="424"/>
      <c r="P4" s="425"/>
    </row>
    <row r="5" spans="2:19" x14ac:dyDescent="0.25">
      <c r="B5" s="422" t="s">
        <v>26</v>
      </c>
      <c r="C5" s="422"/>
      <c r="E5" s="427"/>
      <c r="F5" s="427"/>
      <c r="G5" s="427"/>
      <c r="H5" s="427"/>
      <c r="I5" s="427"/>
      <c r="J5" s="428"/>
      <c r="K5" s="427"/>
      <c r="L5" s="427"/>
      <c r="M5" s="427"/>
      <c r="N5" s="427"/>
      <c r="O5" s="424"/>
      <c r="P5" s="425"/>
    </row>
    <row r="6" spans="2:19" x14ac:dyDescent="0.25">
      <c r="C6" s="421" t="s">
        <v>383</v>
      </c>
      <c r="D6" s="422" t="s">
        <v>384</v>
      </c>
    </row>
    <row r="7" spans="2:19" x14ac:dyDescent="0.25">
      <c r="B7" s="433"/>
      <c r="C7" s="434"/>
      <c r="D7" s="435"/>
      <c r="E7" s="434"/>
      <c r="F7" s="434" t="s">
        <v>5</v>
      </c>
      <c r="G7" s="436" t="s">
        <v>6</v>
      </c>
      <c r="H7" s="437"/>
      <c r="I7" s="435"/>
      <c r="J7" s="438" t="s">
        <v>7</v>
      </c>
      <c r="K7" s="437"/>
      <c r="L7" s="439"/>
      <c r="M7" s="437" t="s">
        <v>8</v>
      </c>
      <c r="N7" s="440"/>
      <c r="O7" s="441"/>
    </row>
    <row r="8" spans="2:19" x14ac:dyDescent="0.25">
      <c r="B8" s="442" t="s">
        <v>0</v>
      </c>
      <c r="C8" s="443"/>
      <c r="D8" s="444"/>
      <c r="E8" s="445" t="s">
        <v>9</v>
      </c>
      <c r="F8" s="445" t="s">
        <v>10</v>
      </c>
      <c r="G8" s="445" t="s">
        <v>11</v>
      </c>
      <c r="H8" s="446" t="s">
        <v>12</v>
      </c>
      <c r="I8" s="445"/>
      <c r="J8" s="447" t="s">
        <v>11</v>
      </c>
      <c r="K8" s="446" t="s">
        <v>12</v>
      </c>
      <c r="L8" s="446"/>
      <c r="M8" s="446" t="s">
        <v>13</v>
      </c>
      <c r="N8" s="448" t="s">
        <v>14</v>
      </c>
      <c r="O8" s="449"/>
    </row>
    <row r="9" spans="2:19" x14ac:dyDescent="0.25">
      <c r="B9" s="450"/>
      <c r="C9" s="451"/>
      <c r="D9" s="435"/>
      <c r="E9" s="451"/>
      <c r="F9" s="451"/>
      <c r="G9" s="451"/>
      <c r="H9" s="451"/>
      <c r="I9" s="452"/>
      <c r="J9" s="453"/>
      <c r="K9" s="454"/>
      <c r="L9" s="454"/>
      <c r="M9" s="451"/>
      <c r="N9" s="455"/>
    </row>
    <row r="10" spans="2:19" x14ac:dyDescent="0.25">
      <c r="B10" s="262" t="s">
        <v>26</v>
      </c>
      <c r="C10" s="456"/>
      <c r="D10" s="456" t="s">
        <v>25</v>
      </c>
      <c r="E10" s="457"/>
      <c r="F10" s="458"/>
      <c r="G10" s="458"/>
      <c r="H10" s="458"/>
      <c r="I10" s="459"/>
      <c r="J10" s="460"/>
      <c r="K10" s="461"/>
      <c r="L10" s="461"/>
      <c r="M10" s="461"/>
      <c r="N10" s="462"/>
    </row>
    <row r="11" spans="2:19" x14ac:dyDescent="0.25">
      <c r="B11" s="463"/>
      <c r="C11" s="464"/>
      <c r="D11" s="465"/>
      <c r="E11" s="464"/>
      <c r="F11" s="464"/>
      <c r="G11" s="464"/>
      <c r="H11" s="464"/>
      <c r="I11" s="466"/>
      <c r="J11" s="467"/>
      <c r="K11" s="468"/>
      <c r="L11" s="468"/>
      <c r="M11" s="468"/>
      <c r="N11" s="469"/>
    </row>
    <row r="12" spans="2:19" x14ac:dyDescent="0.25">
      <c r="B12" s="470" t="s">
        <v>2</v>
      </c>
      <c r="C12" s="421" t="s">
        <v>25</v>
      </c>
      <c r="D12" s="289" t="str">
        <f>VLOOKUP(C12,Rates!$B$3:$J$136,2,FALSE)</f>
        <v>RES_BSC</v>
      </c>
      <c r="E12" s="471" t="s">
        <v>165</v>
      </c>
      <c r="F12" s="472">
        <f>VLOOKUP(C12,Rates!$B:$J,4,FALSE)</f>
        <v>2094250</v>
      </c>
      <c r="G12" s="602">
        <f>VLOOKUP($D12,Rates!$C$1:$J$136,5,FALSE)</f>
        <v>12</v>
      </c>
      <c r="H12" s="468">
        <f>SUM(+F12*G12)</f>
        <v>25131000</v>
      </c>
      <c r="I12" s="472"/>
      <c r="J12" s="602">
        <f>$J$100</f>
        <v>18</v>
      </c>
      <c r="K12" s="468">
        <f>SUM(+F12*J12)</f>
        <v>37696500</v>
      </c>
      <c r="L12" s="468"/>
      <c r="M12" s="468">
        <f>K12-H12</f>
        <v>12565500</v>
      </c>
      <c r="N12" s="473">
        <f>IFERROR(ROUND(M12/H12,5), )</f>
        <v>0.5</v>
      </c>
      <c r="Q12" s="474"/>
      <c r="R12" s="475"/>
      <c r="S12" s="474"/>
    </row>
    <row r="13" spans="2:19" x14ac:dyDescent="0.25">
      <c r="B13" s="476" t="s">
        <v>98</v>
      </c>
      <c r="C13" s="421" t="s">
        <v>174</v>
      </c>
      <c r="D13" s="289" t="str">
        <f>VLOOKUP(C13,Rates!$B$3:$J$136,2,FALSE)</f>
        <v>RES_B1</v>
      </c>
      <c r="E13" s="464" t="s">
        <v>162</v>
      </c>
      <c r="F13" s="472">
        <f>VLOOKUP(C13,Rates!$B:$J,5,FALSE)</f>
        <v>7391290.0000000009</v>
      </c>
      <c r="G13" s="467">
        <f>VLOOKUP($D13,Rates!$C$1:$J$136,7,FALSE)</f>
        <v>2.9146000000000001</v>
      </c>
      <c r="H13" s="468">
        <f t="shared" ref="H13:H14" si="0">SUM(+F13*G13)</f>
        <v>21542653.834000003</v>
      </c>
      <c r="I13" s="472"/>
      <c r="J13" s="467"/>
      <c r="K13" s="468">
        <f t="shared" ref="K13:K15" si="1">SUM(+F13*J13)</f>
        <v>0</v>
      </c>
      <c r="L13" s="468"/>
      <c r="M13" s="468"/>
      <c r="N13" s="473">
        <f t="shared" ref="N13:N15" si="2">IFERROR(ROUND(M13/H13,5), )</f>
        <v>0</v>
      </c>
      <c r="O13" s="426"/>
    </row>
    <row r="14" spans="2:19" x14ac:dyDescent="0.25">
      <c r="B14" s="477" t="s">
        <v>103</v>
      </c>
      <c r="C14" s="421" t="s">
        <v>175</v>
      </c>
      <c r="D14" s="289" t="str">
        <f>VLOOKUP(C14,Rates!$B$3:$J$136,2,FALSE)</f>
        <v>RES_B2</v>
      </c>
      <c r="E14" s="464" t="s">
        <v>162</v>
      </c>
      <c r="F14" s="478">
        <f>VLOOKUP(C14,Rates!$B:$J,5,FALSE)</f>
        <v>10006976.000000002</v>
      </c>
      <c r="G14" s="467">
        <f>VLOOKUP($D14,Rates!$C$1:$J$136,7,FALSE)</f>
        <v>1.9995000000000001</v>
      </c>
      <c r="H14" s="479">
        <f t="shared" si="0"/>
        <v>20008948.512000006</v>
      </c>
      <c r="I14" s="472"/>
      <c r="J14" s="480"/>
      <c r="K14" s="479">
        <f t="shared" si="1"/>
        <v>0</v>
      </c>
      <c r="L14" s="468"/>
      <c r="M14" s="479"/>
      <c r="N14" s="481">
        <f t="shared" si="2"/>
        <v>0</v>
      </c>
      <c r="O14" s="426"/>
    </row>
    <row r="15" spans="2:19" x14ac:dyDescent="0.25">
      <c r="B15" s="476" t="s">
        <v>298</v>
      </c>
      <c r="C15" s="426"/>
      <c r="D15" s="482" t="s">
        <v>344</v>
      </c>
      <c r="E15" s="464"/>
      <c r="F15" s="472">
        <f>F13+F14</f>
        <v>17398266.000000004</v>
      </c>
      <c r="G15" s="467"/>
      <c r="H15" s="472">
        <f>H13+H14</f>
        <v>41551602.346000008</v>
      </c>
      <c r="I15" s="472"/>
      <c r="J15" s="467">
        <f>$J$101</f>
        <v>2.6959</v>
      </c>
      <c r="K15" s="468">
        <f t="shared" si="1"/>
        <v>46903985.309400007</v>
      </c>
      <c r="L15" s="468"/>
      <c r="M15" s="468">
        <f>K15-H15</f>
        <v>5352382.9633999988</v>
      </c>
      <c r="N15" s="473">
        <f t="shared" si="2"/>
        <v>0.12881000000000001</v>
      </c>
      <c r="O15" s="426"/>
    </row>
    <row r="16" spans="2:19" x14ac:dyDescent="0.25">
      <c r="B16" s="483"/>
      <c r="C16" s="484"/>
      <c r="D16" s="485"/>
      <c r="E16" s="471"/>
      <c r="F16" s="472"/>
      <c r="G16" s="464"/>
      <c r="H16" s="468"/>
      <c r="I16" s="472"/>
      <c r="J16" s="467"/>
      <c r="K16" s="468"/>
      <c r="L16" s="468"/>
      <c r="M16" s="468"/>
      <c r="N16" s="473"/>
      <c r="O16" s="426"/>
    </row>
    <row r="17" spans="2:16" x14ac:dyDescent="0.25">
      <c r="B17" s="463" t="s">
        <v>163</v>
      </c>
      <c r="C17" s="464"/>
      <c r="D17" s="486" t="s">
        <v>148</v>
      </c>
      <c r="E17" s="487" t="s">
        <v>279</v>
      </c>
      <c r="F17" s="472"/>
      <c r="G17" s="467">
        <f>VLOOKUP($D17,Rates!$C$1:$J$136,5,FALSE)</f>
        <v>0</v>
      </c>
      <c r="H17" s="468">
        <f>($F$13+$F$14)*G17</f>
        <v>0</v>
      </c>
      <c r="I17" s="472"/>
      <c r="J17" s="467">
        <v>0</v>
      </c>
      <c r="K17" s="468">
        <f>($F$13+$F$14)*J17</f>
        <v>0</v>
      </c>
      <c r="L17" s="468"/>
      <c r="M17" s="468">
        <f>K17-H17</f>
        <v>0</v>
      </c>
      <c r="N17" s="473">
        <f>IFERROR(ROUND(M17/H17,5), )</f>
        <v>0</v>
      </c>
      <c r="O17" s="426"/>
    </row>
    <row r="18" spans="2:16" ht="14.85" customHeight="1" x14ac:dyDescent="0.25">
      <c r="B18" s="463" t="s">
        <v>164</v>
      </c>
      <c r="C18" s="464"/>
      <c r="D18" s="486" t="s">
        <v>150</v>
      </c>
      <c r="E18" s="488" t="s">
        <v>280</v>
      </c>
      <c r="F18" s="472"/>
      <c r="G18" s="467">
        <f>VLOOKUP($D18,Rates!$C$1:$J$136,5,FALSE)</f>
        <v>0</v>
      </c>
      <c r="H18" s="468">
        <f t="shared" ref="H18" si="3">($F$13+$F$14)*G18</f>
        <v>0</v>
      </c>
      <c r="I18" s="472"/>
      <c r="J18" s="467">
        <v>0</v>
      </c>
      <c r="K18" s="468">
        <f t="shared" ref="K18:K19" si="4">($F$13+$F$14)*J18</f>
        <v>0</v>
      </c>
      <c r="L18" s="468"/>
      <c r="M18" s="468">
        <f t="shared" ref="M18:M19" si="5">K18-H18</f>
        <v>0</v>
      </c>
      <c r="N18" s="473">
        <f t="shared" ref="N18:N19" si="6">IFERROR(ROUND(M18/H18,5), )</f>
        <v>0</v>
      </c>
      <c r="O18" s="426"/>
    </row>
    <row r="19" spans="2:16" x14ac:dyDescent="0.25">
      <c r="B19" s="463" t="s">
        <v>283</v>
      </c>
      <c r="C19" s="465"/>
      <c r="D19" s="486" t="s">
        <v>285</v>
      </c>
      <c r="E19" s="465" t="s">
        <v>287</v>
      </c>
      <c r="F19" s="472"/>
      <c r="G19" s="278">
        <f>VLOOKUP($D19,Rates!$C$1:$J$136,5,FALSE)</f>
        <v>0.19486800000000001</v>
      </c>
      <c r="H19" s="468">
        <f>($F$13+$F$14)*G19</f>
        <v>3390365.2988880011</v>
      </c>
      <c r="I19" s="472"/>
      <c r="J19" s="467">
        <f>$J$104</f>
        <v>0.2349</v>
      </c>
      <c r="K19" s="468">
        <f t="shared" si="4"/>
        <v>4086852.6834000009</v>
      </c>
      <c r="L19" s="468"/>
      <c r="M19" s="468">
        <f t="shared" si="5"/>
        <v>696487.38451199979</v>
      </c>
      <c r="N19" s="473">
        <f t="shared" si="6"/>
        <v>0.20543</v>
      </c>
      <c r="O19" s="489"/>
    </row>
    <row r="20" spans="2:16" x14ac:dyDescent="0.25">
      <c r="B20" s="463" t="s">
        <v>284</v>
      </c>
      <c r="C20" s="465"/>
      <c r="D20" s="486" t="s">
        <v>286</v>
      </c>
      <c r="E20" s="465" t="s">
        <v>288</v>
      </c>
      <c r="F20" s="472"/>
      <c r="G20" s="278">
        <f>VLOOKUP($D20,Rates!$C$1:$J$136,5,FALSE)</f>
        <v>0.105</v>
      </c>
      <c r="H20" s="468">
        <f t="shared" ref="H20" si="7">($F$13+$F$14)*G20</f>
        <v>1826817.9300000004</v>
      </c>
      <c r="I20" s="472"/>
      <c r="J20" s="467">
        <f>$J$105</f>
        <v>0.1149</v>
      </c>
      <c r="K20" s="468">
        <f t="shared" ref="K20:K21" si="8">($F$13+$F$14)*J20</f>
        <v>1999060.7634000005</v>
      </c>
      <c r="L20" s="468"/>
      <c r="M20" s="468">
        <f t="shared" ref="M20" si="9">K20-H20</f>
        <v>172242.83340000012</v>
      </c>
      <c r="N20" s="473">
        <f t="shared" ref="N20" si="10">IFERROR(ROUND(M20/H20,5), )</f>
        <v>9.4289999999999999E-2</v>
      </c>
      <c r="O20" s="489"/>
    </row>
    <row r="21" spans="2:16" x14ac:dyDescent="0.25">
      <c r="B21" s="463" t="s">
        <v>147</v>
      </c>
      <c r="C21" s="465"/>
      <c r="D21" s="486" t="s">
        <v>296</v>
      </c>
      <c r="E21" s="295" t="s">
        <v>290</v>
      </c>
      <c r="F21" s="472"/>
      <c r="G21" s="464"/>
      <c r="H21" s="468">
        <v>-554881</v>
      </c>
      <c r="I21" s="472"/>
      <c r="J21" s="467">
        <v>0</v>
      </c>
      <c r="K21" s="468">
        <f t="shared" si="8"/>
        <v>0</v>
      </c>
      <c r="L21" s="468"/>
      <c r="M21" s="468">
        <f t="shared" ref="M21" si="11">K21-H21</f>
        <v>554881</v>
      </c>
      <c r="N21" s="473">
        <f t="shared" ref="N21" si="12">IFERROR(ROUND(M21/H21,5), )</f>
        <v>-1</v>
      </c>
      <c r="O21" s="489"/>
    </row>
    <row r="22" spans="2:16" x14ac:dyDescent="0.25">
      <c r="B22" s="490"/>
      <c r="C22" s="465"/>
      <c r="D22" s="465"/>
      <c r="E22" s="485"/>
      <c r="F22" s="464"/>
      <c r="G22" s="491"/>
      <c r="H22" s="492"/>
      <c r="I22" s="472"/>
      <c r="J22" s="467"/>
      <c r="K22" s="468"/>
      <c r="L22" s="468"/>
      <c r="M22" s="468"/>
      <c r="N22" s="469"/>
      <c r="O22" s="489"/>
    </row>
    <row r="23" spans="2:16" x14ac:dyDescent="0.25">
      <c r="B23" s="470" t="s">
        <v>16</v>
      </c>
      <c r="C23" s="471"/>
      <c r="D23" s="487"/>
      <c r="E23" s="487"/>
      <c r="F23" s="472"/>
      <c r="G23" s="464"/>
      <c r="H23" s="493">
        <f>SUM(H15:H21)+H12</f>
        <v>71344904.574888006</v>
      </c>
      <c r="I23" s="472"/>
      <c r="J23" s="467"/>
      <c r="K23" s="493">
        <f>SUM(K15:K21)+K12</f>
        <v>90686398.756200016</v>
      </c>
      <c r="L23" s="468"/>
      <c r="M23" s="493">
        <f>SUM(M15:M21)+M12</f>
        <v>19341494.181311999</v>
      </c>
      <c r="N23" s="494">
        <f>IFERROR(ROUND(M23/H23,5), )</f>
        <v>0.27110000000000001</v>
      </c>
      <c r="O23" s="489"/>
    </row>
    <row r="24" spans="2:16" x14ac:dyDescent="0.25">
      <c r="B24" s="470"/>
      <c r="C24" s="471"/>
      <c r="D24" s="487"/>
      <c r="E24" s="487"/>
      <c r="F24" s="472"/>
      <c r="G24" s="464"/>
      <c r="H24" s="468"/>
      <c r="I24" s="472"/>
      <c r="J24" s="467"/>
      <c r="K24" s="468"/>
      <c r="L24" s="468"/>
      <c r="M24" s="468"/>
      <c r="N24" s="495"/>
      <c r="O24" s="489"/>
    </row>
    <row r="25" spans="2:16" x14ac:dyDescent="0.25">
      <c r="B25" s="470" t="s">
        <v>166</v>
      </c>
      <c r="C25" s="471"/>
      <c r="D25" s="487"/>
      <c r="E25" s="471"/>
      <c r="F25" s="472"/>
      <c r="G25" s="464"/>
      <c r="H25" s="468">
        <v>71344911</v>
      </c>
      <c r="I25" s="472"/>
      <c r="J25" s="467"/>
      <c r="K25" s="468"/>
      <c r="L25" s="468"/>
      <c r="M25" s="468"/>
      <c r="N25" s="473"/>
      <c r="O25" s="489"/>
      <c r="P25" s="496"/>
    </row>
    <row r="26" spans="2:16" x14ac:dyDescent="0.25">
      <c r="B26" s="470"/>
      <c r="C26" s="471"/>
      <c r="D26" s="487"/>
      <c r="E26" s="471"/>
      <c r="F26" s="472"/>
      <c r="G26" s="464"/>
      <c r="H26" s="468"/>
      <c r="I26" s="472"/>
      <c r="J26" s="467"/>
      <c r="K26" s="468"/>
      <c r="L26" s="468"/>
      <c r="M26" s="468"/>
      <c r="N26" s="473"/>
      <c r="O26" s="489"/>
      <c r="P26" s="496"/>
    </row>
    <row r="27" spans="2:16" x14ac:dyDescent="0.25">
      <c r="B27" s="470" t="s">
        <v>167</v>
      </c>
      <c r="C27" s="471"/>
      <c r="D27" s="487"/>
      <c r="E27" s="471"/>
      <c r="F27" s="472"/>
      <c r="G27" s="464"/>
      <c r="H27" s="272">
        <f>H23-H25</f>
        <v>-6.4251119941473007</v>
      </c>
      <c r="I27" s="472"/>
      <c r="J27" s="467"/>
      <c r="K27" s="468"/>
      <c r="L27" s="468"/>
      <c r="M27" s="468"/>
      <c r="N27" s="473"/>
      <c r="O27" s="489"/>
      <c r="P27" s="496"/>
    </row>
    <row r="28" spans="2:16" x14ac:dyDescent="0.25">
      <c r="B28" s="470" t="s">
        <v>168</v>
      </c>
      <c r="C28" s="471"/>
      <c r="D28" s="487"/>
      <c r="E28" s="471"/>
      <c r="F28" s="472"/>
      <c r="G28" s="464"/>
      <c r="H28" s="497">
        <f>H27/H23</f>
        <v>-9.00570549842576E-8</v>
      </c>
      <c r="I28" s="472"/>
      <c r="J28" s="467"/>
      <c r="K28" s="468"/>
      <c r="L28" s="468"/>
      <c r="M28" s="468"/>
      <c r="N28" s="473"/>
      <c r="O28" s="489"/>
      <c r="P28" s="496"/>
    </row>
    <row r="29" spans="2:16" x14ac:dyDescent="0.25">
      <c r="B29" s="498"/>
      <c r="C29" s="499"/>
      <c r="D29" s="444"/>
      <c r="E29" s="499"/>
      <c r="F29" s="499"/>
      <c r="G29" s="499"/>
      <c r="H29" s="500"/>
      <c r="I29" s="501"/>
      <c r="J29" s="502"/>
      <c r="K29" s="500"/>
      <c r="L29" s="500"/>
      <c r="M29" s="500"/>
      <c r="N29" s="503"/>
      <c r="O29" s="426"/>
    </row>
    <row r="30" spans="2:16" x14ac:dyDescent="0.25">
      <c r="B30" s="262" t="s">
        <v>28</v>
      </c>
      <c r="C30" s="457"/>
      <c r="D30" s="504" t="s">
        <v>27</v>
      </c>
      <c r="E30" s="457"/>
      <c r="F30" s="458"/>
      <c r="G30" s="458"/>
      <c r="H30" s="461"/>
      <c r="I30" s="459"/>
      <c r="J30" s="460"/>
      <c r="K30" s="461"/>
      <c r="L30" s="461"/>
      <c r="M30" s="461"/>
      <c r="N30" s="505"/>
      <c r="O30" s="426"/>
    </row>
    <row r="31" spans="2:16" x14ac:dyDescent="0.25">
      <c r="B31" s="450"/>
      <c r="C31" s="451"/>
      <c r="D31" s="435"/>
      <c r="E31" s="451"/>
      <c r="F31" s="451"/>
      <c r="G31" s="451"/>
      <c r="H31" s="493"/>
      <c r="I31" s="506"/>
      <c r="J31" s="453"/>
      <c r="K31" s="493"/>
      <c r="L31" s="493"/>
      <c r="M31" s="493"/>
      <c r="N31" s="507"/>
      <c r="P31" s="508"/>
    </row>
    <row r="32" spans="2:16" x14ac:dyDescent="0.25">
      <c r="B32" s="470" t="s">
        <v>2</v>
      </c>
      <c r="C32" s="421" t="s">
        <v>27</v>
      </c>
      <c r="D32" s="289" t="str">
        <f>VLOOKUP(C32,Rates!$B$3:$J$136,2,FALSE)</f>
        <v>RES_BSC</v>
      </c>
      <c r="E32" s="471" t="s">
        <v>165</v>
      </c>
      <c r="F32" s="472">
        <f>VLOOKUP(C32,Rates!$B:$J,4,FALSE)</f>
        <v>86479</v>
      </c>
      <c r="G32" s="602">
        <f>VLOOKUP($D32,Rates!$C$1:$J$136,5,FALSE)</f>
        <v>12</v>
      </c>
      <c r="H32" s="468">
        <f>SUM(+F32*G32)</f>
        <v>1037748</v>
      </c>
      <c r="I32" s="472"/>
      <c r="J32" s="602">
        <f>$J$100</f>
        <v>18</v>
      </c>
      <c r="K32" s="468">
        <f>SUM(+F32*J32)</f>
        <v>1556622</v>
      </c>
      <c r="L32" s="468"/>
      <c r="M32" s="468">
        <f>K32-H32</f>
        <v>518874</v>
      </c>
      <c r="N32" s="473">
        <f>IFERROR(ROUND(M32/H32,5), )</f>
        <v>0.5</v>
      </c>
      <c r="P32" s="509"/>
    </row>
    <row r="33" spans="2:16" x14ac:dyDescent="0.25">
      <c r="B33" s="476" t="s">
        <v>98</v>
      </c>
      <c r="C33" s="421" t="s">
        <v>176</v>
      </c>
      <c r="D33" s="289" t="str">
        <f>VLOOKUP(C33,Rates!$B$3:$J$136,2,FALSE)</f>
        <v>RES_B1</v>
      </c>
      <c r="E33" s="464" t="s">
        <v>162</v>
      </c>
      <c r="F33" s="472">
        <f>VLOOKUP(C33,Rates!$B:$J,5,FALSE)</f>
        <v>316493.39999999997</v>
      </c>
      <c r="G33" s="467">
        <f>VLOOKUP($D33,Rates!$C$1:$J$136,7,FALSE)</f>
        <v>2.9146000000000001</v>
      </c>
      <c r="H33" s="468">
        <f t="shared" ref="H33:H34" si="13">SUM(+F33*G33)</f>
        <v>922451.66363999993</v>
      </c>
      <c r="I33" s="472"/>
      <c r="J33" s="467"/>
      <c r="K33" s="468">
        <f t="shared" ref="K33:K35" si="14">SUM(+F33*J33)</f>
        <v>0</v>
      </c>
      <c r="L33" s="468"/>
      <c r="M33" s="468"/>
      <c r="N33" s="473">
        <f t="shared" ref="N33:N35" si="15">IFERROR(ROUND(M33/H33,5), )</f>
        <v>0</v>
      </c>
      <c r="P33" s="509"/>
    </row>
    <row r="34" spans="2:16" x14ac:dyDescent="0.25">
      <c r="B34" s="477" t="s">
        <v>103</v>
      </c>
      <c r="C34" s="421" t="s">
        <v>177</v>
      </c>
      <c r="D34" s="289" t="str">
        <f>VLOOKUP(C34,Rates!$B$3:$J$136,2,FALSE)</f>
        <v>RES_B2</v>
      </c>
      <c r="E34" s="464" t="s">
        <v>162</v>
      </c>
      <c r="F34" s="478">
        <f>VLOOKUP(C34,Rates!$B:$J,5,FALSE)</f>
        <v>437345.6</v>
      </c>
      <c r="G34" s="467">
        <f>VLOOKUP($D34,Rates!$C$1:$J$136,7,FALSE)</f>
        <v>1.9995000000000001</v>
      </c>
      <c r="H34" s="479">
        <f t="shared" si="13"/>
        <v>874472.52720000001</v>
      </c>
      <c r="I34" s="472"/>
      <c r="J34" s="480"/>
      <c r="K34" s="479">
        <f t="shared" si="14"/>
        <v>0</v>
      </c>
      <c r="L34" s="468"/>
      <c r="M34" s="479"/>
      <c r="N34" s="481">
        <f t="shared" si="15"/>
        <v>0</v>
      </c>
      <c r="P34" s="509"/>
    </row>
    <row r="35" spans="2:16" s="236" customFormat="1" x14ac:dyDescent="0.25">
      <c r="B35" s="476" t="s">
        <v>298</v>
      </c>
      <c r="C35" s="270"/>
      <c r="D35" s="482" t="s">
        <v>344</v>
      </c>
      <c r="E35" s="270"/>
      <c r="F35" s="277">
        <f>F33+F34</f>
        <v>753839</v>
      </c>
      <c r="G35" s="278"/>
      <c r="H35" s="277">
        <f>H33+H34</f>
        <v>1796924.1908399998</v>
      </c>
      <c r="I35" s="277"/>
      <c r="J35" s="278">
        <f>$J$101</f>
        <v>2.6959</v>
      </c>
      <c r="K35" s="272">
        <f t="shared" si="14"/>
        <v>2032274.5600999999</v>
      </c>
      <c r="L35" s="272"/>
      <c r="M35" s="272">
        <f>K35-H35</f>
        <v>235350.36926000006</v>
      </c>
      <c r="N35" s="280">
        <f t="shared" si="15"/>
        <v>0.13097</v>
      </c>
      <c r="P35" s="317"/>
    </row>
    <row r="36" spans="2:16" x14ac:dyDescent="0.25">
      <c r="B36" s="483"/>
      <c r="C36" s="484"/>
      <c r="D36" s="485"/>
      <c r="E36" s="484"/>
      <c r="F36" s="510"/>
      <c r="G36" s="467"/>
      <c r="H36" s="510"/>
      <c r="I36" s="472"/>
      <c r="J36" s="467"/>
      <c r="K36" s="468"/>
      <c r="L36" s="468"/>
      <c r="M36" s="468"/>
      <c r="N36" s="469"/>
      <c r="O36" s="426"/>
      <c r="P36" s="511"/>
    </row>
    <row r="37" spans="2:16" x14ac:dyDescent="0.25">
      <c r="B37" s="463" t="s">
        <v>163</v>
      </c>
      <c r="C37" s="464"/>
      <c r="D37" s="486" t="s">
        <v>148</v>
      </c>
      <c r="E37" s="487" t="s">
        <v>279</v>
      </c>
      <c r="F37" s="472"/>
      <c r="G37" s="467">
        <f>VLOOKUP($D37,Rates!$C$1:$J$136,5,FALSE)</f>
        <v>0</v>
      </c>
      <c r="H37" s="468">
        <f>($F$33+$F$34)*G37</f>
        <v>0</v>
      </c>
      <c r="I37" s="472"/>
      <c r="J37" s="467">
        <v>0</v>
      </c>
      <c r="K37" s="468">
        <f>($F$33+$F$34)*J37</f>
        <v>0</v>
      </c>
      <c r="L37" s="468"/>
      <c r="M37" s="468">
        <f>K37-H37</f>
        <v>0</v>
      </c>
      <c r="N37" s="473">
        <f>IFERROR(ROUND(M37/H37,5), )</f>
        <v>0</v>
      </c>
      <c r="O37" s="426"/>
      <c r="P37" s="511"/>
    </row>
    <row r="38" spans="2:16" x14ac:dyDescent="0.25">
      <c r="B38" s="463" t="s">
        <v>164</v>
      </c>
      <c r="C38" s="464"/>
      <c r="D38" s="486" t="s">
        <v>150</v>
      </c>
      <c r="E38" s="488" t="s">
        <v>280</v>
      </c>
      <c r="F38" s="472"/>
      <c r="G38" s="467">
        <f>VLOOKUP($D38,Rates!$C$1:$J$136,5,FALSE)</f>
        <v>0</v>
      </c>
      <c r="H38" s="468">
        <f t="shared" ref="H38:H39" si="16">($F$33+$F$34)*G38</f>
        <v>0</v>
      </c>
      <c r="I38" s="472"/>
      <c r="J38" s="467">
        <v>0</v>
      </c>
      <c r="K38" s="468">
        <f t="shared" ref="K38:K39" si="17">($F$33+$F$34)*J38</f>
        <v>0</v>
      </c>
      <c r="L38" s="468"/>
      <c r="M38" s="468">
        <f t="shared" ref="M38:M39" si="18">K38-H38</f>
        <v>0</v>
      </c>
      <c r="N38" s="473">
        <f t="shared" ref="N38:N39" si="19">IFERROR(ROUND(M38/H38,5), )</f>
        <v>0</v>
      </c>
      <c r="O38" s="426"/>
      <c r="P38" s="511"/>
    </row>
    <row r="39" spans="2:16" x14ac:dyDescent="0.25">
      <c r="B39" s="463" t="s">
        <v>283</v>
      </c>
      <c r="C39" s="465"/>
      <c r="D39" s="486" t="s">
        <v>285</v>
      </c>
      <c r="E39" s="465" t="s">
        <v>287</v>
      </c>
      <c r="F39" s="472"/>
      <c r="G39" s="467">
        <f>VLOOKUP($D39,Rates!$C$1:$J$136,5,FALSE)</f>
        <v>0.19486800000000001</v>
      </c>
      <c r="H39" s="468">
        <f t="shared" si="16"/>
        <v>146899.098252</v>
      </c>
      <c r="I39" s="472"/>
      <c r="J39" s="467">
        <f>$J$104</f>
        <v>0.2349</v>
      </c>
      <c r="K39" s="468">
        <f t="shared" si="17"/>
        <v>177076.78109999999</v>
      </c>
      <c r="L39" s="468"/>
      <c r="M39" s="468">
        <f t="shared" si="18"/>
        <v>30177.682847999997</v>
      </c>
      <c r="N39" s="473">
        <f t="shared" si="19"/>
        <v>0.20543</v>
      </c>
      <c r="O39" s="426"/>
      <c r="P39" s="511"/>
    </row>
    <row r="40" spans="2:16" x14ac:dyDescent="0.25">
      <c r="B40" s="463" t="s">
        <v>284</v>
      </c>
      <c r="C40" s="465"/>
      <c r="D40" s="486" t="s">
        <v>286</v>
      </c>
      <c r="E40" s="465" t="s">
        <v>288</v>
      </c>
      <c r="F40" s="472"/>
      <c r="G40" s="467">
        <f>VLOOKUP($D40,Rates!$C$1:$J$136,5,FALSE)</f>
        <v>0.105</v>
      </c>
      <c r="H40" s="468">
        <f t="shared" ref="H40" si="20">($F$33+$F$34)*G40</f>
        <v>79153.095000000001</v>
      </c>
      <c r="I40" s="472"/>
      <c r="J40" s="467">
        <f>$J$105</f>
        <v>0.1149</v>
      </c>
      <c r="K40" s="468">
        <f t="shared" ref="K40:K41" si="21">($F$33+$F$34)*J40</f>
        <v>86616.1011</v>
      </c>
      <c r="L40" s="468"/>
      <c r="M40" s="468">
        <f t="shared" ref="M40" si="22">K40-H40</f>
        <v>7463.0060999999987</v>
      </c>
      <c r="N40" s="473">
        <f t="shared" ref="N40" si="23">IFERROR(ROUND(M40/H40,5), )</f>
        <v>9.4289999999999999E-2</v>
      </c>
      <c r="O40" s="426"/>
      <c r="P40" s="511"/>
    </row>
    <row r="41" spans="2:16" x14ac:dyDescent="0.25">
      <c r="B41" s="463" t="s">
        <v>147</v>
      </c>
      <c r="C41" s="465"/>
      <c r="D41" s="486" t="s">
        <v>296</v>
      </c>
      <c r="E41" s="295" t="s">
        <v>290</v>
      </c>
      <c r="F41" s="472"/>
      <c r="G41" s="464"/>
      <c r="H41" s="468">
        <v>-23905</v>
      </c>
      <c r="I41" s="472"/>
      <c r="J41" s="467">
        <v>0</v>
      </c>
      <c r="K41" s="468">
        <f t="shared" si="21"/>
        <v>0</v>
      </c>
      <c r="L41" s="468"/>
      <c r="M41" s="468">
        <f t="shared" ref="M41" si="24">K41-H41</f>
        <v>23905</v>
      </c>
      <c r="N41" s="473">
        <f t="shared" ref="N41" si="25">IFERROR(ROUND(M41/H41,5), )</f>
        <v>-1</v>
      </c>
      <c r="O41" s="426"/>
      <c r="P41" s="511"/>
    </row>
    <row r="42" spans="2:16" x14ac:dyDescent="0.25">
      <c r="B42" s="483"/>
      <c r="C42" s="484"/>
      <c r="D42" s="485"/>
      <c r="E42" s="484"/>
      <c r="F42" s="464"/>
      <c r="G42" s="464"/>
      <c r="H42" s="492"/>
      <c r="I42" s="472"/>
      <c r="J42" s="467"/>
      <c r="K42" s="468"/>
      <c r="L42" s="468"/>
      <c r="M42" s="468"/>
      <c r="N42" s="469"/>
      <c r="O42" s="426"/>
      <c r="P42" s="511"/>
    </row>
    <row r="43" spans="2:16" x14ac:dyDescent="0.25">
      <c r="B43" s="470" t="s">
        <v>16</v>
      </c>
      <c r="C43" s="471"/>
      <c r="D43" s="487"/>
      <c r="E43" s="471"/>
      <c r="F43" s="464"/>
      <c r="G43" s="464"/>
      <c r="H43" s="493">
        <f>SUM(H32,H35,SUM(H37:H41))</f>
        <v>3036819.3840919998</v>
      </c>
      <c r="I43" s="472"/>
      <c r="J43" s="467"/>
      <c r="K43" s="493">
        <f>SUM(K32:K41)</f>
        <v>3852589.4422999998</v>
      </c>
      <c r="L43" s="468"/>
      <c r="M43" s="493">
        <f>SUM(M32:M41)</f>
        <v>815770.05820800003</v>
      </c>
      <c r="N43" s="494">
        <f>IFERROR(ROUND(M43/H43,5), )</f>
        <v>0.26862999999999998</v>
      </c>
      <c r="O43" s="426"/>
      <c r="P43" s="511"/>
    </row>
    <row r="44" spans="2:16" x14ac:dyDescent="0.25">
      <c r="B44" s="470"/>
      <c r="C44" s="471"/>
      <c r="D44" s="487"/>
      <c r="E44" s="471"/>
      <c r="F44" s="464"/>
      <c r="G44" s="464"/>
      <c r="H44" s="468"/>
      <c r="I44" s="472"/>
      <c r="J44" s="467"/>
      <c r="K44" s="468"/>
      <c r="L44" s="468"/>
      <c r="M44" s="468"/>
      <c r="N44" s="473"/>
      <c r="O44" s="426"/>
      <c r="P44" s="511"/>
    </row>
    <row r="45" spans="2:16" x14ac:dyDescent="0.25">
      <c r="B45" s="470" t="s">
        <v>166</v>
      </c>
      <c r="C45" s="471"/>
      <c r="D45" s="487"/>
      <c r="E45" s="471"/>
      <c r="F45" s="464"/>
      <c r="G45" s="464"/>
      <c r="H45" s="468">
        <v>3036819.6899999995</v>
      </c>
      <c r="I45" s="472"/>
      <c r="J45" s="467"/>
      <c r="K45" s="468"/>
      <c r="L45" s="468"/>
      <c r="M45" s="468"/>
      <c r="N45" s="473"/>
      <c r="O45" s="426"/>
      <c r="P45" s="511"/>
    </row>
    <row r="46" spans="2:16" x14ac:dyDescent="0.25">
      <c r="B46" s="470"/>
      <c r="C46" s="471"/>
      <c r="D46" s="487"/>
      <c r="E46" s="471"/>
      <c r="F46" s="464"/>
      <c r="G46" s="464"/>
      <c r="H46" s="468"/>
      <c r="I46" s="472"/>
      <c r="J46" s="467"/>
      <c r="K46" s="468"/>
      <c r="L46" s="468"/>
      <c r="M46" s="468"/>
      <c r="N46" s="473"/>
      <c r="O46" s="426"/>
      <c r="P46" s="511"/>
    </row>
    <row r="47" spans="2:16" x14ac:dyDescent="0.25">
      <c r="B47" s="470" t="s">
        <v>167</v>
      </c>
      <c r="C47" s="471"/>
      <c r="D47" s="487"/>
      <c r="E47" s="471"/>
      <c r="F47" s="464"/>
      <c r="G47" s="464"/>
      <c r="H47" s="468">
        <f>H43-H45</f>
        <v>-0.30590799963101745</v>
      </c>
      <c r="I47" s="472"/>
      <c r="J47" s="467"/>
      <c r="K47" s="468"/>
      <c r="L47" s="468"/>
      <c r="M47" s="468"/>
      <c r="N47" s="473"/>
      <c r="O47" s="426"/>
      <c r="P47" s="511"/>
    </row>
    <row r="48" spans="2:16" x14ac:dyDescent="0.25">
      <c r="B48" s="470" t="s">
        <v>168</v>
      </c>
      <c r="C48" s="471"/>
      <c r="D48" s="487"/>
      <c r="E48" s="471"/>
      <c r="F48" s="464"/>
      <c r="G48" s="464"/>
      <c r="H48" s="497">
        <f>H47/H43</f>
        <v>-1.007330239109637E-7</v>
      </c>
      <c r="I48" s="472"/>
      <c r="J48" s="467"/>
      <c r="K48" s="468"/>
      <c r="L48" s="468"/>
      <c r="M48" s="468"/>
      <c r="N48" s="473"/>
      <c r="O48" s="426"/>
      <c r="P48" s="511"/>
    </row>
    <row r="49" spans="2:16" x14ac:dyDescent="0.25">
      <c r="B49" s="498"/>
      <c r="C49" s="499"/>
      <c r="D49" s="444"/>
      <c r="E49" s="499"/>
      <c r="F49" s="499"/>
      <c r="G49" s="499"/>
      <c r="H49" s="500"/>
      <c r="I49" s="499"/>
      <c r="J49" s="502"/>
      <c r="K49" s="500"/>
      <c r="L49" s="500"/>
      <c r="M49" s="500"/>
      <c r="N49" s="503"/>
      <c r="O49" s="426"/>
      <c r="P49" s="512"/>
    </row>
    <row r="50" spans="2:16" x14ac:dyDescent="0.25">
      <c r="B50" s="262" t="s">
        <v>30</v>
      </c>
      <c r="C50" s="457"/>
      <c r="D50" s="504" t="s">
        <v>29</v>
      </c>
      <c r="E50" s="457"/>
      <c r="F50" s="458"/>
      <c r="G50" s="458"/>
      <c r="H50" s="461"/>
      <c r="I50" s="459"/>
      <c r="J50" s="460"/>
      <c r="K50" s="461"/>
      <c r="L50" s="461"/>
      <c r="M50" s="461"/>
      <c r="N50" s="505"/>
      <c r="O50" s="426"/>
    </row>
    <row r="51" spans="2:16" x14ac:dyDescent="0.25">
      <c r="B51" s="463"/>
      <c r="C51" s="464"/>
      <c r="D51" s="465"/>
      <c r="E51" s="426"/>
      <c r="H51" s="513"/>
      <c r="I51" s="514"/>
      <c r="K51" s="513"/>
      <c r="L51" s="513"/>
      <c r="M51" s="513"/>
      <c r="N51" s="469"/>
      <c r="P51" s="508"/>
    </row>
    <row r="52" spans="2:16" x14ac:dyDescent="0.25">
      <c r="B52" s="470" t="s">
        <v>2</v>
      </c>
      <c r="C52" s="421" t="s">
        <v>29</v>
      </c>
      <c r="D52" s="289" t="str">
        <f>VLOOKUP(C52,Rates!$B$3:$J$136,2,FALSE)</f>
        <v>RES_BSC</v>
      </c>
      <c r="E52" s="515" t="s">
        <v>165</v>
      </c>
      <c r="F52" s="472">
        <f>VLOOKUP(C52,Rates!$B:$J,4,FALSE)</f>
        <v>3340</v>
      </c>
      <c r="G52" s="602">
        <f>VLOOKUP($D52,Rates!$C$1:$J$136,5,FALSE)</f>
        <v>12</v>
      </c>
      <c r="H52" s="468">
        <f>SUM(+F52*G52)</f>
        <v>40080</v>
      </c>
      <c r="J52" s="602">
        <f>$J$100</f>
        <v>18</v>
      </c>
      <c r="K52" s="468">
        <f>SUM(+F52*J52)</f>
        <v>60120</v>
      </c>
      <c r="L52" s="468"/>
      <c r="M52" s="468">
        <f>K52-H52</f>
        <v>20040</v>
      </c>
      <c r="N52" s="473">
        <f>IFERROR(ROUND(M52/H52,5), )</f>
        <v>0.5</v>
      </c>
      <c r="P52" s="509"/>
    </row>
    <row r="53" spans="2:16" x14ac:dyDescent="0.25">
      <c r="B53" s="476" t="s">
        <v>170</v>
      </c>
      <c r="C53" s="421" t="s">
        <v>178</v>
      </c>
      <c r="D53" s="289" t="str">
        <f>VLOOKUP(C53,Rates!$B$3:$J$136,2,FALSE)</f>
        <v>RES_TRANS</v>
      </c>
      <c r="E53" s="426" t="s">
        <v>162</v>
      </c>
      <c r="F53" s="472">
        <f>VLOOKUP(C53,Rates!$B:$J,5,FALSE)</f>
        <v>102999</v>
      </c>
      <c r="G53" s="467">
        <f>VLOOKUP($D53,Rates!$C$1:$J$136,7,FALSE)</f>
        <v>2.4758</v>
      </c>
      <c r="H53" s="468">
        <f t="shared" ref="H53" si="26">SUM(+F53*G53)</f>
        <v>255004.92420000001</v>
      </c>
      <c r="J53" s="467">
        <f>$J$101</f>
        <v>2.6959</v>
      </c>
      <c r="K53" s="468">
        <f t="shared" ref="K53" si="27">SUM(+F53*J53)</f>
        <v>277675.00410000002</v>
      </c>
      <c r="L53" s="468"/>
      <c r="M53" s="468">
        <f t="shared" ref="M53" si="28">K53-H53</f>
        <v>22670.079900000012</v>
      </c>
      <c r="N53" s="473">
        <f t="shared" ref="N53" si="29">IFERROR(ROUND(M53/H53,5), )</f>
        <v>8.8900000000000007E-2</v>
      </c>
      <c r="P53" s="509"/>
    </row>
    <row r="54" spans="2:16" x14ac:dyDescent="0.25">
      <c r="B54" s="476"/>
      <c r="D54" s="289"/>
      <c r="E54" s="426"/>
      <c r="F54" s="472"/>
      <c r="G54" s="467"/>
      <c r="H54" s="468"/>
      <c r="J54" s="467"/>
      <c r="K54" s="468"/>
      <c r="L54" s="468"/>
      <c r="M54" s="468"/>
      <c r="N54" s="473"/>
      <c r="P54" s="509"/>
    </row>
    <row r="55" spans="2:16" x14ac:dyDescent="0.25">
      <c r="B55" s="463" t="s">
        <v>147</v>
      </c>
      <c r="C55" s="465"/>
      <c r="D55" s="486" t="s">
        <v>296</v>
      </c>
      <c r="E55" s="295" t="s">
        <v>290</v>
      </c>
      <c r="F55" s="472"/>
      <c r="G55" s="464"/>
      <c r="H55" s="468">
        <v>-755</v>
      </c>
      <c r="J55" s="467"/>
      <c r="K55" s="468"/>
      <c r="L55" s="468"/>
      <c r="M55" s="468">
        <f t="shared" ref="M55" si="30">K55-H55</f>
        <v>755</v>
      </c>
      <c r="N55" s="473">
        <f t="shared" ref="N55" si="31">IFERROR(ROUND(M55/H55,5), )</f>
        <v>-1</v>
      </c>
      <c r="P55" s="509"/>
    </row>
    <row r="56" spans="2:16" x14ac:dyDescent="0.25">
      <c r="B56" s="483"/>
      <c r="C56" s="484"/>
      <c r="D56" s="485"/>
      <c r="H56" s="516"/>
      <c r="K56" s="513"/>
      <c r="L56" s="513"/>
      <c r="M56" s="468"/>
      <c r="N56" s="473"/>
      <c r="O56" s="426"/>
      <c r="P56" s="511"/>
    </row>
    <row r="57" spans="2:16" x14ac:dyDescent="0.25">
      <c r="B57" s="470" t="s">
        <v>16</v>
      </c>
      <c r="C57" s="471"/>
      <c r="D57" s="487"/>
      <c r="E57" s="515"/>
      <c r="H57" s="493">
        <f>SUM(H52:H56)</f>
        <v>294329.92420000001</v>
      </c>
      <c r="K57" s="493">
        <f>SUM(K52:K56)</f>
        <v>337795.00410000002</v>
      </c>
      <c r="L57" s="513"/>
      <c r="M57" s="493">
        <f>SUM(M52:M56)</f>
        <v>43465.079900000012</v>
      </c>
      <c r="N57" s="517">
        <f>IFERROR(ROUND(M57/H57,5), )</f>
        <v>0.14767</v>
      </c>
      <c r="O57" s="426"/>
      <c r="P57" s="511"/>
    </row>
    <row r="58" spans="2:16" x14ac:dyDescent="0.25">
      <c r="B58" s="470"/>
      <c r="C58" s="471"/>
      <c r="D58" s="487"/>
      <c r="E58" s="515"/>
      <c r="H58" s="468"/>
      <c r="K58" s="468"/>
      <c r="L58" s="513"/>
      <c r="M58" s="468"/>
      <c r="N58" s="473"/>
      <c r="O58" s="426"/>
      <c r="P58" s="511"/>
    </row>
    <row r="59" spans="2:16" x14ac:dyDescent="0.25">
      <c r="B59" s="470" t="s">
        <v>166</v>
      </c>
      <c r="C59" s="471"/>
      <c r="D59" s="487"/>
      <c r="E59" s="515"/>
      <c r="H59" s="468">
        <v>294329.93000000005</v>
      </c>
      <c r="K59" s="468"/>
      <c r="L59" s="513"/>
      <c r="M59" s="468"/>
      <c r="N59" s="473"/>
      <c r="O59" s="426"/>
      <c r="P59" s="511"/>
    </row>
    <row r="60" spans="2:16" x14ac:dyDescent="0.25">
      <c r="B60" s="470"/>
      <c r="C60" s="471"/>
      <c r="D60" s="487"/>
      <c r="E60" s="515"/>
      <c r="H60" s="468"/>
      <c r="K60" s="468"/>
      <c r="L60" s="513"/>
      <c r="M60" s="468"/>
      <c r="N60" s="473"/>
      <c r="O60" s="426"/>
      <c r="P60" s="511"/>
    </row>
    <row r="61" spans="2:16" x14ac:dyDescent="0.25">
      <c r="B61" s="470" t="s">
        <v>167</v>
      </c>
      <c r="C61" s="471"/>
      <c r="D61" s="487"/>
      <c r="E61" s="515"/>
      <c r="H61" s="468">
        <f>H57-H59</f>
        <v>-5.8000000426545739E-3</v>
      </c>
      <c r="K61" s="468"/>
      <c r="L61" s="513"/>
      <c r="M61" s="468"/>
      <c r="N61" s="473"/>
      <c r="O61" s="426"/>
      <c r="P61" s="511"/>
    </row>
    <row r="62" spans="2:16" x14ac:dyDescent="0.25">
      <c r="B62" s="470" t="s">
        <v>168</v>
      </c>
      <c r="C62" s="471"/>
      <c r="D62" s="487"/>
      <c r="E62" s="515"/>
      <c r="H62" s="497">
        <f>H61/H57</f>
        <v>-1.9705777652133726E-8</v>
      </c>
      <c r="K62" s="468"/>
      <c r="L62" s="513"/>
      <c r="M62" s="468"/>
      <c r="N62" s="473"/>
      <c r="O62" s="426"/>
      <c r="P62" s="511"/>
    </row>
    <row r="63" spans="2:16" x14ac:dyDescent="0.25">
      <c r="B63" s="518"/>
      <c r="C63" s="499"/>
      <c r="D63" s="444"/>
      <c r="E63" s="519"/>
      <c r="F63" s="519"/>
      <c r="G63" s="519"/>
      <c r="H63" s="520"/>
      <c r="I63" s="519"/>
      <c r="J63" s="521"/>
      <c r="K63" s="520"/>
      <c r="L63" s="520"/>
      <c r="M63" s="520"/>
      <c r="N63" s="481"/>
      <c r="O63" s="426"/>
      <c r="P63" s="512"/>
    </row>
    <row r="64" spans="2:16" x14ac:dyDescent="0.25">
      <c r="B64" s="262" t="s">
        <v>32</v>
      </c>
      <c r="C64" s="457"/>
      <c r="D64" s="504" t="s">
        <v>31</v>
      </c>
      <c r="E64" s="457"/>
      <c r="F64" s="458"/>
      <c r="G64" s="458"/>
      <c r="H64" s="461"/>
      <c r="I64" s="459"/>
      <c r="J64" s="460"/>
      <c r="K64" s="461"/>
      <c r="L64" s="461"/>
      <c r="M64" s="461"/>
      <c r="N64" s="505"/>
      <c r="O64" s="426"/>
    </row>
    <row r="65" spans="2:16" x14ac:dyDescent="0.25">
      <c r="B65" s="483"/>
      <c r="C65" s="484"/>
      <c r="D65" s="485"/>
      <c r="E65" s="484"/>
      <c r="F65" s="464"/>
      <c r="G65" s="464"/>
      <c r="H65" s="468"/>
      <c r="I65" s="522"/>
      <c r="J65" s="467"/>
      <c r="K65" s="468"/>
      <c r="L65" s="468"/>
      <c r="M65" s="468"/>
      <c r="N65" s="469"/>
    </row>
    <row r="66" spans="2:16" x14ac:dyDescent="0.25">
      <c r="B66" s="470" t="s">
        <v>2</v>
      </c>
      <c r="C66" s="421" t="s">
        <v>31</v>
      </c>
      <c r="D66" s="289" t="str">
        <f>VLOOKUP(C66,Rates!$B$3:$J$136,2,FALSE)</f>
        <v>RES_BSC</v>
      </c>
      <c r="E66" s="471" t="s">
        <v>165</v>
      </c>
      <c r="F66" s="472">
        <f>VLOOKUP(C66,Rates!$B:$J,4,FALSE)</f>
        <v>189500</v>
      </c>
      <c r="G66" s="603">
        <f>VLOOKUP($D66,Rates!$C$1:$J$136,5,FALSE)</f>
        <v>12</v>
      </c>
      <c r="H66" s="468">
        <f>SUM(+F66*G66)</f>
        <v>2274000</v>
      </c>
      <c r="I66" s="472"/>
      <c r="J66" s="603">
        <f>J100</f>
        <v>18</v>
      </c>
      <c r="K66" s="468">
        <f>SUM(+F66*J66)</f>
        <v>3411000</v>
      </c>
      <c r="L66" s="468"/>
      <c r="M66" s="468">
        <f>K66-H66</f>
        <v>1137000</v>
      </c>
      <c r="N66" s="473">
        <f>IFERROR(ROUND(M66/H66,5), )</f>
        <v>0.5</v>
      </c>
      <c r="O66" s="523"/>
    </row>
    <row r="67" spans="2:16" x14ac:dyDescent="0.25">
      <c r="B67" s="476" t="s">
        <v>98</v>
      </c>
      <c r="C67" s="421" t="s">
        <v>179</v>
      </c>
      <c r="D67" s="289" t="str">
        <f>VLOOKUP(C67,Rates!$B$3:$J$136,2,FALSE)</f>
        <v>RES_B1</v>
      </c>
      <c r="E67" s="464" t="s">
        <v>162</v>
      </c>
      <c r="F67" s="472">
        <f>VLOOKUP(C67,Rates!$B:$J,5,FALSE)</f>
        <v>683909.99999999988</v>
      </c>
      <c r="G67" s="467">
        <f>VLOOKUP($D67,Rates!$C$1:$J$136,7,FALSE)</f>
        <v>2.9146000000000001</v>
      </c>
      <c r="H67" s="468">
        <f t="shared" ref="H67:H68" si="32">SUM(+F67*G67)</f>
        <v>1993324.0859999997</v>
      </c>
      <c r="I67" s="472"/>
      <c r="J67" s="467"/>
      <c r="K67" s="468">
        <f t="shared" ref="K67:K69" si="33">SUM(+F67*J67)</f>
        <v>0</v>
      </c>
      <c r="L67" s="468"/>
      <c r="M67" s="468"/>
      <c r="N67" s="473">
        <f t="shared" ref="N67:N68" si="34">IFERROR(ROUND(M67/H67,5), )</f>
        <v>0</v>
      </c>
      <c r="O67" s="523"/>
    </row>
    <row r="68" spans="2:16" x14ac:dyDescent="0.25">
      <c r="B68" s="477" t="s">
        <v>103</v>
      </c>
      <c r="C68" s="421" t="s">
        <v>180</v>
      </c>
      <c r="D68" s="289" t="str">
        <f>VLOOKUP(C68,Rates!$B$3:$J$136,2,FALSE)</f>
        <v>RES_B2</v>
      </c>
      <c r="E68" s="464" t="s">
        <v>162</v>
      </c>
      <c r="F68" s="478">
        <f>VLOOKUP(C68,Rates!$B:$J,5,FALSE)</f>
        <v>943926.00000000012</v>
      </c>
      <c r="G68" s="467">
        <f>VLOOKUP($D68,Rates!$C$1:$J$136,7,FALSE)</f>
        <v>1.9995000000000001</v>
      </c>
      <c r="H68" s="479">
        <f t="shared" si="32"/>
        <v>1887380.0370000002</v>
      </c>
      <c r="I68" s="472"/>
      <c r="J68" s="467"/>
      <c r="K68" s="479">
        <f t="shared" si="33"/>
        <v>0</v>
      </c>
      <c r="L68" s="468"/>
      <c r="M68" s="479"/>
      <c r="N68" s="481">
        <f t="shared" si="34"/>
        <v>0</v>
      </c>
      <c r="O68" s="523"/>
    </row>
    <row r="69" spans="2:16" x14ac:dyDescent="0.25">
      <c r="B69" s="476" t="s">
        <v>298</v>
      </c>
      <c r="C69" s="464"/>
      <c r="D69" s="482" t="s">
        <v>344</v>
      </c>
      <c r="E69" s="464"/>
      <c r="F69" s="472">
        <f>F67+F68</f>
        <v>1627836</v>
      </c>
      <c r="G69" s="467"/>
      <c r="H69" s="472">
        <f>H67+H68</f>
        <v>3880704.1229999997</v>
      </c>
      <c r="I69" s="472"/>
      <c r="J69" s="467">
        <f>$J$101</f>
        <v>2.6959</v>
      </c>
      <c r="K69" s="468">
        <f t="shared" si="33"/>
        <v>4388483.0723999999</v>
      </c>
      <c r="L69" s="468"/>
      <c r="M69" s="468">
        <f>K69-H69</f>
        <v>507778.94940000027</v>
      </c>
      <c r="N69" s="473">
        <f>IFERROR(ROUND(M69/H69,5), )</f>
        <v>0.13084999999999999</v>
      </c>
      <c r="O69" s="426"/>
      <c r="P69" s="511"/>
    </row>
    <row r="70" spans="2:16" x14ac:dyDescent="0.25">
      <c r="B70" s="483"/>
      <c r="C70" s="484"/>
      <c r="D70" s="485"/>
      <c r="E70" s="522"/>
      <c r="F70" s="472"/>
      <c r="G70" s="524"/>
      <c r="H70" s="468"/>
      <c r="I70" s="472"/>
      <c r="J70" s="467"/>
      <c r="K70" s="468"/>
      <c r="L70" s="468"/>
      <c r="M70" s="468"/>
      <c r="N70" s="473"/>
      <c r="O70" s="523"/>
    </row>
    <row r="71" spans="2:16" x14ac:dyDescent="0.25">
      <c r="B71" s="463" t="s">
        <v>147</v>
      </c>
      <c r="C71" s="465"/>
      <c r="D71" s="486" t="s">
        <v>296</v>
      </c>
      <c r="E71" s="295" t="s">
        <v>290</v>
      </c>
      <c r="F71" s="472"/>
      <c r="G71" s="464"/>
      <c r="H71" s="468">
        <v>-14924</v>
      </c>
      <c r="I71" s="472"/>
      <c r="J71" s="467"/>
      <c r="K71" s="468">
        <f t="shared" ref="K71" si="35">SUM(+F71*J71)</f>
        <v>0</v>
      </c>
      <c r="L71" s="468"/>
      <c r="M71" s="468">
        <f>K71-H71</f>
        <v>14924</v>
      </c>
      <c r="N71" s="473">
        <f t="shared" ref="N71" si="36">IFERROR(ROUND(M71/H71,5), )</f>
        <v>-1</v>
      </c>
      <c r="O71" s="523"/>
    </row>
    <row r="72" spans="2:16" x14ac:dyDescent="0.25">
      <c r="B72" s="490"/>
      <c r="C72" s="465"/>
      <c r="D72" s="465"/>
      <c r="E72" s="522"/>
      <c r="F72" s="472"/>
      <c r="G72" s="524"/>
      <c r="H72" s="479"/>
      <c r="I72" s="472"/>
      <c r="J72" s="467"/>
      <c r="K72" s="468"/>
      <c r="L72" s="468"/>
      <c r="M72" s="468"/>
      <c r="N72" s="473"/>
      <c r="O72" s="523"/>
    </row>
    <row r="73" spans="2:16" x14ac:dyDescent="0.25">
      <c r="B73" s="470" t="s">
        <v>16</v>
      </c>
      <c r="C73" s="471"/>
      <c r="D73" s="487"/>
      <c r="E73" s="522"/>
      <c r="F73" s="472"/>
      <c r="G73" s="524"/>
      <c r="H73" s="468">
        <f>H66+H67+H68+H71</f>
        <v>6139780.1229999997</v>
      </c>
      <c r="I73" s="472"/>
      <c r="J73" s="467"/>
      <c r="K73" s="493">
        <f>SUM(K66:K72)</f>
        <v>7799483.0723999999</v>
      </c>
      <c r="L73" s="468"/>
      <c r="M73" s="493">
        <f>SUM(M66:M71)</f>
        <v>1659702.9494000003</v>
      </c>
      <c r="N73" s="517">
        <f>IFERROR(ROUND(M73/H73,5), )</f>
        <v>0.27032</v>
      </c>
      <c r="O73" s="523"/>
    </row>
    <row r="74" spans="2:16" x14ac:dyDescent="0.25">
      <c r="B74" s="470"/>
      <c r="C74" s="471"/>
      <c r="D74" s="487"/>
      <c r="E74" s="522"/>
      <c r="F74" s="472"/>
      <c r="G74" s="524"/>
      <c r="H74" s="468"/>
      <c r="I74" s="472"/>
      <c r="J74" s="467"/>
      <c r="K74" s="468"/>
      <c r="L74" s="468"/>
      <c r="M74" s="468"/>
      <c r="N74" s="473"/>
      <c r="O74" s="523"/>
    </row>
    <row r="75" spans="2:16" x14ac:dyDescent="0.25">
      <c r="B75" s="470" t="s">
        <v>166</v>
      </c>
      <c r="C75" s="471"/>
      <c r="D75" s="487"/>
      <c r="E75" s="522"/>
      <c r="F75" s="472"/>
      <c r="G75" s="524"/>
      <c r="H75" s="468">
        <v>6139780.1300000008</v>
      </c>
      <c r="I75" s="472"/>
      <c r="J75" s="467"/>
      <c r="K75" s="468"/>
      <c r="L75" s="468"/>
      <c r="M75" s="468"/>
      <c r="N75" s="473"/>
      <c r="O75" s="523"/>
    </row>
    <row r="76" spans="2:16" x14ac:dyDescent="0.25">
      <c r="B76" s="470"/>
      <c r="C76" s="471"/>
      <c r="D76" s="487"/>
      <c r="E76" s="464"/>
      <c r="F76" s="464"/>
      <c r="G76" s="464"/>
      <c r="H76" s="468"/>
      <c r="I76" s="464"/>
      <c r="J76" s="467"/>
      <c r="K76" s="468"/>
      <c r="L76" s="468"/>
      <c r="M76" s="468"/>
      <c r="N76" s="473"/>
      <c r="O76" s="523"/>
    </row>
    <row r="77" spans="2:16" x14ac:dyDescent="0.25">
      <c r="B77" s="470" t="s">
        <v>167</v>
      </c>
      <c r="C77" s="471"/>
      <c r="D77" s="487"/>
      <c r="E77" s="471"/>
      <c r="F77" s="472"/>
      <c r="G77" s="472"/>
      <c r="H77" s="468">
        <f>H73-H75</f>
        <v>-7.0000011473894119E-3</v>
      </c>
      <c r="I77" s="472"/>
      <c r="J77" s="467"/>
      <c r="K77" s="468"/>
      <c r="L77" s="468"/>
      <c r="M77" s="468"/>
      <c r="N77" s="469"/>
      <c r="O77" s="523"/>
    </row>
    <row r="78" spans="2:16" x14ac:dyDescent="0.25">
      <c r="B78" s="470" t="s">
        <v>168</v>
      </c>
      <c r="C78" s="471"/>
      <c r="D78" s="487"/>
      <c r="E78" s="464"/>
      <c r="F78" s="464"/>
      <c r="G78" s="464"/>
      <c r="H78" s="497">
        <f>H77/H73</f>
        <v>-1.1401061613211474E-9</v>
      </c>
      <c r="I78" s="472"/>
      <c r="J78" s="467"/>
      <c r="K78" s="468"/>
      <c r="L78" s="468"/>
      <c r="M78" s="468"/>
      <c r="N78" s="469"/>
      <c r="O78" s="489"/>
    </row>
    <row r="79" spans="2:16" x14ac:dyDescent="0.25">
      <c r="B79" s="525"/>
      <c r="C79" s="526"/>
      <c r="D79" s="527"/>
      <c r="E79" s="499"/>
      <c r="F79" s="499"/>
      <c r="G79" s="499"/>
      <c r="H79" s="528"/>
      <c r="I79" s="501"/>
      <c r="J79" s="502"/>
      <c r="K79" s="500"/>
      <c r="L79" s="500"/>
      <c r="M79" s="500"/>
      <c r="N79" s="529"/>
      <c r="O79" s="489"/>
    </row>
    <row r="80" spans="2:16" x14ac:dyDescent="0.25">
      <c r="B80" s="471"/>
      <c r="C80" s="426"/>
      <c r="D80" s="488"/>
      <c r="F80" s="530"/>
      <c r="G80" s="530"/>
      <c r="H80" s="530"/>
      <c r="I80" s="530"/>
      <c r="J80" s="530"/>
      <c r="K80" s="530"/>
      <c r="L80" s="530"/>
      <c r="M80" s="530"/>
      <c r="N80" s="530"/>
      <c r="O80" s="489"/>
    </row>
    <row r="81" spans="2:16" x14ac:dyDescent="0.25">
      <c r="B81" s="531" t="s">
        <v>17</v>
      </c>
      <c r="C81" s="451"/>
      <c r="D81" s="435"/>
      <c r="E81" s="532"/>
      <c r="F81" s="533"/>
      <c r="G81" s="451"/>
      <c r="H81" s="534" t="s">
        <v>3</v>
      </c>
      <c r="I81" s="452"/>
      <c r="J81" s="453"/>
      <c r="K81" s="535" t="s">
        <v>4</v>
      </c>
      <c r="L81" s="454"/>
      <c r="M81" s="535" t="s">
        <v>18</v>
      </c>
      <c r="N81" s="507"/>
      <c r="O81" s="489"/>
    </row>
    <row r="82" spans="2:16" x14ac:dyDescent="0.25">
      <c r="B82" s="536" t="s">
        <v>16</v>
      </c>
      <c r="C82" s="484"/>
      <c r="D82" s="485"/>
      <c r="E82" s="484"/>
      <c r="F82" s="368"/>
      <c r="G82" s="484"/>
      <c r="H82" s="492">
        <f>SUMIF($B$12:$B$79,$B82,H12:H79)</f>
        <v>80815834.006180003</v>
      </c>
      <c r="I82" s="510"/>
      <c r="J82" s="537"/>
      <c r="K82" s="492">
        <f>SUMIF($B$12:$B$79,$B82,K12:K79)</f>
        <v>102676266.27500002</v>
      </c>
      <c r="L82" s="492"/>
      <c r="M82" s="492">
        <f>SUMIF($B$12:$B$79,$B82,M12:M79)</f>
        <v>21860432.268819999</v>
      </c>
      <c r="N82" s="538">
        <f>M82/H82</f>
        <v>0.27049689627837442</v>
      </c>
      <c r="O82" s="489"/>
      <c r="P82" s="513"/>
    </row>
    <row r="83" spans="2:16" x14ac:dyDescent="0.25">
      <c r="B83" s="463"/>
      <c r="C83" s="464"/>
      <c r="D83" s="465"/>
      <c r="E83" s="484"/>
      <c r="F83" s="464"/>
      <c r="G83" s="539"/>
      <c r="H83" s="484"/>
      <c r="I83" s="472"/>
      <c r="J83" s="467"/>
      <c r="K83" s="524"/>
      <c r="L83" s="524"/>
      <c r="M83" s="468"/>
      <c r="N83" s="469"/>
      <c r="O83" s="489"/>
    </row>
    <row r="84" spans="2:16" x14ac:dyDescent="0.25">
      <c r="B84" s="463"/>
      <c r="C84" s="484"/>
      <c r="D84" s="485"/>
      <c r="E84" s="484"/>
      <c r="F84" s="540"/>
      <c r="G84" s="464"/>
      <c r="H84" s="541" t="s">
        <v>3</v>
      </c>
      <c r="I84" s="472"/>
      <c r="J84" s="542"/>
      <c r="K84" s="543" t="s">
        <v>4</v>
      </c>
      <c r="L84" s="543"/>
      <c r="M84" s="543" t="s">
        <v>18</v>
      </c>
      <c r="N84" s="469"/>
      <c r="O84" s="509"/>
    </row>
    <row r="85" spans="2:16" x14ac:dyDescent="0.25">
      <c r="B85" s="463"/>
      <c r="C85" s="464"/>
      <c r="D85" s="465"/>
      <c r="E85" s="465" t="s">
        <v>165</v>
      </c>
      <c r="F85" s="544"/>
      <c r="G85" s="545"/>
      <c r="H85" s="540">
        <f t="shared" ref="H85:H91" si="37">SUMIF($E$12:$E$79,E85,$H$12:$H$79)</f>
        <v>28482828</v>
      </c>
      <c r="I85" s="472"/>
      <c r="J85" s="467"/>
      <c r="K85" s="547">
        <f>SUMIF($E$12:$E$79,E85,$K$12:$K$79)</f>
        <v>42724242</v>
      </c>
      <c r="L85" s="524"/>
      <c r="M85" s="468">
        <f>K85-H85</f>
        <v>14241414</v>
      </c>
      <c r="N85" s="473">
        <f t="shared" ref="N85:N89" si="38">IFERROR(ROUND(M85/H85,5), )</f>
        <v>0.5</v>
      </c>
      <c r="P85" s="530"/>
    </row>
    <row r="86" spans="2:16" x14ac:dyDescent="0.25">
      <c r="B86" s="483"/>
      <c r="C86" s="484"/>
      <c r="D86" s="485"/>
      <c r="E86" s="465" t="s">
        <v>162</v>
      </c>
      <c r="F86" s="544"/>
      <c r="G86" s="546"/>
      <c r="H86" s="540">
        <f t="shared" si="37"/>
        <v>47484235.584040008</v>
      </c>
      <c r="I86" s="472"/>
      <c r="J86" s="467"/>
      <c r="K86" s="540">
        <f>K92-SUM(K87:K91)-K85</f>
        <v>53602417.946000025</v>
      </c>
      <c r="L86" s="524"/>
      <c r="M86" s="468">
        <f t="shared" ref="M86:M89" si="39">K86-H86</f>
        <v>6118182.3619600162</v>
      </c>
      <c r="N86" s="473">
        <f t="shared" si="38"/>
        <v>0.12884999999999999</v>
      </c>
      <c r="P86" s="530"/>
    </row>
    <row r="87" spans="2:16" x14ac:dyDescent="0.25">
      <c r="B87" s="483"/>
      <c r="C87" s="484"/>
      <c r="D87" s="485"/>
      <c r="E87" s="487" t="s">
        <v>279</v>
      </c>
      <c r="F87" s="464"/>
      <c r="G87" s="464"/>
      <c r="H87" s="540">
        <f t="shared" si="37"/>
        <v>0</v>
      </c>
      <c r="I87" s="472"/>
      <c r="J87" s="467"/>
      <c r="K87" s="540">
        <f>SUMIF($E$12:$E$79,E87,$K$12:$K$79)</f>
        <v>0</v>
      </c>
      <c r="L87" s="524"/>
      <c r="M87" s="468">
        <f t="shared" si="39"/>
        <v>0</v>
      </c>
      <c r="N87" s="473">
        <f t="shared" si="38"/>
        <v>0</v>
      </c>
      <c r="P87" s="530"/>
    </row>
    <row r="88" spans="2:16" x14ac:dyDescent="0.25">
      <c r="B88" s="483"/>
      <c r="C88" s="484"/>
      <c r="D88" s="485"/>
      <c r="E88" s="465" t="s">
        <v>280</v>
      </c>
      <c r="F88" s="464"/>
      <c r="G88" s="464"/>
      <c r="H88" s="540">
        <f t="shared" si="37"/>
        <v>0</v>
      </c>
      <c r="I88" s="472"/>
      <c r="J88" s="467"/>
      <c r="K88" s="540">
        <f>SUMIF($E$12:$E$79,E88,$K$12:$K$79)</f>
        <v>0</v>
      </c>
      <c r="L88" s="524"/>
      <c r="M88" s="468">
        <f t="shared" si="39"/>
        <v>0</v>
      </c>
      <c r="N88" s="473">
        <f t="shared" si="38"/>
        <v>0</v>
      </c>
      <c r="P88" s="548"/>
    </row>
    <row r="89" spans="2:16" x14ac:dyDescent="0.25">
      <c r="B89" s="483"/>
      <c r="C89" s="484"/>
      <c r="D89" s="485"/>
      <c r="E89" s="465" t="s">
        <v>287</v>
      </c>
      <c r="F89" s="464"/>
      <c r="G89" s="464"/>
      <c r="H89" s="540">
        <f t="shared" si="37"/>
        <v>3537264.3971400009</v>
      </c>
      <c r="I89" s="472"/>
      <c r="J89" s="467"/>
      <c r="K89" s="540">
        <f>SUMIF($E$12:$E$79,E89,$K$12:$K$79)</f>
        <v>4263929.4645000007</v>
      </c>
      <c r="L89" s="524"/>
      <c r="M89" s="468">
        <f t="shared" si="39"/>
        <v>726665.06735999975</v>
      </c>
      <c r="N89" s="473">
        <f t="shared" si="38"/>
        <v>0.20543</v>
      </c>
    </row>
    <row r="90" spans="2:16" x14ac:dyDescent="0.25">
      <c r="B90" s="483"/>
      <c r="C90" s="484"/>
      <c r="D90" s="485"/>
      <c r="E90" s="465" t="s">
        <v>288</v>
      </c>
      <c r="F90" s="464"/>
      <c r="G90" s="464"/>
      <c r="H90" s="540">
        <f t="shared" si="37"/>
        <v>1905971.0250000004</v>
      </c>
      <c r="I90" s="472"/>
      <c r="J90" s="467"/>
      <c r="K90" s="540">
        <f>SUMIF($E$12:$E$79,E90,$K$12:$K$79)</f>
        <v>2085676.8645000006</v>
      </c>
      <c r="L90" s="524"/>
      <c r="M90" s="468">
        <f>K90-H90</f>
        <v>179705.83950000023</v>
      </c>
      <c r="N90" s="473">
        <f>IFERROR(ROUND(M90/H90,5), )</f>
        <v>9.4289999999999999E-2</v>
      </c>
    </row>
    <row r="91" spans="2:16" x14ac:dyDescent="0.25">
      <c r="B91" s="483"/>
      <c r="C91" s="484"/>
      <c r="D91" s="485"/>
      <c r="E91" s="295" t="s">
        <v>290</v>
      </c>
      <c r="F91" s="464"/>
      <c r="G91" s="464"/>
      <c r="H91" s="549">
        <f t="shared" si="37"/>
        <v>-594465</v>
      </c>
      <c r="I91" s="472"/>
      <c r="J91" s="467"/>
      <c r="K91" s="549">
        <f>SUMIF($E$12:$E$79,E91,$K$12:$K$79)</f>
        <v>0</v>
      </c>
      <c r="L91" s="524"/>
      <c r="M91" s="479">
        <f>K91-H91</f>
        <v>594465</v>
      </c>
      <c r="N91" s="481">
        <f>IFERROR(ROUND(M91/H91,5), )</f>
        <v>-1</v>
      </c>
    </row>
    <row r="92" spans="2:16" x14ac:dyDescent="0.25">
      <c r="B92" s="483"/>
      <c r="C92" s="484"/>
      <c r="D92" s="485"/>
      <c r="E92" s="484"/>
      <c r="F92" s="464"/>
      <c r="G92" s="464"/>
      <c r="H92" s="550">
        <f>SUM(H85:H91)</f>
        <v>80815834.006180018</v>
      </c>
      <c r="I92" s="472"/>
      <c r="J92" s="467"/>
      <c r="K92" s="550">
        <f>K23+K43+K57+K73</f>
        <v>102676266.27500002</v>
      </c>
      <c r="L92" s="524"/>
      <c r="M92" s="550">
        <f>SUM(M85:M91)</f>
        <v>21860432.268820014</v>
      </c>
      <c r="N92" s="495">
        <f>IFERROR(ROUND(M92/H92,5), )</f>
        <v>0.27050000000000002</v>
      </c>
      <c r="P92" s="551"/>
    </row>
    <row r="93" spans="2:16" x14ac:dyDescent="0.25">
      <c r="B93" s="483"/>
      <c r="C93" s="484"/>
      <c r="D93" s="485"/>
      <c r="E93" s="484"/>
      <c r="F93" s="464"/>
      <c r="G93" s="464"/>
      <c r="H93" s="484"/>
      <c r="I93" s="472"/>
      <c r="J93" s="467"/>
      <c r="K93" s="524"/>
      <c r="L93" s="524"/>
      <c r="M93" s="464"/>
      <c r="N93" s="552"/>
      <c r="P93" s="553"/>
    </row>
    <row r="94" spans="2:16" x14ac:dyDescent="0.25">
      <c r="B94" s="470" t="s">
        <v>166</v>
      </c>
      <c r="C94" s="484"/>
      <c r="D94" s="485"/>
      <c r="E94" s="484"/>
      <c r="F94" s="464"/>
      <c r="G94" s="464"/>
      <c r="H94" s="554">
        <v>80815840.75</v>
      </c>
      <c r="I94" s="472"/>
      <c r="J94" s="467"/>
      <c r="K94" s="540">
        <v>102675860.46721496</v>
      </c>
      <c r="L94" s="524"/>
      <c r="M94" s="464"/>
      <c r="N94" s="552"/>
    </row>
    <row r="95" spans="2:16" x14ac:dyDescent="0.25">
      <c r="B95" s="470"/>
      <c r="C95" s="484"/>
      <c r="D95" s="485"/>
      <c r="E95" s="484"/>
      <c r="F95" s="464"/>
      <c r="G95" s="464"/>
      <c r="H95" s="484"/>
      <c r="I95" s="472"/>
      <c r="J95" s="467"/>
      <c r="K95" s="524"/>
      <c r="L95" s="524"/>
      <c r="M95" s="464"/>
      <c r="N95" s="552"/>
    </row>
    <row r="96" spans="2:16" x14ac:dyDescent="0.25">
      <c r="B96" s="470" t="s">
        <v>167</v>
      </c>
      <c r="C96" s="484"/>
      <c r="D96" s="485"/>
      <c r="E96" s="484"/>
      <c r="F96" s="464"/>
      <c r="G96" s="464"/>
      <c r="H96" s="468">
        <f>(H92-H94)</f>
        <v>-6.7438199818134308</v>
      </c>
      <c r="I96" s="472"/>
      <c r="J96" s="467"/>
      <c r="K96" s="468">
        <f>(K92-K94)</f>
        <v>405.80778506398201</v>
      </c>
      <c r="L96" s="524"/>
      <c r="M96" s="464"/>
      <c r="N96" s="552"/>
    </row>
    <row r="97" spans="2:17" x14ac:dyDescent="0.25">
      <c r="B97" s="470" t="s">
        <v>168</v>
      </c>
      <c r="C97" s="484"/>
      <c r="D97" s="485"/>
      <c r="E97" s="484"/>
      <c r="F97" s="464"/>
      <c r="G97" s="464"/>
      <c r="H97" s="497">
        <f>H96/H92</f>
        <v>-8.3446765906019462E-8</v>
      </c>
      <c r="I97" s="472"/>
      <c r="J97" s="467"/>
      <c r="K97" s="497">
        <f>K96/K92</f>
        <v>3.9523036801620586E-6</v>
      </c>
      <c r="L97" s="524"/>
      <c r="M97" s="464"/>
      <c r="N97" s="552"/>
    </row>
    <row r="98" spans="2:17" x14ac:dyDescent="0.25">
      <c r="B98" s="483"/>
      <c r="C98" s="484"/>
      <c r="D98" s="485"/>
      <c r="E98" s="555"/>
      <c r="F98" s="464"/>
      <c r="G98" s="464"/>
      <c r="H98" s="484"/>
      <c r="I98" s="472"/>
      <c r="J98" s="467"/>
      <c r="K98" s="524"/>
      <c r="L98" s="524"/>
      <c r="M98" s="464"/>
      <c r="N98" s="552"/>
    </row>
    <row r="99" spans="2:17" ht="15.75" thickBot="1" x14ac:dyDescent="0.3">
      <c r="B99" s="556" t="s">
        <v>297</v>
      </c>
      <c r="C99" s="532"/>
      <c r="D99" s="557"/>
      <c r="E99" s="484"/>
      <c r="F99" s="547"/>
      <c r="G99" s="683" t="s">
        <v>3</v>
      </c>
      <c r="H99" s="683"/>
      <c r="I99" s="452"/>
      <c r="J99" s="684" t="s">
        <v>4</v>
      </c>
      <c r="K99" s="685"/>
      <c r="L99" s="558"/>
      <c r="M99" s="558" t="s">
        <v>18</v>
      </c>
      <c r="N99" s="507"/>
    </row>
    <row r="100" spans="2:17" ht="15.75" thickBot="1" x14ac:dyDescent="0.3">
      <c r="B100" s="359">
        <v>102675860.46721496</v>
      </c>
      <c r="C100" s="270"/>
      <c r="D100" s="295"/>
      <c r="E100" s="295" t="s">
        <v>165</v>
      </c>
      <c r="F100" s="345">
        <f>SUMIF($E$12:$E$79,E100,$F$12:$F$79)</f>
        <v>2373569</v>
      </c>
      <c r="G100" s="406">
        <f>G12</f>
        <v>12</v>
      </c>
      <c r="H100" s="339">
        <f t="shared" ref="H100:H106" si="40">SUMIF($E$12:$E$79,E100,$H$12:$H$79)</f>
        <v>28482828</v>
      </c>
      <c r="I100" s="277"/>
      <c r="J100" s="604">
        <v>18</v>
      </c>
      <c r="K100" s="540">
        <f>J100*F100</f>
        <v>42724242</v>
      </c>
      <c r="L100" s="524"/>
      <c r="M100" s="468">
        <f>K100-H100</f>
        <v>14241414</v>
      </c>
      <c r="N100" s="473">
        <f>IFERROR(ROUND(M100/H100,5), )</f>
        <v>0.5</v>
      </c>
    </row>
    <row r="101" spans="2:17" x14ac:dyDescent="0.25">
      <c r="B101" s="559"/>
      <c r="C101" s="291"/>
      <c r="D101" s="364"/>
      <c r="E101" s="295" t="s">
        <v>162</v>
      </c>
      <c r="F101" s="345">
        <f>SUMIF($E$12:$E$79,E101,$F$12:$F$79)</f>
        <v>19882940.000000004</v>
      </c>
      <c r="G101" s="346"/>
      <c r="H101" s="339">
        <f t="shared" si="40"/>
        <v>47484235.584040008</v>
      </c>
      <c r="I101" s="277"/>
      <c r="J101" s="278">
        <f>ROUND(K101/F101,4)</f>
        <v>2.6959</v>
      </c>
      <c r="K101" s="540">
        <f>B100-SUM(K100,K104,K105)</f>
        <v>53602012.138214953</v>
      </c>
      <c r="L101" s="524"/>
      <c r="M101" s="468">
        <f t="shared" ref="M101:M106" si="41">K101-H101</f>
        <v>6117776.5541749448</v>
      </c>
      <c r="N101" s="473">
        <f t="shared" ref="N101:N104" si="42">IFERROR(ROUND(M101/H101,5), )</f>
        <v>0.12884000000000001</v>
      </c>
    </row>
    <row r="102" spans="2:17" x14ac:dyDescent="0.25">
      <c r="B102" s="365" t="s">
        <v>15</v>
      </c>
      <c r="C102" s="291"/>
      <c r="D102" s="364"/>
      <c r="E102" s="294" t="s">
        <v>279</v>
      </c>
      <c r="F102" s="560"/>
      <c r="G102" s="270"/>
      <c r="H102" s="339">
        <f t="shared" si="40"/>
        <v>0</v>
      </c>
      <c r="I102" s="277"/>
      <c r="J102" s="278"/>
      <c r="K102" s="540">
        <f>SUMIF($E$12:$E$79,E102,$K$12:$K$79)</f>
        <v>0</v>
      </c>
      <c r="L102" s="524"/>
      <c r="M102" s="468">
        <f t="shared" si="41"/>
        <v>0</v>
      </c>
      <c r="N102" s="473">
        <f t="shared" si="42"/>
        <v>0</v>
      </c>
    </row>
    <row r="103" spans="2:17" ht="15.75" thickBot="1" x14ac:dyDescent="0.3">
      <c r="B103" s="365">
        <f>K82-B100</f>
        <v>405.80778506398201</v>
      </c>
      <c r="C103" s="291"/>
      <c r="D103" s="364"/>
      <c r="E103" s="295" t="s">
        <v>280</v>
      </c>
      <c r="F103" s="560"/>
      <c r="G103" s="270"/>
      <c r="H103" s="339">
        <f t="shared" si="40"/>
        <v>0</v>
      </c>
      <c r="I103" s="277"/>
      <c r="J103" s="278"/>
      <c r="K103" s="540">
        <f>SUMIF($E$12:$E$79,E103,$K$12:$K$79)</f>
        <v>0</v>
      </c>
      <c r="L103" s="524"/>
      <c r="M103" s="468">
        <f t="shared" si="41"/>
        <v>0</v>
      </c>
      <c r="N103" s="473">
        <f t="shared" si="42"/>
        <v>0</v>
      </c>
    </row>
    <row r="104" spans="2:17" ht="15.75" thickBot="1" x14ac:dyDescent="0.3">
      <c r="B104" s="290"/>
      <c r="C104" s="291"/>
      <c r="D104" s="289" t="s">
        <v>285</v>
      </c>
      <c r="E104" s="295" t="s">
        <v>287</v>
      </c>
      <c r="F104" s="345">
        <f>F13+F14+F33+F34</f>
        <v>18152105.000000004</v>
      </c>
      <c r="G104" s="270"/>
      <c r="H104" s="339">
        <f t="shared" si="40"/>
        <v>3537264.3971400009</v>
      </c>
      <c r="I104" s="277"/>
      <c r="J104" s="361">
        <f>VLOOKUP($D104,Rates!$C$1:$J$136,8,FALSE)</f>
        <v>0.2349</v>
      </c>
      <c r="K104" s="540">
        <f>J104*F104</f>
        <v>4263929.4645000007</v>
      </c>
      <c r="L104" s="524"/>
      <c r="M104" s="468">
        <f t="shared" si="41"/>
        <v>726665.06735999975</v>
      </c>
      <c r="N104" s="473">
        <f t="shared" si="42"/>
        <v>0.20543</v>
      </c>
      <c r="Q104" s="561"/>
    </row>
    <row r="105" spans="2:17" ht="15.75" thickBot="1" x14ac:dyDescent="0.3">
      <c r="B105" s="290"/>
      <c r="C105" s="291"/>
      <c r="D105" s="289" t="s">
        <v>286</v>
      </c>
      <c r="E105" s="295" t="s">
        <v>288</v>
      </c>
      <c r="F105" s="345">
        <f>F104</f>
        <v>18152105.000000004</v>
      </c>
      <c r="G105" s="270"/>
      <c r="H105" s="339">
        <f t="shared" si="40"/>
        <v>1905971.0250000004</v>
      </c>
      <c r="I105" s="277"/>
      <c r="J105" s="361">
        <f>VLOOKUP($D105,Rates!$C$1:$J$136,8,FALSE)</f>
        <v>0.1149</v>
      </c>
      <c r="K105" s="540">
        <f>J105*F105</f>
        <v>2085676.8645000004</v>
      </c>
      <c r="L105" s="524"/>
      <c r="M105" s="468">
        <f t="shared" si="41"/>
        <v>179705.8395</v>
      </c>
      <c r="N105" s="473">
        <f>IFERROR(ROUND(M105/H105,5), )</f>
        <v>9.4289999999999999E-2</v>
      </c>
    </row>
    <row r="106" spans="2:17" x14ac:dyDescent="0.25">
      <c r="B106" s="483"/>
      <c r="C106" s="484"/>
      <c r="D106" s="485"/>
      <c r="E106" s="295" t="s">
        <v>290</v>
      </c>
      <c r="F106" s="464"/>
      <c r="G106" s="464"/>
      <c r="H106" s="549">
        <f t="shared" si="40"/>
        <v>-594465</v>
      </c>
      <c r="I106" s="472"/>
      <c r="J106" s="467"/>
      <c r="K106" s="549">
        <f>SUMIF($E$12:$E$79,E106,$K$12:$K$79)</f>
        <v>0</v>
      </c>
      <c r="L106" s="524"/>
      <c r="M106" s="479">
        <f t="shared" si="41"/>
        <v>594465</v>
      </c>
      <c r="N106" s="473">
        <f>IFERROR(ROUND(M106/H106,5), )</f>
        <v>-1</v>
      </c>
    </row>
    <row r="107" spans="2:17" x14ac:dyDescent="0.25">
      <c r="B107" s="463"/>
      <c r="C107" s="464"/>
      <c r="D107" s="465"/>
      <c r="E107" s="484"/>
      <c r="F107" s="464"/>
      <c r="G107" s="464"/>
      <c r="H107" s="562">
        <f>SUM(H100:H106)</f>
        <v>80815834.006180018</v>
      </c>
      <c r="I107" s="472"/>
      <c r="J107" s="467"/>
      <c r="K107" s="562">
        <f>SUM(K100:K106)</f>
        <v>102675860.46721494</v>
      </c>
      <c r="L107" s="524"/>
      <c r="M107" s="562">
        <f>SUM(M100:M106)</f>
        <v>21860026.461034942</v>
      </c>
      <c r="N107" s="473">
        <f>IFERROR(ROUND(M107/H107,5), )</f>
        <v>0.27049000000000001</v>
      </c>
    </row>
    <row r="108" spans="2:17" x14ac:dyDescent="0.25">
      <c r="B108" s="498"/>
      <c r="C108" s="563"/>
      <c r="D108" s="564"/>
      <c r="E108" s="555"/>
      <c r="F108" s="563"/>
      <c r="G108" s="563"/>
      <c r="H108" s="555"/>
      <c r="I108" s="478"/>
      <c r="J108" s="480"/>
      <c r="K108" s="565"/>
      <c r="L108" s="565"/>
      <c r="M108" s="563"/>
      <c r="N108" s="566"/>
    </row>
    <row r="109" spans="2:17" x14ac:dyDescent="0.25">
      <c r="B109" s="426"/>
      <c r="C109" s="426"/>
      <c r="D109" s="488"/>
      <c r="N109" s="567"/>
    </row>
    <row r="110" spans="2:17" x14ac:dyDescent="0.25">
      <c r="B110" s="426"/>
      <c r="C110" s="426"/>
      <c r="D110" s="488"/>
      <c r="E110" s="426"/>
      <c r="F110" s="530"/>
      <c r="H110" s="513"/>
      <c r="K110" s="513"/>
      <c r="L110" s="513"/>
      <c r="M110" s="513"/>
      <c r="N110" s="568"/>
      <c r="O110" s="489"/>
    </row>
  </sheetData>
  <dataConsolidate/>
  <mergeCells count="2">
    <mergeCell ref="G99:H99"/>
    <mergeCell ref="J99:K99"/>
  </mergeCells>
  <phoneticPr fontId="17" type="noConversion"/>
  <pageMargins left="0.45" right="0.45" top="0.5" bottom="0.5" header="0.3" footer="0.3"/>
  <pageSetup scale="67" fitToHeight="2" orientation="portrait" blackAndWhite="1" r:id="rId1"/>
  <headerFooter alignWithMargins="0"/>
  <rowBreaks count="1" manualBreakCount="1">
    <brk id="6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1539-9D9F-48D9-9862-063AA6BAEEE3}">
  <sheetPr codeName="Sheet5"/>
  <dimension ref="B1:T287"/>
  <sheetViews>
    <sheetView tabSelected="1" topLeftCell="A115" workbookViewId="0">
      <selection activeCell="B226" sqref="B226"/>
    </sheetView>
  </sheetViews>
  <sheetFormatPr defaultColWidth="9.28515625" defaultRowHeight="15" x14ac:dyDescent="0.25"/>
  <cols>
    <col min="1" max="1" width="0.42578125" style="236" customWidth="1"/>
    <col min="2" max="2" width="37.42578125" style="233" customWidth="1"/>
    <col min="3" max="3" width="6" style="233" hidden="1" customWidth="1"/>
    <col min="4" max="4" width="31.7109375" style="233" hidden="1" customWidth="1"/>
    <col min="5" max="5" width="8.28515625" style="233" customWidth="1"/>
    <col min="6" max="6" width="15.85546875" style="236" customWidth="1"/>
    <col min="7" max="7" width="10.85546875" style="236" customWidth="1"/>
    <col min="8" max="8" width="14.42578125" style="233" customWidth="1"/>
    <col min="9" max="9" width="2.28515625" style="240" customWidth="1"/>
    <col min="10" max="10" width="11.7109375" style="236" customWidth="1"/>
    <col min="11" max="11" width="14.42578125" style="241" customWidth="1"/>
    <col min="12" max="12" width="2.28515625" style="241" customWidth="1"/>
    <col min="13" max="13" width="13.5703125" style="236" customWidth="1"/>
    <col min="14" max="14" width="10.85546875" style="242" customWidth="1"/>
    <col min="15" max="15" width="2.7109375" style="242" customWidth="1"/>
    <col min="16" max="16" width="14.5703125" style="236" customWidth="1"/>
    <col min="17" max="17" width="10.42578125" style="236" bestFit="1" customWidth="1"/>
    <col min="18" max="18" width="10.7109375" style="236" bestFit="1" customWidth="1"/>
    <col min="19" max="16384" width="9.28515625" style="236"/>
  </cols>
  <sheetData>
    <row r="1" spans="2:18" x14ac:dyDescent="0.25">
      <c r="B1" s="233" t="str">
        <f>'EXHIBIT JDT-3 RES'!B1</f>
        <v>NATIONAL FUEL GAS DISTRIBUTION CORPORATION</v>
      </c>
      <c r="F1" s="233"/>
      <c r="G1" s="233"/>
      <c r="I1" s="233"/>
      <c r="J1" s="233"/>
      <c r="K1" s="233"/>
      <c r="L1" s="233"/>
      <c r="M1" s="233"/>
      <c r="N1" s="233"/>
      <c r="O1" s="234"/>
      <c r="P1" s="235"/>
    </row>
    <row r="2" spans="2:18" x14ac:dyDescent="0.25">
      <c r="B2" s="233" t="str">
        <f>'EXHIBIT JDT-3 RES'!B2</f>
        <v>PENNSYLVANIA DIVISION</v>
      </c>
      <c r="F2" s="233"/>
      <c r="G2" s="233"/>
      <c r="I2" s="233"/>
      <c r="J2" s="233"/>
      <c r="K2" s="233"/>
      <c r="L2" s="233"/>
      <c r="M2" s="233"/>
      <c r="N2" s="233"/>
      <c r="O2" s="234"/>
      <c r="P2" s="235"/>
    </row>
    <row r="3" spans="2:18" x14ac:dyDescent="0.25">
      <c r="B3" s="233" t="str">
        <f>'EXHIBIT JDT-3 RES'!B3</f>
        <v>TWELVE MONTHS ENDED JULY 31, 2024</v>
      </c>
      <c r="C3" s="237"/>
      <c r="D3" s="237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4"/>
      <c r="P3" s="235"/>
    </row>
    <row r="4" spans="2:18" x14ac:dyDescent="0.25">
      <c r="B4" s="237" t="s">
        <v>371</v>
      </c>
      <c r="C4" s="237"/>
      <c r="D4" s="237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4"/>
      <c r="P4" s="235"/>
    </row>
    <row r="5" spans="2:18" x14ac:dyDescent="0.25">
      <c r="B5" s="237" t="s">
        <v>395</v>
      </c>
      <c r="C5" s="237"/>
      <c r="D5" s="237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4"/>
      <c r="P5" s="239"/>
    </row>
    <row r="6" spans="2:18" x14ac:dyDescent="0.25">
      <c r="P6" s="239"/>
    </row>
    <row r="7" spans="2:18" x14ac:dyDescent="0.25">
      <c r="B7" s="243"/>
      <c r="C7" s="244"/>
      <c r="D7" s="244"/>
      <c r="E7" s="244"/>
      <c r="F7" s="244" t="s">
        <v>5</v>
      </c>
      <c r="G7" s="245" t="s">
        <v>6</v>
      </c>
      <c r="H7" s="246"/>
      <c r="I7" s="247"/>
      <c r="J7" s="245" t="s">
        <v>7</v>
      </c>
      <c r="K7" s="246"/>
      <c r="L7" s="248"/>
      <c r="M7" s="246" t="s">
        <v>8</v>
      </c>
      <c r="N7" s="249"/>
      <c r="O7" s="250"/>
      <c r="P7" s="239"/>
    </row>
    <row r="8" spans="2:18" x14ac:dyDescent="0.25">
      <c r="B8" s="251" t="s">
        <v>0</v>
      </c>
      <c r="C8" s="252"/>
      <c r="D8" s="252"/>
      <c r="E8" s="253" t="s">
        <v>9</v>
      </c>
      <c r="F8" s="253" t="s">
        <v>10</v>
      </c>
      <c r="G8" s="253" t="s">
        <v>11</v>
      </c>
      <c r="H8" s="254" t="s">
        <v>12</v>
      </c>
      <c r="I8" s="253"/>
      <c r="J8" s="253" t="s">
        <v>11</v>
      </c>
      <c r="K8" s="254" t="s">
        <v>12</v>
      </c>
      <c r="L8" s="254"/>
      <c r="M8" s="254" t="s">
        <v>13</v>
      </c>
      <c r="N8" s="255" t="s">
        <v>14</v>
      </c>
      <c r="O8" s="256"/>
      <c r="P8" s="239"/>
    </row>
    <row r="9" spans="2:18" x14ac:dyDescent="0.25">
      <c r="B9" s="257"/>
      <c r="C9" s="258"/>
      <c r="D9" s="258"/>
      <c r="E9" s="258"/>
      <c r="F9" s="258"/>
      <c r="G9" s="258"/>
      <c r="H9" s="258"/>
      <c r="I9" s="259"/>
      <c r="J9" s="258"/>
      <c r="K9" s="260"/>
      <c r="L9" s="260"/>
      <c r="M9" s="258"/>
      <c r="N9" s="261"/>
      <c r="P9" s="239"/>
    </row>
    <row r="10" spans="2:18" x14ac:dyDescent="0.25">
      <c r="B10" s="262" t="s">
        <v>34</v>
      </c>
      <c r="C10" s="263"/>
      <c r="D10" s="263" t="s">
        <v>33</v>
      </c>
      <c r="E10" s="264"/>
      <c r="F10" s="265"/>
      <c r="G10" s="265"/>
      <c r="H10" s="265"/>
      <c r="I10" s="266"/>
      <c r="J10" s="265"/>
      <c r="K10" s="267"/>
      <c r="L10" s="267"/>
      <c r="M10" s="267"/>
      <c r="N10" s="268"/>
      <c r="P10" s="239"/>
    </row>
    <row r="11" spans="2:18" x14ac:dyDescent="0.25">
      <c r="B11" s="269"/>
      <c r="C11" s="270"/>
      <c r="D11" s="270"/>
      <c r="E11" s="270"/>
      <c r="F11" s="270"/>
      <c r="G11" s="270"/>
      <c r="H11" s="270"/>
      <c r="I11" s="271"/>
      <c r="J11" s="270"/>
      <c r="K11" s="272"/>
      <c r="L11" s="272"/>
      <c r="M11" s="272"/>
      <c r="N11" s="273"/>
      <c r="P11" s="239"/>
    </row>
    <row r="12" spans="2:18" x14ac:dyDescent="0.25">
      <c r="B12" s="274" t="s">
        <v>2</v>
      </c>
      <c r="C12" s="233" t="s">
        <v>33</v>
      </c>
      <c r="D12" s="275" t="str">
        <f>VLOOKUP(C12,Rates!$B$3:$J$136,2,FALSE)</f>
        <v>SCPA_LL_BSC</v>
      </c>
      <c r="E12" s="276" t="s">
        <v>165</v>
      </c>
      <c r="F12" s="277">
        <f>VLOOKUP(C12,Rates!$B:$J,4,FALSE)</f>
        <v>94262</v>
      </c>
      <c r="G12" s="605">
        <f>VLOOKUP($D12,Rates!$C$1:$J$136,5,FALSE)</f>
        <v>19.89</v>
      </c>
      <c r="H12" s="272">
        <f>SUM(+F12*G12)</f>
        <v>1874871.1800000002</v>
      </c>
      <c r="I12" s="277"/>
      <c r="J12" s="279">
        <f>$J$129</f>
        <v>30</v>
      </c>
      <c r="K12" s="272">
        <f>SUM(+F12*J12)</f>
        <v>2827860</v>
      </c>
      <c r="L12" s="272"/>
      <c r="M12" s="272">
        <f>K12-H12</f>
        <v>952988.81999999983</v>
      </c>
      <c r="N12" s="280">
        <f>IFERROR(ROUND(M12/H12,5), )</f>
        <v>0.50829999999999997</v>
      </c>
      <c r="P12" s="239"/>
    </row>
    <row r="13" spans="2:18" x14ac:dyDescent="0.25">
      <c r="B13" s="281" t="s">
        <v>98</v>
      </c>
      <c r="C13" s="233" t="s">
        <v>181</v>
      </c>
      <c r="D13" s="275" t="str">
        <f>VLOOKUP(C13,Rates!$B$3:$J$136,2,FALSE)</f>
        <v>SCPA_LL_B1</v>
      </c>
      <c r="E13" s="270" t="s">
        <v>162</v>
      </c>
      <c r="F13" s="277">
        <f>VLOOKUP(C13,Rates!$B:$J,5,FALSE)</f>
        <v>280233.5</v>
      </c>
      <c r="G13" s="278">
        <f>VLOOKUP($D13,Rates!$C$1:$J$136,7,FALSE)</f>
        <v>2.4148999999999998</v>
      </c>
      <c r="H13" s="272">
        <f t="shared" ref="H13:H14" si="0">SUM(+F13*G13)</f>
        <v>676735.87914999994</v>
      </c>
      <c r="I13" s="277"/>
      <c r="J13" s="282"/>
      <c r="K13" s="272">
        <f t="shared" ref="K13:K14" si="1">SUM(+F13*J13)</f>
        <v>0</v>
      </c>
      <c r="L13" s="272"/>
      <c r="M13" s="272"/>
      <c r="N13" s="280">
        <f t="shared" ref="N13:N14" si="2">IFERROR(ROUND(M13/H13,5), )</f>
        <v>0</v>
      </c>
      <c r="O13" s="236"/>
      <c r="P13" s="239"/>
    </row>
    <row r="14" spans="2:18" x14ac:dyDescent="0.25">
      <c r="B14" s="283" t="s">
        <v>103</v>
      </c>
      <c r="C14" s="233" t="s">
        <v>182</v>
      </c>
      <c r="D14" s="275" t="str">
        <f>VLOOKUP(C14,Rates!$B$3:$J$136,2,FALSE)</f>
        <v>SCPA_LL_B2</v>
      </c>
      <c r="E14" s="270" t="s">
        <v>162</v>
      </c>
      <c r="F14" s="284">
        <f>VLOOKUP(C14,Rates!$B:$J,5,FALSE)</f>
        <v>630174.49999999988</v>
      </c>
      <c r="G14" s="278">
        <f>VLOOKUP($D14,Rates!$C$1:$J$136,7,FALSE)</f>
        <v>2.1225000000000001</v>
      </c>
      <c r="H14" s="285">
        <f t="shared" si="0"/>
        <v>1337545.3762499997</v>
      </c>
      <c r="I14" s="277"/>
      <c r="J14" s="286"/>
      <c r="K14" s="285">
        <f t="shared" si="1"/>
        <v>0</v>
      </c>
      <c r="L14" s="272"/>
      <c r="M14" s="285"/>
      <c r="N14" s="287">
        <f t="shared" si="2"/>
        <v>0</v>
      </c>
      <c r="O14" s="236"/>
      <c r="P14" s="239"/>
      <c r="R14" s="288"/>
    </row>
    <row r="15" spans="2:18" x14ac:dyDescent="0.25">
      <c r="B15" s="281" t="s">
        <v>298</v>
      </c>
      <c r="D15" s="289" t="s">
        <v>345</v>
      </c>
      <c r="E15" s="270"/>
      <c r="F15" s="277">
        <f>SUM(F13:F14)</f>
        <v>910407.99999999988</v>
      </c>
      <c r="G15" s="278"/>
      <c r="H15" s="272">
        <f>SUM(H13:H14)</f>
        <v>2014281.2553999997</v>
      </c>
      <c r="I15" s="277"/>
      <c r="J15" s="282">
        <f>$J$130</f>
        <v>2.2273999999999998</v>
      </c>
      <c r="K15" s="272">
        <f t="shared" ref="K15" si="3">SUM(+F15*J15)</f>
        <v>2027842.7791999995</v>
      </c>
      <c r="L15" s="272"/>
      <c r="M15" s="272">
        <f>K15-H15</f>
        <v>13561.52379999985</v>
      </c>
      <c r="N15" s="280">
        <f t="shared" ref="N15" si="4">IFERROR(ROUND(M15/H15,5), )</f>
        <v>6.7299999999999999E-3</v>
      </c>
      <c r="O15" s="236"/>
      <c r="P15" s="239"/>
      <c r="R15" s="288"/>
    </row>
    <row r="16" spans="2:18" x14ac:dyDescent="0.25">
      <c r="B16" s="290"/>
      <c r="C16" s="291"/>
      <c r="D16" s="291"/>
      <c r="E16" s="276"/>
      <c r="F16" s="277"/>
      <c r="G16" s="270"/>
      <c r="H16" s="272"/>
      <c r="I16" s="277"/>
      <c r="J16" s="270"/>
      <c r="K16" s="272"/>
      <c r="L16" s="272"/>
      <c r="M16" s="272"/>
      <c r="N16" s="280"/>
      <c r="O16" s="236"/>
      <c r="P16" s="239"/>
      <c r="R16" s="292"/>
    </row>
    <row r="17" spans="2:20" x14ac:dyDescent="0.25">
      <c r="B17" s="269" t="s">
        <v>163</v>
      </c>
      <c r="C17" s="270"/>
      <c r="D17" s="293" t="s">
        <v>148</v>
      </c>
      <c r="E17" s="294" t="s">
        <v>279</v>
      </c>
      <c r="F17" s="277"/>
      <c r="G17" s="278">
        <f>VLOOKUP($D17,Rates!$C$1:$J$136,5,FALSE)</f>
        <v>0</v>
      </c>
      <c r="H17" s="272">
        <f>($F$13+$F$14)*G17</f>
        <v>0</v>
      </c>
      <c r="I17" s="277"/>
      <c r="J17" s="282">
        <v>0</v>
      </c>
      <c r="K17" s="272">
        <f>($F$13+$F$14)*J17</f>
        <v>0</v>
      </c>
      <c r="L17" s="272"/>
      <c r="M17" s="272">
        <f t="shared" ref="M17:M18" si="5">K17-H17</f>
        <v>0</v>
      </c>
      <c r="N17" s="280">
        <f t="shared" ref="N17:N18" si="6">IFERROR(ROUND(M17/H17,5), )</f>
        <v>0</v>
      </c>
      <c r="O17" s="236"/>
      <c r="P17" s="239"/>
      <c r="R17" s="240"/>
    </row>
    <row r="18" spans="2:20" ht="14.85" customHeight="1" x14ac:dyDescent="0.25">
      <c r="B18" s="269" t="s">
        <v>283</v>
      </c>
      <c r="C18" s="295"/>
      <c r="D18" s="293" t="s">
        <v>289</v>
      </c>
      <c r="E18" s="295" t="s">
        <v>287</v>
      </c>
      <c r="F18" s="277"/>
      <c r="G18" s="278">
        <f>VLOOKUP($D18,Rates!$C$1:$J$136,5,FALSE)</f>
        <v>1.9966999999999999E-2</v>
      </c>
      <c r="H18" s="272">
        <f t="shared" ref="H18:H19" si="7">($F$13+$F$14)*G18</f>
        <v>18178.116535999998</v>
      </c>
      <c r="I18" s="277"/>
      <c r="J18" s="282">
        <f>$J$133</f>
        <v>4.4499999999999998E-2</v>
      </c>
      <c r="K18" s="272">
        <f t="shared" ref="K18" si="8">($F$13+$F$14)*J18</f>
        <v>40513.155999999995</v>
      </c>
      <c r="L18" s="272"/>
      <c r="M18" s="272">
        <f t="shared" si="5"/>
        <v>22335.039463999998</v>
      </c>
      <c r="N18" s="280">
        <f t="shared" si="6"/>
        <v>1.22868</v>
      </c>
      <c r="O18" s="296"/>
      <c r="P18" s="239"/>
      <c r="Q18" s="297"/>
      <c r="R18" s="298"/>
    </row>
    <row r="19" spans="2:20" x14ac:dyDescent="0.25">
      <c r="B19" s="269" t="s">
        <v>284</v>
      </c>
      <c r="C19" s="295"/>
      <c r="D19" s="293" t="s">
        <v>286</v>
      </c>
      <c r="E19" s="295" t="s">
        <v>288</v>
      </c>
      <c r="F19" s="277"/>
      <c r="G19" s="278">
        <f>VLOOKUP($D19,Rates!$C$1:$J$136,5,FALSE)</f>
        <v>0.105</v>
      </c>
      <c r="H19" s="272">
        <f t="shared" si="7"/>
        <v>95592.839999999982</v>
      </c>
      <c r="I19" s="277"/>
      <c r="J19" s="282">
        <f>$J$134</f>
        <v>0.1149</v>
      </c>
      <c r="K19" s="272">
        <f t="shared" ref="K19:K20" si="9">($F$13+$F$14)*J19</f>
        <v>104605.8792</v>
      </c>
      <c r="L19" s="272"/>
      <c r="M19" s="272">
        <f t="shared" ref="M19" si="10">K19-H19</f>
        <v>9013.0392000000138</v>
      </c>
      <c r="N19" s="280">
        <f t="shared" ref="N19" si="11">IFERROR(ROUND(M19/H19,5), )</f>
        <v>9.4289999999999999E-2</v>
      </c>
      <c r="O19" s="296"/>
      <c r="P19" s="239"/>
      <c r="R19" s="298"/>
    </row>
    <row r="20" spans="2:20" x14ac:dyDescent="0.25">
      <c r="B20" s="269" t="s">
        <v>147</v>
      </c>
      <c r="C20" s="295"/>
      <c r="D20" s="299" t="s">
        <v>296</v>
      </c>
      <c r="E20" s="295" t="s">
        <v>290</v>
      </c>
      <c r="F20" s="277"/>
      <c r="G20" s="270"/>
      <c r="H20" s="272">
        <v>-29848</v>
      </c>
      <c r="I20" s="277"/>
      <c r="J20" s="282">
        <v>0</v>
      </c>
      <c r="K20" s="272">
        <f t="shared" si="9"/>
        <v>0</v>
      </c>
      <c r="L20" s="272"/>
      <c r="M20" s="272">
        <f t="shared" ref="M20" si="12">K20-H20</f>
        <v>29848</v>
      </c>
      <c r="N20" s="280">
        <f t="shared" ref="N20" si="13">IFERROR(ROUND(M20/H20,5), )</f>
        <v>-1</v>
      </c>
      <c r="O20" s="296"/>
      <c r="P20" s="239"/>
      <c r="R20" s="300"/>
      <c r="T20" s="298"/>
    </row>
    <row r="21" spans="2:20" x14ac:dyDescent="0.25">
      <c r="B21" s="301"/>
      <c r="C21" s="295"/>
      <c r="D21" s="295"/>
      <c r="E21" s="291"/>
      <c r="F21" s="270"/>
      <c r="G21" s="302"/>
      <c r="H21" s="303"/>
      <c r="I21" s="277"/>
      <c r="J21" s="270"/>
      <c r="K21" s="272"/>
      <c r="L21" s="272"/>
      <c r="M21" s="272"/>
      <c r="N21" s="273"/>
      <c r="O21" s="296"/>
      <c r="P21" s="239"/>
    </row>
    <row r="22" spans="2:20" x14ac:dyDescent="0.25">
      <c r="B22" s="274" t="s">
        <v>16</v>
      </c>
      <c r="C22" s="276"/>
      <c r="D22" s="276"/>
      <c r="E22" s="276"/>
      <c r="F22" s="277"/>
      <c r="G22" s="270"/>
      <c r="H22" s="304">
        <f>SUM(H15:H20)+H12</f>
        <v>3973075.391936</v>
      </c>
      <c r="I22" s="277"/>
      <c r="J22" s="270"/>
      <c r="K22" s="304">
        <f>SUM(K15:K20)+K12</f>
        <v>5000821.8143999996</v>
      </c>
      <c r="L22" s="272"/>
      <c r="M22" s="304">
        <f>SUM(M15:M20)+M12</f>
        <v>1027746.4224639997</v>
      </c>
      <c r="N22" s="305">
        <f>IFERROR(ROUND(M22/H22,5), )</f>
        <v>0.25868000000000002</v>
      </c>
      <c r="O22" s="296"/>
      <c r="P22" s="239"/>
    </row>
    <row r="23" spans="2:20" x14ac:dyDescent="0.25">
      <c r="B23" s="274"/>
      <c r="C23" s="276"/>
      <c r="D23" s="276"/>
      <c r="E23" s="276"/>
      <c r="F23" s="277"/>
      <c r="G23" s="270"/>
      <c r="H23" s="272"/>
      <c r="I23" s="277"/>
      <c r="J23" s="270"/>
      <c r="K23" s="272"/>
      <c r="L23" s="272"/>
      <c r="M23" s="272"/>
      <c r="N23" s="280"/>
      <c r="O23" s="296"/>
      <c r="P23" s="239"/>
    </row>
    <row r="24" spans="2:20" x14ac:dyDescent="0.25">
      <c r="B24" s="274" t="s">
        <v>166</v>
      </c>
      <c r="C24" s="276"/>
      <c r="D24" s="276"/>
      <c r="E24" s="276"/>
      <c r="F24" s="277"/>
      <c r="G24" s="270"/>
      <c r="H24" s="272">
        <v>3973075.0000000019</v>
      </c>
      <c r="I24" s="277"/>
      <c r="J24" s="270"/>
      <c r="K24" s="272"/>
      <c r="L24" s="272"/>
      <c r="M24" s="272"/>
      <c r="N24" s="280"/>
      <c r="O24" s="296"/>
      <c r="P24" s="239"/>
    </row>
    <row r="25" spans="2:20" x14ac:dyDescent="0.25">
      <c r="B25" s="274"/>
      <c r="C25" s="276"/>
      <c r="D25" s="276"/>
      <c r="E25" s="276"/>
      <c r="F25" s="277"/>
      <c r="G25" s="270"/>
      <c r="H25" s="272"/>
      <c r="I25" s="277"/>
      <c r="J25" s="270"/>
      <c r="K25" s="272"/>
      <c r="L25" s="272"/>
      <c r="M25" s="272"/>
      <c r="N25" s="280"/>
      <c r="O25" s="296"/>
      <c r="P25" s="239"/>
    </row>
    <row r="26" spans="2:20" x14ac:dyDescent="0.25">
      <c r="B26" s="274" t="s">
        <v>167</v>
      </c>
      <c r="C26" s="276"/>
      <c r="D26" s="276"/>
      <c r="E26" s="276"/>
      <c r="F26" s="277"/>
      <c r="G26" s="270"/>
      <c r="H26" s="272">
        <f>H22-H24</f>
        <v>0.39193599810823798</v>
      </c>
      <c r="I26" s="277"/>
      <c r="J26" s="270"/>
      <c r="K26" s="272"/>
      <c r="L26" s="272"/>
      <c r="M26" s="272"/>
      <c r="N26" s="280"/>
      <c r="O26" s="296"/>
      <c r="P26" s="239"/>
    </row>
    <row r="27" spans="2:20" x14ac:dyDescent="0.25">
      <c r="B27" s="274" t="s">
        <v>168</v>
      </c>
      <c r="C27" s="276"/>
      <c r="D27" s="276"/>
      <c r="E27" s="276"/>
      <c r="F27" s="277"/>
      <c r="G27" s="270"/>
      <c r="H27" s="306">
        <f>H26/H22</f>
        <v>9.8648014307439418E-8</v>
      </c>
      <c r="I27" s="277"/>
      <c r="J27" s="270"/>
      <c r="K27" s="272"/>
      <c r="L27" s="272"/>
      <c r="M27" s="272"/>
      <c r="N27" s="280"/>
      <c r="O27" s="296"/>
      <c r="P27" s="239"/>
    </row>
    <row r="28" spans="2:20" x14ac:dyDescent="0.25">
      <c r="B28" s="307"/>
      <c r="C28" s="308"/>
      <c r="D28" s="308"/>
      <c r="E28" s="308"/>
      <c r="F28" s="308"/>
      <c r="G28" s="308"/>
      <c r="H28" s="309"/>
      <c r="I28" s="310"/>
      <c r="J28" s="308"/>
      <c r="K28" s="309"/>
      <c r="L28" s="309"/>
      <c r="M28" s="309"/>
      <c r="N28" s="311"/>
      <c r="O28" s="236"/>
    </row>
    <row r="29" spans="2:20" x14ac:dyDescent="0.25">
      <c r="B29" s="262" t="s">
        <v>36</v>
      </c>
      <c r="C29" s="264"/>
      <c r="D29" s="264" t="s">
        <v>35</v>
      </c>
      <c r="E29" s="264"/>
      <c r="F29" s="265"/>
      <c r="G29" s="265"/>
      <c r="H29" s="267"/>
      <c r="I29" s="266"/>
      <c r="J29" s="265"/>
      <c r="K29" s="267"/>
      <c r="L29" s="267"/>
      <c r="M29" s="267"/>
      <c r="N29" s="312"/>
      <c r="O29" s="236"/>
    </row>
    <row r="30" spans="2:20" x14ac:dyDescent="0.25">
      <c r="B30" s="257"/>
      <c r="C30" s="258"/>
      <c r="D30" s="258"/>
      <c r="E30" s="258"/>
      <c r="F30" s="258"/>
      <c r="G30" s="258"/>
      <c r="H30" s="304"/>
      <c r="I30" s="313"/>
      <c r="J30" s="258"/>
      <c r="K30" s="304"/>
      <c r="L30" s="304"/>
      <c r="M30" s="304"/>
      <c r="N30" s="314"/>
      <c r="P30" s="315"/>
    </row>
    <row r="31" spans="2:20" x14ac:dyDescent="0.25">
      <c r="B31" s="274" t="s">
        <v>2</v>
      </c>
      <c r="C31" s="291" t="s">
        <v>35</v>
      </c>
      <c r="D31" s="275" t="str">
        <f>VLOOKUP(C31,Rates!$B$3:$J$136,2,FALSE)</f>
        <v>SCPA_LL_BSC</v>
      </c>
      <c r="E31" s="276" t="s">
        <v>165</v>
      </c>
      <c r="F31" s="277">
        <f>VLOOKUP(C31,Rates!$B:$J,4,FALSE)</f>
        <v>12619</v>
      </c>
      <c r="G31" s="418">
        <f>VLOOKUP($D31,Rates!$C$1:$J$136,5,FALSE)</f>
        <v>19.89</v>
      </c>
      <c r="H31" s="272">
        <f>SUM(+F31*G31)</f>
        <v>250991.91</v>
      </c>
      <c r="I31" s="277"/>
      <c r="J31" s="279">
        <f>$J$129</f>
        <v>30</v>
      </c>
      <c r="K31" s="272">
        <f>SUM(+F31*J31)</f>
        <v>378570</v>
      </c>
      <c r="L31" s="272"/>
      <c r="M31" s="272">
        <f>K31-H31</f>
        <v>127578.09</v>
      </c>
      <c r="N31" s="280">
        <f>IFERROR(ROUND(M31/H31,5), )</f>
        <v>0.50829999999999997</v>
      </c>
      <c r="P31" s="316"/>
    </row>
    <row r="32" spans="2:20" x14ac:dyDescent="0.25">
      <c r="B32" s="281" t="s">
        <v>170</v>
      </c>
      <c r="C32" s="291" t="s">
        <v>183</v>
      </c>
      <c r="D32" s="275" t="str">
        <f>VLOOKUP(C32,Rates!$B$3:$J$136,2,FALSE)</f>
        <v>SCPA_LL_TRANS</v>
      </c>
      <c r="E32" s="270" t="s">
        <v>162</v>
      </c>
      <c r="F32" s="277">
        <f>VLOOKUP(C32,Rates!$B:$J,5,FALSE)</f>
        <v>150857</v>
      </c>
      <c r="G32" s="278">
        <f>VLOOKUP($D32,Rates!$C$1:$J$136,7,FALSE)</f>
        <v>2.3856000000000002</v>
      </c>
      <c r="H32" s="272">
        <f t="shared" ref="H32" si="14">SUM(+F32*G32)</f>
        <v>359884.45920000004</v>
      </c>
      <c r="I32" s="277"/>
      <c r="J32" s="282">
        <f>$J$130</f>
        <v>2.2273999999999998</v>
      </c>
      <c r="K32" s="272">
        <f t="shared" ref="K32" si="15">SUM(+F32*J32)</f>
        <v>336018.88179999997</v>
      </c>
      <c r="L32" s="272"/>
      <c r="M32" s="272">
        <f t="shared" ref="M32" si="16">K32-H32</f>
        <v>-23865.577400000067</v>
      </c>
      <c r="N32" s="280">
        <f t="shared" ref="N32" si="17">IFERROR(ROUND(M32/H32,5), )</f>
        <v>-6.6309999999999994E-2</v>
      </c>
      <c r="P32" s="316"/>
    </row>
    <row r="33" spans="2:16" x14ac:dyDescent="0.25">
      <c r="B33" s="281"/>
      <c r="C33" s="291"/>
      <c r="D33" s="289"/>
      <c r="E33" s="270"/>
      <c r="F33" s="277"/>
      <c r="G33" s="278"/>
      <c r="H33" s="272"/>
      <c r="I33" s="277"/>
      <c r="J33" s="282"/>
      <c r="K33" s="272"/>
      <c r="L33" s="272"/>
      <c r="M33" s="272"/>
      <c r="N33" s="280"/>
      <c r="P33" s="316"/>
    </row>
    <row r="34" spans="2:16" x14ac:dyDescent="0.25">
      <c r="B34" s="269" t="s">
        <v>147</v>
      </c>
      <c r="C34" s="295"/>
      <c r="D34" s="299" t="s">
        <v>296</v>
      </c>
      <c r="E34" s="295" t="s">
        <v>290</v>
      </c>
      <c r="F34" s="277"/>
      <c r="G34" s="270"/>
      <c r="H34" s="272">
        <v>-1554</v>
      </c>
      <c r="I34" s="277"/>
      <c r="J34" s="282"/>
      <c r="K34" s="272"/>
      <c r="L34" s="272"/>
      <c r="M34" s="272">
        <f t="shared" ref="M34" si="18">K34-H34</f>
        <v>1554</v>
      </c>
      <c r="N34" s="280">
        <f t="shared" ref="N34" si="19">IFERROR(ROUND(M34/H34,5), )</f>
        <v>-1</v>
      </c>
      <c r="P34" s="316"/>
    </row>
    <row r="35" spans="2:16" x14ac:dyDescent="0.25">
      <c r="B35" s="290"/>
      <c r="C35" s="291"/>
      <c r="D35" s="291"/>
      <c r="E35" s="291"/>
      <c r="F35" s="270"/>
      <c r="G35" s="270"/>
      <c r="H35" s="303"/>
      <c r="I35" s="277"/>
      <c r="J35" s="270"/>
      <c r="K35" s="272"/>
      <c r="L35" s="272"/>
      <c r="M35" s="272"/>
      <c r="N35" s="273"/>
      <c r="O35" s="236"/>
      <c r="P35" s="317"/>
    </row>
    <row r="36" spans="2:16" x14ac:dyDescent="0.25">
      <c r="B36" s="274" t="s">
        <v>16</v>
      </c>
      <c r="C36" s="276"/>
      <c r="D36" s="276"/>
      <c r="E36" s="276"/>
      <c r="F36" s="270"/>
      <c r="G36" s="270"/>
      <c r="H36" s="304">
        <f>SUM(H31:H35)</f>
        <v>609322.36920000007</v>
      </c>
      <c r="I36" s="277"/>
      <c r="J36" s="270"/>
      <c r="K36" s="304">
        <f>SUM(K31:K35)</f>
        <v>714588.88179999997</v>
      </c>
      <c r="L36" s="272"/>
      <c r="M36" s="304">
        <f>SUM(M31:M35)</f>
        <v>105266.51259999993</v>
      </c>
      <c r="N36" s="318">
        <f>IFERROR(ROUND(M36/H36,5), )</f>
        <v>0.17276</v>
      </c>
      <c r="O36" s="236"/>
      <c r="P36" s="317"/>
    </row>
    <row r="37" spans="2:16" x14ac:dyDescent="0.25">
      <c r="B37" s="274"/>
      <c r="C37" s="276"/>
      <c r="D37" s="276"/>
      <c r="E37" s="276"/>
      <c r="F37" s="270"/>
      <c r="G37" s="270"/>
      <c r="H37" s="272"/>
      <c r="I37" s="277"/>
      <c r="J37" s="270"/>
      <c r="K37" s="272"/>
      <c r="L37" s="272"/>
      <c r="M37" s="272"/>
      <c r="N37" s="280"/>
      <c r="O37" s="236"/>
      <c r="P37" s="317"/>
    </row>
    <row r="38" spans="2:16" x14ac:dyDescent="0.25">
      <c r="B38" s="274" t="s">
        <v>166</v>
      </c>
      <c r="C38" s="276"/>
      <c r="D38" s="276"/>
      <c r="E38" s="276"/>
      <c r="F38" s="270"/>
      <c r="G38" s="270"/>
      <c r="H38" s="272">
        <v>609322.37999999989</v>
      </c>
      <c r="I38" s="277"/>
      <c r="J38" s="270"/>
      <c r="K38" s="272"/>
      <c r="L38" s="272"/>
      <c r="M38" s="272"/>
      <c r="N38" s="280"/>
      <c r="O38" s="236"/>
      <c r="P38" s="317"/>
    </row>
    <row r="39" spans="2:16" x14ac:dyDescent="0.25">
      <c r="B39" s="274"/>
      <c r="C39" s="276"/>
      <c r="D39" s="276"/>
      <c r="E39" s="276"/>
      <c r="F39" s="270"/>
      <c r="G39" s="270"/>
      <c r="H39" s="272"/>
      <c r="I39" s="277"/>
      <c r="J39" s="270"/>
      <c r="K39" s="272"/>
      <c r="L39" s="272"/>
      <c r="M39" s="272"/>
      <c r="N39" s="280"/>
      <c r="O39" s="236"/>
      <c r="P39" s="317"/>
    </row>
    <row r="40" spans="2:16" x14ac:dyDescent="0.25">
      <c r="B40" s="274" t="s">
        <v>167</v>
      </c>
      <c r="C40" s="276"/>
      <c r="D40" s="276"/>
      <c r="E40" s="276"/>
      <c r="F40" s="270"/>
      <c r="G40" s="270"/>
      <c r="H40" s="272">
        <f>H36-H38</f>
        <v>-1.0799999814480543E-2</v>
      </c>
      <c r="I40" s="277"/>
      <c r="J40" s="270"/>
      <c r="K40" s="272"/>
      <c r="L40" s="272"/>
      <c r="M40" s="272"/>
      <c r="N40" s="280"/>
      <c r="O40" s="236"/>
      <c r="P40" s="317"/>
    </row>
    <row r="41" spans="2:16" x14ac:dyDescent="0.25">
      <c r="B41" s="274" t="s">
        <v>168</v>
      </c>
      <c r="C41" s="276"/>
      <c r="D41" s="276"/>
      <c r="E41" s="276"/>
      <c r="F41" s="270"/>
      <c r="G41" s="270"/>
      <c r="H41" s="306">
        <f>H40/H36</f>
        <v>-1.772460746625834E-8</v>
      </c>
      <c r="I41" s="277"/>
      <c r="J41" s="270"/>
      <c r="K41" s="272"/>
      <c r="L41" s="272"/>
      <c r="M41" s="272"/>
      <c r="N41" s="280"/>
      <c r="O41" s="236"/>
      <c r="P41" s="317"/>
    </row>
    <row r="42" spans="2:16" x14ac:dyDescent="0.25">
      <c r="B42" s="307"/>
      <c r="C42" s="308"/>
      <c r="D42" s="308"/>
      <c r="E42" s="308"/>
      <c r="F42" s="308"/>
      <c r="G42" s="308"/>
      <c r="H42" s="309"/>
      <c r="I42" s="308"/>
      <c r="J42" s="308"/>
      <c r="K42" s="309"/>
      <c r="L42" s="309"/>
      <c r="M42" s="309"/>
      <c r="N42" s="311"/>
      <c r="O42" s="236"/>
      <c r="P42" s="319"/>
    </row>
    <row r="43" spans="2:16" x14ac:dyDescent="0.25">
      <c r="B43" s="262" t="s">
        <v>38</v>
      </c>
      <c r="C43" s="264"/>
      <c r="D43" s="264" t="s">
        <v>37</v>
      </c>
      <c r="E43" s="264"/>
      <c r="F43" s="265"/>
      <c r="G43" s="265"/>
      <c r="H43" s="267"/>
      <c r="I43" s="266"/>
      <c r="J43" s="265"/>
      <c r="K43" s="267"/>
      <c r="L43" s="267"/>
      <c r="M43" s="267"/>
      <c r="N43" s="312"/>
      <c r="O43" s="236"/>
    </row>
    <row r="44" spans="2:16" x14ac:dyDescent="0.25">
      <c r="B44" s="269"/>
      <c r="C44" s="270"/>
      <c r="D44" s="270"/>
      <c r="E44" s="270"/>
      <c r="F44" s="270"/>
      <c r="G44" s="270"/>
      <c r="H44" s="272"/>
      <c r="I44" s="271"/>
      <c r="J44" s="270"/>
      <c r="K44" s="272"/>
      <c r="L44" s="272"/>
      <c r="M44" s="272"/>
      <c r="N44" s="273"/>
      <c r="P44" s="315"/>
    </row>
    <row r="45" spans="2:16" x14ac:dyDescent="0.25">
      <c r="B45" s="320" t="s">
        <v>2</v>
      </c>
      <c r="C45" s="291" t="s">
        <v>37</v>
      </c>
      <c r="D45" s="275" t="str">
        <f>VLOOKUP(C45,Rates!$B$3:$J$136,2,FALSE)</f>
        <v>SCPA_LL_BSC</v>
      </c>
      <c r="E45" s="276" t="s">
        <v>165</v>
      </c>
      <c r="F45" s="277">
        <f>VLOOKUP(C45,Rates!$B:$J,4,FALSE)</f>
        <v>9524</v>
      </c>
      <c r="G45" s="418">
        <f>VLOOKUP($D45,Rates!$C$1:$J$136,5,FALSE)</f>
        <v>19.89</v>
      </c>
      <c r="H45" s="272">
        <f>SUM(+F45*G45)</f>
        <v>189432.36000000002</v>
      </c>
      <c r="I45" s="277"/>
      <c r="J45" s="279">
        <f>$J$129</f>
        <v>30</v>
      </c>
      <c r="K45" s="272">
        <f>SUM(+F45*J45)</f>
        <v>285720</v>
      </c>
      <c r="L45" s="272"/>
      <c r="M45" s="272">
        <f>K45-H45</f>
        <v>96287.639999999985</v>
      </c>
      <c r="N45" s="280">
        <f>IFERROR(ROUND(M45/H45,5), )</f>
        <v>0.50829999999999997</v>
      </c>
      <c r="P45" s="316"/>
    </row>
    <row r="46" spans="2:16" x14ac:dyDescent="0.25">
      <c r="B46" s="321" t="s">
        <v>98</v>
      </c>
      <c r="C46" s="291" t="s">
        <v>185</v>
      </c>
      <c r="D46" s="275" t="str">
        <f>VLOOKUP(C46,Rates!$B$3:$J$136,2,FALSE)</f>
        <v>SCPA_LL_B1</v>
      </c>
      <c r="E46" s="270" t="s">
        <v>162</v>
      </c>
      <c r="F46" s="277">
        <f>VLOOKUP(C46,Rates!$B:$J,5,FALSE)</f>
        <v>34502.300000000003</v>
      </c>
      <c r="G46" s="278">
        <f>VLOOKUP($D46,Rates!$C$1:$J$136,7,FALSE)</f>
        <v>2.4148999999999998</v>
      </c>
      <c r="H46" s="272">
        <f t="shared" ref="H46:H47" si="20">SUM(+F46*G46)</f>
        <v>83319.604269999996</v>
      </c>
      <c r="I46" s="277"/>
      <c r="J46" s="282"/>
      <c r="K46" s="272">
        <f t="shared" ref="K46" si="21">SUM(+F46*J46)</f>
        <v>0</v>
      </c>
      <c r="L46" s="272"/>
      <c r="M46" s="272"/>
      <c r="N46" s="280">
        <f>IFERROR(ROUND(M46/H46,5), )</f>
        <v>0</v>
      </c>
      <c r="P46" s="316"/>
    </row>
    <row r="47" spans="2:16" x14ac:dyDescent="0.25">
      <c r="B47" s="322" t="s">
        <v>103</v>
      </c>
      <c r="C47" s="291" t="s">
        <v>186</v>
      </c>
      <c r="D47" s="275" t="str">
        <f>VLOOKUP(C47,Rates!$B$3:$J$136,2,FALSE)</f>
        <v>SCPA_LL_B2</v>
      </c>
      <c r="E47" s="270" t="s">
        <v>162</v>
      </c>
      <c r="F47" s="284">
        <f>VLOOKUP(C47,Rates!$B:$J,5,FALSE)</f>
        <v>63171.700000000004</v>
      </c>
      <c r="G47" s="278">
        <f>VLOOKUP($D47,Rates!$C$1:$J$136,7,FALSE)</f>
        <v>2.1225000000000001</v>
      </c>
      <c r="H47" s="285">
        <f t="shared" si="20"/>
        <v>134081.93325</v>
      </c>
      <c r="I47" s="277"/>
      <c r="J47" s="286"/>
      <c r="K47" s="285">
        <f t="shared" ref="K47" si="22">SUM(+F47*J47)</f>
        <v>0</v>
      </c>
      <c r="L47" s="272"/>
      <c r="M47" s="285"/>
      <c r="N47" s="287">
        <f t="shared" ref="N47:N48" si="23">IFERROR(ROUND(M47/H47,5), )</f>
        <v>0</v>
      </c>
      <c r="P47" s="316"/>
    </row>
    <row r="48" spans="2:16" x14ac:dyDescent="0.25">
      <c r="B48" s="281" t="s">
        <v>298</v>
      </c>
      <c r="D48" s="289" t="s">
        <v>345</v>
      </c>
      <c r="E48" s="270"/>
      <c r="F48" s="277">
        <f>SUM(F46:F47)</f>
        <v>97674</v>
      </c>
      <c r="G48" s="278"/>
      <c r="H48" s="272">
        <f>SUM(H46:H47)</f>
        <v>217401.53752000001</v>
      </c>
      <c r="I48" s="277"/>
      <c r="J48" s="282">
        <f>$J$130</f>
        <v>2.2273999999999998</v>
      </c>
      <c r="K48" s="272">
        <f t="shared" ref="K48" si="24">SUM(+F48*J48)</f>
        <v>217559.06759999998</v>
      </c>
      <c r="L48" s="272"/>
      <c r="M48" s="272">
        <f>K48-H48</f>
        <v>157.53007999996771</v>
      </c>
      <c r="N48" s="280">
        <f t="shared" si="23"/>
        <v>7.2000000000000005E-4</v>
      </c>
      <c r="P48" s="316"/>
    </row>
    <row r="49" spans="2:16" x14ac:dyDescent="0.25">
      <c r="B49" s="321"/>
      <c r="C49" s="291"/>
      <c r="D49" s="323"/>
      <c r="E49" s="270"/>
      <c r="F49" s="277"/>
      <c r="G49" s="278"/>
      <c r="H49" s="272"/>
      <c r="I49" s="277"/>
      <c r="J49" s="282"/>
      <c r="K49" s="272"/>
      <c r="L49" s="272"/>
      <c r="M49" s="272"/>
      <c r="N49" s="280"/>
      <c r="P49" s="316"/>
    </row>
    <row r="50" spans="2:16" x14ac:dyDescent="0.25">
      <c r="B50" s="269" t="s">
        <v>163</v>
      </c>
      <c r="C50" s="270"/>
      <c r="D50" s="299" t="s">
        <v>148</v>
      </c>
      <c r="E50" s="294" t="s">
        <v>279</v>
      </c>
      <c r="F50" s="277"/>
      <c r="G50" s="278">
        <f>VLOOKUP($D50,Rates!$C$1:$J$136,5,FALSE)</f>
        <v>0</v>
      </c>
      <c r="H50" s="272">
        <f>(+F46+F47)*G50</f>
        <v>0</v>
      </c>
      <c r="I50" s="277"/>
      <c r="J50" s="282">
        <f>ROUND(G50*(1+$P$22), 2)</f>
        <v>0</v>
      </c>
      <c r="K50" s="272">
        <f>(+F46+F47)*J50</f>
        <v>0</v>
      </c>
      <c r="L50" s="272"/>
      <c r="M50" s="272">
        <f>K50-H50</f>
        <v>0</v>
      </c>
      <c r="N50" s="280">
        <f>IFERROR(ROUND(M50/H50,5), )</f>
        <v>0</v>
      </c>
      <c r="O50" s="236"/>
      <c r="P50" s="324"/>
    </row>
    <row r="51" spans="2:16" x14ac:dyDescent="0.25">
      <c r="B51" s="269" t="s">
        <v>147</v>
      </c>
      <c r="C51" s="295"/>
      <c r="D51" s="299" t="s">
        <v>296</v>
      </c>
      <c r="E51" s="295" t="s">
        <v>290</v>
      </c>
      <c r="F51" s="277"/>
      <c r="G51" s="278"/>
      <c r="H51" s="272">
        <v>-1011</v>
      </c>
      <c r="I51" s="277"/>
      <c r="J51" s="282"/>
      <c r="K51" s="272"/>
      <c r="L51" s="272"/>
      <c r="M51" s="272">
        <f>K51-H51</f>
        <v>1011</v>
      </c>
      <c r="N51" s="280">
        <f>IFERROR(ROUND(M51/H51,5), )</f>
        <v>-1</v>
      </c>
      <c r="O51" s="236"/>
      <c r="P51" s="324"/>
    </row>
    <row r="52" spans="2:16" x14ac:dyDescent="0.25">
      <c r="B52" s="301"/>
      <c r="C52" s="295"/>
      <c r="D52" s="295"/>
      <c r="E52" s="291"/>
      <c r="F52" s="270"/>
      <c r="G52" s="302"/>
      <c r="H52" s="303"/>
      <c r="I52" s="277"/>
      <c r="J52" s="270"/>
      <c r="K52" s="272"/>
      <c r="L52" s="272"/>
      <c r="M52" s="272"/>
      <c r="N52" s="273"/>
      <c r="O52" s="296"/>
    </row>
    <row r="53" spans="2:16" x14ac:dyDescent="0.25">
      <c r="B53" s="274" t="s">
        <v>16</v>
      </c>
      <c r="C53" s="276"/>
      <c r="D53" s="276"/>
      <c r="E53" s="276"/>
      <c r="F53" s="270"/>
      <c r="G53" s="270"/>
      <c r="H53" s="304">
        <f>SUM(H48:H52)+H45</f>
        <v>405822.89752</v>
      </c>
      <c r="I53" s="277"/>
      <c r="J53" s="270"/>
      <c r="K53" s="304">
        <f>SUM(K48:K52)+K45</f>
        <v>503279.06759999995</v>
      </c>
      <c r="L53" s="272"/>
      <c r="M53" s="304">
        <f>SUM(M48:M52)+M45</f>
        <v>97456.170079999953</v>
      </c>
      <c r="N53" s="318">
        <f>IFERROR(ROUND(M53/H53,5), )</f>
        <v>0.24013999999999999</v>
      </c>
      <c r="O53" s="236"/>
      <c r="P53" s="317"/>
    </row>
    <row r="54" spans="2:16" x14ac:dyDescent="0.25">
      <c r="B54" s="274"/>
      <c r="C54" s="276"/>
      <c r="D54" s="276"/>
      <c r="E54" s="276"/>
      <c r="F54" s="270"/>
      <c r="G54" s="270"/>
      <c r="H54" s="272"/>
      <c r="I54" s="277"/>
      <c r="J54" s="270"/>
      <c r="K54" s="272"/>
      <c r="L54" s="272"/>
      <c r="M54" s="272"/>
      <c r="N54" s="280"/>
      <c r="O54" s="236"/>
      <c r="P54" s="317"/>
    </row>
    <row r="55" spans="2:16" x14ac:dyDescent="0.25">
      <c r="B55" s="274" t="s">
        <v>166</v>
      </c>
      <c r="C55" s="276"/>
      <c r="D55" s="276"/>
      <c r="E55" s="276"/>
      <c r="F55" s="270"/>
      <c r="G55" s="270"/>
      <c r="H55" s="272">
        <v>405822.89000000007</v>
      </c>
      <c r="I55" s="277"/>
      <c r="J55" s="270"/>
      <c r="K55" s="272"/>
      <c r="L55" s="272"/>
      <c r="M55" s="272"/>
      <c r="N55" s="280"/>
      <c r="O55" s="236"/>
      <c r="P55" s="317"/>
    </row>
    <row r="56" spans="2:16" x14ac:dyDescent="0.25">
      <c r="B56" s="274"/>
      <c r="C56" s="276"/>
      <c r="D56" s="276"/>
      <c r="E56" s="276"/>
      <c r="F56" s="270"/>
      <c r="G56" s="270"/>
      <c r="H56" s="272"/>
      <c r="I56" s="277"/>
      <c r="J56" s="270"/>
      <c r="K56" s="272"/>
      <c r="L56" s="272"/>
      <c r="M56" s="272"/>
      <c r="N56" s="280"/>
      <c r="O56" s="236"/>
      <c r="P56" s="317"/>
    </row>
    <row r="57" spans="2:16" x14ac:dyDescent="0.25">
      <c r="B57" s="274" t="s">
        <v>167</v>
      </c>
      <c r="C57" s="276"/>
      <c r="D57" s="276"/>
      <c r="E57" s="276"/>
      <c r="F57" s="270"/>
      <c r="G57" s="270"/>
      <c r="H57" s="272">
        <f>H53-H55</f>
        <v>7.5199999264441431E-3</v>
      </c>
      <c r="I57" s="277"/>
      <c r="J57" s="270"/>
      <c r="K57" s="272"/>
      <c r="L57" s="272"/>
      <c r="M57" s="272"/>
      <c r="N57" s="280"/>
      <c r="O57" s="236"/>
      <c r="P57" s="317"/>
    </row>
    <row r="58" spans="2:16" x14ac:dyDescent="0.25">
      <c r="B58" s="274" t="s">
        <v>168</v>
      </c>
      <c r="C58" s="276"/>
      <c r="D58" s="276"/>
      <c r="E58" s="276"/>
      <c r="F58" s="270"/>
      <c r="G58" s="270"/>
      <c r="H58" s="306">
        <f>H57/H53</f>
        <v>1.8530250442740328E-8</v>
      </c>
      <c r="I58" s="277"/>
      <c r="J58" s="270"/>
      <c r="K58" s="272"/>
      <c r="L58" s="272"/>
      <c r="M58" s="272"/>
      <c r="N58" s="280"/>
      <c r="O58" s="236"/>
      <c r="P58" s="317"/>
    </row>
    <row r="59" spans="2:16" x14ac:dyDescent="0.25">
      <c r="B59" s="269"/>
      <c r="C59" s="270"/>
      <c r="D59" s="270"/>
      <c r="E59" s="270"/>
      <c r="F59" s="270"/>
      <c r="G59" s="270"/>
      <c r="H59" s="272"/>
      <c r="I59" s="270"/>
      <c r="J59" s="270"/>
      <c r="K59" s="272"/>
      <c r="L59" s="272"/>
      <c r="M59" s="272"/>
      <c r="N59" s="280"/>
      <c r="O59" s="236"/>
      <c r="P59" s="319"/>
    </row>
    <row r="60" spans="2:16" x14ac:dyDescent="0.25">
      <c r="B60" s="262" t="s">
        <v>54</v>
      </c>
      <c r="C60" s="264"/>
      <c r="D60" s="264" t="s">
        <v>53</v>
      </c>
      <c r="E60" s="264"/>
      <c r="F60" s="265"/>
      <c r="G60" s="265"/>
      <c r="H60" s="267"/>
      <c r="I60" s="266"/>
      <c r="J60" s="265"/>
      <c r="K60" s="267"/>
      <c r="L60" s="267"/>
      <c r="M60" s="267"/>
      <c r="N60" s="312"/>
      <c r="O60" s="236"/>
    </row>
    <row r="61" spans="2:16" x14ac:dyDescent="0.25">
      <c r="B61" s="290"/>
      <c r="C61" s="291"/>
      <c r="D61" s="291"/>
      <c r="E61" s="291"/>
      <c r="F61" s="270"/>
      <c r="G61" s="270"/>
      <c r="H61" s="272"/>
      <c r="I61" s="325"/>
      <c r="J61" s="270"/>
      <c r="K61" s="272"/>
      <c r="L61" s="272"/>
      <c r="M61" s="272"/>
      <c r="N61" s="273"/>
    </row>
    <row r="62" spans="2:16" x14ac:dyDescent="0.25">
      <c r="B62" s="274" t="s">
        <v>2</v>
      </c>
      <c r="C62" s="291" t="s">
        <v>53</v>
      </c>
      <c r="D62" s="275" t="str">
        <f>VLOOKUP(C62,Rates!$B$3:$J$136,2,FALSE)</f>
        <v>SCPA_LL_BSC</v>
      </c>
      <c r="E62" s="276" t="s">
        <v>165</v>
      </c>
      <c r="F62" s="277">
        <f>VLOOKUP(C62,Rates!$B:$J,4,FALSE)</f>
        <v>5037</v>
      </c>
      <c r="G62" s="418">
        <f>VLOOKUP($D62,Rates!$C$1:$J$136,5,FALSE)</f>
        <v>19.89</v>
      </c>
      <c r="H62" s="272">
        <f>SUM(+F62*G62)</f>
        <v>100185.93000000001</v>
      </c>
      <c r="I62" s="277"/>
      <c r="J62" s="279">
        <f>$J$129</f>
        <v>30</v>
      </c>
      <c r="K62" s="272">
        <f>SUM(+F62*J62)</f>
        <v>151110</v>
      </c>
      <c r="L62" s="272"/>
      <c r="M62" s="272">
        <f>K62-H62</f>
        <v>50924.069999999992</v>
      </c>
      <c r="N62" s="280">
        <f>IFERROR(ROUND(M62/H62,5), )</f>
        <v>0.50829999999999997</v>
      </c>
      <c r="O62" s="326"/>
    </row>
    <row r="63" spans="2:16" x14ac:dyDescent="0.25">
      <c r="B63" s="281" t="s">
        <v>98</v>
      </c>
      <c r="C63" s="291" t="s">
        <v>210</v>
      </c>
      <c r="D63" s="275" t="str">
        <f>VLOOKUP(C63,Rates!$B$3:$J$136,2,FALSE)</f>
        <v>SCPA_LL_B1</v>
      </c>
      <c r="E63" s="270" t="s">
        <v>162</v>
      </c>
      <c r="F63" s="277">
        <f>VLOOKUP(C63,Rates!$B:$J,5,FALSE)</f>
        <v>14455.499999999998</v>
      </c>
      <c r="G63" s="278">
        <f>VLOOKUP($D63,Rates!$C$1:$J$136,7,FALSE)</f>
        <v>2.4148999999999998</v>
      </c>
      <c r="H63" s="272">
        <f t="shared" ref="H63:H64" si="25">SUM(+F63*G63)</f>
        <v>34908.58694999999</v>
      </c>
      <c r="I63" s="277"/>
      <c r="J63" s="282"/>
      <c r="K63" s="272">
        <f t="shared" ref="K63:K64" si="26">SUM(+F63*J63)</f>
        <v>0</v>
      </c>
      <c r="L63" s="272"/>
      <c r="M63" s="272">
        <f t="shared" ref="M63:M64" si="27">K63-H63</f>
        <v>-34908.58694999999</v>
      </c>
      <c r="N63" s="280">
        <f t="shared" ref="N63:N65" si="28">IFERROR(ROUND(M63/H63,5), )</f>
        <v>-1</v>
      </c>
      <c r="O63" s="326"/>
    </row>
    <row r="64" spans="2:16" x14ac:dyDescent="0.25">
      <c r="B64" s="283" t="s">
        <v>103</v>
      </c>
      <c r="C64" s="291" t="s">
        <v>211</v>
      </c>
      <c r="D64" s="275" t="str">
        <f>VLOOKUP(C64,Rates!$B$3:$J$136,2,FALSE)</f>
        <v>SCPA_LL_B2</v>
      </c>
      <c r="E64" s="270" t="s">
        <v>162</v>
      </c>
      <c r="F64" s="284">
        <f>VLOOKUP(C64,Rates!$B:$J,5,FALSE)</f>
        <v>30526.5</v>
      </c>
      <c r="G64" s="278">
        <f>VLOOKUP($D64,Rates!$C$1:$J$136,7,FALSE)</f>
        <v>2.1225000000000001</v>
      </c>
      <c r="H64" s="285">
        <f t="shared" si="25"/>
        <v>64792.496250000004</v>
      </c>
      <c r="I64" s="277"/>
      <c r="J64" s="286"/>
      <c r="K64" s="285">
        <f t="shared" si="26"/>
        <v>0</v>
      </c>
      <c r="L64" s="272"/>
      <c r="M64" s="285">
        <f t="shared" si="27"/>
        <v>-64792.496250000004</v>
      </c>
      <c r="N64" s="287">
        <f t="shared" si="28"/>
        <v>-1</v>
      </c>
      <c r="O64" s="326"/>
    </row>
    <row r="65" spans="2:15" x14ac:dyDescent="0.25">
      <c r="B65" s="281" t="s">
        <v>298</v>
      </c>
      <c r="D65" s="289" t="s">
        <v>345</v>
      </c>
      <c r="E65" s="270"/>
      <c r="F65" s="277">
        <f>SUM(F63:F64)</f>
        <v>44982</v>
      </c>
      <c r="G65" s="278"/>
      <c r="H65" s="272">
        <f>SUM(H63:H64)</f>
        <v>99701.083199999994</v>
      </c>
      <c r="I65" s="277"/>
      <c r="J65" s="282">
        <f>$J$130</f>
        <v>2.2273999999999998</v>
      </c>
      <c r="K65" s="272">
        <f t="shared" ref="K65" si="29">SUM(+F65*J65)</f>
        <v>100192.9068</v>
      </c>
      <c r="L65" s="272"/>
      <c r="M65" s="272">
        <f>K65-H65</f>
        <v>491.82360000000335</v>
      </c>
      <c r="N65" s="280">
        <f t="shared" si="28"/>
        <v>4.9300000000000004E-3</v>
      </c>
      <c r="O65" s="326"/>
    </row>
    <row r="66" spans="2:15" x14ac:dyDescent="0.25">
      <c r="B66" s="290"/>
      <c r="C66" s="291"/>
      <c r="D66" s="291"/>
      <c r="E66" s="325"/>
      <c r="F66" s="277"/>
      <c r="G66" s="279"/>
      <c r="H66" s="272"/>
      <c r="I66" s="277"/>
      <c r="J66" s="279"/>
      <c r="K66" s="272"/>
      <c r="L66" s="272"/>
      <c r="M66" s="272"/>
      <c r="N66" s="280"/>
      <c r="O66" s="326"/>
    </row>
    <row r="67" spans="2:15" x14ac:dyDescent="0.25">
      <c r="B67" s="269" t="s">
        <v>163</v>
      </c>
      <c r="C67" s="291"/>
      <c r="D67" s="299" t="s">
        <v>148</v>
      </c>
      <c r="E67" s="294" t="s">
        <v>279</v>
      </c>
      <c r="F67" s="277"/>
      <c r="G67" s="327">
        <f>VLOOKUP($D67,Rates!$C$1:$J$136,5,FALSE)</f>
        <v>0</v>
      </c>
      <c r="H67" s="272">
        <f>(F63+F64)*G67</f>
        <v>0</v>
      </c>
      <c r="I67" s="277"/>
      <c r="J67" s="282">
        <v>0</v>
      </c>
      <c r="K67" s="272">
        <f>(F63+F64)*J67</f>
        <v>0</v>
      </c>
      <c r="L67" s="272"/>
      <c r="M67" s="272">
        <f t="shared" ref="M67:M68" si="30">K67-H67</f>
        <v>0</v>
      </c>
      <c r="N67" s="280">
        <f t="shared" ref="N67:N68" si="31">IFERROR(ROUND(M67/H67,5), )</f>
        <v>0</v>
      </c>
      <c r="O67" s="326"/>
    </row>
    <row r="68" spans="2:15" x14ac:dyDescent="0.25">
      <c r="B68" s="269" t="s">
        <v>283</v>
      </c>
      <c r="C68" s="295"/>
      <c r="D68" s="293" t="s">
        <v>289</v>
      </c>
      <c r="E68" s="295" t="s">
        <v>287</v>
      </c>
      <c r="F68" s="277"/>
      <c r="G68" s="278">
        <f>VLOOKUP($D68,Rates!$C$1:$J$136,5,FALSE)</f>
        <v>1.9966999999999999E-2</v>
      </c>
      <c r="H68" s="272">
        <f>(F63+F64)*G68</f>
        <v>898.15559399999995</v>
      </c>
      <c r="I68" s="277"/>
      <c r="J68" s="282">
        <f>$J$133</f>
        <v>4.4499999999999998E-2</v>
      </c>
      <c r="K68" s="272">
        <f>(F63+F64)*J68</f>
        <v>2001.6989999999998</v>
      </c>
      <c r="L68" s="272"/>
      <c r="M68" s="272">
        <f t="shared" si="30"/>
        <v>1103.5434059999998</v>
      </c>
      <c r="N68" s="280">
        <f t="shared" si="31"/>
        <v>1.22868</v>
      </c>
      <c r="O68" s="326"/>
    </row>
    <row r="69" spans="2:15" x14ac:dyDescent="0.25">
      <c r="B69" s="269" t="s">
        <v>284</v>
      </c>
      <c r="C69" s="295"/>
      <c r="D69" s="293" t="s">
        <v>286</v>
      </c>
      <c r="E69" s="295" t="s">
        <v>288</v>
      </c>
      <c r="F69" s="277"/>
      <c r="G69" s="278">
        <f>VLOOKUP($D69,Rates!$C$1:$J$136,5,FALSE)</f>
        <v>0.105</v>
      </c>
      <c r="H69" s="272">
        <f>(F63+F64)*G69</f>
        <v>4723.1099999999997</v>
      </c>
      <c r="I69" s="277"/>
      <c r="J69" s="282">
        <f>$J$134</f>
        <v>0.1149</v>
      </c>
      <c r="K69" s="272">
        <f>(F63+F64)*J69</f>
        <v>5168.4318000000003</v>
      </c>
      <c r="L69" s="272"/>
      <c r="M69" s="272">
        <f t="shared" ref="M69" si="32">K69-H69</f>
        <v>445.32180000000062</v>
      </c>
      <c r="N69" s="280">
        <f t="shared" ref="N69" si="33">IFERROR(ROUND(M69/H69,5), )</f>
        <v>9.4289999999999999E-2</v>
      </c>
      <c r="O69" s="326"/>
    </row>
    <row r="70" spans="2:15" x14ac:dyDescent="0.25">
      <c r="B70" s="269" t="s">
        <v>147</v>
      </c>
      <c r="C70" s="295"/>
      <c r="D70" s="299" t="s">
        <v>296</v>
      </c>
      <c r="E70" s="295" t="s">
        <v>290</v>
      </c>
      <c r="F70" s="277"/>
      <c r="G70" s="278"/>
      <c r="H70" s="272">
        <v>-1494</v>
      </c>
      <c r="I70" s="277"/>
      <c r="J70" s="282">
        <v>0</v>
      </c>
      <c r="K70" s="272">
        <f>(F64+F65)*J70</f>
        <v>0</v>
      </c>
      <c r="L70" s="272"/>
      <c r="M70" s="272">
        <f t="shared" ref="M70" si="34">K70-H70</f>
        <v>1494</v>
      </c>
      <c r="N70" s="280">
        <f t="shared" ref="N70" si="35">IFERROR(ROUND(M70/H70,5), )</f>
        <v>-1</v>
      </c>
      <c r="O70" s="326"/>
    </row>
    <row r="71" spans="2:15" x14ac:dyDescent="0.25">
      <c r="B71" s="301"/>
      <c r="C71" s="295"/>
      <c r="D71" s="295"/>
      <c r="E71" s="325"/>
      <c r="F71" s="277"/>
      <c r="G71" s="279"/>
      <c r="H71" s="285"/>
      <c r="I71" s="277"/>
      <c r="J71" s="279"/>
      <c r="K71" s="285"/>
      <c r="L71" s="272"/>
      <c r="M71" s="285"/>
      <c r="N71" s="280"/>
      <c r="O71" s="326"/>
    </row>
    <row r="72" spans="2:15" x14ac:dyDescent="0.25">
      <c r="B72" s="274" t="s">
        <v>16</v>
      </c>
      <c r="C72" s="276"/>
      <c r="D72" s="276"/>
      <c r="E72" s="325"/>
      <c r="F72" s="277"/>
      <c r="G72" s="279"/>
      <c r="H72" s="272">
        <f>SUM(H65:H70)+H62</f>
        <v>204014.27879399998</v>
      </c>
      <c r="I72" s="277"/>
      <c r="J72" s="279"/>
      <c r="K72" s="272">
        <f>SUM(K65:K70)+K62</f>
        <v>258473.03759999998</v>
      </c>
      <c r="L72" s="272"/>
      <c r="M72" s="272">
        <f>SUM(M65:M70)+M62</f>
        <v>54458.758805999998</v>
      </c>
      <c r="N72" s="318">
        <f>IFERROR(ROUND(M72/H72,5), )</f>
        <v>0.26694000000000001</v>
      </c>
      <c r="O72" s="326"/>
    </row>
    <row r="73" spans="2:15" x14ac:dyDescent="0.25">
      <c r="B73" s="274"/>
      <c r="C73" s="276"/>
      <c r="D73" s="276"/>
      <c r="E73" s="325"/>
      <c r="F73" s="277"/>
      <c r="G73" s="279"/>
      <c r="H73" s="272"/>
      <c r="I73" s="277"/>
      <c r="J73" s="279"/>
      <c r="K73" s="272"/>
      <c r="L73" s="272"/>
      <c r="M73" s="272"/>
      <c r="N73" s="280"/>
      <c r="O73" s="326"/>
    </row>
    <row r="74" spans="2:15" x14ac:dyDescent="0.25">
      <c r="B74" s="274" t="s">
        <v>166</v>
      </c>
      <c r="C74" s="276"/>
      <c r="D74" s="276"/>
      <c r="E74" s="325"/>
      <c r="F74" s="277"/>
      <c r="G74" s="279"/>
      <c r="H74" s="272">
        <v>204014.27695000009</v>
      </c>
      <c r="I74" s="277"/>
      <c r="J74" s="279"/>
      <c r="K74" s="272"/>
      <c r="L74" s="272"/>
      <c r="M74" s="272"/>
      <c r="N74" s="280"/>
      <c r="O74" s="326"/>
    </row>
    <row r="75" spans="2:15" x14ac:dyDescent="0.25">
      <c r="B75" s="274"/>
      <c r="C75" s="276"/>
      <c r="D75" s="276"/>
      <c r="E75" s="270"/>
      <c r="F75" s="270"/>
      <c r="G75" s="270"/>
      <c r="H75" s="272"/>
      <c r="I75" s="270"/>
      <c r="J75" s="270"/>
      <c r="K75" s="272"/>
      <c r="L75" s="272"/>
      <c r="M75" s="272"/>
      <c r="N75" s="280"/>
      <c r="O75" s="326"/>
    </row>
    <row r="76" spans="2:15" x14ac:dyDescent="0.25">
      <c r="B76" s="274" t="s">
        <v>167</v>
      </c>
      <c r="C76" s="276"/>
      <c r="D76" s="276"/>
      <c r="E76" s="276"/>
      <c r="F76" s="277"/>
      <c r="G76" s="277"/>
      <c r="H76" s="272">
        <f>H72-H74</f>
        <v>1.8439998966641724E-3</v>
      </c>
      <c r="I76" s="277"/>
      <c r="J76" s="270"/>
      <c r="K76" s="272"/>
      <c r="L76" s="272"/>
      <c r="M76" s="272"/>
      <c r="N76" s="273"/>
      <c r="O76" s="326"/>
    </row>
    <row r="77" spans="2:15" x14ac:dyDescent="0.25">
      <c r="B77" s="274" t="s">
        <v>168</v>
      </c>
      <c r="C77" s="276"/>
      <c r="D77" s="276"/>
      <c r="E77" s="270"/>
      <c r="F77" s="270"/>
      <c r="G77" s="270"/>
      <c r="H77" s="306">
        <f>H76/H72</f>
        <v>9.0385825323830423E-9</v>
      </c>
      <c r="I77" s="277"/>
      <c r="J77" s="270"/>
      <c r="K77" s="272"/>
      <c r="L77" s="272"/>
      <c r="M77" s="272"/>
      <c r="N77" s="273"/>
      <c r="O77" s="296"/>
    </row>
    <row r="78" spans="2:15" x14ac:dyDescent="0.25">
      <c r="B78" s="328"/>
      <c r="C78" s="329"/>
      <c r="D78" s="329"/>
      <c r="E78" s="308"/>
      <c r="F78" s="308"/>
      <c r="G78" s="308"/>
      <c r="H78" s="330"/>
      <c r="I78" s="310"/>
      <c r="J78" s="308"/>
      <c r="K78" s="309"/>
      <c r="L78" s="309"/>
      <c r="M78" s="309"/>
      <c r="N78" s="331"/>
      <c r="O78" s="296"/>
    </row>
    <row r="79" spans="2:15" x14ac:dyDescent="0.25">
      <c r="B79" s="262" t="s">
        <v>91</v>
      </c>
      <c r="C79" s="264"/>
      <c r="D79" s="264" t="s">
        <v>90</v>
      </c>
      <c r="E79" s="264"/>
      <c r="F79" s="265"/>
      <c r="G79" s="265"/>
      <c r="H79" s="267"/>
      <c r="I79" s="266"/>
      <c r="J79" s="265"/>
      <c r="K79" s="267"/>
      <c r="L79" s="267"/>
      <c r="M79" s="267"/>
      <c r="N79" s="312"/>
      <c r="O79" s="236"/>
    </row>
    <row r="80" spans="2:15" x14ac:dyDescent="0.25">
      <c r="B80" s="290"/>
      <c r="C80" s="291"/>
      <c r="D80" s="291"/>
      <c r="E80" s="291"/>
      <c r="F80" s="270"/>
      <c r="G80" s="270"/>
      <c r="H80" s="272"/>
      <c r="I80" s="325"/>
      <c r="J80" s="270"/>
      <c r="K80" s="272"/>
      <c r="L80" s="272"/>
      <c r="M80" s="272"/>
      <c r="N80" s="273"/>
    </row>
    <row r="81" spans="2:15" x14ac:dyDescent="0.25">
      <c r="B81" s="281" t="s">
        <v>184</v>
      </c>
      <c r="C81" s="291" t="s">
        <v>90</v>
      </c>
      <c r="D81" s="275" t="str">
        <f>VLOOKUP(C81,Rates!$B$3:$J$136,2,FALSE)</f>
        <v>SCPA_LL_BSC</v>
      </c>
      <c r="E81" s="276" t="s">
        <v>165</v>
      </c>
      <c r="F81" s="277">
        <f>VLOOKUP(C81,Rates!$B:$J,4,FALSE)</f>
        <v>1649</v>
      </c>
      <c r="G81" s="418">
        <f>VLOOKUP($D81,Rates!$C$1:$J$136,5,FALSE)</f>
        <v>19.89</v>
      </c>
      <c r="H81" s="272">
        <f>SUM(+F81*G81)</f>
        <v>32798.61</v>
      </c>
      <c r="I81" s="277"/>
      <c r="J81" s="279">
        <f>$J$129</f>
        <v>30</v>
      </c>
      <c r="K81" s="272">
        <f>SUM(+F81*J81)</f>
        <v>49470</v>
      </c>
      <c r="L81" s="272"/>
      <c r="M81" s="272">
        <f>K81-H81</f>
        <v>16671.39</v>
      </c>
      <c r="N81" s="280">
        <f>IFERROR(ROUND(M81/H81,5), )</f>
        <v>0.50829999999999997</v>
      </c>
      <c r="O81" s="326"/>
    </row>
    <row r="82" spans="2:15" x14ac:dyDescent="0.25">
      <c r="B82" s="281" t="s">
        <v>170</v>
      </c>
      <c r="C82" s="291" t="s">
        <v>214</v>
      </c>
      <c r="D82" s="275" t="str">
        <f>VLOOKUP(C82,Rates!$B$3:$J$136,2,FALSE)</f>
        <v>SCPA_LL_TRANS</v>
      </c>
      <c r="E82" s="270" t="s">
        <v>162</v>
      </c>
      <c r="F82" s="277">
        <f>VLOOKUP(C82,Rates!$B:$J,5,FALSE)</f>
        <v>22738</v>
      </c>
      <c r="G82" s="278">
        <f>VLOOKUP($D82,Rates!$C$1:$J$136,7,FALSE)</f>
        <v>2.3856000000000002</v>
      </c>
      <c r="H82" s="272">
        <f t="shared" ref="H82" si="36">SUM(+F82*G82)</f>
        <v>54243.772800000006</v>
      </c>
      <c r="I82" s="277"/>
      <c r="J82" s="282">
        <f>$J$130</f>
        <v>2.2273999999999998</v>
      </c>
      <c r="K82" s="272">
        <f t="shared" ref="K82" si="37">SUM(+F82*J82)</f>
        <v>50646.621199999994</v>
      </c>
      <c r="L82" s="272"/>
      <c r="M82" s="272">
        <f t="shared" ref="M82" si="38">K82-H82</f>
        <v>-3597.151600000012</v>
      </c>
      <c r="N82" s="280">
        <f t="shared" ref="N82" si="39">IFERROR(ROUND(M82/H82,5), )</f>
        <v>-6.6309999999999994E-2</v>
      </c>
      <c r="O82" s="326"/>
    </row>
    <row r="83" spans="2:15" x14ac:dyDescent="0.25">
      <c r="B83" s="281"/>
      <c r="C83" s="291"/>
      <c r="D83" s="275"/>
      <c r="E83" s="270"/>
      <c r="F83" s="277"/>
      <c r="G83" s="278"/>
      <c r="H83" s="272"/>
      <c r="I83" s="277"/>
      <c r="J83" s="282"/>
      <c r="K83" s="272"/>
      <c r="L83" s="272"/>
      <c r="M83" s="272"/>
      <c r="N83" s="280"/>
      <c r="O83" s="326"/>
    </row>
    <row r="84" spans="2:15" x14ac:dyDescent="0.25">
      <c r="B84" s="269" t="s">
        <v>147</v>
      </c>
      <c r="C84" s="295"/>
      <c r="D84" s="299" t="s">
        <v>296</v>
      </c>
      <c r="E84" s="295" t="s">
        <v>290</v>
      </c>
      <c r="F84" s="277"/>
      <c r="G84" s="278"/>
      <c r="H84" s="272">
        <v>-221</v>
      </c>
      <c r="I84" s="277"/>
      <c r="J84" s="282"/>
      <c r="K84" s="272"/>
      <c r="L84" s="272"/>
      <c r="M84" s="272">
        <f t="shared" ref="M84" si="40">K84-H84</f>
        <v>221</v>
      </c>
      <c r="N84" s="280">
        <f t="shared" ref="N84" si="41">IFERROR(ROUND(M84/H84,5), )</f>
        <v>-1</v>
      </c>
      <c r="O84" s="326"/>
    </row>
    <row r="85" spans="2:15" x14ac:dyDescent="0.25">
      <c r="B85" s="290"/>
      <c r="C85" s="291"/>
      <c r="D85" s="291"/>
      <c r="E85" s="325"/>
      <c r="F85" s="277"/>
      <c r="G85" s="279"/>
      <c r="H85" s="285"/>
      <c r="I85" s="277"/>
      <c r="J85" s="279"/>
      <c r="K85" s="272"/>
      <c r="L85" s="272"/>
      <c r="M85" s="272"/>
      <c r="N85" s="280"/>
      <c r="O85" s="326"/>
    </row>
    <row r="86" spans="2:15" x14ac:dyDescent="0.25">
      <c r="B86" s="274" t="s">
        <v>16</v>
      </c>
      <c r="C86" s="276"/>
      <c r="D86" s="276"/>
      <c r="E86" s="325"/>
      <c r="F86" s="277"/>
      <c r="G86" s="279"/>
      <c r="H86" s="272">
        <f>SUM(H81:H85)</f>
        <v>86821.382800000007</v>
      </c>
      <c r="I86" s="277"/>
      <c r="J86" s="279"/>
      <c r="K86" s="304">
        <f>SUM(K81:K85)</f>
        <v>100116.62119999999</v>
      </c>
      <c r="L86" s="272"/>
      <c r="M86" s="304">
        <f>SUM(M81:M85)</f>
        <v>13295.238399999987</v>
      </c>
      <c r="N86" s="318">
        <f>IFERROR(ROUND(M86/H86,5), )</f>
        <v>0.15312999999999999</v>
      </c>
      <c r="O86" s="326"/>
    </row>
    <row r="87" spans="2:15" x14ac:dyDescent="0.25">
      <c r="B87" s="274"/>
      <c r="C87" s="276"/>
      <c r="D87" s="276"/>
      <c r="E87" s="325"/>
      <c r="F87" s="277"/>
      <c r="G87" s="279"/>
      <c r="H87" s="272"/>
      <c r="I87" s="277"/>
      <c r="J87" s="279"/>
      <c r="K87" s="272"/>
      <c r="L87" s="272"/>
      <c r="M87" s="272"/>
      <c r="N87" s="280"/>
      <c r="O87" s="326"/>
    </row>
    <row r="88" spans="2:15" x14ac:dyDescent="0.25">
      <c r="B88" s="274" t="s">
        <v>166</v>
      </c>
      <c r="C88" s="276"/>
      <c r="D88" s="276"/>
      <c r="E88" s="325"/>
      <c r="F88" s="277"/>
      <c r="G88" s="279"/>
      <c r="H88" s="272">
        <v>86821.382799999992</v>
      </c>
      <c r="I88" s="277"/>
      <c r="J88" s="279"/>
      <c r="K88" s="272"/>
      <c r="L88" s="272"/>
      <c r="M88" s="272"/>
      <c r="N88" s="280"/>
      <c r="O88" s="326"/>
    </row>
    <row r="89" spans="2:15" x14ac:dyDescent="0.25">
      <c r="B89" s="274"/>
      <c r="C89" s="276"/>
      <c r="D89" s="276"/>
      <c r="E89" s="270"/>
      <c r="F89" s="270"/>
      <c r="G89" s="270"/>
      <c r="H89" s="272"/>
      <c r="I89" s="270"/>
      <c r="J89" s="270"/>
      <c r="K89" s="272"/>
      <c r="L89" s="272"/>
      <c r="M89" s="272"/>
      <c r="N89" s="280"/>
      <c r="O89" s="326"/>
    </row>
    <row r="90" spans="2:15" x14ac:dyDescent="0.25">
      <c r="B90" s="274" t="s">
        <v>167</v>
      </c>
      <c r="C90" s="276"/>
      <c r="D90" s="276"/>
      <c r="E90" s="276"/>
      <c r="F90" s="277"/>
      <c r="G90" s="277"/>
      <c r="H90" s="272">
        <f>H86-H88</f>
        <v>0</v>
      </c>
      <c r="I90" s="277"/>
      <c r="J90" s="270"/>
      <c r="K90" s="272"/>
      <c r="L90" s="272"/>
      <c r="M90" s="272"/>
      <c r="N90" s="273"/>
      <c r="O90" s="326"/>
    </row>
    <row r="91" spans="2:15" x14ac:dyDescent="0.25">
      <c r="B91" s="274" t="s">
        <v>168</v>
      </c>
      <c r="C91" s="276"/>
      <c r="D91" s="276"/>
      <c r="E91" s="270"/>
      <c r="F91" s="270"/>
      <c r="G91" s="270"/>
      <c r="H91" s="306">
        <f>H90/H86</f>
        <v>0</v>
      </c>
      <c r="I91" s="277"/>
      <c r="J91" s="270"/>
      <c r="K91" s="272"/>
      <c r="L91" s="272"/>
      <c r="M91" s="272"/>
      <c r="N91" s="273"/>
      <c r="O91" s="296"/>
    </row>
    <row r="92" spans="2:15" x14ac:dyDescent="0.25">
      <c r="B92" s="328"/>
      <c r="C92" s="329"/>
      <c r="D92" s="329"/>
      <c r="E92" s="308"/>
      <c r="F92" s="308"/>
      <c r="G92" s="308"/>
      <c r="H92" s="330"/>
      <c r="I92" s="310"/>
      <c r="J92" s="308"/>
      <c r="K92" s="309"/>
      <c r="L92" s="309"/>
      <c r="M92" s="309"/>
      <c r="N92" s="331"/>
      <c r="O92" s="296"/>
    </row>
    <row r="93" spans="2:15" x14ac:dyDescent="0.25">
      <c r="B93" s="262" t="s">
        <v>93</v>
      </c>
      <c r="C93" s="264"/>
      <c r="D93" s="264" t="s">
        <v>92</v>
      </c>
      <c r="E93" s="264"/>
      <c r="F93" s="265"/>
      <c r="G93" s="265"/>
      <c r="H93" s="267"/>
      <c r="I93" s="266"/>
      <c r="J93" s="265"/>
      <c r="K93" s="267"/>
      <c r="L93" s="267"/>
      <c r="M93" s="267"/>
      <c r="N93" s="312"/>
      <c r="O93" s="236"/>
    </row>
    <row r="94" spans="2:15" x14ac:dyDescent="0.25">
      <c r="B94" s="290"/>
      <c r="C94" s="291"/>
      <c r="D94" s="291"/>
      <c r="E94" s="291"/>
      <c r="F94" s="270"/>
      <c r="G94" s="270"/>
      <c r="H94" s="272"/>
      <c r="I94" s="325"/>
      <c r="J94" s="270"/>
      <c r="K94" s="272"/>
      <c r="L94" s="272"/>
      <c r="M94" s="272"/>
      <c r="N94" s="273"/>
    </row>
    <row r="95" spans="2:15" x14ac:dyDescent="0.25">
      <c r="B95" s="274" t="s">
        <v>2</v>
      </c>
      <c r="C95" s="291" t="s">
        <v>92</v>
      </c>
      <c r="D95" s="275" t="str">
        <f>VLOOKUP(C95,Rates!$B$3:$J$136,2,FALSE)</f>
        <v>SCPA_LL_BSC</v>
      </c>
      <c r="E95" s="276" t="s">
        <v>165</v>
      </c>
      <c r="F95" s="277">
        <f>VLOOKUP(C95,Rates!$B:$J,4,FALSE)</f>
        <v>577</v>
      </c>
      <c r="G95" s="418">
        <f>VLOOKUP($D95,Rates!$C$1:$J$136,5,FALSE)</f>
        <v>19.89</v>
      </c>
      <c r="H95" s="272">
        <f>SUM(+F95*G95)</f>
        <v>11476.53</v>
      </c>
      <c r="I95" s="277"/>
      <c r="J95" s="279">
        <f>$J$129</f>
        <v>30</v>
      </c>
      <c r="K95" s="272">
        <f>SUM(+F95*J95)</f>
        <v>17310</v>
      </c>
      <c r="L95" s="272"/>
      <c r="M95" s="272">
        <f>K95-H95</f>
        <v>5833.4699999999993</v>
      </c>
      <c r="N95" s="280">
        <f>IFERROR(ROUND(M95/H95,5), )</f>
        <v>0.50829999999999997</v>
      </c>
      <c r="O95" s="326"/>
    </row>
    <row r="96" spans="2:15" x14ac:dyDescent="0.25">
      <c r="B96" s="281" t="s">
        <v>98</v>
      </c>
      <c r="C96" s="291" t="s">
        <v>216</v>
      </c>
      <c r="D96" s="275" t="str">
        <f>VLOOKUP(C96,Rates!$B$3:$J$136,2,FALSE)</f>
        <v>SCPA_LL_B1</v>
      </c>
      <c r="E96" s="270" t="s">
        <v>162</v>
      </c>
      <c r="F96" s="277">
        <f>VLOOKUP(C96,Rates!$B:$J,5,FALSE)</f>
        <v>1940.6000000000001</v>
      </c>
      <c r="G96" s="278">
        <f>VLOOKUP($D96,Rates!$C$1:$J$136,7,FALSE)</f>
        <v>2.4148999999999998</v>
      </c>
      <c r="H96" s="272">
        <f t="shared" ref="H96:H97" si="42">SUM(+F96*G96)</f>
        <v>4686.3549400000002</v>
      </c>
      <c r="I96" s="277"/>
      <c r="J96" s="282"/>
      <c r="K96" s="272">
        <f t="shared" ref="K96:K97" si="43">SUM(+F96*J96)</f>
        <v>0</v>
      </c>
      <c r="L96" s="272"/>
      <c r="M96" s="272">
        <f t="shared" ref="M96:M97" si="44">K96-H96</f>
        <v>-4686.3549400000002</v>
      </c>
      <c r="N96" s="280">
        <f t="shared" ref="N96:N98" si="45">IFERROR(ROUND(M96/H96,5), )</f>
        <v>-1</v>
      </c>
      <c r="O96" s="326"/>
    </row>
    <row r="97" spans="2:17" x14ac:dyDescent="0.25">
      <c r="B97" s="283" t="s">
        <v>103</v>
      </c>
      <c r="C97" s="291" t="s">
        <v>217</v>
      </c>
      <c r="D97" s="275" t="str">
        <f>VLOOKUP(C97,Rates!$B$3:$J$136,2,FALSE)</f>
        <v>SCPA_LL_B2</v>
      </c>
      <c r="E97" s="270" t="s">
        <v>162</v>
      </c>
      <c r="F97" s="284">
        <f>VLOOKUP(C97,Rates!$B:$J,5,FALSE)</f>
        <v>4061.4</v>
      </c>
      <c r="G97" s="278">
        <f>VLOOKUP($D97,Rates!$C$1:$J$136,7,FALSE)</f>
        <v>2.1225000000000001</v>
      </c>
      <c r="H97" s="285">
        <f t="shared" si="42"/>
        <v>8620.3215</v>
      </c>
      <c r="I97" s="277"/>
      <c r="J97" s="286"/>
      <c r="K97" s="285">
        <f t="shared" si="43"/>
        <v>0</v>
      </c>
      <c r="L97" s="272"/>
      <c r="M97" s="285">
        <f t="shared" si="44"/>
        <v>-8620.3215</v>
      </c>
      <c r="N97" s="287">
        <f t="shared" si="45"/>
        <v>-1</v>
      </c>
      <c r="O97" s="326"/>
      <c r="Q97" s="288"/>
    </row>
    <row r="98" spans="2:17" x14ac:dyDescent="0.25">
      <c r="B98" s="281" t="s">
        <v>298</v>
      </c>
      <c r="D98" s="289" t="s">
        <v>345</v>
      </c>
      <c r="E98" s="270"/>
      <c r="F98" s="277">
        <f>SUM(F96:F97)</f>
        <v>6002</v>
      </c>
      <c r="G98" s="278"/>
      <c r="H98" s="272">
        <f>SUM(H96:H97)</f>
        <v>13306.676439999999</v>
      </c>
      <c r="I98" s="277"/>
      <c r="J98" s="282">
        <f>$J$130</f>
        <v>2.2273999999999998</v>
      </c>
      <c r="K98" s="272">
        <f t="shared" ref="K98" si="46">SUM(+F98*J98)</f>
        <v>13368.854799999999</v>
      </c>
      <c r="L98" s="272"/>
      <c r="M98" s="272">
        <f>K98-H98</f>
        <v>62.178359999999884</v>
      </c>
      <c r="N98" s="280">
        <f t="shared" si="45"/>
        <v>4.6699999999999997E-3</v>
      </c>
      <c r="O98" s="326"/>
      <c r="Q98" s="288"/>
    </row>
    <row r="99" spans="2:17" x14ac:dyDescent="0.25">
      <c r="B99" s="290"/>
      <c r="C99" s="291"/>
      <c r="D99" s="291"/>
      <c r="E99" s="325"/>
      <c r="F99" s="277"/>
      <c r="G99" s="279"/>
      <c r="H99" s="272"/>
      <c r="I99" s="277"/>
      <c r="J99" s="279"/>
      <c r="K99" s="272"/>
      <c r="L99" s="272"/>
      <c r="M99" s="272"/>
      <c r="N99" s="280"/>
      <c r="O99" s="326"/>
      <c r="Q99" s="288"/>
    </row>
    <row r="100" spans="2:17" x14ac:dyDescent="0.25">
      <c r="B100" s="269" t="s">
        <v>163</v>
      </c>
      <c r="C100" s="291"/>
      <c r="D100" s="293" t="s">
        <v>148</v>
      </c>
      <c r="E100" s="294" t="s">
        <v>279</v>
      </c>
      <c r="F100" s="277"/>
      <c r="G100" s="278">
        <f>VLOOKUP($D100,Rates!$C$1:$J$136,5,FALSE)</f>
        <v>0</v>
      </c>
      <c r="H100" s="272">
        <f>(F96+F97)*G100</f>
        <v>0</v>
      </c>
      <c r="I100" s="277"/>
      <c r="J100" s="282">
        <f>ROUND(G100*(1+$P$22), 2)</f>
        <v>0</v>
      </c>
      <c r="K100" s="272">
        <f>(F96+F97)*J100</f>
        <v>0</v>
      </c>
      <c r="L100" s="272"/>
      <c r="M100" s="272">
        <f t="shared" ref="M100" si="47">K100-H100</f>
        <v>0</v>
      </c>
      <c r="N100" s="280">
        <f t="shared" ref="N100" si="48">IFERROR(ROUND(M100/H100,5), )</f>
        <v>0</v>
      </c>
      <c r="O100" s="326"/>
    </row>
    <row r="101" spans="2:17" x14ac:dyDescent="0.25">
      <c r="B101" s="269" t="s">
        <v>147</v>
      </c>
      <c r="C101" s="295"/>
      <c r="D101" s="299" t="s">
        <v>296</v>
      </c>
      <c r="E101" s="295" t="s">
        <v>290</v>
      </c>
      <c r="F101" s="277"/>
      <c r="G101" s="278"/>
      <c r="H101" s="272">
        <v>-61</v>
      </c>
      <c r="I101" s="277"/>
      <c r="J101" s="282"/>
      <c r="K101" s="272"/>
      <c r="L101" s="272"/>
      <c r="M101" s="272">
        <f t="shared" ref="M101" si="49">K101-H101</f>
        <v>61</v>
      </c>
      <c r="N101" s="280">
        <f t="shared" ref="N101" si="50">IFERROR(ROUND(M101/H101,5), )</f>
        <v>-1</v>
      </c>
      <c r="O101" s="326"/>
    </row>
    <row r="102" spans="2:17" x14ac:dyDescent="0.25">
      <c r="B102" s="301"/>
      <c r="C102" s="295"/>
      <c r="D102" s="295"/>
      <c r="E102" s="325"/>
      <c r="F102" s="277"/>
      <c r="G102" s="279"/>
      <c r="H102" s="285"/>
      <c r="I102" s="277"/>
      <c r="J102" s="279"/>
      <c r="K102" s="285"/>
      <c r="L102" s="272"/>
      <c r="M102" s="285"/>
      <c r="N102" s="280"/>
      <c r="O102" s="326"/>
    </row>
    <row r="103" spans="2:17" x14ac:dyDescent="0.25">
      <c r="B103" s="274" t="s">
        <v>16</v>
      </c>
      <c r="C103" s="276"/>
      <c r="D103" s="276"/>
      <c r="E103" s="325"/>
      <c r="F103" s="277"/>
      <c r="G103" s="279"/>
      <c r="H103" s="272">
        <f>SUM(H98:H101)+H95</f>
        <v>24722.206440000002</v>
      </c>
      <c r="I103" s="277"/>
      <c r="J103" s="279"/>
      <c r="K103" s="272">
        <f>SUM(K98:K101)+K95</f>
        <v>30678.854800000001</v>
      </c>
      <c r="L103" s="272"/>
      <c r="M103" s="272">
        <f>SUM(M98:M101)+M95</f>
        <v>5956.6483599999992</v>
      </c>
      <c r="N103" s="318">
        <f>IFERROR(ROUND(M103/H103,5), )</f>
        <v>0.24093999999999999</v>
      </c>
      <c r="O103" s="326"/>
    </row>
    <row r="104" spans="2:17" x14ac:dyDescent="0.25">
      <c r="B104" s="274"/>
      <c r="C104" s="276"/>
      <c r="D104" s="276"/>
      <c r="E104" s="325"/>
      <c r="F104" s="277"/>
      <c r="G104" s="279"/>
      <c r="H104" s="272"/>
      <c r="I104" s="277"/>
      <c r="J104" s="279"/>
      <c r="K104" s="272"/>
      <c r="L104" s="272"/>
      <c r="M104" s="272"/>
      <c r="N104" s="280"/>
      <c r="O104" s="326"/>
    </row>
    <row r="105" spans="2:17" x14ac:dyDescent="0.25">
      <c r="B105" s="274" t="s">
        <v>166</v>
      </c>
      <c r="C105" s="276"/>
      <c r="D105" s="276"/>
      <c r="E105" s="325"/>
      <c r="F105" s="277"/>
      <c r="G105" s="279"/>
      <c r="H105" s="272">
        <v>24722.204940000007</v>
      </c>
      <c r="I105" s="277"/>
      <c r="J105" s="279"/>
      <c r="K105" s="272"/>
      <c r="L105" s="272"/>
      <c r="M105" s="272"/>
      <c r="N105" s="280"/>
      <c r="O105" s="326"/>
    </row>
    <row r="106" spans="2:17" x14ac:dyDescent="0.25">
      <c r="B106" s="274"/>
      <c r="C106" s="276"/>
      <c r="D106" s="276"/>
      <c r="E106" s="270"/>
      <c r="F106" s="270"/>
      <c r="G106" s="270"/>
      <c r="H106" s="272"/>
      <c r="I106" s="270"/>
      <c r="J106" s="270"/>
      <c r="K106" s="272"/>
      <c r="L106" s="272"/>
      <c r="M106" s="272"/>
      <c r="N106" s="280"/>
      <c r="O106" s="326"/>
    </row>
    <row r="107" spans="2:17" x14ac:dyDescent="0.25">
      <c r="B107" s="274" t="s">
        <v>167</v>
      </c>
      <c r="C107" s="276"/>
      <c r="D107" s="276"/>
      <c r="E107" s="276"/>
      <c r="F107" s="277"/>
      <c r="G107" s="277"/>
      <c r="H107" s="272">
        <f>H103-H105</f>
        <v>1.499999994848622E-3</v>
      </c>
      <c r="I107" s="277"/>
      <c r="J107" s="270"/>
      <c r="K107" s="272"/>
      <c r="L107" s="272"/>
      <c r="M107" s="272"/>
      <c r="N107" s="273"/>
      <c r="O107" s="326"/>
    </row>
    <row r="108" spans="2:17" x14ac:dyDescent="0.25">
      <c r="B108" s="274" t="s">
        <v>168</v>
      </c>
      <c r="C108" s="276"/>
      <c r="D108" s="276"/>
      <c r="E108" s="270"/>
      <c r="F108" s="270"/>
      <c r="G108" s="270"/>
      <c r="H108" s="306">
        <f>H107/H103</f>
        <v>6.0674195828316282E-8</v>
      </c>
      <c r="I108" s="277"/>
      <c r="J108" s="270"/>
      <c r="K108" s="272"/>
      <c r="L108" s="272"/>
      <c r="M108" s="272"/>
      <c r="N108" s="273"/>
      <c r="O108" s="296"/>
    </row>
    <row r="109" spans="2:17" x14ac:dyDescent="0.25">
      <c r="B109" s="328"/>
      <c r="C109" s="329"/>
      <c r="D109" s="329"/>
      <c r="E109" s="308"/>
      <c r="F109" s="308"/>
      <c r="G109" s="308"/>
      <c r="H109" s="330"/>
      <c r="I109" s="310"/>
      <c r="J109" s="308"/>
      <c r="K109" s="309"/>
      <c r="L109" s="309"/>
      <c r="M109" s="309"/>
      <c r="N109" s="331"/>
      <c r="O109" s="296"/>
    </row>
    <row r="110" spans="2:17" x14ac:dyDescent="0.25">
      <c r="B110" s="276"/>
      <c r="C110" s="276"/>
      <c r="D110" s="276"/>
      <c r="E110" s="270"/>
      <c r="F110" s="270"/>
      <c r="G110" s="270"/>
      <c r="H110" s="306"/>
      <c r="I110" s="277"/>
      <c r="J110" s="270"/>
      <c r="K110" s="272"/>
      <c r="L110" s="272"/>
      <c r="M110" s="272"/>
      <c r="N110" s="332"/>
      <c r="O110" s="296"/>
    </row>
    <row r="111" spans="2:17" x14ac:dyDescent="0.25">
      <c r="B111" s="333" t="s">
        <v>306</v>
      </c>
      <c r="C111" s="334"/>
      <c r="D111" s="334"/>
      <c r="E111" s="334"/>
      <c r="F111" s="335" t="s">
        <v>162</v>
      </c>
      <c r="G111" s="258"/>
      <c r="H111" s="336" t="s">
        <v>3</v>
      </c>
      <c r="I111" s="259"/>
      <c r="J111" s="258"/>
      <c r="K111" s="337" t="s">
        <v>4</v>
      </c>
      <c r="L111" s="260"/>
      <c r="M111" s="337" t="s">
        <v>18</v>
      </c>
      <c r="N111" s="314"/>
      <c r="O111" s="296"/>
    </row>
    <row r="112" spans="2:17" x14ac:dyDescent="0.25">
      <c r="B112" s="338" t="s">
        <v>16</v>
      </c>
      <c r="C112" s="270"/>
      <c r="D112" s="270"/>
      <c r="E112" s="291"/>
      <c r="F112" s="339">
        <f>SUMIF(E12:E109,F111,F12:F109)</f>
        <v>1232661</v>
      </c>
      <c r="G112" s="270"/>
      <c r="H112" s="272">
        <f>H22+H36+H53+H72+H86+H103</f>
        <v>5303778.5266899997</v>
      </c>
      <c r="I112" s="277"/>
      <c r="J112" s="270"/>
      <c r="K112" s="272">
        <f>K22+K36+K53+K72+K86+K103</f>
        <v>6607958.2773999991</v>
      </c>
      <c r="L112" s="272"/>
      <c r="M112" s="272">
        <f>K112-H112</f>
        <v>1304179.7507099994</v>
      </c>
      <c r="N112" s="280">
        <f>M112/H112</f>
        <v>0.24589634430378757</v>
      </c>
      <c r="O112" s="296"/>
    </row>
    <row r="113" spans="2:15" x14ac:dyDescent="0.25">
      <c r="B113" s="290"/>
      <c r="C113" s="291"/>
      <c r="D113" s="291"/>
      <c r="E113" s="291"/>
      <c r="F113" s="270"/>
      <c r="G113" s="270"/>
      <c r="H113" s="291"/>
      <c r="I113" s="277"/>
      <c r="J113" s="270"/>
      <c r="K113" s="279"/>
      <c r="L113" s="279"/>
      <c r="M113" s="270"/>
      <c r="N113" s="340"/>
      <c r="O113" s="296"/>
    </row>
    <row r="114" spans="2:15" x14ac:dyDescent="0.25">
      <c r="B114" s="290"/>
      <c r="C114" s="291"/>
      <c r="D114" s="291"/>
      <c r="E114" s="291"/>
      <c r="F114" s="270"/>
      <c r="G114" s="270"/>
      <c r="H114" s="341" t="s">
        <v>3</v>
      </c>
      <c r="I114" s="342"/>
      <c r="J114" s="341"/>
      <c r="K114" s="343" t="s">
        <v>4</v>
      </c>
      <c r="L114" s="343"/>
      <c r="M114" s="343" t="s">
        <v>18</v>
      </c>
      <c r="N114" s="273"/>
      <c r="O114" s="296"/>
    </row>
    <row r="115" spans="2:15" x14ac:dyDescent="0.25">
      <c r="B115" s="290"/>
      <c r="C115" s="291"/>
      <c r="D115" s="291"/>
      <c r="E115" s="344" t="s">
        <v>165</v>
      </c>
      <c r="F115" s="345"/>
      <c r="G115" s="270"/>
      <c r="H115" s="339">
        <f t="shared" ref="H115:H120" si="51">SUMIF($E$12:$E$109,E115,$H$12:$H$109)</f>
        <v>2459756.52</v>
      </c>
      <c r="I115" s="277"/>
      <c r="J115" s="270"/>
      <c r="K115" s="339">
        <f>SUMIF($E$12:$E$109,E115,$K$12:$K$109)</f>
        <v>3710040</v>
      </c>
      <c r="L115" s="279"/>
      <c r="M115" s="272">
        <f>K115-H115</f>
        <v>1250283.48</v>
      </c>
      <c r="N115" s="280">
        <f>IFERROR(ROUND(M115/H115,5), )</f>
        <v>0.50829999999999997</v>
      </c>
      <c r="O115" s="296"/>
    </row>
    <row r="116" spans="2:15" x14ac:dyDescent="0.25">
      <c r="B116" s="290"/>
      <c r="C116" s="291"/>
      <c r="D116" s="291"/>
      <c r="E116" s="344" t="s">
        <v>162</v>
      </c>
      <c r="F116" s="270"/>
      <c r="G116" s="270"/>
      <c r="H116" s="339">
        <f t="shared" si="51"/>
        <v>2758818.7845599991</v>
      </c>
      <c r="I116" s="277"/>
      <c r="J116" s="270"/>
      <c r="K116" s="347">
        <f>K15+K32+K48+K65+K82+K98</f>
        <v>2745629.1113999994</v>
      </c>
      <c r="L116" s="279"/>
      <c r="M116" s="272">
        <f t="shared" ref="M116:M120" si="52">K116-H116</f>
        <v>-13189.673159999773</v>
      </c>
      <c r="N116" s="280">
        <f t="shared" ref="N116:N121" si="53">IFERROR(ROUND(M116/H116,5), )</f>
        <v>-4.7800000000000004E-3</v>
      </c>
      <c r="O116" s="296"/>
    </row>
    <row r="117" spans="2:15" x14ac:dyDescent="0.25">
      <c r="B117" s="290"/>
      <c r="C117" s="291"/>
      <c r="D117" s="291"/>
      <c r="E117" s="348" t="s">
        <v>279</v>
      </c>
      <c r="F117" s="270"/>
      <c r="G117" s="270"/>
      <c r="H117" s="346">
        <f t="shared" si="51"/>
        <v>0</v>
      </c>
      <c r="I117" s="277"/>
      <c r="J117" s="270"/>
      <c r="K117" s="346">
        <f>SUMIF($E$12:$E$109,E117,$K$12:$K$109)</f>
        <v>0</v>
      </c>
      <c r="L117" s="279"/>
      <c r="M117" s="272">
        <f t="shared" si="52"/>
        <v>0</v>
      </c>
      <c r="N117" s="280">
        <f t="shared" si="53"/>
        <v>0</v>
      </c>
      <c r="O117" s="296"/>
    </row>
    <row r="118" spans="2:15" x14ac:dyDescent="0.25">
      <c r="B118" s="290"/>
      <c r="C118" s="291"/>
      <c r="D118" s="291"/>
      <c r="E118" s="344" t="s">
        <v>287</v>
      </c>
      <c r="F118" s="270"/>
      <c r="G118" s="270"/>
      <c r="H118" s="339">
        <f t="shared" si="51"/>
        <v>19076.272129999998</v>
      </c>
      <c r="I118" s="277"/>
      <c r="J118" s="270"/>
      <c r="K118" s="339">
        <f>SUMIF($E$12:$E$109,E118,$K$12:$K$109)</f>
        <v>42514.854999999996</v>
      </c>
      <c r="L118" s="279"/>
      <c r="M118" s="272">
        <f t="shared" si="52"/>
        <v>23438.582869999998</v>
      </c>
      <c r="N118" s="280">
        <f t="shared" si="53"/>
        <v>1.22868</v>
      </c>
      <c r="O118" s="296"/>
    </row>
    <row r="119" spans="2:15" x14ac:dyDescent="0.25">
      <c r="B119" s="290"/>
      <c r="C119" s="291"/>
      <c r="D119" s="291"/>
      <c r="E119" s="344" t="s">
        <v>288</v>
      </c>
      <c r="F119" s="270"/>
      <c r="G119" s="270"/>
      <c r="H119" s="339">
        <f t="shared" si="51"/>
        <v>100315.94999999998</v>
      </c>
      <c r="I119" s="277"/>
      <c r="J119" s="270"/>
      <c r="K119" s="339">
        <f>SUMIF($E$12:$E$109,E119,$K$12:$K$109)</f>
        <v>109774.311</v>
      </c>
      <c r="L119" s="279"/>
      <c r="M119" s="272">
        <f t="shared" si="52"/>
        <v>9458.361000000019</v>
      </c>
      <c r="N119" s="280">
        <f t="shared" si="53"/>
        <v>9.4289999999999999E-2</v>
      </c>
      <c r="O119" s="296"/>
    </row>
    <row r="120" spans="2:15" x14ac:dyDescent="0.25">
      <c r="B120" s="290"/>
      <c r="C120" s="291"/>
      <c r="D120" s="291"/>
      <c r="E120" s="344" t="s">
        <v>290</v>
      </c>
      <c r="F120" s="270"/>
      <c r="G120" s="270"/>
      <c r="H120" s="367">
        <f t="shared" si="51"/>
        <v>-34189</v>
      </c>
      <c r="I120" s="284"/>
      <c r="J120" s="350"/>
      <c r="K120" s="349">
        <f>SUMIF($E$12:$E$109,E120,$K$12:$K$109)</f>
        <v>0</v>
      </c>
      <c r="L120" s="351"/>
      <c r="M120" s="285">
        <f t="shared" si="52"/>
        <v>34189</v>
      </c>
      <c r="N120" s="287">
        <f t="shared" si="53"/>
        <v>-1</v>
      </c>
      <c r="O120" s="296"/>
    </row>
    <row r="121" spans="2:15" x14ac:dyDescent="0.25">
      <c r="B121" s="290"/>
      <c r="C121" s="291"/>
      <c r="D121" s="291"/>
      <c r="E121" s="291"/>
      <c r="F121" s="270"/>
      <c r="G121" s="270"/>
      <c r="H121" s="352">
        <f>SUM(H115:H120)</f>
        <v>5303778.5266899997</v>
      </c>
      <c r="I121" s="277"/>
      <c r="J121" s="270"/>
      <c r="K121" s="352">
        <f>SUM(K115:K120)</f>
        <v>6607958.2773999991</v>
      </c>
      <c r="L121" s="279"/>
      <c r="M121" s="352">
        <f>SUM(M115:M120)</f>
        <v>1304179.7507100003</v>
      </c>
      <c r="N121" s="280">
        <f t="shared" si="53"/>
        <v>0.24590000000000001</v>
      </c>
      <c r="O121" s="296"/>
    </row>
    <row r="122" spans="2:15" x14ac:dyDescent="0.25">
      <c r="B122" s="290"/>
      <c r="C122" s="291"/>
      <c r="D122" s="291"/>
      <c r="E122" s="291"/>
      <c r="F122" s="270"/>
      <c r="G122" s="270"/>
      <c r="H122" s="291"/>
      <c r="I122" s="277"/>
      <c r="J122" s="270"/>
      <c r="K122" s="279"/>
      <c r="L122" s="279"/>
      <c r="M122" s="270"/>
      <c r="N122" s="340"/>
      <c r="O122" s="296"/>
    </row>
    <row r="123" spans="2:15" x14ac:dyDescent="0.25">
      <c r="B123" s="290"/>
      <c r="C123" s="291"/>
      <c r="D123" s="291"/>
      <c r="E123" s="291"/>
      <c r="F123" s="270"/>
      <c r="G123" s="270"/>
      <c r="H123" s="353">
        <v>5303778.1346900016</v>
      </c>
      <c r="I123" s="277"/>
      <c r="J123" s="270"/>
      <c r="K123" s="272">
        <v>6607985.7068248885</v>
      </c>
      <c r="L123" s="279"/>
      <c r="M123" s="270"/>
      <c r="N123" s="340"/>
      <c r="O123" s="296"/>
    </row>
    <row r="124" spans="2:15" x14ac:dyDescent="0.25">
      <c r="B124" s="290"/>
      <c r="C124" s="291"/>
      <c r="D124" s="291"/>
      <c r="E124" s="291"/>
      <c r="F124" s="270"/>
      <c r="G124" s="270"/>
      <c r="H124" s="291"/>
      <c r="I124" s="277"/>
      <c r="J124" s="270"/>
      <c r="K124" s="279"/>
      <c r="L124" s="279"/>
      <c r="M124" s="270"/>
      <c r="N124" s="340"/>
      <c r="O124" s="296"/>
    </row>
    <row r="125" spans="2:15" x14ac:dyDescent="0.25">
      <c r="B125" s="274" t="s">
        <v>167</v>
      </c>
      <c r="C125" s="291"/>
      <c r="D125" s="291"/>
      <c r="E125" s="291"/>
      <c r="F125" s="270"/>
      <c r="G125" s="270"/>
      <c r="H125" s="272">
        <f>H121-H123</f>
        <v>0.39199999812990427</v>
      </c>
      <c r="I125" s="277"/>
      <c r="J125" s="270"/>
      <c r="K125" s="272">
        <f>K121-K123</f>
        <v>-27.4294248893857</v>
      </c>
      <c r="L125" s="279"/>
      <c r="M125" s="270"/>
      <c r="N125" s="340"/>
      <c r="O125" s="296"/>
    </row>
    <row r="126" spans="2:15" x14ac:dyDescent="0.25">
      <c r="B126" s="274" t="s">
        <v>168</v>
      </c>
      <c r="C126" s="291"/>
      <c r="D126" s="291"/>
      <c r="E126" s="291"/>
      <c r="F126" s="270"/>
      <c r="G126" s="270"/>
      <c r="H126" s="306">
        <f>H125/H121</f>
        <v>7.3909571479513673E-8</v>
      </c>
      <c r="I126" s="277"/>
      <c r="J126" s="270"/>
      <c r="K126" s="306">
        <f>K125/K121</f>
        <v>-4.1509682322295507E-6</v>
      </c>
      <c r="L126" s="279"/>
      <c r="M126" s="270"/>
      <c r="N126" s="340"/>
      <c r="O126" s="296"/>
    </row>
    <row r="127" spans="2:15" x14ac:dyDescent="0.25">
      <c r="B127" s="274"/>
      <c r="C127" s="354"/>
      <c r="D127" s="276"/>
      <c r="E127" s="270"/>
      <c r="F127" s="270"/>
      <c r="G127" s="270"/>
      <c r="H127" s="306"/>
      <c r="I127" s="277"/>
      <c r="J127" s="270"/>
      <c r="K127" s="272"/>
      <c r="L127" s="272"/>
      <c r="M127" s="272"/>
      <c r="N127" s="273"/>
      <c r="O127" s="296"/>
    </row>
    <row r="128" spans="2:15" ht="15.75" thickBot="1" x14ac:dyDescent="0.3">
      <c r="B128" s="355" t="s">
        <v>297</v>
      </c>
      <c r="C128" s="291"/>
      <c r="D128" s="356"/>
      <c r="E128" s="334"/>
      <c r="F128" s="357"/>
      <c r="G128" s="686" t="s">
        <v>3</v>
      </c>
      <c r="H128" s="686"/>
      <c r="I128" s="259"/>
      <c r="J128" s="687" t="s">
        <v>4</v>
      </c>
      <c r="K128" s="688"/>
      <c r="L128" s="358"/>
      <c r="M128" s="358" t="s">
        <v>18</v>
      </c>
      <c r="N128" s="314"/>
      <c r="O128" s="296"/>
    </row>
    <row r="129" spans="2:16" ht="15.75" thickBot="1" x14ac:dyDescent="0.3">
      <c r="B129" s="359">
        <v>6607985.7068248885</v>
      </c>
      <c r="C129" s="270"/>
      <c r="D129" s="295"/>
      <c r="E129" s="295" t="s">
        <v>165</v>
      </c>
      <c r="F129" s="345">
        <f>SUMIF($E$12:$E$109,E129,$F$12:$F$109)</f>
        <v>123668</v>
      </c>
      <c r="G129" s="406">
        <f>G12</f>
        <v>19.89</v>
      </c>
      <c r="H129" s="339">
        <f t="shared" ref="H129:H135" si="54">SUMIF($E$12:$E$109,E129,$H$12:$H$109)</f>
        <v>2459756.52</v>
      </c>
      <c r="I129" s="277"/>
      <c r="J129" s="604">
        <v>30</v>
      </c>
      <c r="K129" s="339">
        <f>J129*F129</f>
        <v>3710040</v>
      </c>
      <c r="L129" s="279"/>
      <c r="M129" s="272">
        <f>K129-H129</f>
        <v>1250283.48</v>
      </c>
      <c r="N129" s="362">
        <f t="shared" ref="N129:N133" si="55">IFERROR(ROUND(M129/H129,5), )</f>
        <v>0.50829999999999997</v>
      </c>
      <c r="O129" s="296"/>
    </row>
    <row r="130" spans="2:16" x14ac:dyDescent="0.25">
      <c r="B130" s="363"/>
      <c r="C130" s="291"/>
      <c r="D130" s="364"/>
      <c r="E130" s="295" t="s">
        <v>162</v>
      </c>
      <c r="F130" s="345">
        <f>F15+F32+F48+F65+F82+F98</f>
        <v>1232661</v>
      </c>
      <c r="G130" s="346"/>
      <c r="H130" s="339">
        <f t="shared" si="54"/>
        <v>2758818.7845599991</v>
      </c>
      <c r="I130" s="277"/>
      <c r="J130" s="278">
        <f>ROUND(K130/F130,4)</f>
        <v>2.2273999999999998</v>
      </c>
      <c r="K130" s="339">
        <f>B129-SUM(K129,K133,K134)</f>
        <v>2745656.5408248883</v>
      </c>
      <c r="L130" s="279"/>
      <c r="M130" s="272">
        <f t="shared" ref="M130:M135" si="56">K130-H130</f>
        <v>-13162.243735110853</v>
      </c>
      <c r="N130" s="362">
        <f t="shared" si="55"/>
        <v>-4.7699999999999999E-3</v>
      </c>
      <c r="O130" s="296"/>
    </row>
    <row r="131" spans="2:16" s="270" customFormat="1" x14ac:dyDescent="0.25">
      <c r="B131" s="365" t="s">
        <v>15</v>
      </c>
      <c r="C131" s="291"/>
      <c r="D131" s="364"/>
      <c r="E131" s="294" t="s">
        <v>279</v>
      </c>
      <c r="F131" s="345"/>
      <c r="H131" s="339">
        <f t="shared" si="54"/>
        <v>0</v>
      </c>
      <c r="I131" s="277"/>
      <c r="J131" s="278"/>
      <c r="K131" s="339">
        <f>SUMIF($E$12:$E$109,E131,$K$12:$K$109)</f>
        <v>0</v>
      </c>
      <c r="L131" s="279"/>
      <c r="M131" s="272">
        <f t="shared" si="56"/>
        <v>0</v>
      </c>
      <c r="N131" s="362">
        <f t="shared" si="55"/>
        <v>0</v>
      </c>
      <c r="P131" s="366"/>
    </row>
    <row r="132" spans="2:16" s="270" customFormat="1" ht="15.75" thickBot="1" x14ac:dyDescent="0.3">
      <c r="B132" s="365">
        <f>K112-B129</f>
        <v>-27.4294248893857</v>
      </c>
      <c r="C132" s="291"/>
      <c r="D132" s="364"/>
      <c r="E132" s="295" t="s">
        <v>280</v>
      </c>
      <c r="F132" s="345"/>
      <c r="H132" s="339">
        <f t="shared" si="54"/>
        <v>0</v>
      </c>
      <c r="I132" s="277"/>
      <c r="J132" s="278"/>
      <c r="K132" s="339">
        <f>SUMIF($E$12:$E$109,E132,$K$12:$K$109)</f>
        <v>0</v>
      </c>
      <c r="L132" s="279"/>
      <c r="M132" s="272">
        <f t="shared" si="56"/>
        <v>0</v>
      </c>
      <c r="N132" s="362">
        <f t="shared" si="55"/>
        <v>0</v>
      </c>
      <c r="P132" s="366"/>
    </row>
    <row r="133" spans="2:16" s="270" customFormat="1" ht="15.75" thickBot="1" x14ac:dyDescent="0.3">
      <c r="B133" s="290"/>
      <c r="C133" s="291"/>
      <c r="D133" s="299" t="s">
        <v>289</v>
      </c>
      <c r="E133" s="295" t="s">
        <v>287</v>
      </c>
      <c r="F133" s="345">
        <f>F13+F14+F63+F64</f>
        <v>955389.99999999988</v>
      </c>
      <c r="H133" s="339">
        <f t="shared" si="54"/>
        <v>19076.272129999998</v>
      </c>
      <c r="I133" s="277"/>
      <c r="J133" s="361">
        <f>VLOOKUP($D133,Rates!$C$1:$J$136,8,FALSE)</f>
        <v>4.4499999999999998E-2</v>
      </c>
      <c r="K133" s="339">
        <f>J133*F133</f>
        <v>42514.854999999996</v>
      </c>
      <c r="L133" s="279"/>
      <c r="M133" s="272">
        <f t="shared" si="56"/>
        <v>23438.582869999998</v>
      </c>
      <c r="N133" s="362">
        <f t="shared" si="55"/>
        <v>1.22868</v>
      </c>
      <c r="P133" s="366"/>
    </row>
    <row r="134" spans="2:16" s="270" customFormat="1" ht="15.75" thickBot="1" x14ac:dyDescent="0.3">
      <c r="B134" s="290"/>
      <c r="C134" s="291"/>
      <c r="D134" s="299" t="s">
        <v>286</v>
      </c>
      <c r="E134" s="295" t="s">
        <v>288</v>
      </c>
      <c r="F134" s="345">
        <f>F133</f>
        <v>955389.99999999988</v>
      </c>
      <c r="H134" s="339">
        <f t="shared" si="54"/>
        <v>100315.94999999998</v>
      </c>
      <c r="I134" s="277"/>
      <c r="J134" s="361">
        <f>VLOOKUP($D134,Rates!$C$1:$J$136,8,FALSE)</f>
        <v>0.1149</v>
      </c>
      <c r="K134" s="339">
        <f>J134*F134</f>
        <v>109774.31099999999</v>
      </c>
      <c r="L134" s="279"/>
      <c r="M134" s="272">
        <f t="shared" si="56"/>
        <v>9458.3610000000044</v>
      </c>
      <c r="N134" s="362">
        <f>IFERROR(ROUND(M134/H134,5), )</f>
        <v>9.4289999999999999E-2</v>
      </c>
      <c r="P134" s="366"/>
    </row>
    <row r="135" spans="2:16" s="270" customFormat="1" x14ac:dyDescent="0.25">
      <c r="B135" s="290"/>
      <c r="C135" s="291"/>
      <c r="D135" s="364"/>
      <c r="E135" s="295" t="s">
        <v>290</v>
      </c>
      <c r="F135" s="345"/>
      <c r="H135" s="367">
        <f t="shared" si="54"/>
        <v>-34189</v>
      </c>
      <c r="I135" s="277"/>
      <c r="J135" s="278"/>
      <c r="K135" s="367">
        <f>SUMIF($E$12:$E$109,E135,$K$12:$K$109)</f>
        <v>0</v>
      </c>
      <c r="L135" s="279"/>
      <c r="M135" s="285">
        <f t="shared" si="56"/>
        <v>34189</v>
      </c>
      <c r="N135" s="362">
        <f>IFERROR(ROUND(M135/H135,5), )</f>
        <v>-1</v>
      </c>
      <c r="P135" s="366"/>
    </row>
    <row r="136" spans="2:16" s="270" customFormat="1" x14ac:dyDescent="0.25">
      <c r="B136" s="269"/>
      <c r="D136" s="295"/>
      <c r="E136" s="291"/>
      <c r="H136" s="368">
        <f>SUM(H129:H135)</f>
        <v>5303778.5266899997</v>
      </c>
      <c r="I136" s="277"/>
      <c r="J136" s="278"/>
      <c r="K136" s="368">
        <f>SUM(K129:K135)</f>
        <v>6607985.7068248885</v>
      </c>
      <c r="L136" s="279"/>
      <c r="M136" s="368">
        <f>SUM(M129:M135)</f>
        <v>1304207.1801348892</v>
      </c>
      <c r="N136" s="362">
        <f>IFERROR(ROUND(M136/H136,5), )</f>
        <v>0.24590000000000001</v>
      </c>
      <c r="P136" s="366"/>
    </row>
    <row r="137" spans="2:16" s="270" customFormat="1" x14ac:dyDescent="0.25">
      <c r="B137" s="269"/>
      <c r="D137" s="295"/>
      <c r="E137" s="291"/>
      <c r="H137" s="291"/>
      <c r="I137" s="277"/>
      <c r="J137" s="278"/>
      <c r="K137" s="279"/>
      <c r="L137" s="279"/>
      <c r="N137" s="273"/>
      <c r="P137" s="366"/>
    </row>
    <row r="138" spans="2:16" s="270" customFormat="1" x14ac:dyDescent="0.25">
      <c r="B138" s="307"/>
      <c r="C138" s="350"/>
      <c r="D138" s="369"/>
      <c r="E138" s="370"/>
      <c r="F138" s="350"/>
      <c r="G138" s="350"/>
      <c r="H138" s="370"/>
      <c r="I138" s="284"/>
      <c r="J138" s="371"/>
      <c r="K138" s="351">
        <f>B129-K136</f>
        <v>0</v>
      </c>
      <c r="L138" s="351"/>
      <c r="M138" s="350"/>
      <c r="N138" s="372"/>
      <c r="P138" s="366"/>
    </row>
    <row r="139" spans="2:16" s="270" customFormat="1" x14ac:dyDescent="0.25">
      <c r="H139" s="272"/>
      <c r="K139" s="272"/>
      <c r="L139" s="272"/>
      <c r="M139" s="272"/>
      <c r="N139" s="373"/>
      <c r="P139" s="366"/>
    </row>
    <row r="140" spans="2:16" x14ac:dyDescent="0.25">
      <c r="B140" s="262" t="s">
        <v>40</v>
      </c>
      <c r="C140" s="264"/>
      <c r="D140" s="264" t="s">
        <v>39</v>
      </c>
      <c r="E140" s="264"/>
      <c r="F140" s="265"/>
      <c r="G140" s="265"/>
      <c r="H140" s="267"/>
      <c r="I140" s="266"/>
      <c r="J140" s="265"/>
      <c r="K140" s="267"/>
      <c r="L140" s="267"/>
      <c r="M140" s="267"/>
      <c r="N140" s="312"/>
      <c r="O140" s="236"/>
    </row>
    <row r="141" spans="2:16" x14ac:dyDescent="0.25">
      <c r="B141" s="290"/>
      <c r="C141" s="291"/>
      <c r="D141" s="291"/>
      <c r="E141" s="291"/>
      <c r="F141" s="270"/>
      <c r="G141" s="270"/>
      <c r="H141" s="272"/>
      <c r="I141" s="325"/>
      <c r="J141" s="270"/>
      <c r="K141" s="272"/>
      <c r="L141" s="272"/>
      <c r="M141" s="272"/>
      <c r="N141" s="273"/>
    </row>
    <row r="142" spans="2:16" x14ac:dyDescent="0.25">
      <c r="B142" s="274" t="s">
        <v>2</v>
      </c>
      <c r="C142" s="291" t="s">
        <v>39</v>
      </c>
      <c r="D142" s="275" t="str">
        <f>VLOOKUP(C142,Rates!$B$3:$J$136,2,FALSE)</f>
        <v>SCPA_UL_BSC</v>
      </c>
      <c r="E142" s="276" t="s">
        <v>165</v>
      </c>
      <c r="F142" s="277">
        <f>VLOOKUP(C142,Rates!$B:$J,4,FALSE)</f>
        <v>30962</v>
      </c>
      <c r="G142" s="418">
        <f>VLOOKUP($D142,Rates!$C$1:$J$136,5,FALSE)</f>
        <v>27.53</v>
      </c>
      <c r="H142" s="272">
        <f>SUM(+F142*G142)</f>
        <v>852383.86</v>
      </c>
      <c r="I142" s="277"/>
      <c r="J142" s="279">
        <f>$J$259</f>
        <v>41.5</v>
      </c>
      <c r="K142" s="272">
        <f>SUM(+F142*J142)</f>
        <v>1284923</v>
      </c>
      <c r="L142" s="272"/>
      <c r="M142" s="272">
        <f>K142-H142</f>
        <v>432539.14</v>
      </c>
      <c r="N142" s="280">
        <f>IFERROR(ROUND(M142/H142,5), )</f>
        <v>0.50744999999999996</v>
      </c>
      <c r="O142" s="326"/>
    </row>
    <row r="143" spans="2:16" x14ac:dyDescent="0.25">
      <c r="B143" s="281" t="s">
        <v>190</v>
      </c>
      <c r="C143" s="291" t="s">
        <v>188</v>
      </c>
      <c r="D143" s="275" t="str">
        <f>VLOOKUP(C143,Rates!$B$3:$J$136,2,FALSE)</f>
        <v>SCPA_UL_B1</v>
      </c>
      <c r="E143" s="270" t="s">
        <v>162</v>
      </c>
      <c r="F143" s="277">
        <f>VLOOKUP(C143,Rates!$B:$J,5,FALSE)</f>
        <v>442115.80000000005</v>
      </c>
      <c r="G143" s="278">
        <f>VLOOKUP($D143,Rates!$C$1:$J$136,7,FALSE)</f>
        <v>1.8344</v>
      </c>
      <c r="H143" s="272">
        <f t="shared" ref="H143:H144" si="57">SUM(+F143*G143)</f>
        <v>811017.22352000012</v>
      </c>
      <c r="I143" s="277"/>
      <c r="J143" s="282"/>
      <c r="K143" s="272">
        <f t="shared" ref="K143:K144" si="58">SUM(+F143*J143)</f>
        <v>0</v>
      </c>
      <c r="L143" s="272"/>
      <c r="M143" s="272"/>
      <c r="N143" s="280">
        <f t="shared" ref="N143:N145" si="59">IFERROR(ROUND(M143/H143,5), )</f>
        <v>0</v>
      </c>
      <c r="O143" s="326"/>
    </row>
    <row r="144" spans="2:16" x14ac:dyDescent="0.25">
      <c r="B144" s="283" t="s">
        <v>110</v>
      </c>
      <c r="C144" s="291" t="s">
        <v>189</v>
      </c>
      <c r="D144" s="275" t="str">
        <f>VLOOKUP(C144,Rates!$B$3:$J$136,2,FALSE)</f>
        <v>SCPA_UL_B2</v>
      </c>
      <c r="E144" s="270" t="s">
        <v>162</v>
      </c>
      <c r="F144" s="284">
        <f>VLOOKUP(C144,Rates!$B:$J,5,FALSE)</f>
        <v>803090.2</v>
      </c>
      <c r="G144" s="278">
        <f>VLOOKUP($D144,Rates!$C$1:$J$136,7,FALSE)</f>
        <v>1.7056</v>
      </c>
      <c r="H144" s="285">
        <f t="shared" si="57"/>
        <v>1369750.64512</v>
      </c>
      <c r="I144" s="277"/>
      <c r="J144" s="282"/>
      <c r="K144" s="285">
        <f t="shared" si="58"/>
        <v>0</v>
      </c>
      <c r="L144" s="272"/>
      <c r="M144" s="285"/>
      <c r="N144" s="287">
        <f t="shared" si="59"/>
        <v>0</v>
      </c>
      <c r="O144" s="326"/>
    </row>
    <row r="145" spans="2:15" x14ac:dyDescent="0.25">
      <c r="B145" s="281" t="s">
        <v>298</v>
      </c>
      <c r="D145" s="275" t="s">
        <v>346</v>
      </c>
      <c r="E145" s="270"/>
      <c r="F145" s="277">
        <f>SUM(F143:F144)</f>
        <v>1245206</v>
      </c>
      <c r="G145" s="278"/>
      <c r="H145" s="272">
        <f>SUM(H143:H144)</f>
        <v>2180767.86864</v>
      </c>
      <c r="I145" s="277"/>
      <c r="J145" s="282">
        <f>$J$260</f>
        <v>1.9850000000000001</v>
      </c>
      <c r="K145" s="272">
        <f t="shared" ref="K145" si="60">SUM(+F145*J145)</f>
        <v>2471733.91</v>
      </c>
      <c r="L145" s="272"/>
      <c r="M145" s="272">
        <f>K145-H145</f>
        <v>290966.04136000015</v>
      </c>
      <c r="N145" s="280">
        <f t="shared" si="59"/>
        <v>0.13342000000000001</v>
      </c>
      <c r="O145" s="326"/>
    </row>
    <row r="146" spans="2:15" x14ac:dyDescent="0.25">
      <c r="B146" s="290"/>
      <c r="C146" s="291"/>
      <c r="D146" s="291"/>
      <c r="E146" s="325"/>
      <c r="F146" s="277"/>
      <c r="G146" s="279"/>
      <c r="H146" s="272"/>
      <c r="I146" s="277"/>
      <c r="J146" s="279"/>
      <c r="K146" s="272"/>
      <c r="L146" s="272"/>
      <c r="M146" s="272"/>
      <c r="N146" s="280"/>
      <c r="O146" s="326"/>
    </row>
    <row r="147" spans="2:15" x14ac:dyDescent="0.25">
      <c r="B147" s="269" t="s">
        <v>163</v>
      </c>
      <c r="C147" s="270"/>
      <c r="D147" s="293" t="s">
        <v>148</v>
      </c>
      <c r="E147" s="294" t="s">
        <v>279</v>
      </c>
      <c r="F147" s="277"/>
      <c r="G147" s="278">
        <f>VLOOKUP($D147,Rates!$C$1:$J$136,5,FALSE)</f>
        <v>0</v>
      </c>
      <c r="H147" s="272">
        <f>(F143+F144)*G147</f>
        <v>0</v>
      </c>
      <c r="I147" s="277"/>
      <c r="J147" s="282">
        <v>0</v>
      </c>
      <c r="K147" s="272">
        <f>(F143+F144)*J147</f>
        <v>0</v>
      </c>
      <c r="L147" s="272"/>
      <c r="M147" s="272">
        <f t="shared" ref="M147:M148" si="61">K147-H147</f>
        <v>0</v>
      </c>
      <c r="N147" s="280">
        <f t="shared" ref="N147:N148" si="62">IFERROR(ROUND(M147/H147,5), )</f>
        <v>0</v>
      </c>
      <c r="O147" s="326"/>
    </row>
    <row r="148" spans="2:15" x14ac:dyDescent="0.25">
      <c r="B148" s="269" t="s">
        <v>283</v>
      </c>
      <c r="C148" s="295"/>
      <c r="D148" s="293" t="s">
        <v>289</v>
      </c>
      <c r="E148" s="295" t="s">
        <v>287</v>
      </c>
      <c r="F148" s="277"/>
      <c r="G148" s="278">
        <f>VLOOKUP($D148,Rates!$C$1:$J$136,5,FALSE)</f>
        <v>1.9966999999999999E-2</v>
      </c>
      <c r="H148" s="272">
        <f>(F143+F144)*G148</f>
        <v>24863.028201999998</v>
      </c>
      <c r="I148" s="277"/>
      <c r="J148" s="282">
        <f>$J$263</f>
        <v>4.4499999999999998E-2</v>
      </c>
      <c r="K148" s="272">
        <f>($F$143+$F$144)*J148</f>
        <v>55411.666999999994</v>
      </c>
      <c r="L148" s="272"/>
      <c r="M148" s="272">
        <f t="shared" si="61"/>
        <v>30548.638797999996</v>
      </c>
      <c r="N148" s="280">
        <f t="shared" si="62"/>
        <v>1.22868</v>
      </c>
      <c r="O148" s="326"/>
    </row>
    <row r="149" spans="2:15" x14ac:dyDescent="0.25">
      <c r="B149" s="269" t="s">
        <v>284</v>
      </c>
      <c r="C149" s="295"/>
      <c r="D149" s="293" t="s">
        <v>286</v>
      </c>
      <c r="E149" s="295" t="s">
        <v>288</v>
      </c>
      <c r="F149" s="277"/>
      <c r="G149" s="278">
        <f>VLOOKUP($D149,Rates!$C$1:$J$136,5,FALSE)</f>
        <v>0.105</v>
      </c>
      <c r="H149" s="272">
        <f>(F143+F144)*G149</f>
        <v>130746.62999999999</v>
      </c>
      <c r="I149" s="277"/>
      <c r="J149" s="282">
        <f>$J$264</f>
        <v>0.1149</v>
      </c>
      <c r="K149" s="272">
        <f>($F$143+$F$144)*J149</f>
        <v>143074.16940000001</v>
      </c>
      <c r="L149" s="272"/>
      <c r="M149" s="272">
        <f t="shared" ref="M149" si="63">K149-H149</f>
        <v>12327.539400000023</v>
      </c>
      <c r="N149" s="280">
        <f t="shared" ref="N149" si="64">IFERROR(ROUND(M149/H149,5), )</f>
        <v>9.4289999999999999E-2</v>
      </c>
      <c r="O149" s="326"/>
    </row>
    <row r="150" spans="2:15" x14ac:dyDescent="0.25">
      <c r="B150" s="269" t="s">
        <v>147</v>
      </c>
      <c r="C150" s="295"/>
      <c r="D150" s="299" t="s">
        <v>296</v>
      </c>
      <c r="E150" s="295" t="s">
        <v>290</v>
      </c>
      <c r="F150" s="277"/>
      <c r="G150" s="278"/>
      <c r="H150" s="272">
        <v>-35388</v>
      </c>
      <c r="I150" s="277"/>
      <c r="J150" s="282">
        <v>0</v>
      </c>
      <c r="K150" s="272">
        <f>($F$143+$F$144)*J150</f>
        <v>0</v>
      </c>
      <c r="L150" s="272"/>
      <c r="M150" s="272">
        <f t="shared" ref="M150" si="65">K150-H150</f>
        <v>35388</v>
      </c>
      <c r="N150" s="280">
        <f t="shared" ref="N150" si="66">IFERROR(ROUND(M150/H150,5), )</f>
        <v>-1</v>
      </c>
      <c r="O150" s="326"/>
    </row>
    <row r="151" spans="2:15" x14ac:dyDescent="0.25">
      <c r="B151" s="301"/>
      <c r="C151" s="295"/>
      <c r="D151" s="295"/>
      <c r="E151" s="325"/>
      <c r="F151" s="277"/>
      <c r="G151" s="279"/>
      <c r="H151" s="285"/>
      <c r="I151" s="277"/>
      <c r="J151" s="279"/>
      <c r="K151" s="285"/>
      <c r="L151" s="285"/>
      <c r="M151" s="285"/>
      <c r="N151" s="287"/>
      <c r="O151" s="326"/>
    </row>
    <row r="152" spans="2:15" x14ac:dyDescent="0.25">
      <c r="B152" s="274" t="s">
        <v>16</v>
      </c>
      <c r="C152" s="276"/>
      <c r="D152" s="276"/>
      <c r="E152" s="325"/>
      <c r="F152" s="277"/>
      <c r="G152" s="279"/>
      <c r="H152" s="272">
        <f>SUM(H145:H150)+H142</f>
        <v>3153373.3868419998</v>
      </c>
      <c r="I152" s="277"/>
      <c r="J152" s="279"/>
      <c r="K152" s="272">
        <f>SUM(K145:K150)+K142</f>
        <v>3955142.7464000001</v>
      </c>
      <c r="L152" s="272"/>
      <c r="M152" s="272">
        <f>SUM(M145:M150)+M142</f>
        <v>801769.35955800023</v>
      </c>
      <c r="N152" s="280">
        <f>IFERROR(ROUND(M152/H152,5), )</f>
        <v>0.25425999999999999</v>
      </c>
      <c r="O152" s="326"/>
    </row>
    <row r="153" spans="2:15" x14ac:dyDescent="0.25">
      <c r="B153" s="274"/>
      <c r="C153" s="276"/>
      <c r="D153" s="276"/>
      <c r="E153" s="325"/>
      <c r="F153" s="277"/>
      <c r="G153" s="279"/>
      <c r="H153" s="272"/>
      <c r="I153" s="277"/>
      <c r="J153" s="279"/>
      <c r="K153" s="272"/>
      <c r="L153" s="272"/>
      <c r="M153" s="272"/>
      <c r="N153" s="280"/>
      <c r="O153" s="326"/>
    </row>
    <row r="154" spans="2:15" x14ac:dyDescent="0.25">
      <c r="B154" s="274" t="s">
        <v>166</v>
      </c>
      <c r="C154" s="276"/>
      <c r="D154" s="276"/>
      <c r="E154" s="325"/>
      <c r="F154" s="277"/>
      <c r="G154" s="279"/>
      <c r="H154" s="272">
        <v>3153372.8699999992</v>
      </c>
      <c r="I154" s="277"/>
      <c r="J154" s="279"/>
      <c r="K154" s="272"/>
      <c r="L154" s="272"/>
      <c r="M154" s="272"/>
      <c r="N154" s="280"/>
      <c r="O154" s="326"/>
    </row>
    <row r="155" spans="2:15" x14ac:dyDescent="0.25">
      <c r="B155" s="274"/>
      <c r="C155" s="276"/>
      <c r="D155" s="276"/>
      <c r="E155" s="270"/>
      <c r="F155" s="270"/>
      <c r="G155" s="270"/>
      <c r="H155" s="272"/>
      <c r="I155" s="270"/>
      <c r="J155" s="270"/>
      <c r="K155" s="272"/>
      <c r="L155" s="272"/>
      <c r="M155" s="272"/>
      <c r="N155" s="280"/>
      <c r="O155" s="326"/>
    </row>
    <row r="156" spans="2:15" x14ac:dyDescent="0.25">
      <c r="B156" s="274" t="s">
        <v>167</v>
      </c>
      <c r="C156" s="276"/>
      <c r="D156" s="276"/>
      <c r="E156" s="276"/>
      <c r="F156" s="277"/>
      <c r="G156" s="277"/>
      <c r="H156" s="272">
        <f>H152-H154</f>
        <v>0.51684200065210462</v>
      </c>
      <c r="I156" s="277"/>
      <c r="J156" s="270"/>
      <c r="K156" s="272"/>
      <c r="L156" s="272"/>
      <c r="M156" s="272"/>
      <c r="N156" s="273"/>
      <c r="O156" s="326"/>
    </row>
    <row r="157" spans="2:15" x14ac:dyDescent="0.25">
      <c r="B157" s="274" t="s">
        <v>168</v>
      </c>
      <c r="C157" s="276"/>
      <c r="D157" s="276"/>
      <c r="E157" s="270"/>
      <c r="F157" s="270"/>
      <c r="G157" s="270"/>
      <c r="H157" s="306">
        <f>H156/H152</f>
        <v>1.639013010031473E-7</v>
      </c>
      <c r="I157" s="277"/>
      <c r="J157" s="270"/>
      <c r="K157" s="272"/>
      <c r="L157" s="272"/>
      <c r="M157" s="272"/>
      <c r="N157" s="273"/>
      <c r="O157" s="296"/>
    </row>
    <row r="158" spans="2:15" x14ac:dyDescent="0.25">
      <c r="B158" s="328"/>
      <c r="C158" s="329"/>
      <c r="D158" s="329"/>
      <c r="E158" s="308"/>
      <c r="F158" s="308"/>
      <c r="G158" s="308"/>
      <c r="H158" s="330"/>
      <c r="I158" s="310"/>
      <c r="J158" s="308"/>
      <c r="K158" s="309"/>
      <c r="L158" s="309"/>
      <c r="M158" s="309"/>
      <c r="N158" s="331"/>
      <c r="O158" s="296"/>
    </row>
    <row r="159" spans="2:15" x14ac:dyDescent="0.25">
      <c r="B159" s="262" t="s">
        <v>42</v>
      </c>
      <c r="C159" s="264"/>
      <c r="D159" s="264" t="s">
        <v>41</v>
      </c>
      <c r="E159" s="264"/>
      <c r="F159" s="265"/>
      <c r="G159" s="265"/>
      <c r="H159" s="267"/>
      <c r="I159" s="266"/>
      <c r="J159" s="265"/>
      <c r="K159" s="267"/>
      <c r="L159" s="267"/>
      <c r="M159" s="267"/>
      <c r="N159" s="312"/>
      <c r="O159" s="236"/>
    </row>
    <row r="160" spans="2:15" x14ac:dyDescent="0.25">
      <c r="B160" s="290"/>
      <c r="C160" s="291"/>
      <c r="D160" s="291"/>
      <c r="E160" s="291"/>
      <c r="F160" s="270"/>
      <c r="G160" s="270"/>
      <c r="H160" s="272"/>
      <c r="I160" s="325"/>
      <c r="J160" s="270"/>
      <c r="K160" s="272"/>
      <c r="L160" s="272"/>
      <c r="M160" s="272"/>
      <c r="N160" s="273"/>
    </row>
    <row r="161" spans="2:15" x14ac:dyDescent="0.25">
      <c r="B161" s="281" t="s">
        <v>184</v>
      </c>
      <c r="C161" s="291" t="s">
        <v>41</v>
      </c>
      <c r="D161" s="275" t="str">
        <f>VLOOKUP(C161,Rates!$B$3:$J$136,2,FALSE)</f>
        <v>SCPA_UL_BSC</v>
      </c>
      <c r="E161" s="276" t="s">
        <v>165</v>
      </c>
      <c r="F161" s="277">
        <f>VLOOKUP(C161,Rates!$B:$J,4,FALSE)</f>
        <v>13879</v>
      </c>
      <c r="G161" s="418">
        <f>VLOOKUP($D161,Rates!$C$1:$J$136,5,FALSE)</f>
        <v>27.53</v>
      </c>
      <c r="H161" s="272">
        <f>SUM(+F161*G161)</f>
        <v>382088.87</v>
      </c>
      <c r="I161" s="277"/>
      <c r="J161" s="279">
        <f>$J$259</f>
        <v>41.5</v>
      </c>
      <c r="K161" s="272">
        <f>SUM(+F161*J161)</f>
        <v>575978.5</v>
      </c>
      <c r="L161" s="272"/>
      <c r="M161" s="272">
        <f>K161-H161</f>
        <v>193889.63</v>
      </c>
      <c r="N161" s="280">
        <f>IFERROR(ROUND(M161/H161,5), )</f>
        <v>0.50744999999999996</v>
      </c>
      <c r="O161" s="326"/>
    </row>
    <row r="162" spans="2:15" x14ac:dyDescent="0.25">
      <c r="B162" s="281" t="s">
        <v>170</v>
      </c>
      <c r="C162" s="291" t="s">
        <v>192</v>
      </c>
      <c r="D162" s="275" t="str">
        <f>VLOOKUP(C162,Rates!$B$3:$J$136,2,FALSE)</f>
        <v>SCPA_UL_TRANS</v>
      </c>
      <c r="E162" s="270" t="s">
        <v>162</v>
      </c>
      <c r="F162" s="277">
        <f>VLOOKUP(C162,Rates!$B:$J,5,FALSE)</f>
        <v>693340</v>
      </c>
      <c r="G162" s="278">
        <f>VLOOKUP($D162,Rates!$C$1:$J$136,7,FALSE)</f>
        <v>1.8845000000000001</v>
      </c>
      <c r="H162" s="272">
        <f t="shared" ref="H162" si="67">SUM(+F162*G162)</f>
        <v>1306599.23</v>
      </c>
      <c r="I162" s="277"/>
      <c r="J162" s="282">
        <f>$J$260</f>
        <v>1.9850000000000001</v>
      </c>
      <c r="K162" s="272">
        <f t="shared" ref="K162" si="68">SUM(+F162*J162)</f>
        <v>1376279.9000000001</v>
      </c>
      <c r="L162" s="272"/>
      <c r="M162" s="272">
        <f t="shared" ref="M162" si="69">K162-H162</f>
        <v>69680.670000000158</v>
      </c>
      <c r="N162" s="280">
        <f t="shared" ref="N162" si="70">IFERROR(ROUND(M162/H162,5), )</f>
        <v>5.3330000000000002E-2</v>
      </c>
      <c r="O162" s="326"/>
    </row>
    <row r="163" spans="2:15" x14ac:dyDescent="0.25">
      <c r="B163" s="281"/>
      <c r="C163" s="291"/>
      <c r="D163" s="275"/>
      <c r="E163" s="270"/>
      <c r="F163" s="277"/>
      <c r="G163" s="278"/>
      <c r="H163" s="272"/>
      <c r="I163" s="277"/>
      <c r="J163" s="282"/>
      <c r="K163" s="272"/>
      <c r="L163" s="272"/>
      <c r="M163" s="272"/>
      <c r="N163" s="280"/>
      <c r="O163" s="326"/>
    </row>
    <row r="164" spans="2:15" x14ac:dyDescent="0.25">
      <c r="B164" s="269" t="s">
        <v>147</v>
      </c>
      <c r="C164" s="295"/>
      <c r="D164" s="299" t="s">
        <v>296</v>
      </c>
      <c r="E164" s="295" t="s">
        <v>290</v>
      </c>
      <c r="F164" s="277"/>
      <c r="G164" s="278"/>
      <c r="H164" s="272">
        <v>-4476</v>
      </c>
      <c r="I164" s="277"/>
      <c r="J164" s="282"/>
      <c r="K164" s="272"/>
      <c r="L164" s="272"/>
      <c r="M164" s="272">
        <f t="shared" ref="M164" si="71">K164-H164</f>
        <v>4476</v>
      </c>
      <c r="N164" s="280">
        <f t="shared" ref="N164" si="72">IFERROR(ROUND(M164/H164,5), )</f>
        <v>-1</v>
      </c>
      <c r="O164" s="326"/>
    </row>
    <row r="165" spans="2:15" x14ac:dyDescent="0.25">
      <c r="B165" s="290"/>
      <c r="C165" s="291"/>
      <c r="D165" s="291"/>
      <c r="E165" s="325"/>
      <c r="F165" s="277"/>
      <c r="G165" s="279"/>
      <c r="H165" s="285"/>
      <c r="I165" s="277"/>
      <c r="J165" s="279"/>
      <c r="K165" s="272"/>
      <c r="L165" s="272"/>
      <c r="M165" s="272"/>
      <c r="N165" s="280"/>
      <c r="O165" s="326"/>
    </row>
    <row r="166" spans="2:15" x14ac:dyDescent="0.25">
      <c r="B166" s="274" t="s">
        <v>16</v>
      </c>
      <c r="C166" s="276"/>
      <c r="D166" s="276"/>
      <c r="E166" s="325"/>
      <c r="F166" s="277"/>
      <c r="G166" s="279"/>
      <c r="H166" s="272">
        <f>SUM(H161:H165)</f>
        <v>1684212.1</v>
      </c>
      <c r="I166" s="277"/>
      <c r="J166" s="279"/>
      <c r="K166" s="304">
        <f>SUM(K161:K165)</f>
        <v>1952258.4000000001</v>
      </c>
      <c r="L166" s="272"/>
      <c r="M166" s="304">
        <f>SUM(M159:M165)</f>
        <v>268046.30000000016</v>
      </c>
      <c r="N166" s="318">
        <f>IFERROR(ROUND(M166/H166,5), )</f>
        <v>0.15915000000000001</v>
      </c>
      <c r="O166" s="326"/>
    </row>
    <row r="167" spans="2:15" x14ac:dyDescent="0.25">
      <c r="B167" s="274"/>
      <c r="C167" s="276"/>
      <c r="D167" s="276"/>
      <c r="E167" s="325"/>
      <c r="F167" s="277"/>
      <c r="G167" s="279"/>
      <c r="H167" s="272"/>
      <c r="I167" s="277"/>
      <c r="J167" s="279"/>
      <c r="K167" s="272"/>
      <c r="L167" s="272"/>
      <c r="M167" s="272"/>
      <c r="N167" s="280"/>
      <c r="O167" s="326"/>
    </row>
    <row r="168" spans="2:15" x14ac:dyDescent="0.25">
      <c r="B168" s="274" t="s">
        <v>166</v>
      </c>
      <c r="C168" s="276"/>
      <c r="D168" s="276"/>
      <c r="E168" s="325"/>
      <c r="F168" s="277"/>
      <c r="G168" s="279"/>
      <c r="H168" s="272">
        <v>1684212.1</v>
      </c>
      <c r="I168" s="277"/>
      <c r="J168" s="279"/>
      <c r="K168" s="272"/>
      <c r="L168" s="272"/>
      <c r="M168" s="272"/>
      <c r="N168" s="280"/>
      <c r="O168" s="326"/>
    </row>
    <row r="169" spans="2:15" x14ac:dyDescent="0.25">
      <c r="B169" s="274"/>
      <c r="C169" s="276"/>
      <c r="D169" s="276"/>
      <c r="E169" s="270"/>
      <c r="F169" s="270"/>
      <c r="G169" s="270"/>
      <c r="H169" s="272"/>
      <c r="I169" s="270"/>
      <c r="J169" s="270"/>
      <c r="K169" s="272"/>
      <c r="L169" s="272"/>
      <c r="M169" s="272"/>
      <c r="N169" s="280"/>
      <c r="O169" s="326"/>
    </row>
    <row r="170" spans="2:15" x14ac:dyDescent="0.25">
      <c r="B170" s="274" t="s">
        <v>167</v>
      </c>
      <c r="C170" s="276"/>
      <c r="D170" s="276"/>
      <c r="E170" s="276"/>
      <c r="F170" s="277"/>
      <c r="G170" s="277"/>
      <c r="H170" s="272">
        <f>H166-H168</f>
        <v>0</v>
      </c>
      <c r="I170" s="277"/>
      <c r="J170" s="270"/>
      <c r="K170" s="272"/>
      <c r="L170" s="272"/>
      <c r="M170" s="272"/>
      <c r="N170" s="273"/>
      <c r="O170" s="326"/>
    </row>
    <row r="171" spans="2:15" x14ac:dyDescent="0.25">
      <c r="B171" s="274" t="s">
        <v>168</v>
      </c>
      <c r="C171" s="276"/>
      <c r="D171" s="276"/>
      <c r="E171" s="270"/>
      <c r="F171" s="270"/>
      <c r="G171" s="270"/>
      <c r="H171" s="306">
        <f>H170/H166</f>
        <v>0</v>
      </c>
      <c r="I171" s="277"/>
      <c r="J171" s="270"/>
      <c r="K171" s="272"/>
      <c r="L171" s="272"/>
      <c r="M171" s="272"/>
      <c r="N171" s="273"/>
      <c r="O171" s="296"/>
    </row>
    <row r="172" spans="2:15" x14ac:dyDescent="0.25">
      <c r="B172" s="328"/>
      <c r="C172" s="329"/>
      <c r="D172" s="329"/>
      <c r="E172" s="308"/>
      <c r="F172" s="308"/>
      <c r="G172" s="308"/>
      <c r="H172" s="330"/>
      <c r="I172" s="310"/>
      <c r="J172" s="308"/>
      <c r="K172" s="309"/>
      <c r="L172" s="309"/>
      <c r="M172" s="309"/>
      <c r="N172" s="331"/>
      <c r="O172" s="296"/>
    </row>
    <row r="173" spans="2:15" x14ac:dyDescent="0.25">
      <c r="B173" s="262" t="s">
        <v>44</v>
      </c>
      <c r="C173" s="264"/>
      <c r="D173" s="264" t="s">
        <v>43</v>
      </c>
      <c r="E173" s="264"/>
      <c r="F173" s="265"/>
      <c r="G173" s="265"/>
      <c r="H173" s="267"/>
      <c r="I173" s="266"/>
      <c r="J173" s="265"/>
      <c r="K173" s="267"/>
      <c r="L173" s="267"/>
      <c r="M173" s="267"/>
      <c r="N173" s="312"/>
      <c r="O173" s="236"/>
    </row>
    <row r="174" spans="2:15" x14ac:dyDescent="0.25">
      <c r="B174" s="290"/>
      <c r="C174" s="291"/>
      <c r="D174" s="291"/>
      <c r="E174" s="291"/>
      <c r="F174" s="270"/>
      <c r="G174" s="270"/>
      <c r="H174" s="272"/>
      <c r="I174" s="325"/>
      <c r="J174" s="270"/>
      <c r="K174" s="272"/>
      <c r="L174" s="272"/>
      <c r="M174" s="272"/>
      <c r="N174" s="273"/>
    </row>
    <row r="175" spans="2:15" x14ac:dyDescent="0.25">
      <c r="B175" s="281" t="s">
        <v>184</v>
      </c>
      <c r="C175" s="291" t="s">
        <v>43</v>
      </c>
      <c r="D175" s="275" t="str">
        <f>VLOOKUP(C175,Rates!$B$3:$J$136,2,FALSE)</f>
        <v>SCPA_UL_BSC</v>
      </c>
      <c r="E175" s="276" t="s">
        <v>165</v>
      </c>
      <c r="F175" s="277">
        <f>VLOOKUP(C175,Rates!$B:$J,4,FALSE)</f>
        <v>3234</v>
      </c>
      <c r="G175" s="418">
        <f>VLOOKUP($D175,Rates!$C$1:$J$136,5,FALSE)</f>
        <v>27.53</v>
      </c>
      <c r="H175" s="272">
        <f>SUM(+F175*G175)</f>
        <v>89032.02</v>
      </c>
      <c r="I175" s="277"/>
      <c r="J175" s="279">
        <f>$J$259</f>
        <v>41.5</v>
      </c>
      <c r="K175" s="272">
        <f>SUM(+F175*J175)</f>
        <v>134211</v>
      </c>
      <c r="L175" s="272"/>
      <c r="M175" s="272">
        <f>K175-H175</f>
        <v>45178.979999999996</v>
      </c>
      <c r="N175" s="280">
        <f>IFERROR(ROUND(M175/H175,5), )</f>
        <v>0.50744999999999996</v>
      </c>
      <c r="O175" s="326"/>
    </row>
    <row r="176" spans="2:15" x14ac:dyDescent="0.25">
      <c r="B176" s="281" t="s">
        <v>190</v>
      </c>
      <c r="C176" s="291" t="s">
        <v>193</v>
      </c>
      <c r="D176" s="275" t="str">
        <f>VLOOKUP(C176,Rates!$B$3:$J$136,2,FALSE)</f>
        <v>SCPA_UL_B1</v>
      </c>
      <c r="E176" s="270" t="s">
        <v>162</v>
      </c>
      <c r="F176" s="277">
        <f>VLOOKUP(C176,Rates!$B:$J,5,FALSE)</f>
        <v>51339.399999999994</v>
      </c>
      <c r="G176" s="278">
        <f>VLOOKUP($D176,Rates!$C$1:$J$136,7,FALSE)</f>
        <v>1.8344</v>
      </c>
      <c r="H176" s="272">
        <f t="shared" ref="H176:H177" si="73">SUM(+F176*G176)</f>
        <v>94176.995359999986</v>
      </c>
      <c r="I176" s="277"/>
      <c r="J176" s="282"/>
      <c r="K176" s="272">
        <f t="shared" ref="K176:K177" si="74">SUM(+F176*J176)</f>
        <v>0</v>
      </c>
      <c r="L176" s="272"/>
      <c r="M176" s="272"/>
      <c r="N176" s="280">
        <f t="shared" ref="N176:N178" si="75">IFERROR(ROUND(M176/H176,5), )</f>
        <v>0</v>
      </c>
      <c r="O176" s="326"/>
    </row>
    <row r="177" spans="2:15" x14ac:dyDescent="0.25">
      <c r="B177" s="283" t="s">
        <v>110</v>
      </c>
      <c r="C177" s="291" t="s">
        <v>194</v>
      </c>
      <c r="D177" s="275" t="str">
        <f>VLOOKUP(C177,Rates!$B$3:$J$136,2,FALSE)</f>
        <v>SCPA_UL_B2</v>
      </c>
      <c r="E177" s="270" t="s">
        <v>162</v>
      </c>
      <c r="F177" s="284">
        <f>VLOOKUP(C177,Rates!$B:$J,5,FALSE)</f>
        <v>76932.60000000002</v>
      </c>
      <c r="G177" s="278">
        <f>VLOOKUP($D177,Rates!$C$1:$J$136,7,FALSE)</f>
        <v>1.7056</v>
      </c>
      <c r="H177" s="285">
        <f t="shared" si="73"/>
        <v>131216.24256000004</v>
      </c>
      <c r="I177" s="277"/>
      <c r="J177" s="286"/>
      <c r="K177" s="285">
        <f t="shared" si="74"/>
        <v>0</v>
      </c>
      <c r="L177" s="272"/>
      <c r="M177" s="285"/>
      <c r="N177" s="287">
        <f t="shared" si="75"/>
        <v>0</v>
      </c>
      <c r="O177" s="326"/>
    </row>
    <row r="178" spans="2:15" x14ac:dyDescent="0.25">
      <c r="B178" s="281" t="s">
        <v>298</v>
      </c>
      <c r="D178" s="275" t="s">
        <v>346</v>
      </c>
      <c r="E178" s="270"/>
      <c r="F178" s="277">
        <f>SUM(F176:F177)</f>
        <v>128272.00000000001</v>
      </c>
      <c r="G178" s="278"/>
      <c r="H178" s="272">
        <f>SUM(H176:H177)</f>
        <v>225393.23792000004</v>
      </c>
      <c r="I178" s="277"/>
      <c r="J178" s="282">
        <f>$J$260</f>
        <v>1.9850000000000001</v>
      </c>
      <c r="K178" s="272">
        <f t="shared" ref="K178" si="76">SUM(+F178*J178)</f>
        <v>254619.92000000004</v>
      </c>
      <c r="L178" s="272"/>
      <c r="M178" s="272">
        <f>K178-H178</f>
        <v>29226.682079999999</v>
      </c>
      <c r="N178" s="280">
        <f t="shared" si="75"/>
        <v>0.12967000000000001</v>
      </c>
      <c r="O178" s="326"/>
    </row>
    <row r="179" spans="2:15" x14ac:dyDescent="0.25">
      <c r="B179" s="290"/>
      <c r="C179" s="291"/>
      <c r="D179" s="291"/>
      <c r="E179" s="325"/>
      <c r="F179" s="277"/>
      <c r="G179" s="279"/>
      <c r="H179" s="272"/>
      <c r="I179" s="277"/>
      <c r="J179" s="279"/>
      <c r="K179" s="272"/>
      <c r="L179" s="272"/>
      <c r="M179" s="272"/>
      <c r="N179" s="280"/>
      <c r="O179" s="326"/>
    </row>
    <row r="180" spans="2:15" x14ac:dyDescent="0.25">
      <c r="B180" s="269" t="s">
        <v>163</v>
      </c>
      <c r="C180" s="291"/>
      <c r="D180" s="299" t="s">
        <v>148</v>
      </c>
      <c r="E180" s="294" t="s">
        <v>279</v>
      </c>
      <c r="F180" s="277"/>
      <c r="G180" s="278">
        <f>VLOOKUP($D180,Rates!$C$1:$J$136,5,FALSE)</f>
        <v>0</v>
      </c>
      <c r="H180" s="272">
        <f>(F176+F177)*G180</f>
        <v>0</v>
      </c>
      <c r="I180" s="277"/>
      <c r="J180" s="282">
        <v>0</v>
      </c>
      <c r="K180" s="272">
        <f>(F176+F177)*J180</f>
        <v>0</v>
      </c>
      <c r="L180" s="272"/>
      <c r="M180" s="272">
        <f t="shared" ref="M180" si="77">K180-H180</f>
        <v>0</v>
      </c>
      <c r="N180" s="280">
        <f t="shared" ref="N180" si="78">IFERROR(ROUND(M180/H180,5), )</f>
        <v>0</v>
      </c>
      <c r="O180" s="326"/>
    </row>
    <row r="181" spans="2:15" x14ac:dyDescent="0.25">
      <c r="B181" s="269" t="s">
        <v>147</v>
      </c>
      <c r="C181" s="295"/>
      <c r="D181" s="299" t="s">
        <v>296</v>
      </c>
      <c r="E181" s="295" t="s">
        <v>290</v>
      </c>
      <c r="F181" s="277"/>
      <c r="G181" s="278"/>
      <c r="H181" s="272">
        <v>-809</v>
      </c>
      <c r="I181" s="277"/>
      <c r="J181" s="282"/>
      <c r="K181" s="272"/>
      <c r="L181" s="272"/>
      <c r="M181" s="272">
        <f t="shared" ref="M181" si="79">K181-H181</f>
        <v>809</v>
      </c>
      <c r="N181" s="280">
        <f t="shared" ref="N181" si="80">IFERROR(ROUND(M181/H181,5), )</f>
        <v>-1</v>
      </c>
      <c r="O181" s="326"/>
    </row>
    <row r="182" spans="2:15" x14ac:dyDescent="0.25">
      <c r="B182" s="301"/>
      <c r="C182" s="295"/>
      <c r="D182" s="295"/>
      <c r="E182" s="325"/>
      <c r="F182" s="277"/>
      <c r="G182" s="279"/>
      <c r="H182" s="285"/>
      <c r="I182" s="277"/>
      <c r="J182" s="279"/>
      <c r="K182" s="285"/>
      <c r="L182" s="272"/>
      <c r="M182" s="285"/>
      <c r="N182" s="280"/>
      <c r="O182" s="326"/>
    </row>
    <row r="183" spans="2:15" x14ac:dyDescent="0.25">
      <c r="B183" s="274" t="s">
        <v>16</v>
      </c>
      <c r="C183" s="276"/>
      <c r="D183" s="276"/>
      <c r="E183" s="325"/>
      <c r="F183" s="277"/>
      <c r="G183" s="279"/>
      <c r="H183" s="272">
        <f>SUM(H178:H181)+H175</f>
        <v>313616.25792000006</v>
      </c>
      <c r="I183" s="277"/>
      <c r="J183" s="279"/>
      <c r="K183" s="272">
        <f>SUM(K178:K181)+K175</f>
        <v>388830.92000000004</v>
      </c>
      <c r="L183" s="272"/>
      <c r="M183" s="272">
        <f>SUM(M178:M181)+M175</f>
        <v>75214.662079999995</v>
      </c>
      <c r="N183" s="318">
        <f>IFERROR(ROUND(M183/H183,5), )</f>
        <v>0.23982999999999999</v>
      </c>
      <c r="O183" s="326"/>
    </row>
    <row r="184" spans="2:15" x14ac:dyDescent="0.25">
      <c r="B184" s="274"/>
      <c r="C184" s="276"/>
      <c r="D184" s="276"/>
      <c r="E184" s="325"/>
      <c r="F184" s="277"/>
      <c r="G184" s="279"/>
      <c r="H184" s="272"/>
      <c r="I184" s="277"/>
      <c r="J184" s="279"/>
      <c r="K184" s="272"/>
      <c r="L184" s="272"/>
      <c r="M184" s="272"/>
      <c r="N184" s="280"/>
      <c r="O184" s="326"/>
    </row>
    <row r="185" spans="2:15" x14ac:dyDescent="0.25">
      <c r="B185" s="274" t="s">
        <v>166</v>
      </c>
      <c r="C185" s="276"/>
      <c r="D185" s="276"/>
      <c r="E185" s="325"/>
      <c r="F185" s="277"/>
      <c r="G185" s="279"/>
      <c r="H185" s="272">
        <v>313616.26</v>
      </c>
      <c r="I185" s="277"/>
      <c r="J185" s="279"/>
      <c r="K185" s="272"/>
      <c r="L185" s="272"/>
      <c r="M185" s="272"/>
      <c r="N185" s="280"/>
      <c r="O185" s="326"/>
    </row>
    <row r="186" spans="2:15" x14ac:dyDescent="0.25">
      <c r="B186" s="274"/>
      <c r="C186" s="276"/>
      <c r="D186" s="276"/>
      <c r="E186" s="270"/>
      <c r="F186" s="270"/>
      <c r="G186" s="270"/>
      <c r="H186" s="272"/>
      <c r="I186" s="270"/>
      <c r="J186" s="270"/>
      <c r="K186" s="272"/>
      <c r="L186" s="272"/>
      <c r="M186" s="272"/>
      <c r="N186" s="280"/>
      <c r="O186" s="326"/>
    </row>
    <row r="187" spans="2:15" x14ac:dyDescent="0.25">
      <c r="B187" s="274" t="s">
        <v>167</v>
      </c>
      <c r="C187" s="276"/>
      <c r="D187" s="276"/>
      <c r="E187" s="276"/>
      <c r="F187" s="277"/>
      <c r="G187" s="277"/>
      <c r="H187" s="272">
        <f>H183-H185</f>
        <v>-2.0799999474547803E-3</v>
      </c>
      <c r="I187" s="277"/>
      <c r="J187" s="270"/>
      <c r="K187" s="272"/>
      <c r="L187" s="272"/>
      <c r="M187" s="272"/>
      <c r="N187" s="273"/>
      <c r="O187" s="326"/>
    </row>
    <row r="188" spans="2:15" x14ac:dyDescent="0.25">
      <c r="B188" s="274" t="s">
        <v>168</v>
      </c>
      <c r="C188" s="276"/>
      <c r="D188" s="276"/>
      <c r="E188" s="270"/>
      <c r="F188" s="270"/>
      <c r="G188" s="270"/>
      <c r="H188" s="306">
        <f>H187/H183</f>
        <v>-6.6323090558186708E-9</v>
      </c>
      <c r="I188" s="277"/>
      <c r="J188" s="270"/>
      <c r="K188" s="272"/>
      <c r="L188" s="272"/>
      <c r="M188" s="272"/>
      <c r="N188" s="273"/>
      <c r="O188" s="296"/>
    </row>
    <row r="189" spans="2:15" x14ac:dyDescent="0.25">
      <c r="B189" s="328"/>
      <c r="C189" s="329"/>
      <c r="D189" s="329"/>
      <c r="E189" s="308"/>
      <c r="F189" s="308"/>
      <c r="G189" s="308"/>
      <c r="H189" s="330"/>
      <c r="I189" s="310"/>
      <c r="J189" s="308"/>
      <c r="K189" s="309"/>
      <c r="L189" s="309"/>
      <c r="M189" s="309"/>
      <c r="N189" s="331"/>
      <c r="O189" s="296"/>
    </row>
    <row r="190" spans="2:15" x14ac:dyDescent="0.25">
      <c r="B190" s="262" t="s">
        <v>56</v>
      </c>
      <c r="C190" s="264"/>
      <c r="D190" s="264" t="s">
        <v>55</v>
      </c>
      <c r="E190" s="264"/>
      <c r="F190" s="265"/>
      <c r="G190" s="265"/>
      <c r="H190" s="267"/>
      <c r="I190" s="266"/>
      <c r="J190" s="265"/>
      <c r="K190" s="267"/>
      <c r="L190" s="267"/>
      <c r="M190" s="267"/>
      <c r="N190" s="312"/>
      <c r="O190" s="236"/>
    </row>
    <row r="191" spans="2:15" x14ac:dyDescent="0.25">
      <c r="B191" s="290"/>
      <c r="C191" s="291"/>
      <c r="D191" s="291"/>
      <c r="E191" s="291"/>
      <c r="F191" s="270"/>
      <c r="G191" s="270"/>
      <c r="H191" s="272"/>
      <c r="I191" s="325"/>
      <c r="J191" s="270"/>
      <c r="K191" s="272"/>
      <c r="L191" s="272"/>
      <c r="M191" s="272"/>
      <c r="N191" s="273"/>
    </row>
    <row r="192" spans="2:15" x14ac:dyDescent="0.25">
      <c r="B192" s="281" t="s">
        <v>184</v>
      </c>
      <c r="C192" s="291" t="s">
        <v>55</v>
      </c>
      <c r="D192" s="275" t="str">
        <f>VLOOKUP(C192,Rates!$B$3:$J$136,2,FALSE)</f>
        <v>SCPA_UL_BSC</v>
      </c>
      <c r="E192" s="276" t="s">
        <v>165</v>
      </c>
      <c r="F192" s="277">
        <f>VLOOKUP(C192,Rates!$B:$J,4,FALSE)</f>
        <v>2016</v>
      </c>
      <c r="G192" s="418">
        <f>VLOOKUP($D192,Rates!$C$1:$J$136,5,FALSE)</f>
        <v>27.53</v>
      </c>
      <c r="H192" s="272">
        <f>SUM(+F192*G192)</f>
        <v>55500.480000000003</v>
      </c>
      <c r="I192" s="277"/>
      <c r="J192" s="279">
        <f>$J$259</f>
        <v>41.5</v>
      </c>
      <c r="K192" s="272">
        <f>SUM(+F192*J192)</f>
        <v>83664</v>
      </c>
      <c r="L192" s="272"/>
      <c r="M192" s="272">
        <f>K192-H192</f>
        <v>28163.519999999997</v>
      </c>
      <c r="N192" s="280">
        <f>IFERROR(ROUND(M192/H192,5), )</f>
        <v>0.50744999999999996</v>
      </c>
      <c r="O192" s="326"/>
    </row>
    <row r="193" spans="2:15" x14ac:dyDescent="0.25">
      <c r="B193" s="281" t="s">
        <v>222</v>
      </c>
      <c r="C193" s="291" t="s">
        <v>220</v>
      </c>
      <c r="D193" s="275" t="str">
        <f>VLOOKUP(C193,Rates!$B$3:$J$136,2,FALSE)</f>
        <v>SCPA_UL_B1</v>
      </c>
      <c r="E193" s="270" t="s">
        <v>162</v>
      </c>
      <c r="F193" s="277">
        <f>VLOOKUP(C193,Rates!$B:$J,5,FALSE)</f>
        <v>27106.500000000004</v>
      </c>
      <c r="G193" s="278">
        <f>VLOOKUP($D193,Rates!$C$1:$J$136,7,FALSE)</f>
        <v>1.8344</v>
      </c>
      <c r="H193" s="272">
        <f t="shared" ref="H193:H194" si="81">SUM(+F193*G193)</f>
        <v>49724.163600000007</v>
      </c>
      <c r="I193" s="277"/>
      <c r="J193" s="282"/>
      <c r="K193" s="272">
        <f t="shared" ref="K193:K194" si="82">SUM(+F193*J193)</f>
        <v>0</v>
      </c>
      <c r="L193" s="272"/>
      <c r="M193" s="272"/>
      <c r="N193" s="280">
        <f t="shared" ref="N193:N195" si="83">IFERROR(ROUND(M193/H193,5), )</f>
        <v>0</v>
      </c>
      <c r="O193" s="326"/>
    </row>
    <row r="194" spans="2:15" x14ac:dyDescent="0.25">
      <c r="B194" s="283" t="s">
        <v>110</v>
      </c>
      <c r="C194" s="291" t="s">
        <v>221</v>
      </c>
      <c r="D194" s="275" t="str">
        <f>VLOOKUP(C194,Rates!$B$3:$J$136,2,FALSE)</f>
        <v>SCPA_UL_B2</v>
      </c>
      <c r="E194" s="270" t="s">
        <v>162</v>
      </c>
      <c r="F194" s="284">
        <f>VLOOKUP(C194,Rates!$B:$J,5,FALSE)</f>
        <v>57504.5</v>
      </c>
      <c r="G194" s="278">
        <f>VLOOKUP($D194,Rates!$C$1:$J$136,7,FALSE)</f>
        <v>1.7056</v>
      </c>
      <c r="H194" s="285">
        <f t="shared" si="81"/>
        <v>98079.675199999998</v>
      </c>
      <c r="I194" s="277"/>
      <c r="J194" s="286"/>
      <c r="K194" s="285">
        <f t="shared" si="82"/>
        <v>0</v>
      </c>
      <c r="L194" s="272"/>
      <c r="M194" s="285"/>
      <c r="N194" s="287">
        <f t="shared" si="83"/>
        <v>0</v>
      </c>
      <c r="O194" s="326"/>
    </row>
    <row r="195" spans="2:15" x14ac:dyDescent="0.25">
      <c r="B195" s="281" t="s">
        <v>298</v>
      </c>
      <c r="D195" s="275" t="s">
        <v>346</v>
      </c>
      <c r="E195" s="270"/>
      <c r="F195" s="277">
        <f>SUM(F193:F194)</f>
        <v>84611</v>
      </c>
      <c r="G195" s="278"/>
      <c r="H195" s="272">
        <f>SUM(H193:H194)</f>
        <v>147803.8388</v>
      </c>
      <c r="I195" s="277"/>
      <c r="J195" s="282">
        <f>$J$260</f>
        <v>1.9850000000000001</v>
      </c>
      <c r="K195" s="272">
        <f t="shared" ref="K195" si="84">SUM(+F195*J195)</f>
        <v>167952.83500000002</v>
      </c>
      <c r="L195" s="272"/>
      <c r="M195" s="272">
        <f>K195-H195</f>
        <v>20148.996200000023</v>
      </c>
      <c r="N195" s="280">
        <f t="shared" si="83"/>
        <v>0.13632</v>
      </c>
      <c r="O195" s="326"/>
    </row>
    <row r="196" spans="2:15" x14ac:dyDescent="0.25">
      <c r="B196" s="290"/>
      <c r="C196" s="291"/>
      <c r="D196" s="291"/>
      <c r="E196" s="325"/>
      <c r="F196" s="277"/>
      <c r="G196" s="279"/>
      <c r="H196" s="272"/>
      <c r="I196" s="277"/>
      <c r="J196" s="279"/>
      <c r="K196" s="272"/>
      <c r="L196" s="272"/>
      <c r="M196" s="272"/>
      <c r="N196" s="280"/>
      <c r="O196" s="326"/>
    </row>
    <row r="197" spans="2:15" x14ac:dyDescent="0.25">
      <c r="B197" s="269" t="s">
        <v>163</v>
      </c>
      <c r="C197" s="291"/>
      <c r="D197" s="299" t="s">
        <v>148</v>
      </c>
      <c r="E197" s="294" t="s">
        <v>279</v>
      </c>
      <c r="F197" s="277"/>
      <c r="G197" s="278">
        <f>VLOOKUP($D197,Rates!$C$1:$J$136,5,FALSE)</f>
        <v>0</v>
      </c>
      <c r="H197" s="272">
        <f>(F193+F194)*G197</f>
        <v>0</v>
      </c>
      <c r="I197" s="277"/>
      <c r="J197" s="282">
        <v>0</v>
      </c>
      <c r="K197" s="272">
        <f>(F193+F194)*J197</f>
        <v>0</v>
      </c>
      <c r="L197" s="272"/>
      <c r="M197" s="272">
        <f t="shared" ref="M197:M198" si="85">K197-H197</f>
        <v>0</v>
      </c>
      <c r="N197" s="280">
        <f t="shared" ref="N197:N198" si="86">IFERROR(ROUND(M197/H197,5), )</f>
        <v>0</v>
      </c>
      <c r="O197" s="326"/>
    </row>
    <row r="198" spans="2:15" x14ac:dyDescent="0.25">
      <c r="B198" s="269" t="s">
        <v>283</v>
      </c>
      <c r="C198" s="295"/>
      <c r="D198" s="293" t="s">
        <v>289</v>
      </c>
      <c r="E198" s="295" t="s">
        <v>287</v>
      </c>
      <c r="F198" s="277"/>
      <c r="G198" s="278">
        <f>VLOOKUP($D198,Rates!$C$1:$J$136,5,FALSE)</f>
        <v>1.9966999999999999E-2</v>
      </c>
      <c r="H198" s="272">
        <f>(F193+F194)*G198</f>
        <v>1689.427837</v>
      </c>
      <c r="I198" s="277"/>
      <c r="J198" s="282">
        <f>$J$263</f>
        <v>4.4499999999999998E-2</v>
      </c>
      <c r="K198" s="272">
        <f>($F$193+$F$194)*J198</f>
        <v>3765.1895</v>
      </c>
      <c r="L198" s="272"/>
      <c r="M198" s="272">
        <f t="shared" si="85"/>
        <v>2075.7616630000002</v>
      </c>
      <c r="N198" s="280">
        <f t="shared" si="86"/>
        <v>1.22868</v>
      </c>
      <c r="O198" s="326"/>
    </row>
    <row r="199" spans="2:15" x14ac:dyDescent="0.25">
      <c r="B199" s="269" t="s">
        <v>284</v>
      </c>
      <c r="C199" s="295"/>
      <c r="D199" s="293" t="s">
        <v>286</v>
      </c>
      <c r="E199" s="295" t="s">
        <v>288</v>
      </c>
      <c r="F199" s="277"/>
      <c r="G199" s="278">
        <f>VLOOKUP($D199,Rates!$C$1:$J$136,5,FALSE)</f>
        <v>0.105</v>
      </c>
      <c r="H199" s="272">
        <f>(F193+F194)*G199</f>
        <v>8884.1549999999988</v>
      </c>
      <c r="I199" s="277"/>
      <c r="J199" s="282">
        <f>$J$264</f>
        <v>0.1149</v>
      </c>
      <c r="K199" s="272">
        <f>($F$193+$F$194)*J199</f>
        <v>9721.8039000000008</v>
      </c>
      <c r="L199" s="272"/>
      <c r="M199" s="272">
        <f t="shared" ref="M199" si="87">K199-H199</f>
        <v>837.64890000000196</v>
      </c>
      <c r="N199" s="280">
        <f t="shared" ref="N199" si="88">IFERROR(ROUND(M199/H199,5), )</f>
        <v>9.4289999999999999E-2</v>
      </c>
      <c r="O199" s="326"/>
    </row>
    <row r="200" spans="2:15" x14ac:dyDescent="0.25">
      <c r="B200" s="269" t="s">
        <v>147</v>
      </c>
      <c r="C200" s="295"/>
      <c r="D200" s="299" t="s">
        <v>296</v>
      </c>
      <c r="E200" s="295" t="s">
        <v>290</v>
      </c>
      <c r="F200" s="277"/>
      <c r="G200" s="278"/>
      <c r="H200" s="272">
        <v>-2398</v>
      </c>
      <c r="I200" s="277"/>
      <c r="J200" s="282">
        <v>0</v>
      </c>
      <c r="K200" s="272">
        <f>($F$193+$F$194)*J200</f>
        <v>0</v>
      </c>
      <c r="L200" s="272"/>
      <c r="M200" s="272">
        <f t="shared" ref="M200" si="89">K200-H200</f>
        <v>2398</v>
      </c>
      <c r="N200" s="280">
        <f t="shared" ref="N200" si="90">IFERROR(ROUND(M200/H200,5), )</f>
        <v>-1</v>
      </c>
      <c r="O200" s="326"/>
    </row>
    <row r="201" spans="2:15" x14ac:dyDescent="0.25">
      <c r="B201" s="301"/>
      <c r="C201" s="295"/>
      <c r="D201" s="295"/>
      <c r="E201" s="325"/>
      <c r="F201" s="277"/>
      <c r="G201" s="279"/>
      <c r="H201" s="285"/>
      <c r="I201" s="277"/>
      <c r="J201" s="279"/>
      <c r="K201" s="285"/>
      <c r="L201" s="272"/>
      <c r="M201" s="285"/>
      <c r="N201" s="280"/>
      <c r="O201" s="326"/>
    </row>
    <row r="202" spans="2:15" x14ac:dyDescent="0.25">
      <c r="B202" s="274" t="s">
        <v>16</v>
      </c>
      <c r="C202" s="276"/>
      <c r="D202" s="276"/>
      <c r="E202" s="325"/>
      <c r="F202" s="277"/>
      <c r="G202" s="279"/>
      <c r="H202" s="272">
        <f>SUM(H195:H200)+H192</f>
        <v>211479.901637</v>
      </c>
      <c r="I202" s="277"/>
      <c r="J202" s="279"/>
      <c r="K202" s="272">
        <f>SUM(K195:K200)+K192</f>
        <v>265103.8284</v>
      </c>
      <c r="L202" s="272"/>
      <c r="M202" s="272">
        <f>SUM(M195:M200)+M192</f>
        <v>53623.926763000025</v>
      </c>
      <c r="N202" s="318">
        <f>IFERROR(ROUND(M202/H202,5), )</f>
        <v>0.25357000000000002</v>
      </c>
      <c r="O202" s="326"/>
    </row>
    <row r="203" spans="2:15" x14ac:dyDescent="0.25">
      <c r="B203" s="274"/>
      <c r="C203" s="276"/>
      <c r="D203" s="276"/>
      <c r="E203" s="325"/>
      <c r="F203" s="277"/>
      <c r="G203" s="279"/>
      <c r="H203" s="272"/>
      <c r="I203" s="277"/>
      <c r="J203" s="279"/>
      <c r="K203" s="272"/>
      <c r="L203" s="272"/>
      <c r="M203" s="272"/>
      <c r="N203" s="280"/>
      <c r="O203" s="326"/>
    </row>
    <row r="204" spans="2:15" x14ac:dyDescent="0.25">
      <c r="B204" s="274" t="s">
        <v>166</v>
      </c>
      <c r="C204" s="276"/>
      <c r="D204" s="276"/>
      <c r="E204" s="325"/>
      <c r="F204" s="277"/>
      <c r="G204" s="279"/>
      <c r="H204" s="272">
        <v>211479.89999999991</v>
      </c>
      <c r="I204" s="277"/>
      <c r="J204" s="279"/>
      <c r="K204" s="272"/>
      <c r="L204" s="272"/>
      <c r="M204" s="272"/>
      <c r="N204" s="280"/>
      <c r="O204" s="326"/>
    </row>
    <row r="205" spans="2:15" x14ac:dyDescent="0.25">
      <c r="B205" s="274"/>
      <c r="C205" s="276"/>
      <c r="D205" s="276"/>
      <c r="E205" s="270"/>
      <c r="F205" s="270"/>
      <c r="G205" s="270"/>
      <c r="H205" s="272"/>
      <c r="I205" s="270"/>
      <c r="J205" s="270"/>
      <c r="K205" s="272"/>
      <c r="L205" s="272"/>
      <c r="M205" s="272"/>
      <c r="N205" s="280"/>
      <c r="O205" s="326"/>
    </row>
    <row r="206" spans="2:15" x14ac:dyDescent="0.25">
      <c r="B206" s="274" t="s">
        <v>167</v>
      </c>
      <c r="C206" s="276"/>
      <c r="D206" s="276"/>
      <c r="E206" s="276"/>
      <c r="F206" s="277"/>
      <c r="G206" s="277"/>
      <c r="H206" s="272">
        <f>H202-H204</f>
        <v>1.6370000957977027E-3</v>
      </c>
      <c r="I206" s="277"/>
      <c r="J206" s="270"/>
      <c r="K206" s="272"/>
      <c r="L206" s="272"/>
      <c r="M206" s="272"/>
      <c r="N206" s="273"/>
      <c r="O206" s="326"/>
    </row>
    <row r="207" spans="2:15" x14ac:dyDescent="0.25">
      <c r="B207" s="274" t="s">
        <v>168</v>
      </c>
      <c r="C207" s="276"/>
      <c r="D207" s="276"/>
      <c r="E207" s="270"/>
      <c r="F207" s="270"/>
      <c r="G207" s="270"/>
      <c r="H207" s="306">
        <f>H206/H202</f>
        <v>7.740688751631692E-9</v>
      </c>
      <c r="I207" s="277"/>
      <c r="J207" s="270"/>
      <c r="K207" s="272"/>
      <c r="L207" s="272"/>
      <c r="M207" s="272"/>
      <c r="N207" s="273"/>
      <c r="O207" s="296"/>
    </row>
    <row r="208" spans="2:15" x14ac:dyDescent="0.25">
      <c r="B208" s="328"/>
      <c r="C208" s="329"/>
      <c r="D208" s="329"/>
      <c r="E208" s="308"/>
      <c r="F208" s="308"/>
      <c r="G208" s="308"/>
      <c r="H208" s="330"/>
      <c r="I208" s="310"/>
      <c r="J208" s="308"/>
      <c r="K208" s="309"/>
      <c r="L208" s="309"/>
      <c r="M208" s="309"/>
      <c r="N208" s="331"/>
      <c r="O208" s="296"/>
    </row>
    <row r="209" spans="2:15" x14ac:dyDescent="0.25">
      <c r="B209" s="262" t="s">
        <v>58</v>
      </c>
      <c r="C209" s="264"/>
      <c r="D209" s="264" t="s">
        <v>57</v>
      </c>
      <c r="E209" s="264"/>
      <c r="F209" s="265"/>
      <c r="G209" s="265"/>
      <c r="H209" s="267"/>
      <c r="I209" s="266"/>
      <c r="J209" s="265"/>
      <c r="K209" s="267"/>
      <c r="L209" s="267"/>
      <c r="M209" s="267"/>
      <c r="N209" s="312"/>
      <c r="O209" s="236"/>
    </row>
    <row r="210" spans="2:15" x14ac:dyDescent="0.25">
      <c r="B210" s="290"/>
      <c r="C210" s="291"/>
      <c r="D210" s="291"/>
      <c r="E210" s="291"/>
      <c r="F210" s="270"/>
      <c r="G210" s="270"/>
      <c r="H210" s="272"/>
      <c r="I210" s="325"/>
      <c r="J210" s="270"/>
      <c r="K210" s="272"/>
      <c r="L210" s="272"/>
      <c r="M210" s="272"/>
      <c r="N210" s="273"/>
    </row>
    <row r="211" spans="2:15" x14ac:dyDescent="0.25">
      <c r="B211" s="281" t="s">
        <v>184</v>
      </c>
      <c r="C211" s="291" t="s">
        <v>57</v>
      </c>
      <c r="D211" s="275" t="str">
        <f>VLOOKUP(C211,Rates!$B$3:$J$136,2,FALSE)</f>
        <v>SCPA_UL_BSC</v>
      </c>
      <c r="E211" s="276" t="s">
        <v>165</v>
      </c>
      <c r="F211" s="277">
        <f>VLOOKUP(C211,Rates!$B:$J,4,FALSE)</f>
        <v>170</v>
      </c>
      <c r="G211" s="418">
        <f>VLOOKUP($D211,Rates!$C$1:$J$136,5,FALSE)</f>
        <v>27.53</v>
      </c>
      <c r="H211" s="272">
        <f>SUM(+F211*G211)</f>
        <v>4680.1000000000004</v>
      </c>
      <c r="I211" s="277"/>
      <c r="J211" s="279">
        <f>$J$259</f>
        <v>41.5</v>
      </c>
      <c r="K211" s="272">
        <f>SUM(+F211*J211)</f>
        <v>7055</v>
      </c>
      <c r="L211" s="272"/>
      <c r="M211" s="272">
        <f>K211-H211</f>
        <v>2374.8999999999996</v>
      </c>
      <c r="N211" s="280">
        <f>IFERROR(ROUND(M211/H211,5), )</f>
        <v>0.50744999999999996</v>
      </c>
      <c r="O211" s="326"/>
    </row>
    <row r="212" spans="2:15" x14ac:dyDescent="0.25">
      <c r="B212" s="281" t="s">
        <v>190</v>
      </c>
      <c r="C212" s="291" t="s">
        <v>226</v>
      </c>
      <c r="D212" s="275" t="str">
        <f>VLOOKUP(C212,Rates!$B$3:$J$136,2,FALSE)</f>
        <v>SCPA_UL_B1</v>
      </c>
      <c r="E212" s="270" t="s">
        <v>162</v>
      </c>
      <c r="F212" s="277">
        <f>VLOOKUP(C212,Rates!$B:$J,5,FALSE)</f>
        <v>2479.3000000000002</v>
      </c>
      <c r="G212" s="278">
        <f>VLOOKUP($D212,Rates!$C$1:$J$136,7,FALSE)</f>
        <v>1.8344</v>
      </c>
      <c r="H212" s="272">
        <f t="shared" ref="H212:H213" si="91">SUM(+F212*G212)</f>
        <v>4548.0279200000004</v>
      </c>
      <c r="I212" s="277"/>
      <c r="J212" s="282"/>
      <c r="K212" s="272">
        <f t="shared" ref="K212:K213" si="92">SUM(+F212*J212)</f>
        <v>0</v>
      </c>
      <c r="L212" s="272"/>
      <c r="M212" s="272"/>
      <c r="N212" s="280">
        <f t="shared" ref="N212:N214" si="93">IFERROR(ROUND(M212/H212,5), )</f>
        <v>0</v>
      </c>
      <c r="O212" s="326"/>
    </row>
    <row r="213" spans="2:15" x14ac:dyDescent="0.25">
      <c r="B213" s="283" t="s">
        <v>110</v>
      </c>
      <c r="C213" s="291" t="s">
        <v>227</v>
      </c>
      <c r="D213" s="275" t="str">
        <f>VLOOKUP(C213,Rates!$B$3:$J$136,2,FALSE)</f>
        <v>SCPA_UL_B2</v>
      </c>
      <c r="E213" s="270" t="s">
        <v>162</v>
      </c>
      <c r="F213" s="284">
        <f>VLOOKUP(C213,Rates!$B:$J,5,FALSE)</f>
        <v>5686.6999999999989</v>
      </c>
      <c r="G213" s="278">
        <f>VLOOKUP($D213,Rates!$C$1:$J$136,7,FALSE)</f>
        <v>1.7056</v>
      </c>
      <c r="H213" s="285">
        <f t="shared" si="91"/>
        <v>9699.2355199999984</v>
      </c>
      <c r="I213" s="277"/>
      <c r="J213" s="286"/>
      <c r="K213" s="285">
        <f t="shared" si="92"/>
        <v>0</v>
      </c>
      <c r="L213" s="272"/>
      <c r="M213" s="285"/>
      <c r="N213" s="287">
        <f t="shared" si="93"/>
        <v>0</v>
      </c>
      <c r="O213" s="326"/>
    </row>
    <row r="214" spans="2:15" x14ac:dyDescent="0.25">
      <c r="B214" s="281" t="s">
        <v>298</v>
      </c>
      <c r="D214" s="275" t="s">
        <v>346</v>
      </c>
      <c r="E214" s="270"/>
      <c r="F214" s="277">
        <f>SUM(F212:F213)</f>
        <v>8165.9999999999991</v>
      </c>
      <c r="G214" s="278"/>
      <c r="H214" s="272">
        <f>SUM(H212:H213)</f>
        <v>14247.263439999999</v>
      </c>
      <c r="I214" s="277"/>
      <c r="J214" s="282">
        <f>$J$260</f>
        <v>1.9850000000000001</v>
      </c>
      <c r="K214" s="272">
        <f t="shared" ref="K214" si="94">SUM(+F214*J214)</f>
        <v>16209.509999999998</v>
      </c>
      <c r="L214" s="272"/>
      <c r="M214" s="272">
        <f>K214-H214</f>
        <v>1962.2465599999996</v>
      </c>
      <c r="N214" s="280">
        <f t="shared" si="93"/>
        <v>0.13772999999999999</v>
      </c>
      <c r="O214" s="326"/>
    </row>
    <row r="215" spans="2:15" x14ac:dyDescent="0.25">
      <c r="B215" s="290"/>
      <c r="C215" s="291"/>
      <c r="D215" s="291"/>
      <c r="E215" s="325"/>
      <c r="F215" s="277"/>
      <c r="G215" s="279"/>
      <c r="H215" s="272"/>
      <c r="I215" s="277"/>
      <c r="J215" s="279"/>
      <c r="K215" s="272"/>
      <c r="L215" s="272"/>
      <c r="M215" s="272"/>
      <c r="N215" s="280"/>
      <c r="O215" s="326"/>
    </row>
    <row r="216" spans="2:15" x14ac:dyDescent="0.25">
      <c r="B216" s="269" t="s">
        <v>163</v>
      </c>
      <c r="C216" s="291"/>
      <c r="D216" s="299" t="s">
        <v>148</v>
      </c>
      <c r="E216" s="294" t="s">
        <v>279</v>
      </c>
      <c r="F216" s="277"/>
      <c r="G216" s="278">
        <f>VLOOKUP($D216,Rates!$C$1:$J$136,5,FALSE)</f>
        <v>0</v>
      </c>
      <c r="H216" s="272">
        <f>(F212+F213)*G216</f>
        <v>0</v>
      </c>
      <c r="I216" s="277"/>
      <c r="J216" s="282">
        <v>0</v>
      </c>
      <c r="K216" s="272">
        <f>($F$212+$F$213)*J216</f>
        <v>0</v>
      </c>
      <c r="L216" s="272"/>
      <c r="M216" s="272">
        <f t="shared" ref="M216" si="95">K216-H216</f>
        <v>0</v>
      </c>
      <c r="N216" s="280">
        <f t="shared" ref="N216" si="96">IFERROR(ROUND(M216/H216,5), )</f>
        <v>0</v>
      </c>
      <c r="O216" s="326"/>
    </row>
    <row r="217" spans="2:15" x14ac:dyDescent="0.25">
      <c r="B217" s="269" t="s">
        <v>147</v>
      </c>
      <c r="C217" s="295"/>
      <c r="D217" s="299" t="s">
        <v>296</v>
      </c>
      <c r="E217" s="295" t="s">
        <v>290</v>
      </c>
      <c r="F217" s="277"/>
      <c r="G217" s="278"/>
      <c r="H217" s="272">
        <v>-48.719999999999992</v>
      </c>
      <c r="I217" s="277"/>
      <c r="J217" s="282">
        <v>0</v>
      </c>
      <c r="K217" s="272">
        <f>($F$212+$F$213)*J217</f>
        <v>0</v>
      </c>
      <c r="L217" s="272"/>
      <c r="M217" s="272">
        <f t="shared" ref="M217" si="97">K217-H217</f>
        <v>48.719999999999992</v>
      </c>
      <c r="N217" s="280">
        <f t="shared" ref="N217" si="98">IFERROR(ROUND(M217/H217,5), )</f>
        <v>-1</v>
      </c>
      <c r="O217" s="326"/>
    </row>
    <row r="218" spans="2:15" x14ac:dyDescent="0.25">
      <c r="B218" s="301"/>
      <c r="C218" s="295"/>
      <c r="D218" s="295"/>
      <c r="E218" s="325"/>
      <c r="F218" s="277"/>
      <c r="G218" s="279"/>
      <c r="H218" s="285"/>
      <c r="I218" s="277"/>
      <c r="J218" s="279"/>
      <c r="K218" s="285"/>
      <c r="L218" s="272"/>
      <c r="M218" s="285"/>
      <c r="N218" s="287"/>
      <c r="O218" s="326"/>
    </row>
    <row r="219" spans="2:15" x14ac:dyDescent="0.25">
      <c r="B219" s="274" t="s">
        <v>16</v>
      </c>
      <c r="C219" s="276"/>
      <c r="D219" s="276"/>
      <c r="E219" s="325"/>
      <c r="F219" s="277"/>
      <c r="G219" s="279"/>
      <c r="H219" s="272">
        <f>SUM(H214:H218)+H211</f>
        <v>18878.64344</v>
      </c>
      <c r="I219" s="277"/>
      <c r="J219" s="279"/>
      <c r="K219" s="272">
        <f>SUM(K214:K218)+K211</f>
        <v>23264.51</v>
      </c>
      <c r="L219" s="272"/>
      <c r="M219" s="272">
        <f>SUM(M214:M218)+M211</f>
        <v>4385.8665599999995</v>
      </c>
      <c r="N219" s="280">
        <f>IFERROR(ROUND(M219/H219,5), )</f>
        <v>0.23232</v>
      </c>
      <c r="O219" s="326"/>
    </row>
    <row r="220" spans="2:15" x14ac:dyDescent="0.25">
      <c r="B220" s="274"/>
      <c r="C220" s="276"/>
      <c r="D220" s="276"/>
      <c r="E220" s="325"/>
      <c r="F220" s="277"/>
      <c r="G220" s="279"/>
      <c r="H220" s="272"/>
      <c r="I220" s="277"/>
      <c r="J220" s="279"/>
      <c r="K220" s="272"/>
      <c r="L220" s="272"/>
      <c r="M220" s="272"/>
      <c r="N220" s="280"/>
      <c r="O220" s="326"/>
    </row>
    <row r="221" spans="2:15" x14ac:dyDescent="0.25">
      <c r="B221" s="274" t="s">
        <v>166</v>
      </c>
      <c r="C221" s="276"/>
      <c r="D221" s="276"/>
      <c r="E221" s="325"/>
      <c r="F221" s="277"/>
      <c r="G221" s="279"/>
      <c r="H221" s="272">
        <v>18878.650000000001</v>
      </c>
      <c r="I221" s="277"/>
      <c r="J221" s="279"/>
      <c r="K221" s="272"/>
      <c r="L221" s="272"/>
      <c r="M221" s="272"/>
      <c r="N221" s="280"/>
      <c r="O221" s="326"/>
    </row>
    <row r="222" spans="2:15" x14ac:dyDescent="0.25">
      <c r="B222" s="274"/>
      <c r="C222" s="276"/>
      <c r="D222" s="276"/>
      <c r="E222" s="270"/>
      <c r="F222" s="270"/>
      <c r="G222" s="270"/>
      <c r="H222" s="272"/>
      <c r="I222" s="270"/>
      <c r="J222" s="270"/>
      <c r="K222" s="272"/>
      <c r="L222" s="272"/>
      <c r="M222" s="272"/>
      <c r="N222" s="280"/>
      <c r="O222" s="326"/>
    </row>
    <row r="223" spans="2:15" x14ac:dyDescent="0.25">
      <c r="B223" s="274" t="s">
        <v>167</v>
      </c>
      <c r="C223" s="276"/>
      <c r="D223" s="276"/>
      <c r="E223" s="276"/>
      <c r="F223" s="277"/>
      <c r="G223" s="277"/>
      <c r="H223" s="272">
        <f>H219-H221</f>
        <v>-6.5600000016274862E-3</v>
      </c>
      <c r="I223" s="277"/>
      <c r="J223" s="270"/>
      <c r="K223" s="272"/>
      <c r="L223" s="272"/>
      <c r="M223" s="272"/>
      <c r="N223" s="273"/>
      <c r="O223" s="326"/>
    </row>
    <row r="224" spans="2:15" x14ac:dyDescent="0.25">
      <c r="B224" s="274" t="s">
        <v>168</v>
      </c>
      <c r="C224" s="276"/>
      <c r="D224" s="276"/>
      <c r="E224" s="270"/>
      <c r="F224" s="270"/>
      <c r="G224" s="270"/>
      <c r="H224" s="306">
        <f>H223/H219</f>
        <v>-3.4748259441820814E-7</v>
      </c>
      <c r="I224" s="277"/>
      <c r="J224" s="270"/>
      <c r="K224" s="272"/>
      <c r="L224" s="272"/>
      <c r="M224" s="272"/>
      <c r="N224" s="273"/>
      <c r="O224" s="296"/>
    </row>
    <row r="225" spans="2:15" x14ac:dyDescent="0.25">
      <c r="B225" s="328"/>
      <c r="C225" s="329"/>
      <c r="D225" s="329"/>
      <c r="E225" s="308"/>
      <c r="F225" s="308"/>
      <c r="G225" s="308"/>
      <c r="H225" s="330"/>
      <c r="I225" s="310"/>
      <c r="J225" s="308"/>
      <c r="K225" s="309"/>
      <c r="L225" s="309"/>
      <c r="M225" s="309"/>
      <c r="N225" s="331"/>
      <c r="O225" s="296"/>
    </row>
    <row r="226" spans="2:15" x14ac:dyDescent="0.25">
      <c r="B226" s="262" t="s">
        <v>95</v>
      </c>
      <c r="C226" s="264"/>
      <c r="D226" s="264" t="s">
        <v>94</v>
      </c>
      <c r="E226" s="264"/>
      <c r="F226" s="265"/>
      <c r="G226" s="265"/>
      <c r="H226" s="267"/>
      <c r="I226" s="266"/>
      <c r="J226" s="265"/>
      <c r="K226" s="267"/>
      <c r="L226" s="267"/>
      <c r="M226" s="267"/>
      <c r="N226" s="312"/>
      <c r="O226" s="236"/>
    </row>
    <row r="227" spans="2:15" x14ac:dyDescent="0.25">
      <c r="B227" s="290"/>
      <c r="C227" s="291"/>
      <c r="D227" s="291"/>
      <c r="E227" s="291"/>
      <c r="F227" s="270"/>
      <c r="G227" s="270"/>
      <c r="H227" s="272"/>
      <c r="I227" s="325"/>
      <c r="J227" s="270"/>
      <c r="K227" s="272"/>
      <c r="L227" s="272"/>
      <c r="M227" s="272"/>
      <c r="N227" s="273"/>
    </row>
    <row r="228" spans="2:15" x14ac:dyDescent="0.25">
      <c r="B228" s="281" t="s">
        <v>184</v>
      </c>
      <c r="C228" s="291" t="s">
        <v>94</v>
      </c>
      <c r="D228" s="275" t="str">
        <f>VLOOKUP(C228,Rates!$B$3:$J$136,2,FALSE)</f>
        <v>SCPA_UL_BSC</v>
      </c>
      <c r="E228" s="276" t="s">
        <v>165</v>
      </c>
      <c r="F228" s="277">
        <f>VLOOKUP(C228,Rates!$B:$J,4,FALSE)</f>
        <v>1886</v>
      </c>
      <c r="G228" s="418">
        <f>VLOOKUP($D228,Rates!$C$1:$J$136,5,FALSE)</f>
        <v>27.53</v>
      </c>
      <c r="H228" s="272">
        <f>SUM(+F228*G228)</f>
        <v>51921.58</v>
      </c>
      <c r="I228" s="277"/>
      <c r="J228" s="279">
        <f>$J$259</f>
        <v>41.5</v>
      </c>
      <c r="K228" s="272">
        <f>SUM(+F228*J228)</f>
        <v>78269</v>
      </c>
      <c r="L228" s="272"/>
      <c r="M228" s="272">
        <f>K228-H228</f>
        <v>26347.42</v>
      </c>
      <c r="N228" s="280">
        <f>IFERROR(ROUND(M228/H228,5), )</f>
        <v>0.50744999999999996</v>
      </c>
      <c r="O228" s="326"/>
    </row>
    <row r="229" spans="2:15" x14ac:dyDescent="0.25">
      <c r="B229" s="281" t="s">
        <v>170</v>
      </c>
      <c r="C229" s="291" t="s">
        <v>223</v>
      </c>
      <c r="D229" s="275" t="str">
        <f>VLOOKUP(C229,Rates!$B$3:$J$136,2,FALSE)</f>
        <v>SCPA_UL_TRANS</v>
      </c>
      <c r="E229" s="270" t="s">
        <v>162</v>
      </c>
      <c r="F229" s="277">
        <f>VLOOKUP(C229,Rates!$B:$J,5,FALSE)</f>
        <v>86880</v>
      </c>
      <c r="G229" s="278">
        <f>VLOOKUP($D229,Rates!$C$1:$J$136,7,FALSE)</f>
        <v>1.8845000000000001</v>
      </c>
      <c r="H229" s="272">
        <f t="shared" ref="H229" si="99">SUM(+F229*G229)</f>
        <v>163725.36000000002</v>
      </c>
      <c r="I229" s="277"/>
      <c r="J229" s="282">
        <f>$J$260</f>
        <v>1.9850000000000001</v>
      </c>
      <c r="K229" s="272">
        <f t="shared" ref="K229" si="100">SUM(+F229*J229)</f>
        <v>172456.80000000002</v>
      </c>
      <c r="L229" s="272"/>
      <c r="M229" s="272">
        <f t="shared" ref="M229" si="101">K229-H229</f>
        <v>8731.4400000000023</v>
      </c>
      <c r="N229" s="280">
        <f t="shared" ref="N229" si="102">IFERROR(ROUND(M229/H229,5), )</f>
        <v>5.3330000000000002E-2</v>
      </c>
      <c r="O229" s="326"/>
    </row>
    <row r="230" spans="2:15" x14ac:dyDescent="0.25">
      <c r="B230" s="281"/>
      <c r="C230" s="291"/>
      <c r="D230" s="275"/>
      <c r="E230" s="270"/>
      <c r="F230" s="277"/>
      <c r="G230" s="278"/>
      <c r="H230" s="272"/>
      <c r="I230" s="277"/>
      <c r="J230" s="282"/>
      <c r="K230" s="272"/>
      <c r="L230" s="272"/>
      <c r="M230" s="272"/>
      <c r="N230" s="280"/>
      <c r="O230" s="326"/>
    </row>
    <row r="231" spans="2:15" x14ac:dyDescent="0.25">
      <c r="B231" s="269" t="s">
        <v>147</v>
      </c>
      <c r="C231" s="295"/>
      <c r="D231" s="299" t="s">
        <v>296</v>
      </c>
      <c r="E231" s="295" t="s">
        <v>290</v>
      </c>
      <c r="F231" s="277"/>
      <c r="G231" s="278"/>
      <c r="H231" s="272">
        <v>-571</v>
      </c>
      <c r="I231" s="277"/>
      <c r="J231" s="282"/>
      <c r="K231" s="272"/>
      <c r="L231" s="272"/>
      <c r="M231" s="272">
        <f t="shared" ref="M231" si="103">K231-H231</f>
        <v>571</v>
      </c>
      <c r="N231" s="280">
        <f t="shared" ref="N231" si="104">IFERROR(ROUND(M231/H231,5), )</f>
        <v>-1</v>
      </c>
      <c r="O231" s="326"/>
    </row>
    <row r="232" spans="2:15" x14ac:dyDescent="0.25">
      <c r="B232" s="290"/>
      <c r="C232" s="291"/>
      <c r="D232" s="291"/>
      <c r="E232" s="325"/>
      <c r="F232" s="277"/>
      <c r="G232" s="279"/>
      <c r="H232" s="285"/>
      <c r="I232" s="277"/>
      <c r="J232" s="279"/>
      <c r="K232" s="272"/>
      <c r="L232" s="272"/>
      <c r="M232" s="272"/>
      <c r="N232" s="280"/>
      <c r="O232" s="326"/>
    </row>
    <row r="233" spans="2:15" x14ac:dyDescent="0.25">
      <c r="B233" s="274" t="s">
        <v>16</v>
      </c>
      <c r="C233" s="276"/>
      <c r="D233" s="276"/>
      <c r="E233" s="325"/>
      <c r="F233" s="277"/>
      <c r="G233" s="279"/>
      <c r="H233" s="272">
        <f>SUM(H228:H232)</f>
        <v>215075.94</v>
      </c>
      <c r="I233" s="277"/>
      <c r="J233" s="279"/>
      <c r="K233" s="304">
        <f>SUM(K228:K232)</f>
        <v>250725.80000000002</v>
      </c>
      <c r="L233" s="272"/>
      <c r="M233" s="304">
        <f>SUM(M228:M232)</f>
        <v>35649.86</v>
      </c>
      <c r="N233" s="318">
        <f>IFERROR(ROUND(M233/H233,5), )</f>
        <v>0.16575000000000001</v>
      </c>
      <c r="O233" s="326"/>
    </row>
    <row r="234" spans="2:15" x14ac:dyDescent="0.25">
      <c r="B234" s="274"/>
      <c r="C234" s="276"/>
      <c r="D234" s="276"/>
      <c r="E234" s="325"/>
      <c r="F234" s="277"/>
      <c r="G234" s="279"/>
      <c r="H234" s="272"/>
      <c r="I234" s="277"/>
      <c r="J234" s="279"/>
      <c r="K234" s="272"/>
      <c r="L234" s="272"/>
      <c r="M234" s="272"/>
      <c r="N234" s="280"/>
      <c r="O234" s="326"/>
    </row>
    <row r="235" spans="2:15" x14ac:dyDescent="0.25">
      <c r="B235" s="274" t="s">
        <v>166</v>
      </c>
      <c r="C235" s="276"/>
      <c r="D235" s="276"/>
      <c r="E235" s="325"/>
      <c r="F235" s="277"/>
      <c r="G235" s="279"/>
      <c r="H235" s="272">
        <v>215075.93000000002</v>
      </c>
      <c r="I235" s="277"/>
      <c r="J235" s="279"/>
      <c r="K235" s="272"/>
      <c r="L235" s="272"/>
      <c r="M235" s="272"/>
      <c r="N235" s="280"/>
      <c r="O235" s="326"/>
    </row>
    <row r="236" spans="2:15" x14ac:dyDescent="0.25">
      <c r="B236" s="274"/>
      <c r="C236" s="276"/>
      <c r="D236" s="276"/>
      <c r="E236" s="270"/>
      <c r="F236" s="270"/>
      <c r="G236" s="270"/>
      <c r="H236" s="272"/>
      <c r="I236" s="270"/>
      <c r="J236" s="270"/>
      <c r="K236" s="272"/>
      <c r="L236" s="272"/>
      <c r="M236" s="272"/>
      <c r="N236" s="280"/>
      <c r="O236" s="326"/>
    </row>
    <row r="237" spans="2:15" x14ac:dyDescent="0.25">
      <c r="B237" s="274" t="s">
        <v>167</v>
      </c>
      <c r="C237" s="276"/>
      <c r="D237" s="276"/>
      <c r="E237" s="276"/>
      <c r="F237" s="277"/>
      <c r="G237" s="277"/>
      <c r="H237" s="272">
        <f>H233-H235</f>
        <v>9.9999999802093953E-3</v>
      </c>
      <c r="I237" s="277"/>
      <c r="J237" s="270"/>
      <c r="K237" s="272"/>
      <c r="L237" s="272"/>
      <c r="M237" s="272"/>
      <c r="N237" s="273"/>
      <c r="O237" s="326"/>
    </row>
    <row r="238" spans="2:15" x14ac:dyDescent="0.25">
      <c r="B238" s="274" t="s">
        <v>168</v>
      </c>
      <c r="C238" s="276"/>
      <c r="D238" s="276"/>
      <c r="E238" s="270"/>
      <c r="F238" s="270"/>
      <c r="G238" s="270"/>
      <c r="H238" s="306">
        <f>H237/H233</f>
        <v>4.6495205275910431E-8</v>
      </c>
      <c r="I238" s="277"/>
      <c r="J238" s="270"/>
      <c r="K238" s="272"/>
      <c r="L238" s="272"/>
      <c r="M238" s="272"/>
      <c r="N238" s="273"/>
      <c r="O238" s="296"/>
    </row>
    <row r="239" spans="2:15" x14ac:dyDescent="0.25">
      <c r="B239" s="328"/>
      <c r="C239" s="329"/>
      <c r="D239" s="329"/>
      <c r="E239" s="308"/>
      <c r="F239" s="308"/>
      <c r="G239" s="308"/>
      <c r="H239" s="330"/>
      <c r="I239" s="310"/>
      <c r="J239" s="308"/>
      <c r="K239" s="309"/>
      <c r="L239" s="309"/>
      <c r="M239" s="309"/>
      <c r="N239" s="331"/>
      <c r="O239" s="296"/>
    </row>
    <row r="240" spans="2:15" x14ac:dyDescent="0.25">
      <c r="B240" s="276"/>
      <c r="C240" s="276"/>
      <c r="D240" s="276"/>
      <c r="E240" s="270"/>
      <c r="F240" s="270"/>
      <c r="G240" s="270"/>
      <c r="H240" s="306"/>
      <c r="I240" s="277"/>
      <c r="J240" s="270"/>
      <c r="K240" s="272"/>
      <c r="L240" s="272"/>
      <c r="M240" s="272"/>
      <c r="N240" s="332"/>
      <c r="O240" s="296"/>
    </row>
    <row r="241" spans="2:15" x14ac:dyDescent="0.25">
      <c r="B241" s="333" t="s">
        <v>347</v>
      </c>
      <c r="C241" s="334"/>
      <c r="D241" s="334"/>
      <c r="E241" s="334"/>
      <c r="F241" s="335" t="s">
        <v>162</v>
      </c>
      <c r="G241" s="258"/>
      <c r="H241" s="336" t="s">
        <v>3</v>
      </c>
      <c r="I241" s="259"/>
      <c r="J241" s="258"/>
      <c r="K241" s="337" t="s">
        <v>4</v>
      </c>
      <c r="L241" s="260"/>
      <c r="M241" s="337" t="s">
        <v>18</v>
      </c>
      <c r="N241" s="314"/>
      <c r="O241" s="296"/>
    </row>
    <row r="242" spans="2:15" x14ac:dyDescent="0.25">
      <c r="B242" s="338" t="s">
        <v>16</v>
      </c>
      <c r="C242" s="270"/>
      <c r="D242" s="270"/>
      <c r="E242" s="291"/>
      <c r="F242" s="339">
        <f>SUMIF(E142:E239,F241,F142:F239)</f>
        <v>2246475</v>
      </c>
      <c r="G242" s="270"/>
      <c r="H242" s="272">
        <f>H152+H166+H183+H202+H219+H233</f>
        <v>5596636.2298389999</v>
      </c>
      <c r="I242" s="277"/>
      <c r="J242" s="270"/>
      <c r="K242" s="272">
        <f>K152+K166+K183+K202+K219+K233</f>
        <v>6835326.2047999995</v>
      </c>
      <c r="L242" s="272"/>
      <c r="M242" s="272">
        <f>K242-H242</f>
        <v>1238689.9749609996</v>
      </c>
      <c r="N242" s="280">
        <f>M242/H242</f>
        <v>0.2213275839435134</v>
      </c>
      <c r="O242" s="296"/>
    </row>
    <row r="243" spans="2:15" x14ac:dyDescent="0.25">
      <c r="B243" s="290"/>
      <c r="C243" s="291"/>
      <c r="D243" s="291"/>
      <c r="E243" s="291"/>
      <c r="F243" s="270"/>
      <c r="G243" s="270"/>
      <c r="H243" s="291"/>
      <c r="I243" s="277"/>
      <c r="J243" s="270"/>
      <c r="K243" s="279"/>
      <c r="L243" s="279"/>
      <c r="M243" s="270"/>
      <c r="N243" s="340"/>
      <c r="O243" s="296"/>
    </row>
    <row r="244" spans="2:15" x14ac:dyDescent="0.25">
      <c r="B244" s="290"/>
      <c r="C244" s="291"/>
      <c r="D244" s="291"/>
      <c r="E244" s="291"/>
      <c r="F244" s="270"/>
      <c r="G244" s="270"/>
      <c r="H244" s="341" t="s">
        <v>3</v>
      </c>
      <c r="I244" s="342"/>
      <c r="J244" s="341"/>
      <c r="K244" s="343" t="s">
        <v>4</v>
      </c>
      <c r="L244" s="343"/>
      <c r="M244" s="343" t="s">
        <v>18</v>
      </c>
      <c r="N244" s="273"/>
      <c r="O244" s="296"/>
    </row>
    <row r="245" spans="2:15" x14ac:dyDescent="0.25">
      <c r="B245" s="290"/>
      <c r="C245" s="291"/>
      <c r="D245" s="291"/>
      <c r="E245" s="344" t="s">
        <v>165</v>
      </c>
      <c r="F245" s="345"/>
      <c r="G245" s="270"/>
      <c r="H245" s="339">
        <f t="shared" ref="H245:H250" si="105">SUMIF($E$142:$E$239,E245,$H$142:$H$239)</f>
        <v>1435606.9100000001</v>
      </c>
      <c r="I245" s="277"/>
      <c r="J245" s="270"/>
      <c r="K245" s="346">
        <f>SUMIF($E$142:$E$239,E245,$K$142:$K$239)</f>
        <v>2164100.5</v>
      </c>
      <c r="L245" s="279"/>
      <c r="M245" s="272">
        <f>K245-H245</f>
        <v>728493.58999999985</v>
      </c>
      <c r="N245" s="280">
        <f>IFERROR(ROUND(M245/H245,5), )</f>
        <v>0.50744999999999996</v>
      </c>
      <c r="O245" s="296"/>
    </row>
    <row r="246" spans="2:15" x14ac:dyDescent="0.25">
      <c r="B246" s="290"/>
      <c r="C246" s="291"/>
      <c r="D246" s="291"/>
      <c r="E246" s="344" t="s">
        <v>162</v>
      </c>
      <c r="F246" s="270"/>
      <c r="G246" s="270"/>
      <c r="H246" s="339">
        <f t="shared" si="105"/>
        <v>4038536.7988</v>
      </c>
      <c r="I246" s="277"/>
      <c r="J246" s="270"/>
      <c r="K246" s="347">
        <f>K145+K162+K178+K195+K214+K229</f>
        <v>4459252.875</v>
      </c>
      <c r="L246" s="279"/>
      <c r="M246" s="272">
        <f t="shared" ref="M246:M250" si="106">K246-H246</f>
        <v>420716.07620000001</v>
      </c>
      <c r="N246" s="280">
        <f t="shared" ref="N246:N251" si="107">IFERROR(ROUND(M246/H246,5), )</f>
        <v>0.10417999999999999</v>
      </c>
      <c r="O246" s="296"/>
    </row>
    <row r="247" spans="2:15" x14ac:dyDescent="0.25">
      <c r="B247" s="290"/>
      <c r="C247" s="291"/>
      <c r="D247" s="291"/>
      <c r="E247" s="348" t="s">
        <v>279</v>
      </c>
      <c r="F247" s="270"/>
      <c r="G247" s="270"/>
      <c r="H247" s="339">
        <f t="shared" si="105"/>
        <v>0</v>
      </c>
      <c r="I247" s="277"/>
      <c r="J247" s="270"/>
      <c r="K247" s="346">
        <f>SUMIF($E$142:$E$239,E247,$K$142:$K$239)</f>
        <v>0</v>
      </c>
      <c r="L247" s="279"/>
      <c r="M247" s="272">
        <f t="shared" si="106"/>
        <v>0</v>
      </c>
      <c r="N247" s="280">
        <f t="shared" si="107"/>
        <v>0</v>
      </c>
      <c r="O247" s="296"/>
    </row>
    <row r="248" spans="2:15" x14ac:dyDescent="0.25">
      <c r="B248" s="290"/>
      <c r="C248" s="291"/>
      <c r="D248" s="291"/>
      <c r="E248" s="344" t="s">
        <v>287</v>
      </c>
      <c r="F248" s="270"/>
      <c r="G248" s="270"/>
      <c r="H248" s="339">
        <f t="shared" si="105"/>
        <v>26552.456038999997</v>
      </c>
      <c r="I248" s="277"/>
      <c r="J248" s="270"/>
      <c r="K248" s="346">
        <f>SUMIF($E$142:$E$239,E248,$K$142:$K$239)</f>
        <v>59176.856499999994</v>
      </c>
      <c r="L248" s="279"/>
      <c r="M248" s="272">
        <f t="shared" si="106"/>
        <v>32624.400460999997</v>
      </c>
      <c r="N248" s="280">
        <f t="shared" si="107"/>
        <v>1.22868</v>
      </c>
      <c r="O248" s="296"/>
    </row>
    <row r="249" spans="2:15" x14ac:dyDescent="0.25">
      <c r="B249" s="290"/>
      <c r="C249" s="291"/>
      <c r="D249" s="291"/>
      <c r="E249" s="344" t="s">
        <v>288</v>
      </c>
      <c r="F249" s="270"/>
      <c r="G249" s="270"/>
      <c r="H249" s="339">
        <f t="shared" si="105"/>
        <v>139630.78499999997</v>
      </c>
      <c r="I249" s="277"/>
      <c r="J249" s="270"/>
      <c r="K249" s="346">
        <f>SUMIF($E$142:$E$239,E249,$K$142:$K$239)</f>
        <v>152795.97330000001</v>
      </c>
      <c r="L249" s="279"/>
      <c r="M249" s="272">
        <f t="shared" si="106"/>
        <v>13165.188300000038</v>
      </c>
      <c r="N249" s="280">
        <f t="shared" si="107"/>
        <v>9.4289999999999999E-2</v>
      </c>
      <c r="O249" s="296"/>
    </row>
    <row r="250" spans="2:15" x14ac:dyDescent="0.25">
      <c r="B250" s="290"/>
      <c r="C250" s="291"/>
      <c r="D250" s="291"/>
      <c r="E250" s="344" t="s">
        <v>290</v>
      </c>
      <c r="F250" s="270"/>
      <c r="G250" s="270"/>
      <c r="H250" s="367">
        <f t="shared" si="105"/>
        <v>-43690.720000000001</v>
      </c>
      <c r="I250" s="284"/>
      <c r="J250" s="350"/>
      <c r="K250" s="349">
        <f>SUMIF($E$142:$E$239,E250,$K$142:$K$239)</f>
        <v>0</v>
      </c>
      <c r="L250" s="351"/>
      <c r="M250" s="285">
        <f t="shared" si="106"/>
        <v>43690.720000000001</v>
      </c>
      <c r="N250" s="287">
        <f t="shared" si="107"/>
        <v>-1</v>
      </c>
      <c r="O250" s="296"/>
    </row>
    <row r="251" spans="2:15" x14ac:dyDescent="0.25">
      <c r="B251" s="290"/>
      <c r="C251" s="291"/>
      <c r="D251" s="291"/>
      <c r="E251" s="291"/>
      <c r="F251" s="270"/>
      <c r="G251" s="270"/>
      <c r="H251" s="352">
        <f>SUM(H245:H250)</f>
        <v>5596636.2298390009</v>
      </c>
      <c r="I251" s="277"/>
      <c r="J251" s="270"/>
      <c r="K251" s="352">
        <f>SUM(K245:K250)</f>
        <v>6835326.2047999995</v>
      </c>
      <c r="L251" s="279"/>
      <c r="M251" s="352">
        <f>SUM(M245:M250)</f>
        <v>1238689.9749609998</v>
      </c>
      <c r="N251" s="280">
        <f t="shared" si="107"/>
        <v>0.22133</v>
      </c>
      <c r="O251" s="296"/>
    </row>
    <row r="252" spans="2:15" x14ac:dyDescent="0.25">
      <c r="B252" s="290"/>
      <c r="C252" s="291"/>
      <c r="D252" s="291"/>
      <c r="E252" s="291"/>
      <c r="F252" s="270"/>
      <c r="G252" s="270"/>
      <c r="H252" s="291"/>
      <c r="I252" s="277"/>
      <c r="J252" s="270"/>
      <c r="K252" s="279"/>
      <c r="L252" s="279"/>
      <c r="M252" s="270"/>
      <c r="N252" s="340"/>
      <c r="O252" s="296"/>
    </row>
    <row r="253" spans="2:15" x14ac:dyDescent="0.25">
      <c r="B253" s="290"/>
      <c r="C253" s="291"/>
      <c r="D253" s="291"/>
      <c r="E253" s="291"/>
      <c r="F253" s="270"/>
      <c r="G253" s="270"/>
      <c r="H253" s="353">
        <v>5596635.7099999981</v>
      </c>
      <c r="I253" s="277"/>
      <c r="J253" s="270"/>
      <c r="K253" s="279">
        <v>6835235.2587536015</v>
      </c>
      <c r="L253" s="279"/>
      <c r="M253" s="270"/>
      <c r="N253" s="340"/>
      <c r="O253" s="296"/>
    </row>
    <row r="254" spans="2:15" x14ac:dyDescent="0.25">
      <c r="B254" s="290"/>
      <c r="C254" s="291"/>
      <c r="D254" s="291"/>
      <c r="E254" s="291"/>
      <c r="F254" s="270"/>
      <c r="G254" s="270"/>
      <c r="H254" s="291"/>
      <c r="I254" s="277"/>
      <c r="J254" s="270"/>
      <c r="K254" s="279"/>
      <c r="L254" s="279"/>
      <c r="M254" s="270"/>
      <c r="N254" s="340"/>
      <c r="O254" s="296"/>
    </row>
    <row r="255" spans="2:15" x14ac:dyDescent="0.25">
      <c r="B255" s="274" t="s">
        <v>167</v>
      </c>
      <c r="C255" s="291"/>
      <c r="D255" s="291"/>
      <c r="E255" s="291"/>
      <c r="F255" s="270"/>
      <c r="G255" s="270"/>
      <c r="H255" s="272">
        <f>H251-H253</f>
        <v>0.51983900275081396</v>
      </c>
      <c r="I255" s="277"/>
      <c r="J255" s="270"/>
      <c r="K255" s="272">
        <f>K251-K253</f>
        <v>90.946046398021281</v>
      </c>
      <c r="L255" s="279"/>
      <c r="M255" s="270"/>
      <c r="N255" s="340"/>
      <c r="O255" s="296"/>
    </row>
    <row r="256" spans="2:15" x14ac:dyDescent="0.25">
      <c r="B256" s="274" t="s">
        <v>168</v>
      </c>
      <c r="C256" s="291"/>
      <c r="D256" s="291"/>
      <c r="E256" s="291"/>
      <c r="F256" s="270"/>
      <c r="G256" s="270"/>
      <c r="H256" s="306">
        <f>H255/H251</f>
        <v>9.2884186393827532E-8</v>
      </c>
      <c r="I256" s="277"/>
      <c r="J256" s="270"/>
      <c r="K256" s="306">
        <f>K255/K251</f>
        <v>1.3305297168430068E-5</v>
      </c>
      <c r="L256" s="279"/>
      <c r="M256" s="270"/>
      <c r="N256" s="340"/>
      <c r="O256" s="296"/>
    </row>
    <row r="257" spans="2:15" x14ac:dyDescent="0.25">
      <c r="B257" s="274"/>
      <c r="C257" s="276"/>
      <c r="D257" s="276"/>
      <c r="E257" s="270"/>
      <c r="F257" s="270"/>
      <c r="G257" s="270"/>
      <c r="H257" s="306"/>
      <c r="I257" s="277"/>
      <c r="J257" s="270"/>
      <c r="K257" s="272"/>
      <c r="L257" s="272"/>
      <c r="M257" s="272"/>
      <c r="N257" s="273"/>
      <c r="O257" s="296"/>
    </row>
    <row r="258" spans="2:15" ht="15.75" thickBot="1" x14ac:dyDescent="0.3">
      <c r="B258" s="355" t="s">
        <v>297</v>
      </c>
      <c r="C258" s="374"/>
      <c r="D258" s="375"/>
      <c r="E258" s="374"/>
      <c r="F258" s="376"/>
      <c r="G258" s="686" t="s">
        <v>3</v>
      </c>
      <c r="H258" s="686"/>
      <c r="I258" s="377"/>
      <c r="J258" s="689" t="s">
        <v>4</v>
      </c>
      <c r="K258" s="688"/>
      <c r="L258" s="358"/>
      <c r="M258" s="358" t="s">
        <v>18</v>
      </c>
      <c r="N258" s="378"/>
      <c r="O258" s="296"/>
    </row>
    <row r="259" spans="2:15" ht="15.75" thickBot="1" x14ac:dyDescent="0.3">
      <c r="B259" s="359">
        <v>6835235.2587536015</v>
      </c>
      <c r="C259" s="270"/>
      <c r="D259" s="295"/>
      <c r="E259" s="295" t="s">
        <v>165</v>
      </c>
      <c r="F259" s="345">
        <f>SUMIF($E$142:$E$239,E259,$F$142:$F$239)</f>
        <v>52147</v>
      </c>
      <c r="G259" s="406">
        <f>G142</f>
        <v>27.53</v>
      </c>
      <c r="H259" s="339">
        <f t="shared" ref="H259:H265" si="108">SUMIF($E$142:$E$239,E259,$H$142:$H$239)</f>
        <v>1435606.9100000001</v>
      </c>
      <c r="I259" s="277"/>
      <c r="J259" s="604">
        <v>41.5</v>
      </c>
      <c r="K259" s="339">
        <f>J259*F259</f>
        <v>2164100.5</v>
      </c>
      <c r="L259" s="279"/>
      <c r="M259" s="272">
        <f>K259-H259</f>
        <v>728493.58999999985</v>
      </c>
      <c r="N259" s="280">
        <f t="shared" ref="N259:N263" si="109">IFERROR(ROUND(M259/H259,5), )</f>
        <v>0.50744999999999996</v>
      </c>
      <c r="O259" s="296"/>
    </row>
    <row r="260" spans="2:15" x14ac:dyDescent="0.25">
      <c r="B260" s="363"/>
      <c r="C260" s="291"/>
      <c r="D260" s="364"/>
      <c r="E260" s="295" t="s">
        <v>162</v>
      </c>
      <c r="F260" s="345">
        <f>SUMIF($E$142:$E$239,E260,$F$142:$F$239)</f>
        <v>2246475</v>
      </c>
      <c r="G260" s="346"/>
      <c r="H260" s="339">
        <f t="shared" si="108"/>
        <v>4038536.7988</v>
      </c>
      <c r="I260" s="277"/>
      <c r="J260" s="278">
        <f>ROUND(K260/F260,4)</f>
        <v>1.9850000000000001</v>
      </c>
      <c r="K260" s="339">
        <f>B259-SUM(K259,K263,K264)</f>
        <v>4459161.928953601</v>
      </c>
      <c r="L260" s="279"/>
      <c r="M260" s="272">
        <f t="shared" ref="M260:M265" si="110">K260-H260</f>
        <v>420625.13015360106</v>
      </c>
      <c r="N260" s="280">
        <f t="shared" si="109"/>
        <v>0.10415000000000001</v>
      </c>
      <c r="O260" s="296"/>
    </row>
    <row r="261" spans="2:15" x14ac:dyDescent="0.25">
      <c r="B261" s="365" t="s">
        <v>15</v>
      </c>
      <c r="C261" s="291"/>
      <c r="D261" s="364"/>
      <c r="E261" s="294" t="s">
        <v>279</v>
      </c>
      <c r="F261" s="345"/>
      <c r="G261" s="270"/>
      <c r="H261" s="339">
        <f t="shared" si="108"/>
        <v>0</v>
      </c>
      <c r="I261" s="277"/>
      <c r="J261" s="278"/>
      <c r="K261" s="339">
        <f>SUMIF($E$12:$E$109,E261,$K$12:$K$109)</f>
        <v>0</v>
      </c>
      <c r="L261" s="279"/>
      <c r="M261" s="272">
        <f t="shared" si="110"/>
        <v>0</v>
      </c>
      <c r="N261" s="280">
        <f t="shared" si="109"/>
        <v>0</v>
      </c>
      <c r="O261" s="296"/>
    </row>
    <row r="262" spans="2:15" ht="15.75" thickBot="1" x14ac:dyDescent="0.3">
      <c r="B262" s="365">
        <f>K242-B259</f>
        <v>90.946046398021281</v>
      </c>
      <c r="C262" s="291"/>
      <c r="D262" s="364"/>
      <c r="E262" s="295" t="s">
        <v>280</v>
      </c>
      <c r="F262" s="345"/>
      <c r="G262" s="270"/>
      <c r="H262" s="339">
        <f t="shared" si="108"/>
        <v>0</v>
      </c>
      <c r="I262" s="277"/>
      <c r="J262" s="278"/>
      <c r="K262" s="339">
        <f>SUMIF($E$12:$E$109,E262,$K$12:$K$109)</f>
        <v>0</v>
      </c>
      <c r="L262" s="279"/>
      <c r="M262" s="272">
        <f t="shared" si="110"/>
        <v>0</v>
      </c>
      <c r="N262" s="280">
        <f t="shared" si="109"/>
        <v>0</v>
      </c>
      <c r="O262" s="296"/>
    </row>
    <row r="263" spans="2:15" ht="15.75" thickBot="1" x14ac:dyDescent="0.3">
      <c r="B263" s="290"/>
      <c r="C263" s="291"/>
      <c r="D263" s="299" t="s">
        <v>289</v>
      </c>
      <c r="E263" s="295" t="s">
        <v>287</v>
      </c>
      <c r="F263" s="345">
        <f>F143+F144+F193+F194</f>
        <v>1329817</v>
      </c>
      <c r="G263" s="270"/>
      <c r="H263" s="339">
        <f t="shared" si="108"/>
        <v>26552.456038999997</v>
      </c>
      <c r="I263" s="277"/>
      <c r="J263" s="361">
        <f>VLOOKUP($D263,Rates!$C$1:$J$136,8,FALSE)</f>
        <v>4.4499999999999998E-2</v>
      </c>
      <c r="K263" s="339">
        <f>J263*F263</f>
        <v>59176.856499999994</v>
      </c>
      <c r="L263" s="279"/>
      <c r="M263" s="272">
        <f t="shared" si="110"/>
        <v>32624.400460999997</v>
      </c>
      <c r="N263" s="280">
        <f t="shared" si="109"/>
        <v>1.22868</v>
      </c>
      <c r="O263" s="296"/>
    </row>
    <row r="264" spans="2:15" ht="15.75" thickBot="1" x14ac:dyDescent="0.3">
      <c r="B264" s="290"/>
      <c r="C264" s="291"/>
      <c r="D264" s="299" t="s">
        <v>286</v>
      </c>
      <c r="E264" s="295" t="s">
        <v>288</v>
      </c>
      <c r="F264" s="345">
        <f>F263</f>
        <v>1329817</v>
      </c>
      <c r="G264" s="270"/>
      <c r="H264" s="339">
        <f t="shared" si="108"/>
        <v>139630.78499999997</v>
      </c>
      <c r="I264" s="277"/>
      <c r="J264" s="361">
        <f>VLOOKUP($D264,Rates!$C$1:$J$136,8,FALSE)</f>
        <v>0.1149</v>
      </c>
      <c r="K264" s="339">
        <f>J264*F264</f>
        <v>152795.97330000001</v>
      </c>
      <c r="L264" s="279"/>
      <c r="M264" s="272">
        <f t="shared" si="110"/>
        <v>13165.188300000038</v>
      </c>
      <c r="N264" s="280">
        <f>IFERROR(ROUND(M264/H264,5), )</f>
        <v>9.4289999999999999E-2</v>
      </c>
      <c r="O264" s="296"/>
    </row>
    <row r="265" spans="2:15" x14ac:dyDescent="0.25">
      <c r="B265" s="290"/>
      <c r="C265" s="291"/>
      <c r="D265" s="364"/>
      <c r="E265" s="295" t="s">
        <v>290</v>
      </c>
      <c r="F265" s="345"/>
      <c r="G265" s="270"/>
      <c r="H265" s="367">
        <f t="shared" si="108"/>
        <v>-43690.720000000001</v>
      </c>
      <c r="I265" s="277"/>
      <c r="J265" s="278"/>
      <c r="K265" s="367">
        <f>SUMIF($E$12:$E$109,E265,$K$12:$K$109)</f>
        <v>0</v>
      </c>
      <c r="L265" s="279"/>
      <c r="M265" s="285">
        <f t="shared" si="110"/>
        <v>43690.720000000001</v>
      </c>
      <c r="N265" s="280">
        <f>IFERROR(ROUND(M265/H265,5), )</f>
        <v>-1</v>
      </c>
      <c r="O265" s="296"/>
    </row>
    <row r="266" spans="2:15" x14ac:dyDescent="0.25">
      <c r="B266" s="269"/>
      <c r="C266" s="270"/>
      <c r="D266" s="295"/>
      <c r="E266" s="291"/>
      <c r="F266" s="270"/>
      <c r="G266" s="270"/>
      <c r="H266" s="368">
        <f>SUM(H259:H265)</f>
        <v>5596636.2298390009</v>
      </c>
      <c r="I266" s="277"/>
      <c r="J266" s="278"/>
      <c r="K266" s="368">
        <f>SUM(K259:K265)</f>
        <v>6835235.2587536005</v>
      </c>
      <c r="L266" s="279"/>
      <c r="M266" s="368">
        <f>SUM(M259:M265)</f>
        <v>1238599.0289146008</v>
      </c>
      <c r="N266" s="280">
        <f>IFERROR(ROUND(M266/H266,5), )</f>
        <v>0.22131000000000001</v>
      </c>
      <c r="O266" s="296"/>
    </row>
    <row r="267" spans="2:15" x14ac:dyDescent="0.25">
      <c r="B267" s="269"/>
      <c r="C267" s="270"/>
      <c r="D267" s="295"/>
      <c r="E267" s="291"/>
      <c r="F267" s="270"/>
      <c r="G267" s="270"/>
      <c r="H267" s="291"/>
      <c r="I267" s="277"/>
      <c r="J267" s="278"/>
      <c r="K267" s="279"/>
      <c r="L267" s="279"/>
      <c r="M267" s="270"/>
      <c r="N267" s="273"/>
      <c r="O267" s="296"/>
    </row>
    <row r="268" spans="2:15" x14ac:dyDescent="0.25">
      <c r="B268" s="307"/>
      <c r="C268" s="350"/>
      <c r="D268" s="369"/>
      <c r="E268" s="370"/>
      <c r="F268" s="350"/>
      <c r="G268" s="350"/>
      <c r="H268" s="370"/>
      <c r="I268" s="284"/>
      <c r="J268" s="371"/>
      <c r="K268" s="351"/>
      <c r="L268" s="351"/>
      <c r="M268" s="350"/>
      <c r="N268" s="372"/>
      <c r="O268" s="296"/>
    </row>
    <row r="269" spans="2:15" x14ac:dyDescent="0.25">
      <c r="B269" s="276"/>
      <c r="C269" s="276"/>
      <c r="D269" s="276"/>
      <c r="E269" s="270"/>
      <c r="F269" s="270"/>
      <c r="G269" s="270"/>
      <c r="H269" s="306"/>
      <c r="I269" s="277"/>
      <c r="J269" s="270"/>
      <c r="K269" s="272"/>
      <c r="L269" s="272"/>
      <c r="M269" s="272"/>
      <c r="N269" s="332"/>
      <c r="O269" s="296"/>
    </row>
    <row r="270" spans="2:15" x14ac:dyDescent="0.25">
      <c r="B270" s="236"/>
      <c r="C270" s="236"/>
      <c r="D270" s="236"/>
      <c r="N270" s="379"/>
      <c r="O270" s="296"/>
    </row>
    <row r="271" spans="2:15" x14ac:dyDescent="0.25">
      <c r="B271" s="333" t="s">
        <v>307</v>
      </c>
      <c r="C271" s="258"/>
      <c r="D271" s="258"/>
      <c r="E271" s="334"/>
      <c r="F271" s="335" t="s">
        <v>162</v>
      </c>
      <c r="G271" s="258"/>
      <c r="H271" s="336" t="s">
        <v>3</v>
      </c>
      <c r="I271" s="259"/>
      <c r="J271" s="258"/>
      <c r="K271" s="337" t="s">
        <v>4</v>
      </c>
      <c r="L271" s="260"/>
      <c r="M271" s="337" t="s">
        <v>18</v>
      </c>
      <c r="N271" s="314"/>
      <c r="O271" s="296"/>
    </row>
    <row r="272" spans="2:15" x14ac:dyDescent="0.25">
      <c r="B272" s="338" t="s">
        <v>16</v>
      </c>
      <c r="C272" s="270"/>
      <c r="D272" s="270"/>
      <c r="E272" s="291"/>
      <c r="F272" s="339">
        <f>F112+F242</f>
        <v>3479136</v>
      </c>
      <c r="G272" s="270"/>
      <c r="H272" s="339">
        <f>H112+H242</f>
        <v>10900414.756529</v>
      </c>
      <c r="I272" s="277"/>
      <c r="J272" s="270"/>
      <c r="K272" s="339">
        <f>K112+K242</f>
        <v>13443284.482199999</v>
      </c>
      <c r="L272" s="272"/>
      <c r="M272" s="272">
        <f>K272-H272</f>
        <v>2542869.7256709989</v>
      </c>
      <c r="N272" s="280">
        <f>M272/H272</f>
        <v>0.2332819238963271</v>
      </c>
      <c r="O272" s="296"/>
    </row>
    <row r="273" spans="2:15" x14ac:dyDescent="0.25">
      <c r="B273" s="269"/>
      <c r="C273" s="270"/>
      <c r="D273" s="270"/>
      <c r="E273" s="291"/>
      <c r="F273" s="270"/>
      <c r="G273" s="270"/>
      <c r="H273" s="291"/>
      <c r="I273" s="277"/>
      <c r="J273" s="270"/>
      <c r="K273" s="279"/>
      <c r="L273" s="279"/>
      <c r="M273" s="270"/>
      <c r="N273" s="273"/>
      <c r="O273" s="296"/>
    </row>
    <row r="274" spans="2:15" x14ac:dyDescent="0.25">
      <c r="B274" s="269"/>
      <c r="C274" s="291"/>
      <c r="D274" s="291"/>
      <c r="E274" s="291"/>
      <c r="F274" s="270"/>
      <c r="G274" s="270"/>
      <c r="H274" s="341" t="s">
        <v>3</v>
      </c>
      <c r="I274" s="342"/>
      <c r="J274" s="341"/>
      <c r="K274" s="343" t="s">
        <v>4</v>
      </c>
      <c r="L274" s="343"/>
      <c r="M274" s="343" t="s">
        <v>18</v>
      </c>
      <c r="N274" s="273"/>
      <c r="O274" s="316"/>
    </row>
    <row r="275" spans="2:15" x14ac:dyDescent="0.25">
      <c r="B275" s="269"/>
      <c r="C275" s="270"/>
      <c r="D275" s="270"/>
      <c r="E275" s="295" t="s">
        <v>165</v>
      </c>
      <c r="F275" s="345"/>
      <c r="G275" s="270"/>
      <c r="H275" s="380">
        <f t="shared" ref="H275:H280" si="111">H115+H245</f>
        <v>3895363.43</v>
      </c>
      <c r="I275" s="277"/>
      <c r="J275" s="270"/>
      <c r="K275" s="380">
        <f t="shared" ref="K275:K280" si="112">K115+K245</f>
        <v>5874140.5</v>
      </c>
      <c r="L275" s="279"/>
      <c r="M275" s="272">
        <f>K275-H275</f>
        <v>1978777.0699999998</v>
      </c>
      <c r="N275" s="280">
        <f>IFERROR(ROUND(M275/H275,5), )</f>
        <v>0.50797999999999999</v>
      </c>
    </row>
    <row r="276" spans="2:15" x14ac:dyDescent="0.25">
      <c r="B276" s="290"/>
      <c r="C276" s="291"/>
      <c r="D276" s="291"/>
      <c r="E276" s="295" t="s">
        <v>162</v>
      </c>
      <c r="F276" s="270"/>
      <c r="G276" s="270"/>
      <c r="H276" s="380">
        <f t="shared" si="111"/>
        <v>6797355.5833599996</v>
      </c>
      <c r="I276" s="277"/>
      <c r="J276" s="270"/>
      <c r="K276" s="380">
        <f t="shared" si="112"/>
        <v>7204881.9863999989</v>
      </c>
      <c r="L276" s="279"/>
      <c r="M276" s="272">
        <f t="shared" ref="M276:M277" si="113">K276-H276</f>
        <v>407526.40303999931</v>
      </c>
      <c r="N276" s="280">
        <f t="shared" ref="N276:N277" si="114">IFERROR(ROUND(M276/H276,5), )</f>
        <v>5.9950000000000003E-2</v>
      </c>
    </row>
    <row r="277" spans="2:15" x14ac:dyDescent="0.25">
      <c r="B277" s="290"/>
      <c r="C277" s="291"/>
      <c r="D277" s="291"/>
      <c r="E277" s="294" t="s">
        <v>279</v>
      </c>
      <c r="F277" s="270"/>
      <c r="G277" s="270"/>
      <c r="H277" s="380">
        <f t="shared" si="111"/>
        <v>0</v>
      </c>
      <c r="I277" s="277"/>
      <c r="J277" s="270"/>
      <c r="K277" s="380">
        <f t="shared" si="112"/>
        <v>0</v>
      </c>
      <c r="L277" s="279"/>
      <c r="M277" s="272">
        <f t="shared" si="113"/>
        <v>0</v>
      </c>
      <c r="N277" s="280">
        <f t="shared" si="114"/>
        <v>0</v>
      </c>
    </row>
    <row r="278" spans="2:15" x14ac:dyDescent="0.25">
      <c r="B278" s="290"/>
      <c r="C278" s="291"/>
      <c r="D278" s="291"/>
      <c r="E278" s="295" t="s">
        <v>287</v>
      </c>
      <c r="F278" s="270"/>
      <c r="G278" s="270"/>
      <c r="H278" s="380">
        <f t="shared" si="111"/>
        <v>45628.728168999995</v>
      </c>
      <c r="I278" s="277"/>
      <c r="J278" s="270"/>
      <c r="K278" s="380">
        <f t="shared" si="112"/>
        <v>101691.71149999999</v>
      </c>
      <c r="L278" s="279"/>
      <c r="M278" s="272">
        <f t="shared" ref="M278:M279" si="115">K278-H278</f>
        <v>56062.983330999996</v>
      </c>
      <c r="N278" s="280">
        <f t="shared" ref="N278:N281" si="116">IFERROR(ROUND(M278/H278,5), )</f>
        <v>1.22868</v>
      </c>
    </row>
    <row r="279" spans="2:15" x14ac:dyDescent="0.25">
      <c r="B279" s="290"/>
      <c r="C279" s="291"/>
      <c r="D279" s="291"/>
      <c r="E279" s="295" t="s">
        <v>288</v>
      </c>
      <c r="F279" s="270"/>
      <c r="G279" s="270"/>
      <c r="H279" s="380">
        <f t="shared" si="111"/>
        <v>239946.73499999996</v>
      </c>
      <c r="I279" s="277"/>
      <c r="J279" s="270"/>
      <c r="K279" s="380">
        <f t="shared" si="112"/>
        <v>262570.2843</v>
      </c>
      <c r="L279" s="279"/>
      <c r="M279" s="272">
        <f t="shared" si="115"/>
        <v>22623.549300000042</v>
      </c>
      <c r="N279" s="280">
        <f t="shared" si="116"/>
        <v>9.4289999999999999E-2</v>
      </c>
    </row>
    <row r="280" spans="2:15" x14ac:dyDescent="0.25">
      <c r="B280" s="290"/>
      <c r="C280" s="291"/>
      <c r="D280" s="291"/>
      <c r="E280" s="295" t="s">
        <v>290</v>
      </c>
      <c r="F280" s="270"/>
      <c r="G280" s="270"/>
      <c r="H280" s="381">
        <f t="shared" si="111"/>
        <v>-77879.72</v>
      </c>
      <c r="I280" s="284"/>
      <c r="J280" s="350"/>
      <c r="K280" s="381">
        <f t="shared" si="112"/>
        <v>0</v>
      </c>
      <c r="L280" s="351"/>
      <c r="M280" s="285"/>
      <c r="N280" s="287"/>
    </row>
    <row r="281" spans="2:15" x14ac:dyDescent="0.25">
      <c r="B281" s="290"/>
      <c r="C281" s="291"/>
      <c r="D281" s="291"/>
      <c r="E281" s="291"/>
      <c r="F281" s="270"/>
      <c r="G281" s="270"/>
      <c r="H281" s="382">
        <f>SUM(H275:H280)</f>
        <v>10900414.756528998</v>
      </c>
      <c r="I281" s="277"/>
      <c r="J281" s="270"/>
      <c r="K281" s="382">
        <f>SUM(K275:K280)</f>
        <v>13443284.482199999</v>
      </c>
      <c r="L281" s="279"/>
      <c r="M281" s="382">
        <f>SUM(M275:M280)</f>
        <v>2464990.0056709992</v>
      </c>
      <c r="N281" s="362">
        <f t="shared" si="116"/>
        <v>0.22614000000000001</v>
      </c>
    </row>
    <row r="282" spans="2:15" x14ac:dyDescent="0.25">
      <c r="B282" s="290"/>
      <c r="C282" s="291"/>
      <c r="D282" s="291"/>
      <c r="E282" s="291"/>
      <c r="F282" s="270"/>
      <c r="G282" s="270"/>
      <c r="H282" s="291"/>
      <c r="I282" s="277"/>
      <c r="J282" s="270"/>
      <c r="K282" s="279"/>
      <c r="L282" s="279"/>
      <c r="M282" s="270"/>
      <c r="N282" s="340"/>
    </row>
    <row r="283" spans="2:15" x14ac:dyDescent="0.25">
      <c r="B283" s="274" t="s">
        <v>166</v>
      </c>
      <c r="C283" s="291"/>
      <c r="D283" s="291"/>
      <c r="E283" s="291"/>
      <c r="F283" s="270"/>
      <c r="G283" s="270"/>
      <c r="H283" s="353">
        <v>10900413.844690001</v>
      </c>
      <c r="I283" s="277"/>
      <c r="J283" s="270"/>
      <c r="K283" s="279"/>
      <c r="L283" s="279"/>
      <c r="M283" s="270"/>
      <c r="N283" s="340"/>
    </row>
    <row r="284" spans="2:15" x14ac:dyDescent="0.25">
      <c r="B284" s="269"/>
      <c r="C284" s="291"/>
      <c r="D284" s="291"/>
      <c r="E284" s="291"/>
      <c r="F284" s="270"/>
      <c r="G284" s="270"/>
      <c r="H284" s="291"/>
      <c r="I284" s="277"/>
      <c r="J284" s="270"/>
      <c r="K284" s="279"/>
      <c r="L284" s="279"/>
      <c r="M284" s="270"/>
      <c r="N284" s="340"/>
    </row>
    <row r="285" spans="2:15" x14ac:dyDescent="0.25">
      <c r="B285" s="274" t="s">
        <v>167</v>
      </c>
      <c r="C285" s="291"/>
      <c r="D285" s="291"/>
      <c r="E285" s="291"/>
      <c r="F285" s="270"/>
      <c r="G285" s="270"/>
      <c r="H285" s="272">
        <f>(H281+H284)-H283</f>
        <v>0.91183899715542793</v>
      </c>
      <c r="I285" s="277"/>
      <c r="J285" s="270"/>
      <c r="K285" s="279"/>
      <c r="L285" s="279"/>
      <c r="M285" s="270"/>
      <c r="N285" s="340"/>
    </row>
    <row r="286" spans="2:15" x14ac:dyDescent="0.25">
      <c r="B286" s="274" t="s">
        <v>168</v>
      </c>
      <c r="C286" s="291"/>
      <c r="D286" s="291"/>
      <c r="E286" s="291"/>
      <c r="F286" s="270"/>
      <c r="G286" s="270"/>
      <c r="H286" s="306">
        <f>H285/H281</f>
        <v>8.3651770829111411E-8</v>
      </c>
      <c r="I286" s="277"/>
      <c r="J286" s="270"/>
      <c r="K286" s="279"/>
      <c r="L286" s="279"/>
      <c r="M286" s="270"/>
      <c r="N286" s="340"/>
    </row>
    <row r="287" spans="2:15" x14ac:dyDescent="0.25">
      <c r="B287" s="383"/>
      <c r="C287" s="370"/>
      <c r="D287" s="370"/>
      <c r="E287" s="370"/>
      <c r="F287" s="350"/>
      <c r="G287" s="350"/>
      <c r="H287" s="370"/>
      <c r="I287" s="284"/>
      <c r="J287" s="350"/>
      <c r="K287" s="351"/>
      <c r="L287" s="351"/>
      <c r="M287" s="350"/>
      <c r="N287" s="384"/>
    </row>
  </sheetData>
  <dataConsolidate/>
  <mergeCells count="4">
    <mergeCell ref="G128:H128"/>
    <mergeCell ref="J128:K128"/>
    <mergeCell ref="G258:H258"/>
    <mergeCell ref="J258:K258"/>
  </mergeCells>
  <pageMargins left="0.45" right="0.45" top="0.5" bottom="0.5" header="0.3" footer="0.3"/>
  <pageSetup scale="67" fitToHeight="6" orientation="portrait" blackAndWhite="1" r:id="rId1"/>
  <headerFooter alignWithMargins="0"/>
  <rowBreaks count="4" manualBreakCount="4">
    <brk id="59" max="13" man="1"/>
    <brk id="110" max="13" man="1"/>
    <brk id="172" max="13" man="1"/>
    <brk id="22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3412-FB57-421F-AB80-209F52CFBF85}">
  <sheetPr codeName="Sheet6"/>
  <dimension ref="B1:Q232"/>
  <sheetViews>
    <sheetView topLeftCell="A219" workbookViewId="0">
      <selection activeCell="B172" sqref="B172"/>
    </sheetView>
  </sheetViews>
  <sheetFormatPr defaultColWidth="9.28515625" defaultRowHeight="15" x14ac:dyDescent="0.25"/>
  <cols>
    <col min="1" max="1" width="0.42578125" style="236" customWidth="1"/>
    <col min="2" max="2" width="37.42578125" style="233" customWidth="1"/>
    <col min="3" max="3" width="6" style="233" hidden="1" customWidth="1"/>
    <col min="4" max="4" width="31.7109375" style="237" hidden="1" customWidth="1"/>
    <col min="5" max="5" width="8.28515625" style="575" customWidth="1"/>
    <col min="6" max="6" width="15.85546875" style="236" customWidth="1"/>
    <col min="7" max="7" width="10.85546875" style="236" customWidth="1"/>
    <col min="8" max="8" width="14.42578125" style="233" customWidth="1"/>
    <col min="9" max="9" width="2.28515625" style="240" customWidth="1"/>
    <col min="10" max="10" width="11.7109375" style="236" customWidth="1"/>
    <col min="11" max="11" width="14.42578125" style="241" customWidth="1"/>
    <col min="12" max="12" width="2.28515625" style="241" customWidth="1"/>
    <col min="13" max="13" width="13.5703125" style="236" customWidth="1"/>
    <col min="14" max="14" width="10.85546875" style="242" customWidth="1"/>
    <col min="15" max="15" width="2.7109375" style="242" customWidth="1"/>
    <col min="16" max="16" width="14.5703125" style="236" customWidth="1"/>
    <col min="17" max="16384" width="9.28515625" style="236"/>
  </cols>
  <sheetData>
    <row r="1" spans="2:16" x14ac:dyDescent="0.25">
      <c r="B1" s="233" t="str">
        <f>'EXHIBIT JDT-3 RES'!B1</f>
        <v>NATIONAL FUEL GAS DISTRIBUTION CORPORATION</v>
      </c>
      <c r="F1" s="233"/>
      <c r="G1" s="233"/>
      <c r="I1" s="233"/>
      <c r="J1" s="233"/>
      <c r="K1" s="233"/>
      <c r="L1" s="233"/>
      <c r="M1" s="233"/>
      <c r="N1" s="233"/>
      <c r="O1" s="234"/>
      <c r="P1" s="235"/>
    </row>
    <row r="2" spans="2:16" x14ac:dyDescent="0.25">
      <c r="B2" s="233" t="str">
        <f>'EXHIBIT JDT-3 RES'!B2</f>
        <v>PENNSYLVANIA DIVISION</v>
      </c>
      <c r="F2" s="233"/>
      <c r="G2" s="233"/>
      <c r="I2" s="233"/>
      <c r="J2" s="233"/>
      <c r="K2" s="233"/>
      <c r="L2" s="233"/>
      <c r="M2" s="233"/>
      <c r="N2" s="233"/>
      <c r="O2" s="234"/>
      <c r="P2" s="235"/>
    </row>
    <row r="3" spans="2:16" x14ac:dyDescent="0.25">
      <c r="B3" s="233" t="str">
        <f>'EXHIBIT JDT-3 RES'!B3</f>
        <v>TWELVE MONTHS ENDED JULY 31, 2024</v>
      </c>
      <c r="C3" s="237"/>
      <c r="F3" s="238"/>
      <c r="G3" s="238"/>
      <c r="H3" s="238"/>
      <c r="I3" s="238"/>
      <c r="J3" s="238"/>
      <c r="K3" s="238"/>
      <c r="L3" s="238"/>
      <c r="M3" s="238"/>
      <c r="N3" s="238"/>
      <c r="O3" s="234"/>
      <c r="P3" s="235"/>
    </row>
    <row r="4" spans="2:16" x14ac:dyDescent="0.25">
      <c r="B4" s="237" t="s">
        <v>371</v>
      </c>
      <c r="C4" s="237"/>
      <c r="F4" s="238"/>
      <c r="G4" s="238"/>
      <c r="H4" s="238"/>
      <c r="I4" s="238"/>
      <c r="J4" s="238"/>
      <c r="K4" s="238"/>
      <c r="L4" s="238"/>
      <c r="M4" s="238"/>
      <c r="N4" s="238"/>
      <c r="O4" s="234"/>
      <c r="P4" s="235"/>
    </row>
    <row r="5" spans="2:16" x14ac:dyDescent="0.25">
      <c r="B5" s="237" t="s">
        <v>394</v>
      </c>
      <c r="C5" s="237"/>
      <c r="F5" s="238"/>
      <c r="G5" s="238"/>
      <c r="H5" s="238"/>
      <c r="I5" s="238"/>
      <c r="J5" s="238"/>
      <c r="K5" s="238"/>
      <c r="L5" s="238"/>
      <c r="M5" s="238"/>
      <c r="N5" s="238"/>
      <c r="O5" s="234"/>
      <c r="P5" s="235"/>
    </row>
    <row r="6" spans="2:16" x14ac:dyDescent="0.25">
      <c r="P6" s="235"/>
    </row>
    <row r="7" spans="2:16" x14ac:dyDescent="0.25">
      <c r="B7" s="243"/>
      <c r="C7" s="244"/>
      <c r="D7" s="247"/>
      <c r="E7" s="576"/>
      <c r="F7" s="244" t="s">
        <v>5</v>
      </c>
      <c r="G7" s="245" t="s">
        <v>6</v>
      </c>
      <c r="H7" s="246"/>
      <c r="I7" s="247"/>
      <c r="J7" s="245" t="s">
        <v>7</v>
      </c>
      <c r="K7" s="246"/>
      <c r="L7" s="248"/>
      <c r="M7" s="246" t="s">
        <v>8</v>
      </c>
      <c r="N7" s="249"/>
      <c r="O7" s="250"/>
      <c r="P7" s="235"/>
    </row>
    <row r="8" spans="2:16" x14ac:dyDescent="0.25">
      <c r="B8" s="385" t="s">
        <v>0</v>
      </c>
      <c r="C8" s="253"/>
      <c r="D8" s="386"/>
      <c r="E8" s="253" t="s">
        <v>9</v>
      </c>
      <c r="F8" s="253" t="s">
        <v>10</v>
      </c>
      <c r="G8" s="253" t="s">
        <v>11</v>
      </c>
      <c r="H8" s="254" t="s">
        <v>12</v>
      </c>
      <c r="I8" s="253"/>
      <c r="J8" s="253" t="s">
        <v>11</v>
      </c>
      <c r="K8" s="254" t="s">
        <v>12</v>
      </c>
      <c r="L8" s="254"/>
      <c r="M8" s="254" t="s">
        <v>13</v>
      </c>
      <c r="N8" s="255" t="s">
        <v>14</v>
      </c>
      <c r="O8" s="256"/>
      <c r="P8" s="235"/>
    </row>
    <row r="9" spans="2:16" x14ac:dyDescent="0.25">
      <c r="B9" s="257"/>
      <c r="C9" s="258"/>
      <c r="D9" s="247"/>
      <c r="E9" s="576"/>
      <c r="F9" s="258"/>
      <c r="G9" s="258"/>
      <c r="H9" s="258"/>
      <c r="I9" s="259"/>
      <c r="J9" s="258"/>
      <c r="K9" s="260"/>
      <c r="L9" s="260"/>
      <c r="M9" s="258"/>
      <c r="N9" s="261"/>
      <c r="P9" s="235"/>
    </row>
    <row r="10" spans="2:16" x14ac:dyDescent="0.25">
      <c r="B10" s="262" t="s">
        <v>46</v>
      </c>
      <c r="C10" s="263"/>
      <c r="D10" s="263" t="s">
        <v>45</v>
      </c>
      <c r="E10" s="578"/>
      <c r="F10" s="265"/>
      <c r="G10" s="265"/>
      <c r="H10" s="265"/>
      <c r="I10" s="266"/>
      <c r="J10" s="265"/>
      <c r="K10" s="267"/>
      <c r="L10" s="267"/>
      <c r="M10" s="267"/>
      <c r="N10" s="268"/>
      <c r="P10" s="235"/>
    </row>
    <row r="11" spans="2:16" x14ac:dyDescent="0.25">
      <c r="B11" s="269"/>
      <c r="C11" s="270"/>
      <c r="D11" s="295"/>
      <c r="E11" s="344"/>
      <c r="F11" s="270"/>
      <c r="G11" s="270"/>
      <c r="H11" s="270"/>
      <c r="I11" s="271"/>
      <c r="J11" s="270"/>
      <c r="K11" s="272"/>
      <c r="L11" s="272"/>
      <c r="M11" s="272"/>
      <c r="N11" s="273"/>
      <c r="P11" s="235"/>
    </row>
    <row r="12" spans="2:16" x14ac:dyDescent="0.25">
      <c r="B12" s="301" t="s">
        <v>184</v>
      </c>
      <c r="C12" s="291" t="s">
        <v>45</v>
      </c>
      <c r="D12" s="289" t="str">
        <f>VLOOKUP(C12,Rates!$B$3:$J$136,2,FALSE)</f>
        <v>LCPA_BSC</v>
      </c>
      <c r="E12" s="348" t="s">
        <v>165</v>
      </c>
      <c r="F12" s="277">
        <f>VLOOKUP(C12,Rates!$B:$J,4,FALSE)</f>
        <v>4904</v>
      </c>
      <c r="G12" s="418">
        <f>VLOOKUP($D12,Rates!$C$1:$J$136,5,FALSE)</f>
        <v>121.01</v>
      </c>
      <c r="H12" s="272">
        <f>SUM(+F12*G12)</f>
        <v>593433.04</v>
      </c>
      <c r="I12" s="277"/>
      <c r="J12" s="279">
        <f>$J$162</f>
        <v>181.5</v>
      </c>
      <c r="K12" s="272">
        <f>SUM(+F12*J12)</f>
        <v>890076</v>
      </c>
      <c r="L12" s="272"/>
      <c r="M12" s="272">
        <f>K12-H12</f>
        <v>296642.95999999996</v>
      </c>
      <c r="N12" s="280">
        <f>IFERROR(ROUND(M12/H12,5), )</f>
        <v>0.49987999999999999</v>
      </c>
      <c r="P12" s="235"/>
    </row>
    <row r="13" spans="2:16" x14ac:dyDescent="0.25">
      <c r="B13" s="281" t="s">
        <v>200</v>
      </c>
      <c r="C13" s="291" t="s">
        <v>196</v>
      </c>
      <c r="D13" s="289" t="str">
        <f>VLOOKUP(C13,Rates!$B$3:$J$136,2,FALSE)</f>
        <v>LCPA_B1</v>
      </c>
      <c r="E13" s="344" t="s">
        <v>162</v>
      </c>
      <c r="F13" s="277">
        <f>VLOOKUP(C13,Rates!$B:$J,5,FALSE)</f>
        <v>561929.1</v>
      </c>
      <c r="G13" s="278">
        <f>VLOOKUP($D13,Rates!$C$1:$J$136,7,FALSE)</f>
        <v>1.4947999999999999</v>
      </c>
      <c r="H13" s="272">
        <f t="shared" ref="H13:H14" si="0">SUM(+F13*G13)</f>
        <v>839971.61867999996</v>
      </c>
      <c r="I13" s="277"/>
      <c r="J13" s="282"/>
      <c r="K13" s="272">
        <f t="shared" ref="K13:K16" si="1">SUM(+F13*J13)</f>
        <v>0</v>
      </c>
      <c r="L13" s="272"/>
      <c r="M13" s="272"/>
      <c r="N13" s="280">
        <f t="shared" ref="N13:N14" si="2">IFERROR(ROUND(M13/H13,5), )</f>
        <v>0</v>
      </c>
      <c r="O13" s="236"/>
      <c r="P13" s="235"/>
    </row>
    <row r="14" spans="2:16" x14ac:dyDescent="0.25">
      <c r="B14" s="281" t="s">
        <v>201</v>
      </c>
      <c r="C14" s="291" t="s">
        <v>197</v>
      </c>
      <c r="D14" s="289" t="str">
        <f>VLOOKUP(C14,Rates!$B$3:$J$136,2,FALSE)</f>
        <v>LCPA_B2</v>
      </c>
      <c r="E14" s="344" t="s">
        <v>162</v>
      </c>
      <c r="F14" s="277">
        <f>VLOOKUP(C14,Rates!$B:$J,5,FALSE)</f>
        <v>109956.00000000003</v>
      </c>
      <c r="G14" s="278">
        <f>VLOOKUP($D14,Rates!$C$1:$J$136,7,FALSE)</f>
        <v>1.3812</v>
      </c>
      <c r="H14" s="272">
        <f t="shared" si="0"/>
        <v>151871.22720000005</v>
      </c>
      <c r="I14" s="277"/>
      <c r="J14" s="282"/>
      <c r="K14" s="272">
        <f t="shared" si="1"/>
        <v>0</v>
      </c>
      <c r="L14" s="272"/>
      <c r="M14" s="272"/>
      <c r="N14" s="280">
        <f t="shared" si="2"/>
        <v>0</v>
      </c>
      <c r="O14" s="236"/>
      <c r="P14" s="235"/>
    </row>
    <row r="15" spans="2:16" x14ac:dyDescent="0.25">
      <c r="B15" s="281" t="s">
        <v>115</v>
      </c>
      <c r="C15" s="291" t="s">
        <v>198</v>
      </c>
      <c r="D15" s="289" t="str">
        <f>VLOOKUP(C15,Rates!$B$3:$J$136,2,FALSE)</f>
        <v>LCPA_B3</v>
      </c>
      <c r="E15" s="344" t="s">
        <v>162</v>
      </c>
      <c r="F15" s="284">
        <f>VLOOKUP(C15,Rates!$B:$J,5,FALSE)</f>
        <v>6356.0999999999995</v>
      </c>
      <c r="G15" s="278">
        <f>VLOOKUP($D15,Rates!$C$1:$J$136,7,FALSE)</f>
        <v>1.2310989999999999</v>
      </c>
      <c r="H15" s="285">
        <f t="shared" ref="H15" si="3">SUM(+F15*G15)</f>
        <v>7824.9883538999993</v>
      </c>
      <c r="I15" s="277"/>
      <c r="J15" s="286"/>
      <c r="K15" s="285">
        <f t="shared" si="1"/>
        <v>0</v>
      </c>
      <c r="L15" s="272"/>
      <c r="M15" s="285"/>
      <c r="N15" s="287">
        <f t="shared" ref="N15:N16" si="4">IFERROR(ROUND(M15/H15,5), )</f>
        <v>0</v>
      </c>
      <c r="O15" s="236"/>
      <c r="P15" s="235"/>
    </row>
    <row r="16" spans="2:16" x14ac:dyDescent="0.25">
      <c r="B16" s="281" t="s">
        <v>298</v>
      </c>
      <c r="C16" s="291"/>
      <c r="D16" s="289" t="s">
        <v>348</v>
      </c>
      <c r="E16" s="344"/>
      <c r="F16" s="277">
        <f>SUM(F13:F15)</f>
        <v>678241.2</v>
      </c>
      <c r="G16" s="278"/>
      <c r="H16" s="277">
        <f>SUM(H13:H15)</f>
        <v>999667.83423390007</v>
      </c>
      <c r="I16" s="277"/>
      <c r="J16" s="282">
        <f>$J$163</f>
        <v>1.5465</v>
      </c>
      <c r="K16" s="272">
        <f t="shared" si="1"/>
        <v>1048900.0157999999</v>
      </c>
      <c r="L16" s="272"/>
      <c r="M16" s="272">
        <f>K16-H16</f>
        <v>49232.181566099869</v>
      </c>
      <c r="N16" s="318">
        <f t="shared" si="4"/>
        <v>4.9250000000000002E-2</v>
      </c>
      <c r="O16" s="236"/>
      <c r="P16" s="235"/>
    </row>
    <row r="17" spans="2:16" x14ac:dyDescent="0.25">
      <c r="B17" s="290"/>
      <c r="C17" s="291"/>
      <c r="D17" s="364"/>
      <c r="E17" s="348"/>
      <c r="F17" s="277"/>
      <c r="G17" s="270"/>
      <c r="H17" s="272"/>
      <c r="I17" s="277"/>
      <c r="J17" s="270"/>
      <c r="K17" s="272"/>
      <c r="L17" s="272"/>
      <c r="M17" s="272"/>
      <c r="N17" s="280"/>
      <c r="O17" s="236"/>
      <c r="P17" s="235"/>
    </row>
    <row r="18" spans="2:16" ht="14.85" customHeight="1" x14ac:dyDescent="0.25">
      <c r="B18" s="269" t="s">
        <v>163</v>
      </c>
      <c r="C18" s="270"/>
      <c r="D18" s="289" t="s">
        <v>148</v>
      </c>
      <c r="E18" s="348" t="s">
        <v>279</v>
      </c>
      <c r="F18" s="277"/>
      <c r="G18" s="278">
        <f>VLOOKUP($D18,Rates!$C$1:$J$136,5,FALSE)</f>
        <v>0</v>
      </c>
      <c r="H18" s="272">
        <f>($F$13+$F$14)*G18</f>
        <v>0</v>
      </c>
      <c r="I18" s="277"/>
      <c r="J18" s="387">
        <v>0</v>
      </c>
      <c r="K18" s="272">
        <f>($F$13+$F$14)*J18</f>
        <v>0</v>
      </c>
      <c r="L18" s="272"/>
      <c r="M18" s="272">
        <f t="shared" ref="M18:M19" si="5">K18-H18</f>
        <v>0</v>
      </c>
      <c r="N18" s="280">
        <f t="shared" ref="N18:N19" si="6">IFERROR(ROUND(M18/H18,5), )</f>
        <v>0</v>
      </c>
      <c r="O18" s="236"/>
      <c r="P18" s="235"/>
    </row>
    <row r="19" spans="2:16" x14ac:dyDescent="0.25">
      <c r="B19" s="269" t="s">
        <v>283</v>
      </c>
      <c r="C19" s="295"/>
      <c r="D19" s="388" t="s">
        <v>289</v>
      </c>
      <c r="E19" s="344" t="s">
        <v>287</v>
      </c>
      <c r="F19" s="277"/>
      <c r="G19" s="278">
        <f>VLOOKUP($D19,Rates!$C$1:$J$136,5,FALSE)</f>
        <v>1.9966999999999999E-2</v>
      </c>
      <c r="H19" s="272">
        <f>($F$13+$F$14+$F$15)*G19</f>
        <v>13542.442040399997</v>
      </c>
      <c r="I19" s="277"/>
      <c r="J19" s="387">
        <f>$J$166</f>
        <v>4.4499999999999998E-2</v>
      </c>
      <c r="K19" s="272">
        <f>($F$13+$F$14+$F$15)*J19</f>
        <v>30181.733399999997</v>
      </c>
      <c r="L19" s="272"/>
      <c r="M19" s="272">
        <f t="shared" si="5"/>
        <v>16639.2913596</v>
      </c>
      <c r="N19" s="280">
        <f t="shared" si="6"/>
        <v>1.22868</v>
      </c>
      <c r="O19" s="296"/>
      <c r="P19" s="235"/>
    </row>
    <row r="20" spans="2:16" x14ac:dyDescent="0.25">
      <c r="B20" s="269" t="s">
        <v>284</v>
      </c>
      <c r="C20" s="295"/>
      <c r="D20" s="388" t="s">
        <v>286</v>
      </c>
      <c r="E20" s="344" t="s">
        <v>288</v>
      </c>
      <c r="F20" s="277"/>
      <c r="G20" s="278">
        <f>VLOOKUP($D20,Rates!$C$1:$J$136,5,FALSE)</f>
        <v>0.105</v>
      </c>
      <c r="H20" s="272">
        <f>($F$13+$F$14+$F$15)*G20</f>
        <v>71215.325999999986</v>
      </c>
      <c r="I20" s="277"/>
      <c r="J20" s="387">
        <f>$J$167</f>
        <v>0.1149</v>
      </c>
      <c r="K20" s="272">
        <f>($F$13+$F$14+$F$15)*J20</f>
        <v>77929.913879999993</v>
      </c>
      <c r="L20" s="272"/>
      <c r="M20" s="272">
        <f t="shared" ref="M20" si="7">K20-H20</f>
        <v>6714.5878800000064</v>
      </c>
      <c r="N20" s="280">
        <f t="shared" ref="N20" si="8">IFERROR(ROUND(M20/H20,5), )</f>
        <v>9.4289999999999999E-2</v>
      </c>
      <c r="O20" s="296"/>
      <c r="P20" s="235"/>
    </row>
    <row r="21" spans="2:16" x14ac:dyDescent="0.25">
      <c r="B21" s="269" t="s">
        <v>147</v>
      </c>
      <c r="C21" s="295"/>
      <c r="D21" s="289" t="s">
        <v>296</v>
      </c>
      <c r="E21" s="344" t="s">
        <v>290</v>
      </c>
      <c r="F21" s="277"/>
      <c r="G21" s="270"/>
      <c r="H21" s="272">
        <v>-18911</v>
      </c>
      <c r="I21" s="277"/>
      <c r="J21" s="389">
        <v>0</v>
      </c>
      <c r="K21" s="272">
        <f>($F$13+$F$14+$F$15)*J21</f>
        <v>0</v>
      </c>
      <c r="L21" s="272"/>
      <c r="M21" s="272">
        <f t="shared" ref="M21" si="9">K21-H21</f>
        <v>18911</v>
      </c>
      <c r="N21" s="280">
        <f t="shared" ref="N21" si="10">IFERROR(ROUND(M21/H21,5), )</f>
        <v>-1</v>
      </c>
      <c r="O21" s="296"/>
      <c r="P21" s="235"/>
    </row>
    <row r="22" spans="2:16" x14ac:dyDescent="0.25">
      <c r="B22" s="301"/>
      <c r="C22" s="295"/>
      <c r="D22" s="295"/>
      <c r="E22" s="579"/>
      <c r="F22" s="270"/>
      <c r="G22" s="302"/>
      <c r="H22" s="303"/>
      <c r="I22" s="277"/>
      <c r="J22" s="270"/>
      <c r="K22" s="272"/>
      <c r="L22" s="272"/>
      <c r="M22" s="272"/>
      <c r="N22" s="273"/>
      <c r="O22" s="296"/>
      <c r="P22" s="235"/>
    </row>
    <row r="23" spans="2:16" x14ac:dyDescent="0.25">
      <c r="B23" s="274" t="s">
        <v>16</v>
      </c>
      <c r="C23" s="276"/>
      <c r="D23" s="294"/>
      <c r="E23" s="348"/>
      <c r="F23" s="277"/>
      <c r="G23" s="270"/>
      <c r="H23" s="304">
        <f>SUM(H16:H22)+H12</f>
        <v>1658947.6422743001</v>
      </c>
      <c r="I23" s="277"/>
      <c r="J23" s="270"/>
      <c r="K23" s="304">
        <f>SUM(K16:K22)+K12</f>
        <v>2047087.6630799999</v>
      </c>
      <c r="L23" s="272"/>
      <c r="M23" s="304">
        <f>SUM(M16:M22)+M12</f>
        <v>388140.02080569987</v>
      </c>
      <c r="N23" s="318">
        <f>IFERROR(ROUND(M23/H23,5), )</f>
        <v>0.23397000000000001</v>
      </c>
      <c r="O23" s="296"/>
      <c r="P23" s="235"/>
    </row>
    <row r="24" spans="2:16" x14ac:dyDescent="0.25">
      <c r="B24" s="274"/>
      <c r="C24" s="276"/>
      <c r="D24" s="294"/>
      <c r="E24" s="348"/>
      <c r="F24" s="277"/>
      <c r="G24" s="270"/>
      <c r="H24" s="272"/>
      <c r="I24" s="277"/>
      <c r="J24" s="270"/>
      <c r="K24" s="272"/>
      <c r="L24" s="272"/>
      <c r="M24" s="272"/>
      <c r="N24" s="280"/>
      <c r="O24" s="296"/>
      <c r="P24" s="235"/>
    </row>
    <row r="25" spans="2:16" x14ac:dyDescent="0.25">
      <c r="B25" s="274" t="s">
        <v>166</v>
      </c>
      <c r="C25" s="276"/>
      <c r="D25" s="294"/>
      <c r="E25" s="348"/>
      <c r="F25" s="277"/>
      <c r="G25" s="270"/>
      <c r="H25" s="272">
        <v>1658947.37</v>
      </c>
      <c r="I25" s="277"/>
      <c r="J25" s="270"/>
      <c r="K25" s="272"/>
      <c r="L25" s="272"/>
      <c r="M25" s="272"/>
      <c r="N25" s="280"/>
      <c r="O25" s="296"/>
      <c r="P25" s="235"/>
    </row>
    <row r="26" spans="2:16" x14ac:dyDescent="0.25">
      <c r="B26" s="274"/>
      <c r="C26" s="276"/>
      <c r="D26" s="294"/>
      <c r="E26" s="348"/>
      <c r="F26" s="277"/>
      <c r="G26" s="270"/>
      <c r="H26" s="272"/>
      <c r="I26" s="277"/>
      <c r="J26" s="270"/>
      <c r="K26" s="272"/>
      <c r="L26" s="272"/>
      <c r="M26" s="272"/>
      <c r="N26" s="280"/>
      <c r="O26" s="296"/>
      <c r="P26" s="235"/>
    </row>
    <row r="27" spans="2:16" x14ac:dyDescent="0.25">
      <c r="B27" s="274" t="s">
        <v>167</v>
      </c>
      <c r="C27" s="276"/>
      <c r="D27" s="294"/>
      <c r="E27" s="348"/>
      <c r="F27" s="277"/>
      <c r="G27" s="270"/>
      <c r="H27" s="272">
        <f>H23-H25</f>
        <v>0.27227429999038577</v>
      </c>
      <c r="I27" s="277"/>
      <c r="J27" s="270"/>
      <c r="K27" s="272"/>
      <c r="L27" s="272"/>
      <c r="M27" s="272"/>
      <c r="N27" s="280"/>
      <c r="O27" s="296"/>
      <c r="P27" s="235"/>
    </row>
    <row r="28" spans="2:16" x14ac:dyDescent="0.25">
      <c r="B28" s="274" t="s">
        <v>168</v>
      </c>
      <c r="C28" s="276"/>
      <c r="D28" s="294"/>
      <c r="E28" s="348"/>
      <c r="F28" s="277"/>
      <c r="G28" s="270"/>
      <c r="H28" s="306">
        <f>H27/H23</f>
        <v>1.641247095761967E-7</v>
      </c>
      <c r="I28" s="277"/>
      <c r="J28" s="270"/>
      <c r="K28" s="272"/>
      <c r="L28" s="272"/>
      <c r="M28" s="272"/>
      <c r="N28" s="280"/>
      <c r="O28" s="296"/>
      <c r="P28" s="235"/>
    </row>
    <row r="29" spans="2:16" x14ac:dyDescent="0.25">
      <c r="B29" s="307"/>
      <c r="C29" s="390"/>
      <c r="D29" s="386"/>
      <c r="E29" s="577"/>
      <c r="F29" s="390"/>
      <c r="G29" s="390"/>
      <c r="H29" s="391"/>
      <c r="I29" s="392"/>
      <c r="J29" s="390"/>
      <c r="K29" s="391"/>
      <c r="L29" s="391"/>
      <c r="M29" s="391"/>
      <c r="N29" s="287"/>
      <c r="O29" s="236"/>
      <c r="P29" s="235"/>
    </row>
    <row r="30" spans="2:16" x14ac:dyDescent="0.25">
      <c r="B30" s="262" t="s">
        <v>48</v>
      </c>
      <c r="C30" s="264"/>
      <c r="D30" s="393" t="s">
        <v>47</v>
      </c>
      <c r="E30" s="578"/>
      <c r="F30" s="265"/>
      <c r="G30" s="265"/>
      <c r="H30" s="267"/>
      <c r="I30" s="266"/>
      <c r="J30" s="265"/>
      <c r="K30" s="267"/>
      <c r="L30" s="267"/>
      <c r="M30" s="267"/>
      <c r="N30" s="312"/>
      <c r="O30" s="236"/>
      <c r="P30" s="235"/>
    </row>
    <row r="31" spans="2:16" x14ac:dyDescent="0.25">
      <c r="B31" s="257"/>
      <c r="C31" s="258"/>
      <c r="D31" s="247"/>
      <c r="E31" s="576"/>
      <c r="F31" s="258"/>
      <c r="G31" s="258"/>
      <c r="H31" s="304"/>
      <c r="I31" s="313"/>
      <c r="J31" s="258"/>
      <c r="K31" s="304"/>
      <c r="L31" s="304"/>
      <c r="M31" s="304"/>
      <c r="N31" s="314"/>
      <c r="P31" s="315"/>
    </row>
    <row r="32" spans="2:16" x14ac:dyDescent="0.25">
      <c r="B32" s="274" t="s">
        <v>2</v>
      </c>
      <c r="C32" s="291" t="s">
        <v>47</v>
      </c>
      <c r="D32" s="289" t="str">
        <f>VLOOKUP(C32,Rates!$B$3:$J$136,2,FALSE)</f>
        <v>LCPA_BSC</v>
      </c>
      <c r="E32" s="348" t="s">
        <v>165</v>
      </c>
      <c r="F32" s="277">
        <f>VLOOKUP(C32,Rates!$B:$J,4,FALSE)</f>
        <v>9242</v>
      </c>
      <c r="G32" s="418">
        <f>VLOOKUP($D32,Rates!$C$1:$J$136,5,FALSE)</f>
        <v>121.01</v>
      </c>
      <c r="H32" s="272">
        <f>SUM(+F32*G32)</f>
        <v>1118374.4200000002</v>
      </c>
      <c r="I32" s="277"/>
      <c r="J32" s="279">
        <f>$J$162</f>
        <v>181.5</v>
      </c>
      <c r="K32" s="272">
        <f>SUM(+F32*J32)</f>
        <v>1677423</v>
      </c>
      <c r="L32" s="272"/>
      <c r="M32" s="272">
        <f>K32-H32</f>
        <v>559048.57999999984</v>
      </c>
      <c r="N32" s="280">
        <f>IFERROR(ROUND(M32/H32,5), )</f>
        <v>0.49987999999999999</v>
      </c>
      <c r="P32" s="316"/>
    </row>
    <row r="33" spans="2:16" x14ac:dyDescent="0.25">
      <c r="B33" s="281" t="s">
        <v>170</v>
      </c>
      <c r="C33" s="291" t="s">
        <v>202</v>
      </c>
      <c r="D33" s="289" t="str">
        <f>VLOOKUP(C33,Rates!$B$3:$J$136,2,FALSE)</f>
        <v>LCPA_TRANS_MMT</v>
      </c>
      <c r="E33" s="344" t="s">
        <v>162</v>
      </c>
      <c r="F33" s="277">
        <f>VLOOKUP(C33,Rates!$B:$J,5,FALSE)</f>
        <v>2982910</v>
      </c>
      <c r="G33" s="278">
        <f>VLOOKUP($D33,Rates!$C$1:$J$136,7,FALSE)</f>
        <v>1.4361999999999999</v>
      </c>
      <c r="H33" s="272">
        <f t="shared" ref="H33" si="11">SUM(+F33*G33)</f>
        <v>4284055.3420000002</v>
      </c>
      <c r="I33" s="277"/>
      <c r="J33" s="282">
        <f>$J$163</f>
        <v>1.5465</v>
      </c>
      <c r="K33" s="272">
        <f t="shared" ref="K33" si="12">SUM(+F33*J33)</f>
        <v>4613070.3150000004</v>
      </c>
      <c r="L33" s="272"/>
      <c r="M33" s="272">
        <f t="shared" ref="M33" si="13">K33-H33</f>
        <v>329014.97300000023</v>
      </c>
      <c r="N33" s="280">
        <f t="shared" ref="N33" si="14">IFERROR(ROUND(M33/H33,5), )</f>
        <v>7.6799999999999993E-2</v>
      </c>
      <c r="P33" s="316"/>
    </row>
    <row r="34" spans="2:16" x14ac:dyDescent="0.25">
      <c r="B34" s="281"/>
      <c r="C34" s="291"/>
      <c r="D34" s="289"/>
      <c r="E34" s="344"/>
      <c r="F34" s="277"/>
      <c r="G34" s="278"/>
      <c r="H34" s="272"/>
      <c r="I34" s="277"/>
      <c r="J34" s="282"/>
      <c r="K34" s="272"/>
      <c r="L34" s="272"/>
      <c r="M34" s="272"/>
      <c r="N34" s="280"/>
      <c r="P34" s="316"/>
    </row>
    <row r="35" spans="2:16" x14ac:dyDescent="0.25">
      <c r="B35" s="269" t="s">
        <v>147</v>
      </c>
      <c r="C35" s="295"/>
      <c r="D35" s="289" t="s">
        <v>296</v>
      </c>
      <c r="E35" s="344" t="s">
        <v>290</v>
      </c>
      <c r="F35" s="277"/>
      <c r="G35" s="270"/>
      <c r="H35" s="272">
        <v>-14883</v>
      </c>
      <c r="I35" s="277"/>
      <c r="J35" s="282"/>
      <c r="K35" s="272"/>
      <c r="L35" s="272"/>
      <c r="M35" s="272">
        <f t="shared" ref="M35" si="15">K35-H35</f>
        <v>14883</v>
      </c>
      <c r="N35" s="280">
        <f t="shared" ref="N35" si="16">IFERROR(ROUND(M35/H35,5), )</f>
        <v>-1</v>
      </c>
      <c r="P35" s="316"/>
    </row>
    <row r="36" spans="2:16" x14ac:dyDescent="0.25">
      <c r="B36" s="290"/>
      <c r="C36" s="291"/>
      <c r="D36" s="364"/>
      <c r="E36" s="579"/>
      <c r="F36" s="270"/>
      <c r="G36" s="270"/>
      <c r="H36" s="303"/>
      <c r="I36" s="277"/>
      <c r="J36" s="270"/>
      <c r="K36" s="272"/>
      <c r="L36" s="272"/>
      <c r="M36" s="272"/>
      <c r="N36" s="273"/>
      <c r="O36" s="236"/>
      <c r="P36" s="317"/>
    </row>
    <row r="37" spans="2:16" x14ac:dyDescent="0.25">
      <c r="B37" s="274" t="s">
        <v>16</v>
      </c>
      <c r="C37" s="276"/>
      <c r="D37" s="294"/>
      <c r="E37" s="348"/>
      <c r="F37" s="270"/>
      <c r="G37" s="270"/>
      <c r="H37" s="304">
        <f>SUM(H32:H36)</f>
        <v>5387546.7620000001</v>
      </c>
      <c r="I37" s="277"/>
      <c r="J37" s="270"/>
      <c r="K37" s="304">
        <f t="shared" ref="K37" si="17">SUM(K32:K36)</f>
        <v>6290493.3150000004</v>
      </c>
      <c r="L37" s="304"/>
      <c r="M37" s="304">
        <f>SUM(M32:M36)</f>
        <v>902946.55300000007</v>
      </c>
      <c r="N37" s="318">
        <f>IFERROR(ROUND(M37/H37,5), )</f>
        <v>0.1676</v>
      </c>
      <c r="O37" s="236"/>
      <c r="P37" s="317"/>
    </row>
    <row r="38" spans="2:16" x14ac:dyDescent="0.25">
      <c r="B38" s="274"/>
      <c r="C38" s="276"/>
      <c r="D38" s="294"/>
      <c r="E38" s="348"/>
      <c r="F38" s="270"/>
      <c r="G38" s="270"/>
      <c r="H38" s="272"/>
      <c r="I38" s="277"/>
      <c r="J38" s="270"/>
      <c r="K38" s="272"/>
      <c r="L38" s="272"/>
      <c r="M38" s="272"/>
      <c r="N38" s="280"/>
      <c r="O38" s="236"/>
      <c r="P38" s="317"/>
    </row>
    <row r="39" spans="2:16" x14ac:dyDescent="0.25">
      <c r="B39" s="274" t="s">
        <v>166</v>
      </c>
      <c r="C39" s="276"/>
      <c r="D39" s="294"/>
      <c r="E39" s="348"/>
      <c r="F39" s="270"/>
      <c r="G39" s="270"/>
      <c r="H39" s="272">
        <v>5387546.7600000007</v>
      </c>
      <c r="I39" s="277"/>
      <c r="J39" s="270"/>
      <c r="K39" s="272"/>
      <c r="L39" s="272"/>
      <c r="M39" s="272"/>
      <c r="N39" s="280"/>
      <c r="O39" s="236"/>
      <c r="P39" s="317"/>
    </row>
    <row r="40" spans="2:16" x14ac:dyDescent="0.25">
      <c r="B40" s="274"/>
      <c r="C40" s="276"/>
      <c r="D40" s="294"/>
      <c r="E40" s="348"/>
      <c r="F40" s="270"/>
      <c r="G40" s="270"/>
      <c r="H40" s="272"/>
      <c r="I40" s="277"/>
      <c r="J40" s="270"/>
      <c r="K40" s="272"/>
      <c r="L40" s="272"/>
      <c r="M40" s="272"/>
      <c r="N40" s="280"/>
      <c r="O40" s="236"/>
      <c r="P40" s="317"/>
    </row>
    <row r="41" spans="2:16" x14ac:dyDescent="0.25">
      <c r="B41" s="274" t="s">
        <v>167</v>
      </c>
      <c r="C41" s="276"/>
      <c r="D41" s="294"/>
      <c r="E41" s="348"/>
      <c r="F41" s="270"/>
      <c r="G41" s="270"/>
      <c r="H41" s="272">
        <f>H37-H39</f>
        <v>1.9999993965029716E-3</v>
      </c>
      <c r="I41" s="277"/>
      <c r="J41" s="270"/>
      <c r="K41" s="272"/>
      <c r="L41" s="272"/>
      <c r="M41" s="272"/>
      <c r="N41" s="280"/>
      <c r="O41" s="236"/>
      <c r="P41" s="317"/>
    </row>
    <row r="42" spans="2:16" x14ac:dyDescent="0.25">
      <c r="B42" s="274" t="s">
        <v>168</v>
      </c>
      <c r="C42" s="276"/>
      <c r="D42" s="294"/>
      <c r="E42" s="348"/>
      <c r="F42" s="270"/>
      <c r="G42" s="270"/>
      <c r="H42" s="306">
        <f>H41/H37</f>
        <v>3.7122636421637645E-10</v>
      </c>
      <c r="I42" s="277"/>
      <c r="J42" s="270"/>
      <c r="K42" s="272"/>
      <c r="L42" s="272"/>
      <c r="M42" s="272"/>
      <c r="N42" s="280"/>
      <c r="O42" s="236"/>
      <c r="P42" s="317"/>
    </row>
    <row r="43" spans="2:16" x14ac:dyDescent="0.25">
      <c r="B43" s="307"/>
      <c r="C43" s="390"/>
      <c r="D43" s="386"/>
      <c r="E43" s="577"/>
      <c r="F43" s="390"/>
      <c r="G43" s="390"/>
      <c r="H43" s="391"/>
      <c r="I43" s="390"/>
      <c r="J43" s="390"/>
      <c r="K43" s="391"/>
      <c r="L43" s="391"/>
      <c r="M43" s="391"/>
      <c r="N43" s="287"/>
      <c r="O43" s="236"/>
      <c r="P43" s="319"/>
    </row>
    <row r="44" spans="2:16" x14ac:dyDescent="0.25">
      <c r="B44" s="262" t="s">
        <v>50</v>
      </c>
      <c r="C44" s="264"/>
      <c r="D44" s="393" t="s">
        <v>49</v>
      </c>
      <c r="E44" s="578"/>
      <c r="F44" s="265"/>
      <c r="G44" s="265"/>
      <c r="H44" s="267"/>
      <c r="I44" s="266"/>
      <c r="J44" s="265"/>
      <c r="K44" s="267"/>
      <c r="L44" s="267"/>
      <c r="M44" s="267"/>
      <c r="N44" s="312"/>
      <c r="O44" s="236"/>
    </row>
    <row r="45" spans="2:16" x14ac:dyDescent="0.25">
      <c r="B45" s="269"/>
      <c r="C45" s="270"/>
      <c r="D45" s="295"/>
      <c r="E45" s="344"/>
      <c r="F45" s="270"/>
      <c r="G45" s="270"/>
      <c r="H45" s="272"/>
      <c r="I45" s="271"/>
      <c r="J45" s="270"/>
      <c r="K45" s="272"/>
      <c r="L45" s="272"/>
      <c r="M45" s="272"/>
      <c r="N45" s="273"/>
      <c r="P45" s="315"/>
    </row>
    <row r="46" spans="2:16" x14ac:dyDescent="0.25">
      <c r="B46" s="274" t="s">
        <v>2</v>
      </c>
      <c r="C46" s="291" t="s">
        <v>49</v>
      </c>
      <c r="D46" s="289" t="str">
        <f>VLOOKUP(C46,Rates!$B$3:$J$136,2,FALSE)</f>
        <v>LCPA_BSC</v>
      </c>
      <c r="E46" s="348" t="s">
        <v>165</v>
      </c>
      <c r="F46" s="277">
        <f>VLOOKUP(C46,Rates!$B:$J,4,FALSE)</f>
        <v>168</v>
      </c>
      <c r="G46" s="418">
        <f>VLOOKUP($D46,Rates!$C$1:$J$136,5,FALSE)</f>
        <v>121.01</v>
      </c>
      <c r="H46" s="272">
        <f>SUM(+F46*G46)</f>
        <v>20329.68</v>
      </c>
      <c r="I46" s="277"/>
      <c r="J46" s="279">
        <f>$J$162</f>
        <v>181.5</v>
      </c>
      <c r="K46" s="272">
        <f>SUM(+F46*J46)</f>
        <v>30492</v>
      </c>
      <c r="L46" s="272"/>
      <c r="M46" s="272">
        <f>K46-H46</f>
        <v>10162.32</v>
      </c>
      <c r="N46" s="280">
        <f>IFERROR(ROUND(M46/H46,5), )</f>
        <v>0.49987999999999999</v>
      </c>
      <c r="P46" s="316"/>
    </row>
    <row r="47" spans="2:16" x14ac:dyDescent="0.25">
      <c r="B47" s="281" t="s">
        <v>170</v>
      </c>
      <c r="C47" s="291" t="s">
        <v>204</v>
      </c>
      <c r="D47" s="289" t="str">
        <f>VLOOKUP(C47,Rates!$B$3:$J$136,2,FALSE)</f>
        <v>LCPA_TRANS_DMT</v>
      </c>
      <c r="E47" s="344" t="s">
        <v>162</v>
      </c>
      <c r="F47" s="277">
        <f>VLOOKUP(C47,Rates!$B:$J,5,FALSE)</f>
        <v>754491</v>
      </c>
      <c r="G47" s="278">
        <f>VLOOKUP($D47,Rates!$C$1:$J$136,7,FALSE)</f>
        <v>1.4161999999999999</v>
      </c>
      <c r="H47" s="272">
        <f t="shared" ref="H47" si="18">SUM(+F47*G47)</f>
        <v>1068510.1542</v>
      </c>
      <c r="I47" s="277"/>
      <c r="J47" s="282">
        <f>$J$163</f>
        <v>1.5465</v>
      </c>
      <c r="K47" s="272">
        <f>SUM(+F47*J47)</f>
        <v>1166820.3315000001</v>
      </c>
      <c r="L47" s="272"/>
      <c r="M47" s="272">
        <f>K47-H47</f>
        <v>98310.177300000098</v>
      </c>
      <c r="N47" s="280">
        <f>IFERROR(ROUND(M47/H47,5), )</f>
        <v>9.2009999999999995E-2</v>
      </c>
      <c r="P47" s="316"/>
    </row>
    <row r="48" spans="2:16" x14ac:dyDescent="0.25">
      <c r="B48" s="321"/>
      <c r="C48" s="291"/>
      <c r="D48" s="394"/>
      <c r="E48" s="344"/>
      <c r="F48" s="277"/>
      <c r="G48" s="278"/>
      <c r="H48" s="272"/>
      <c r="I48" s="277"/>
      <c r="J48" s="282"/>
      <c r="K48" s="272"/>
      <c r="L48" s="272"/>
      <c r="M48" s="272"/>
      <c r="N48" s="280"/>
      <c r="P48" s="316"/>
    </row>
    <row r="49" spans="2:16" x14ac:dyDescent="0.25">
      <c r="B49" s="269" t="s">
        <v>163</v>
      </c>
      <c r="C49" s="270"/>
      <c r="D49" s="289" t="s">
        <v>148</v>
      </c>
      <c r="E49" s="348" t="s">
        <v>279</v>
      </c>
      <c r="F49" s="277"/>
      <c r="G49" s="278">
        <f>VLOOKUP($D49,Rates!$C$1:$J$136,5,FALSE)</f>
        <v>0</v>
      </c>
      <c r="H49" s="272">
        <f>$F$47*G49</f>
        <v>0</v>
      </c>
      <c r="I49" s="277"/>
      <c r="J49" s="387">
        <v>0</v>
      </c>
      <c r="K49" s="272">
        <f>$F$47*J49</f>
        <v>0</v>
      </c>
      <c r="L49" s="272"/>
      <c r="M49" s="272">
        <f>K49-H49</f>
        <v>0</v>
      </c>
      <c r="N49" s="280">
        <f>IFERROR(ROUND(M49/H49,5), )</f>
        <v>0</v>
      </c>
      <c r="O49" s="236"/>
      <c r="P49" s="324"/>
    </row>
    <row r="50" spans="2:16" x14ac:dyDescent="0.25">
      <c r="B50" s="269" t="s">
        <v>147</v>
      </c>
      <c r="C50" s="295"/>
      <c r="D50" s="289" t="s">
        <v>296</v>
      </c>
      <c r="E50" s="344" t="s">
        <v>290</v>
      </c>
      <c r="F50" s="277"/>
      <c r="G50" s="270"/>
      <c r="H50" s="272">
        <v>-2355</v>
      </c>
      <c r="I50" s="277"/>
      <c r="J50" s="387"/>
      <c r="K50" s="272"/>
      <c r="L50" s="272"/>
      <c r="M50" s="272">
        <f>K50-H50</f>
        <v>2355</v>
      </c>
      <c r="N50" s="280">
        <f>IFERROR(ROUND(M50/H50,5), )</f>
        <v>-1</v>
      </c>
      <c r="O50" s="236"/>
      <c r="P50" s="324"/>
    </row>
    <row r="51" spans="2:16" x14ac:dyDescent="0.25">
      <c r="B51" s="301"/>
      <c r="C51" s="295"/>
      <c r="D51" s="295"/>
      <c r="E51" s="579"/>
      <c r="F51" s="270"/>
      <c r="G51" s="302"/>
      <c r="H51" s="303"/>
      <c r="I51" s="277"/>
      <c r="J51" s="270"/>
      <c r="K51" s="272"/>
      <c r="L51" s="272"/>
      <c r="M51" s="272"/>
      <c r="N51" s="273"/>
      <c r="O51" s="296"/>
    </row>
    <row r="52" spans="2:16" x14ac:dyDescent="0.25">
      <c r="B52" s="274" t="s">
        <v>16</v>
      </c>
      <c r="C52" s="276"/>
      <c r="D52" s="294"/>
      <c r="E52" s="348"/>
      <c r="F52" s="270"/>
      <c r="G52" s="270"/>
      <c r="H52" s="304">
        <f>SUM(H46:H51)</f>
        <v>1086484.8341999999</v>
      </c>
      <c r="I52" s="277"/>
      <c r="J52" s="270"/>
      <c r="K52" s="304">
        <f>SUM(K46:K51)</f>
        <v>1197312.3315000001</v>
      </c>
      <c r="L52" s="272"/>
      <c r="M52" s="304">
        <f>SUM(M46:M51)</f>
        <v>110827.4973000001</v>
      </c>
      <c r="N52" s="318">
        <f>IFERROR(ROUND(M52/H52,5), )</f>
        <v>0.10201</v>
      </c>
      <c r="O52" s="236"/>
      <c r="P52" s="317"/>
    </row>
    <row r="53" spans="2:16" x14ac:dyDescent="0.25">
      <c r="B53" s="274"/>
      <c r="C53" s="276"/>
      <c r="D53" s="294"/>
      <c r="E53" s="348"/>
      <c r="F53" s="270"/>
      <c r="G53" s="270"/>
      <c r="H53" s="272"/>
      <c r="I53" s="277"/>
      <c r="J53" s="270"/>
      <c r="K53" s="272"/>
      <c r="L53" s="272"/>
      <c r="M53" s="272"/>
      <c r="N53" s="280"/>
      <c r="O53" s="236"/>
      <c r="P53" s="317"/>
    </row>
    <row r="54" spans="2:16" x14ac:dyDescent="0.25">
      <c r="B54" s="274" t="s">
        <v>166</v>
      </c>
      <c r="C54" s="276"/>
      <c r="D54" s="294"/>
      <c r="E54" s="348"/>
      <c r="F54" s="270"/>
      <c r="G54" s="270"/>
      <c r="H54" s="272">
        <v>1086484.83</v>
      </c>
      <c r="I54" s="277"/>
      <c r="J54" s="270"/>
      <c r="K54" s="272"/>
      <c r="L54" s="272"/>
      <c r="M54" s="272"/>
      <c r="N54" s="280"/>
      <c r="O54" s="236"/>
      <c r="P54" s="317"/>
    </row>
    <row r="55" spans="2:16" x14ac:dyDescent="0.25">
      <c r="B55" s="274"/>
      <c r="C55" s="276"/>
      <c r="D55" s="294"/>
      <c r="E55" s="348"/>
      <c r="F55" s="270"/>
      <c r="G55" s="270"/>
      <c r="H55" s="272"/>
      <c r="I55" s="277"/>
      <c r="J55" s="270"/>
      <c r="K55" s="272"/>
      <c r="L55" s="272"/>
      <c r="M55" s="272"/>
      <c r="N55" s="280"/>
      <c r="O55" s="236"/>
      <c r="P55" s="317"/>
    </row>
    <row r="56" spans="2:16" x14ac:dyDescent="0.25">
      <c r="B56" s="274" t="s">
        <v>167</v>
      </c>
      <c r="C56" s="276"/>
      <c r="D56" s="294"/>
      <c r="E56" s="348"/>
      <c r="F56" s="270"/>
      <c r="G56" s="270"/>
      <c r="H56" s="272">
        <f>H52-H54</f>
        <v>4.19999985024333E-3</v>
      </c>
      <c r="I56" s="277"/>
      <c r="J56" s="270"/>
      <c r="K56" s="272"/>
      <c r="L56" s="272"/>
      <c r="M56" s="272"/>
      <c r="N56" s="280"/>
      <c r="O56" s="236"/>
      <c r="P56" s="317"/>
    </row>
    <row r="57" spans="2:16" x14ac:dyDescent="0.25">
      <c r="B57" s="274" t="s">
        <v>168</v>
      </c>
      <c r="C57" s="276"/>
      <c r="D57" s="294"/>
      <c r="E57" s="348"/>
      <c r="F57" s="270"/>
      <c r="G57" s="270"/>
      <c r="H57" s="306">
        <f>H56/H52</f>
        <v>3.8656773827274566E-9</v>
      </c>
      <c r="I57" s="277"/>
      <c r="J57" s="270"/>
      <c r="K57" s="272"/>
      <c r="L57" s="272"/>
      <c r="M57" s="272"/>
      <c r="N57" s="280"/>
      <c r="O57" s="236"/>
      <c r="P57" s="317"/>
    </row>
    <row r="58" spans="2:16" x14ac:dyDescent="0.25">
      <c r="B58" s="307"/>
      <c r="C58" s="390"/>
      <c r="D58" s="386"/>
      <c r="E58" s="577"/>
      <c r="F58" s="390"/>
      <c r="G58" s="390"/>
      <c r="H58" s="391"/>
      <c r="I58" s="390"/>
      <c r="J58" s="390"/>
      <c r="K58" s="391"/>
      <c r="L58" s="391"/>
      <c r="M58" s="391"/>
      <c r="N58" s="287"/>
      <c r="O58" s="236"/>
      <c r="P58" s="319"/>
    </row>
    <row r="59" spans="2:16" x14ac:dyDescent="0.25">
      <c r="B59" s="262" t="s">
        <v>52</v>
      </c>
      <c r="C59" s="264"/>
      <c r="D59" s="393" t="s">
        <v>51</v>
      </c>
      <c r="E59" s="578"/>
      <c r="F59" s="265"/>
      <c r="G59" s="265"/>
      <c r="H59" s="267"/>
      <c r="I59" s="266"/>
      <c r="J59" s="265"/>
      <c r="K59" s="267"/>
      <c r="L59" s="267"/>
      <c r="M59" s="267"/>
      <c r="N59" s="312"/>
      <c r="O59" s="236"/>
    </row>
    <row r="60" spans="2:16" x14ac:dyDescent="0.25">
      <c r="B60" s="290"/>
      <c r="C60" s="291"/>
      <c r="D60" s="364"/>
      <c r="E60" s="579"/>
      <c r="F60" s="270"/>
      <c r="G60" s="270"/>
      <c r="H60" s="272"/>
      <c r="I60" s="325"/>
      <c r="J60" s="270"/>
      <c r="K60" s="272"/>
      <c r="L60" s="272"/>
      <c r="M60" s="272"/>
      <c r="N60" s="273"/>
    </row>
    <row r="61" spans="2:16" x14ac:dyDescent="0.25">
      <c r="B61" s="301" t="s">
        <v>184</v>
      </c>
      <c r="C61" s="291" t="s">
        <v>51</v>
      </c>
      <c r="D61" s="289" t="str">
        <f>VLOOKUP(C61,Rates!$B$3:$J$136,2,FALSE)</f>
        <v>LCPA_BSC</v>
      </c>
      <c r="E61" s="348" t="s">
        <v>165</v>
      </c>
      <c r="F61" s="277">
        <f>VLOOKUP(C61,Rates!$B:$J,4,FALSE)</f>
        <v>359</v>
      </c>
      <c r="G61" s="418">
        <f>VLOOKUP($D61,Rates!$C$1:$J$136,5,FALSE)</f>
        <v>121.01</v>
      </c>
      <c r="H61" s="272">
        <f>SUM(+F61*G61)</f>
        <v>43442.590000000004</v>
      </c>
      <c r="I61" s="277"/>
      <c r="J61" s="279">
        <f>$J$162</f>
        <v>181.5</v>
      </c>
      <c r="K61" s="272">
        <f>SUM(+F61*J61)</f>
        <v>65158.5</v>
      </c>
      <c r="L61" s="272"/>
      <c r="M61" s="272">
        <f>K61-H61</f>
        <v>21715.909999999996</v>
      </c>
      <c r="N61" s="280">
        <f>IFERROR(ROUND(M61/H61,5), )</f>
        <v>0.49987999999999999</v>
      </c>
      <c r="O61" s="326"/>
    </row>
    <row r="62" spans="2:16" x14ac:dyDescent="0.25">
      <c r="B62" s="281" t="s">
        <v>200</v>
      </c>
      <c r="C62" s="291" t="s">
        <v>206</v>
      </c>
      <c r="D62" s="289" t="str">
        <f>VLOOKUP(C62,Rates!$B$3:$J$136,2,FALSE)</f>
        <v>LCPA_B1</v>
      </c>
      <c r="E62" s="344" t="s">
        <v>162</v>
      </c>
      <c r="F62" s="277">
        <f>VLOOKUP(C62,Rates!$B:$J,5,FALSE)</f>
        <v>46068.700000000004</v>
      </c>
      <c r="G62" s="278">
        <f>VLOOKUP($D62,Rates!$C$1:$J$136,7,FALSE)</f>
        <v>1.4947999999999999</v>
      </c>
      <c r="H62" s="272">
        <f t="shared" ref="H62:H64" si="19">SUM(+F62*G62)</f>
        <v>68863.492760000008</v>
      </c>
      <c r="I62" s="277"/>
      <c r="J62" s="279"/>
      <c r="K62" s="272">
        <f t="shared" ref="K62:K65" si="20">SUM(+F62*J62)</f>
        <v>0</v>
      </c>
      <c r="L62" s="272"/>
      <c r="M62" s="272"/>
      <c r="N62" s="280">
        <f t="shared" ref="N62:N65" si="21">IFERROR(ROUND(M62/H62,5), )</f>
        <v>0</v>
      </c>
      <c r="O62" s="326"/>
    </row>
    <row r="63" spans="2:16" x14ac:dyDescent="0.25">
      <c r="B63" s="281" t="s">
        <v>201</v>
      </c>
      <c r="C63" s="291" t="s">
        <v>207</v>
      </c>
      <c r="D63" s="289" t="str">
        <f>VLOOKUP(C63,Rates!$B$3:$J$136,2,FALSE)</f>
        <v>LCPA_B2</v>
      </c>
      <c r="E63" s="344" t="s">
        <v>162</v>
      </c>
      <c r="F63" s="277">
        <f>VLOOKUP(C63,Rates!$B:$J,5,FALSE)</f>
        <v>2237.2999999999997</v>
      </c>
      <c r="G63" s="278">
        <f>VLOOKUP($D63,Rates!$C$1:$J$136,7,FALSE)</f>
        <v>1.3812</v>
      </c>
      <c r="H63" s="272">
        <f t="shared" si="19"/>
        <v>3090.1587599999998</v>
      </c>
      <c r="I63" s="277"/>
      <c r="J63" s="279"/>
      <c r="K63" s="272">
        <f t="shared" si="20"/>
        <v>0</v>
      </c>
      <c r="L63" s="272"/>
      <c r="M63" s="272"/>
      <c r="N63" s="280">
        <f t="shared" si="21"/>
        <v>0</v>
      </c>
      <c r="O63" s="326"/>
    </row>
    <row r="64" spans="2:16" x14ac:dyDescent="0.25">
      <c r="B64" s="281" t="s">
        <v>115</v>
      </c>
      <c r="C64" s="291" t="s">
        <v>208</v>
      </c>
      <c r="D64" s="289" t="str">
        <f>VLOOKUP(C64,Rates!$B$3:$J$136,2,FALSE)</f>
        <v>LCPA_B3</v>
      </c>
      <c r="E64" s="344" t="s">
        <v>162</v>
      </c>
      <c r="F64" s="284">
        <f>VLOOKUP(C64,Rates!$B:$J,5,FALSE)</f>
        <v>0</v>
      </c>
      <c r="G64" s="278">
        <f>VLOOKUP($D64,Rates!$C$1:$J$136,7,FALSE)</f>
        <v>1.2310989999999999</v>
      </c>
      <c r="H64" s="285">
        <f t="shared" si="19"/>
        <v>0</v>
      </c>
      <c r="I64" s="277"/>
      <c r="J64" s="351"/>
      <c r="K64" s="285">
        <f t="shared" si="20"/>
        <v>0</v>
      </c>
      <c r="L64" s="272"/>
      <c r="M64" s="285"/>
      <c r="N64" s="287">
        <f t="shared" si="21"/>
        <v>0</v>
      </c>
      <c r="O64" s="326"/>
    </row>
    <row r="65" spans="2:15" x14ac:dyDescent="0.25">
      <c r="B65" s="281" t="s">
        <v>298</v>
      </c>
      <c r="C65" s="291"/>
      <c r="D65" s="289" t="s">
        <v>348</v>
      </c>
      <c r="E65" s="344"/>
      <c r="F65" s="277">
        <f>SUM(F62:F64)</f>
        <v>48306.000000000007</v>
      </c>
      <c r="G65" s="278"/>
      <c r="H65" s="272">
        <f>SUM(H62:H64)</f>
        <v>71953.651520000014</v>
      </c>
      <c r="I65" s="277"/>
      <c r="J65" s="282">
        <f>$J$163</f>
        <v>1.5465</v>
      </c>
      <c r="K65" s="272">
        <f t="shared" si="20"/>
        <v>74705.229000000007</v>
      </c>
      <c r="L65" s="272"/>
      <c r="M65" s="272">
        <f>K65-H65</f>
        <v>2751.5774799999926</v>
      </c>
      <c r="N65" s="280">
        <f t="shared" si="21"/>
        <v>3.8240000000000003E-2</v>
      </c>
      <c r="O65" s="326"/>
    </row>
    <row r="66" spans="2:15" x14ac:dyDescent="0.25">
      <c r="B66" s="290"/>
      <c r="C66" s="291"/>
      <c r="D66" s="364"/>
      <c r="E66" s="583"/>
      <c r="F66" s="277"/>
      <c r="G66" s="279"/>
      <c r="H66" s="272"/>
      <c r="I66" s="277"/>
      <c r="J66" s="279"/>
      <c r="K66" s="272"/>
      <c r="L66" s="272"/>
      <c r="M66" s="272"/>
      <c r="N66" s="280"/>
      <c r="O66" s="326"/>
    </row>
    <row r="67" spans="2:15" x14ac:dyDescent="0.25">
      <c r="B67" s="269" t="s">
        <v>163</v>
      </c>
      <c r="C67" s="270"/>
      <c r="D67" s="289" t="s">
        <v>148</v>
      </c>
      <c r="E67" s="348" t="s">
        <v>279</v>
      </c>
      <c r="F67" s="277"/>
      <c r="G67" s="278">
        <f>VLOOKUP($D67,Rates!$C$1:$J$136,5,FALSE)</f>
        <v>0</v>
      </c>
      <c r="H67" s="272">
        <f>($F$62+$F$63+$F$64)*G67</f>
        <v>0</v>
      </c>
      <c r="I67" s="277"/>
      <c r="J67" s="279">
        <v>0</v>
      </c>
      <c r="K67" s="272">
        <f>($F$62+$F$63+$F$64)*J67</f>
        <v>0</v>
      </c>
      <c r="L67" s="272"/>
      <c r="M67" s="272">
        <f t="shared" ref="M67" si="22">K67-H67</f>
        <v>0</v>
      </c>
      <c r="N67" s="280">
        <f t="shared" ref="N67" si="23">IFERROR(ROUND(M67/H67,5), )</f>
        <v>0</v>
      </c>
      <c r="O67" s="326"/>
    </row>
    <row r="68" spans="2:15" x14ac:dyDescent="0.25">
      <c r="B68" s="269" t="s">
        <v>147</v>
      </c>
      <c r="C68" s="295"/>
      <c r="D68" s="289" t="s">
        <v>296</v>
      </c>
      <c r="E68" s="344" t="s">
        <v>290</v>
      </c>
      <c r="F68" s="277"/>
      <c r="G68" s="270"/>
      <c r="H68" s="272">
        <v>-281</v>
      </c>
      <c r="I68" s="277"/>
      <c r="J68" s="279"/>
      <c r="K68" s="272"/>
      <c r="L68" s="272"/>
      <c r="M68" s="272">
        <f t="shared" ref="M68" si="24">K68-H68</f>
        <v>281</v>
      </c>
      <c r="N68" s="280">
        <f t="shared" ref="N68" si="25">IFERROR(ROUND(M68/H68,5), )</f>
        <v>-1</v>
      </c>
      <c r="O68" s="326"/>
    </row>
    <row r="69" spans="2:15" x14ac:dyDescent="0.25">
      <c r="B69" s="301"/>
      <c r="C69" s="295"/>
      <c r="D69" s="295"/>
      <c r="E69" s="583"/>
      <c r="F69" s="277"/>
      <c r="G69" s="279"/>
      <c r="H69" s="285"/>
      <c r="I69" s="277"/>
      <c r="J69" s="279"/>
      <c r="K69" s="285"/>
      <c r="L69" s="272"/>
      <c r="M69" s="285"/>
      <c r="N69" s="280"/>
      <c r="O69" s="326"/>
    </row>
    <row r="70" spans="2:15" x14ac:dyDescent="0.25">
      <c r="B70" s="274" t="s">
        <v>16</v>
      </c>
      <c r="C70" s="276"/>
      <c r="D70" s="294"/>
      <c r="E70" s="583"/>
      <c r="F70" s="277"/>
      <c r="G70" s="279"/>
      <c r="H70" s="272">
        <f>SUM(H65:H69)+H61</f>
        <v>115115.24152000001</v>
      </c>
      <c r="I70" s="277"/>
      <c r="J70" s="279"/>
      <c r="K70" s="272">
        <f>SUM(K65:K69)+K61</f>
        <v>139863.72899999999</v>
      </c>
      <c r="L70" s="272"/>
      <c r="M70" s="272">
        <f>SUM(M65:M69)+M61</f>
        <v>24748.487479999989</v>
      </c>
      <c r="N70" s="318">
        <f>IFERROR(ROUND(M70/H70,5), )</f>
        <v>0.21498999999999999</v>
      </c>
      <c r="O70" s="326"/>
    </row>
    <row r="71" spans="2:15" x14ac:dyDescent="0.25">
      <c r="B71" s="274"/>
      <c r="C71" s="276"/>
      <c r="D71" s="294"/>
      <c r="E71" s="583"/>
      <c r="F71" s="277"/>
      <c r="G71" s="279"/>
      <c r="H71" s="272"/>
      <c r="I71" s="277"/>
      <c r="J71" s="279"/>
      <c r="K71" s="272"/>
      <c r="L71" s="272"/>
      <c r="M71" s="272"/>
      <c r="N71" s="280"/>
      <c r="O71" s="326"/>
    </row>
    <row r="72" spans="2:15" x14ac:dyDescent="0.25">
      <c r="B72" s="274" t="s">
        <v>166</v>
      </c>
      <c r="C72" s="276"/>
      <c r="D72" s="294"/>
      <c r="E72" s="583"/>
      <c r="F72" s="277"/>
      <c r="G72" s="279"/>
      <c r="H72" s="272">
        <v>115115.25</v>
      </c>
      <c r="I72" s="277"/>
      <c r="J72" s="279"/>
      <c r="K72" s="272"/>
      <c r="L72" s="272"/>
      <c r="M72" s="272"/>
      <c r="N72" s="280"/>
      <c r="O72" s="326"/>
    </row>
    <row r="73" spans="2:15" x14ac:dyDescent="0.25">
      <c r="B73" s="274"/>
      <c r="C73" s="276"/>
      <c r="D73" s="294"/>
      <c r="E73" s="344"/>
      <c r="F73" s="270"/>
      <c r="G73" s="270"/>
      <c r="H73" s="272"/>
      <c r="I73" s="270"/>
      <c r="J73" s="270"/>
      <c r="K73" s="272"/>
      <c r="L73" s="272"/>
      <c r="M73" s="272"/>
      <c r="N73" s="280"/>
      <c r="O73" s="326"/>
    </row>
    <row r="74" spans="2:15" x14ac:dyDescent="0.25">
      <c r="B74" s="274" t="s">
        <v>167</v>
      </c>
      <c r="C74" s="276"/>
      <c r="D74" s="294"/>
      <c r="E74" s="348"/>
      <c r="F74" s="277"/>
      <c r="G74" s="277"/>
      <c r="H74" s="272">
        <f>H70-H72</f>
        <v>-8.4799999895039946E-3</v>
      </c>
      <c r="I74" s="277"/>
      <c r="J74" s="270"/>
      <c r="K74" s="272"/>
      <c r="L74" s="272"/>
      <c r="M74" s="272"/>
      <c r="N74" s="273"/>
      <c r="O74" s="326"/>
    </row>
    <row r="75" spans="2:15" x14ac:dyDescent="0.25">
      <c r="B75" s="274" t="s">
        <v>168</v>
      </c>
      <c r="C75" s="276"/>
      <c r="D75" s="294"/>
      <c r="E75" s="344"/>
      <c r="F75" s="270"/>
      <c r="G75" s="270"/>
      <c r="H75" s="306">
        <f>H74/H70</f>
        <v>-7.3665310323226732E-8</v>
      </c>
      <c r="I75" s="277"/>
      <c r="J75" s="270"/>
      <c r="K75" s="272"/>
      <c r="L75" s="272"/>
      <c r="M75" s="272"/>
      <c r="N75" s="273"/>
      <c r="O75" s="296"/>
    </row>
    <row r="76" spans="2:15" x14ac:dyDescent="0.25">
      <c r="B76" s="274"/>
      <c r="C76" s="276"/>
      <c r="D76" s="294"/>
      <c r="E76" s="344"/>
      <c r="F76" s="270"/>
      <c r="G76" s="270"/>
      <c r="H76" s="306"/>
      <c r="I76" s="277"/>
      <c r="J76" s="270"/>
      <c r="K76" s="272"/>
      <c r="L76" s="272"/>
      <c r="M76" s="272"/>
      <c r="N76" s="273"/>
      <c r="O76" s="296"/>
    </row>
    <row r="77" spans="2:15" x14ac:dyDescent="0.25">
      <c r="B77" s="262" t="s">
        <v>60</v>
      </c>
      <c r="C77" s="264"/>
      <c r="D77" s="393" t="s">
        <v>59</v>
      </c>
      <c r="E77" s="578"/>
      <c r="F77" s="265"/>
      <c r="G77" s="265"/>
      <c r="H77" s="267"/>
      <c r="I77" s="266"/>
      <c r="J77" s="265"/>
      <c r="K77" s="267"/>
      <c r="L77" s="267"/>
      <c r="M77" s="267"/>
      <c r="N77" s="312"/>
      <c r="O77" s="236"/>
    </row>
    <row r="78" spans="2:15" x14ac:dyDescent="0.25">
      <c r="B78" s="290"/>
      <c r="C78" s="291"/>
      <c r="D78" s="364"/>
      <c r="E78" s="579"/>
      <c r="F78" s="270"/>
      <c r="G78" s="270"/>
      <c r="H78" s="272"/>
      <c r="I78" s="325"/>
      <c r="J78" s="270"/>
      <c r="K78" s="272"/>
      <c r="L78" s="272"/>
      <c r="M78" s="272"/>
      <c r="N78" s="273"/>
    </row>
    <row r="79" spans="2:15" x14ac:dyDescent="0.25">
      <c r="B79" s="301" t="s">
        <v>184</v>
      </c>
      <c r="C79" s="291" t="s">
        <v>59</v>
      </c>
      <c r="D79" s="289" t="str">
        <f>VLOOKUP(C79,Rates!$B$3:$J$136,2,FALSE)</f>
        <v>LCPA_BSC</v>
      </c>
      <c r="E79" s="348" t="s">
        <v>165</v>
      </c>
      <c r="F79" s="277">
        <f>VLOOKUP(C79,Rates!$B:$J,4,FALSE)</f>
        <v>430</v>
      </c>
      <c r="G79" s="418">
        <f>VLOOKUP($D79,Rates!$C$1:$J$136,5,FALSE)</f>
        <v>121.01</v>
      </c>
      <c r="H79" s="272">
        <f>SUM(+F79*G79)</f>
        <v>52034.3</v>
      </c>
      <c r="I79" s="277"/>
      <c r="J79" s="279">
        <f>$J$162</f>
        <v>181.5</v>
      </c>
      <c r="K79" s="272">
        <f>SUM(+F79*J79)</f>
        <v>78045</v>
      </c>
      <c r="L79" s="272"/>
      <c r="M79" s="272">
        <f>K79-H79</f>
        <v>26010.699999999997</v>
      </c>
      <c r="N79" s="280">
        <f>IFERROR(ROUND(M79/H79,5), )</f>
        <v>0.49987999999999999</v>
      </c>
      <c r="O79" s="326"/>
    </row>
    <row r="80" spans="2:15" x14ac:dyDescent="0.25">
      <c r="B80" s="281" t="s">
        <v>200</v>
      </c>
      <c r="C80" s="291" t="s">
        <v>228</v>
      </c>
      <c r="D80" s="289" t="str">
        <f>VLOOKUP(C80,Rates!$B$3:$J$136,2,FALSE)</f>
        <v>LCPA_B1</v>
      </c>
      <c r="E80" s="344" t="s">
        <v>162</v>
      </c>
      <c r="F80" s="277">
        <f>VLOOKUP(C80,Rates!$B:$J,5,FALSE)</f>
        <v>67107.600000000006</v>
      </c>
      <c r="G80" s="278">
        <f>VLOOKUP($D80,Rates!$C$1:$J$136,7,FALSE)</f>
        <v>1.4947999999999999</v>
      </c>
      <c r="H80" s="272">
        <f t="shared" ref="H80" si="26">SUM(+F80*G80)</f>
        <v>100312.44048</v>
      </c>
      <c r="I80" s="277"/>
      <c r="J80" s="282"/>
      <c r="K80" s="272"/>
      <c r="L80" s="272"/>
      <c r="M80" s="272"/>
      <c r="N80" s="280">
        <f t="shared" ref="N80" si="27">IFERROR(ROUND(M80/H80,5), )</f>
        <v>0</v>
      </c>
      <c r="O80" s="326"/>
    </row>
    <row r="81" spans="2:15" x14ac:dyDescent="0.25">
      <c r="B81" s="281" t="s">
        <v>201</v>
      </c>
      <c r="C81" s="291" t="s">
        <v>229</v>
      </c>
      <c r="D81" s="289" t="str">
        <f>VLOOKUP(C81,Rates!$B$3:$J$136,2,FALSE)</f>
        <v>LCPA_B2</v>
      </c>
      <c r="E81" s="344" t="s">
        <v>162</v>
      </c>
      <c r="F81" s="277">
        <f>VLOOKUP(C81,Rates!$B:$J,5,FALSE)</f>
        <v>33439.699999999997</v>
      </c>
      <c r="G81" s="278">
        <f>VLOOKUP($D81,Rates!$C$1:$J$136,7,FALSE)</f>
        <v>1.3812</v>
      </c>
      <c r="H81" s="272">
        <f t="shared" ref="H81:H82" si="28">SUM(+F81*G81)</f>
        <v>46186.913639999999</v>
      </c>
      <c r="I81" s="277"/>
      <c r="J81" s="282"/>
      <c r="K81" s="272"/>
      <c r="L81" s="272"/>
      <c r="M81" s="272"/>
      <c r="N81" s="280">
        <f t="shared" ref="N81:N83" si="29">IFERROR(ROUND(M81/H81,5), )</f>
        <v>0</v>
      </c>
      <c r="O81" s="326"/>
    </row>
    <row r="82" spans="2:15" x14ac:dyDescent="0.25">
      <c r="B82" s="283" t="s">
        <v>115</v>
      </c>
      <c r="C82" s="291" t="s">
        <v>230</v>
      </c>
      <c r="D82" s="289" t="str">
        <f>VLOOKUP(C82,Rates!$B$3:$J$136,2,FALSE)</f>
        <v>LCPA_B3</v>
      </c>
      <c r="E82" s="344" t="s">
        <v>162</v>
      </c>
      <c r="F82" s="284">
        <f>VLOOKUP(C82,Rates!$B:$J,5,FALSE)</f>
        <v>2684.6</v>
      </c>
      <c r="G82" s="278">
        <f>VLOOKUP($D82,Rates!$C$1:$J$136,7,FALSE)</f>
        <v>1.2310989999999999</v>
      </c>
      <c r="H82" s="285">
        <f t="shared" si="28"/>
        <v>3305.0083753999997</v>
      </c>
      <c r="I82" s="277"/>
      <c r="J82" s="286"/>
      <c r="K82" s="285"/>
      <c r="L82" s="272"/>
      <c r="M82" s="285"/>
      <c r="N82" s="287">
        <f t="shared" si="29"/>
        <v>0</v>
      </c>
      <c r="O82" s="326"/>
    </row>
    <row r="83" spans="2:15" x14ac:dyDescent="0.25">
      <c r="B83" s="281" t="s">
        <v>298</v>
      </c>
      <c r="C83" s="291"/>
      <c r="D83" s="289" t="s">
        <v>348</v>
      </c>
      <c r="E83" s="344"/>
      <c r="F83" s="277">
        <f>SUM(F80:F82)</f>
        <v>103231.90000000001</v>
      </c>
      <c r="G83" s="278"/>
      <c r="H83" s="272">
        <f>SUM(H80:H82)</f>
        <v>149804.36249540001</v>
      </c>
      <c r="I83" s="277"/>
      <c r="J83" s="282">
        <f>$J$163</f>
        <v>1.5465</v>
      </c>
      <c r="K83" s="272">
        <f t="shared" ref="K83" si="30">SUM(+F83*J83)</f>
        <v>159648.13335000002</v>
      </c>
      <c r="L83" s="272"/>
      <c r="M83" s="272">
        <f>K83-H83</f>
        <v>9843.7708546000067</v>
      </c>
      <c r="N83" s="280">
        <f t="shared" si="29"/>
        <v>6.5710000000000005E-2</v>
      </c>
      <c r="O83" s="326"/>
    </row>
    <row r="84" spans="2:15" x14ac:dyDescent="0.25">
      <c r="B84" s="281"/>
      <c r="C84" s="291"/>
      <c r="D84" s="289"/>
      <c r="E84" s="344"/>
      <c r="F84" s="277"/>
      <c r="G84" s="278"/>
      <c r="H84" s="272"/>
      <c r="I84" s="277"/>
      <c r="J84" s="282"/>
      <c r="K84" s="272"/>
      <c r="L84" s="272"/>
      <c r="M84" s="272"/>
      <c r="N84" s="280"/>
      <c r="O84" s="326"/>
    </row>
    <row r="85" spans="2:15" x14ac:dyDescent="0.25">
      <c r="B85" s="269" t="s">
        <v>163</v>
      </c>
      <c r="C85" s="270"/>
      <c r="D85" s="289" t="s">
        <v>148</v>
      </c>
      <c r="E85" s="348" t="s">
        <v>279</v>
      </c>
      <c r="F85" s="277"/>
      <c r="G85" s="278">
        <f>VLOOKUP($D85,Rates!$C$1:$J$136,5,FALSE)</f>
        <v>0</v>
      </c>
      <c r="H85" s="272">
        <f>($F$80+$F$81+$F$82)*G85</f>
        <v>0</v>
      </c>
      <c r="I85" s="277"/>
      <c r="J85" s="282">
        <v>0</v>
      </c>
      <c r="K85" s="272">
        <f>($F$80+$F$81+$F$82)*J85</f>
        <v>0</v>
      </c>
      <c r="L85" s="272"/>
      <c r="M85" s="272">
        <f t="shared" ref="M85:M86" si="31">K85-H85</f>
        <v>0</v>
      </c>
      <c r="N85" s="280">
        <f t="shared" ref="N85:N86" si="32">IFERROR(ROUND(M85/H85,5), )</f>
        <v>0</v>
      </c>
      <c r="O85" s="326"/>
    </row>
    <row r="86" spans="2:15" x14ac:dyDescent="0.25">
      <c r="B86" s="269" t="s">
        <v>283</v>
      </c>
      <c r="C86" s="295"/>
      <c r="D86" s="388" t="s">
        <v>289</v>
      </c>
      <c r="E86" s="344" t="s">
        <v>287</v>
      </c>
      <c r="F86" s="277"/>
      <c r="G86" s="278">
        <f>VLOOKUP($D86,Rates!$C$1:$J$136,5,FALSE)</f>
        <v>1.9966999999999999E-2</v>
      </c>
      <c r="H86" s="272">
        <f>($F$80+$F$81+$F$82)*G86</f>
        <v>2061.2313472999999</v>
      </c>
      <c r="I86" s="277"/>
      <c r="J86" s="282">
        <f>$J$166</f>
        <v>4.4499999999999998E-2</v>
      </c>
      <c r="K86" s="272">
        <f>($F$80+$F$81+$F$82)*J86</f>
        <v>4593.8195500000002</v>
      </c>
      <c r="L86" s="272"/>
      <c r="M86" s="272">
        <f t="shared" si="31"/>
        <v>2532.5882027000002</v>
      </c>
      <c r="N86" s="280">
        <f t="shared" si="32"/>
        <v>1.22868</v>
      </c>
      <c r="O86" s="326"/>
    </row>
    <row r="87" spans="2:15" x14ac:dyDescent="0.25">
      <c r="B87" s="269" t="s">
        <v>284</v>
      </c>
      <c r="C87" s="295"/>
      <c r="D87" s="388" t="s">
        <v>286</v>
      </c>
      <c r="E87" s="344" t="s">
        <v>288</v>
      </c>
      <c r="F87" s="277"/>
      <c r="G87" s="278">
        <f>VLOOKUP($D87,Rates!$C$1:$J$136,5,FALSE)</f>
        <v>0.105</v>
      </c>
      <c r="H87" s="272">
        <f>($F$80+$F$81+$F$82)*G87</f>
        <v>10839.3495</v>
      </c>
      <c r="I87" s="277"/>
      <c r="J87" s="282">
        <f>$J$167</f>
        <v>0.1149</v>
      </c>
      <c r="K87" s="272">
        <f>($F$80+$F$81+$F$82)*J87</f>
        <v>11861.345310000001</v>
      </c>
      <c r="L87" s="272"/>
      <c r="M87" s="272">
        <f t="shared" ref="M87" si="33">K87-H87</f>
        <v>1021.9958100000003</v>
      </c>
      <c r="N87" s="280">
        <f t="shared" ref="N87" si="34">IFERROR(ROUND(M87/H87,5), )</f>
        <v>9.4289999999999999E-2</v>
      </c>
      <c r="O87" s="326"/>
    </row>
    <row r="88" spans="2:15" x14ac:dyDescent="0.25">
      <c r="B88" s="269" t="s">
        <v>147</v>
      </c>
      <c r="C88" s="295"/>
      <c r="D88" s="289" t="s">
        <v>296</v>
      </c>
      <c r="E88" s="344" t="s">
        <v>290</v>
      </c>
      <c r="F88" s="277"/>
      <c r="G88" s="270"/>
      <c r="H88" s="272">
        <v>-2778</v>
      </c>
      <c r="I88" s="277"/>
      <c r="J88" s="282">
        <v>0</v>
      </c>
      <c r="K88" s="272">
        <f>($F$80+$F$81+$F$82)*J88</f>
        <v>0</v>
      </c>
      <c r="L88" s="272"/>
      <c r="M88" s="272">
        <f t="shared" ref="M88" si="35">K88-H88</f>
        <v>2778</v>
      </c>
      <c r="N88" s="280">
        <f t="shared" ref="N88" si="36">IFERROR(ROUND(M88/H88,5), )</f>
        <v>-1</v>
      </c>
      <c r="O88" s="326"/>
    </row>
    <row r="89" spans="2:15" x14ac:dyDescent="0.25">
      <c r="B89" s="281"/>
      <c r="C89" s="291"/>
      <c r="D89" s="289"/>
      <c r="E89" s="344"/>
      <c r="F89" s="277"/>
      <c r="G89" s="278"/>
      <c r="H89" s="285"/>
      <c r="I89" s="277"/>
      <c r="J89" s="282"/>
      <c r="K89" s="285"/>
      <c r="L89" s="272"/>
      <c r="M89" s="285"/>
      <c r="N89" s="287"/>
      <c r="O89" s="326"/>
    </row>
    <row r="90" spans="2:15" x14ac:dyDescent="0.25">
      <c r="B90" s="274" t="s">
        <v>16</v>
      </c>
      <c r="C90" s="276"/>
      <c r="D90" s="294"/>
      <c r="E90" s="583"/>
      <c r="F90" s="277"/>
      <c r="G90" s="279"/>
      <c r="H90" s="272">
        <f>SUM(H83:H89)+H79</f>
        <v>211961.24334270001</v>
      </c>
      <c r="I90" s="277"/>
      <c r="J90" s="279"/>
      <c r="K90" s="272">
        <f>SUM(K83:K89)+K79</f>
        <v>254148.29821000004</v>
      </c>
      <c r="L90" s="272"/>
      <c r="M90" s="272">
        <f>SUM(M83:M89)+M79</f>
        <v>42187.054867300001</v>
      </c>
      <c r="N90" s="280">
        <f>IFERROR(ROUND(M90/H90,5), )</f>
        <v>0.19903000000000001</v>
      </c>
      <c r="O90" s="326"/>
    </row>
    <row r="91" spans="2:15" x14ac:dyDescent="0.25">
      <c r="B91" s="274"/>
      <c r="C91" s="276"/>
      <c r="D91" s="294"/>
      <c r="E91" s="583"/>
      <c r="F91" s="277"/>
      <c r="G91" s="279"/>
      <c r="H91" s="272"/>
      <c r="I91" s="277"/>
      <c r="J91" s="279"/>
      <c r="K91" s="272"/>
      <c r="L91" s="272"/>
      <c r="M91" s="272"/>
      <c r="N91" s="280"/>
      <c r="O91" s="326"/>
    </row>
    <row r="92" spans="2:15" x14ac:dyDescent="0.25">
      <c r="B92" s="274" t="s">
        <v>166</v>
      </c>
      <c r="C92" s="276"/>
      <c r="D92" s="294"/>
      <c r="E92" s="583"/>
      <c r="F92" s="277"/>
      <c r="G92" s="279"/>
      <c r="H92" s="272">
        <v>211961.21999999997</v>
      </c>
      <c r="I92" s="277"/>
      <c r="J92" s="279"/>
      <c r="K92" s="272"/>
      <c r="L92" s="272"/>
      <c r="M92" s="272"/>
      <c r="N92" s="280"/>
      <c r="O92" s="326"/>
    </row>
    <row r="93" spans="2:15" x14ac:dyDescent="0.25">
      <c r="B93" s="274"/>
      <c r="C93" s="276"/>
      <c r="D93" s="294"/>
      <c r="E93" s="344"/>
      <c r="F93" s="270"/>
      <c r="G93" s="270"/>
      <c r="H93" s="272"/>
      <c r="I93" s="270"/>
      <c r="J93" s="270"/>
      <c r="K93" s="272"/>
      <c r="L93" s="272"/>
      <c r="M93" s="272"/>
      <c r="N93" s="280"/>
      <c r="O93" s="326"/>
    </row>
    <row r="94" spans="2:15" x14ac:dyDescent="0.25">
      <c r="B94" s="274" t="s">
        <v>167</v>
      </c>
      <c r="C94" s="276"/>
      <c r="D94" s="294"/>
      <c r="E94" s="348"/>
      <c r="F94" s="277"/>
      <c r="G94" s="277"/>
      <c r="H94" s="272">
        <f>H90-H92</f>
        <v>2.334270003484562E-2</v>
      </c>
      <c r="I94" s="277"/>
      <c r="J94" s="270"/>
      <c r="K94" s="272"/>
      <c r="L94" s="272"/>
      <c r="M94" s="272"/>
      <c r="N94" s="273"/>
      <c r="O94" s="326"/>
    </row>
    <row r="95" spans="2:15" x14ac:dyDescent="0.25">
      <c r="B95" s="274" t="s">
        <v>168</v>
      </c>
      <c r="C95" s="276"/>
      <c r="D95" s="294"/>
      <c r="E95" s="344"/>
      <c r="F95" s="270"/>
      <c r="G95" s="270"/>
      <c r="H95" s="306">
        <f>H94/H90</f>
        <v>1.1012720847794341E-7</v>
      </c>
      <c r="I95" s="277"/>
      <c r="J95" s="270"/>
      <c r="K95" s="272"/>
      <c r="L95" s="272"/>
      <c r="M95" s="272"/>
      <c r="N95" s="273"/>
      <c r="O95" s="296"/>
    </row>
    <row r="96" spans="2:15" x14ac:dyDescent="0.25">
      <c r="B96" s="395"/>
      <c r="C96" s="396"/>
      <c r="D96" s="397"/>
      <c r="E96" s="577"/>
      <c r="F96" s="390"/>
      <c r="G96" s="390"/>
      <c r="H96" s="398"/>
      <c r="I96" s="392"/>
      <c r="J96" s="390"/>
      <c r="K96" s="391"/>
      <c r="L96" s="391"/>
      <c r="M96" s="391"/>
      <c r="N96" s="372"/>
      <c r="O96" s="296"/>
    </row>
    <row r="97" spans="2:15" x14ac:dyDescent="0.25">
      <c r="B97" s="262" t="s">
        <v>62</v>
      </c>
      <c r="C97" s="264"/>
      <c r="D97" s="393" t="s">
        <v>61</v>
      </c>
      <c r="E97" s="578"/>
      <c r="F97" s="265"/>
      <c r="G97" s="265"/>
      <c r="H97" s="267"/>
      <c r="I97" s="266"/>
      <c r="J97" s="265"/>
      <c r="K97" s="267"/>
      <c r="L97" s="267"/>
      <c r="M97" s="267"/>
      <c r="N97" s="312"/>
      <c r="O97" s="236"/>
    </row>
    <row r="98" spans="2:15" x14ac:dyDescent="0.25">
      <c r="B98" s="290"/>
      <c r="C98" s="291"/>
      <c r="D98" s="364"/>
      <c r="E98" s="579"/>
      <c r="F98" s="270"/>
      <c r="G98" s="270"/>
      <c r="H98" s="272"/>
      <c r="I98" s="325"/>
      <c r="J98" s="270"/>
      <c r="K98" s="272"/>
      <c r="L98" s="272"/>
      <c r="M98" s="272"/>
      <c r="N98" s="273"/>
    </row>
    <row r="99" spans="2:15" x14ac:dyDescent="0.25">
      <c r="B99" s="301" t="s">
        <v>184</v>
      </c>
      <c r="C99" s="291" t="s">
        <v>61</v>
      </c>
      <c r="D99" s="289" t="str">
        <f>VLOOKUP(C99,Rates!$B$3:$J$136,2,FALSE)</f>
        <v>LCPA_BSC</v>
      </c>
      <c r="E99" s="348" t="s">
        <v>165</v>
      </c>
      <c r="F99" s="277">
        <f>VLOOKUP(C99,Rates!$B:$J,4,FALSE)</f>
        <v>24</v>
      </c>
      <c r="G99" s="418">
        <f>VLOOKUP($D99,Rates!$C$1:$J$136,5,FALSE)</f>
        <v>121.01</v>
      </c>
      <c r="H99" s="272">
        <f>SUM(+F99*G99)</f>
        <v>2904.2400000000002</v>
      </c>
      <c r="I99" s="277"/>
      <c r="J99" s="279">
        <f>$J$162</f>
        <v>181.5</v>
      </c>
      <c r="K99" s="272">
        <f>SUM(+F99*J99)</f>
        <v>4356</v>
      </c>
      <c r="L99" s="272"/>
      <c r="M99" s="272">
        <f>K99-H99</f>
        <v>1451.7599999999998</v>
      </c>
      <c r="N99" s="280">
        <f>IFERROR(ROUND(M99/H99,5), )</f>
        <v>0.49987999999999999</v>
      </c>
      <c r="O99" s="326"/>
    </row>
    <row r="100" spans="2:15" x14ac:dyDescent="0.25">
      <c r="B100" s="281" t="s">
        <v>170</v>
      </c>
      <c r="C100" s="291" t="s">
        <v>235</v>
      </c>
      <c r="D100" s="289" t="str">
        <f>VLOOKUP(C100,Rates!$B$3:$J$136,2,FALSE)</f>
        <v>LCPA_TRANS_DMT</v>
      </c>
      <c r="E100" s="344" t="s">
        <v>162</v>
      </c>
      <c r="F100" s="277">
        <f>VLOOKUP(C100,Rates!$B:$J,5,FALSE)</f>
        <v>183396</v>
      </c>
      <c r="G100" s="278">
        <f>VLOOKUP($D100,Rates!$C$1:$J$136,7,FALSE)</f>
        <v>1.4161999999999999</v>
      </c>
      <c r="H100" s="272">
        <f t="shared" ref="H100" si="37">SUM(+F100*G100)</f>
        <v>259725.41519999999</v>
      </c>
      <c r="I100" s="277"/>
      <c r="J100" s="282">
        <f>$J$163</f>
        <v>1.5465</v>
      </c>
      <c r="K100" s="272">
        <f t="shared" ref="K100" si="38">SUM(+F100*J100)</f>
        <v>283621.91399999999</v>
      </c>
      <c r="L100" s="272"/>
      <c r="M100" s="272">
        <f t="shared" ref="M100" si="39">K100-H100</f>
        <v>23896.498800000001</v>
      </c>
      <c r="N100" s="280">
        <f t="shared" ref="N100" si="40">IFERROR(ROUND(M100/H100,5), )</f>
        <v>9.2009999999999995E-2</v>
      </c>
      <c r="O100" s="326"/>
    </row>
    <row r="101" spans="2:15" x14ac:dyDescent="0.25">
      <c r="B101" s="281"/>
      <c r="C101" s="291"/>
      <c r="D101" s="289"/>
      <c r="E101" s="344"/>
      <c r="F101" s="277"/>
      <c r="G101" s="278"/>
      <c r="H101" s="272"/>
      <c r="I101" s="277"/>
      <c r="J101" s="282"/>
      <c r="K101" s="272"/>
      <c r="L101" s="272"/>
      <c r="M101" s="272"/>
      <c r="N101" s="280"/>
      <c r="O101" s="326"/>
    </row>
    <row r="102" spans="2:15" x14ac:dyDescent="0.25">
      <c r="B102" s="269" t="s">
        <v>147</v>
      </c>
      <c r="C102" s="295"/>
      <c r="D102" s="289" t="s">
        <v>296</v>
      </c>
      <c r="E102" s="344" t="s">
        <v>290</v>
      </c>
      <c r="F102" s="277"/>
      <c r="G102" s="270"/>
      <c r="H102" s="272">
        <v>-568</v>
      </c>
      <c r="I102" s="277"/>
      <c r="J102" s="282"/>
      <c r="K102" s="272"/>
      <c r="L102" s="272"/>
      <c r="M102" s="272">
        <f t="shared" ref="M102" si="41">K102-H102</f>
        <v>568</v>
      </c>
      <c r="N102" s="280">
        <f t="shared" ref="N102" si="42">IFERROR(ROUND(M102/H102,5), )</f>
        <v>-1</v>
      </c>
      <c r="O102" s="326"/>
    </row>
    <row r="103" spans="2:15" x14ac:dyDescent="0.25">
      <c r="B103" s="290"/>
      <c r="C103" s="291"/>
      <c r="D103" s="364"/>
      <c r="E103" s="583"/>
      <c r="F103" s="277"/>
      <c r="G103" s="279"/>
      <c r="H103" s="285"/>
      <c r="I103" s="277"/>
      <c r="J103" s="279"/>
      <c r="K103" s="285"/>
      <c r="L103" s="272"/>
      <c r="M103" s="272"/>
      <c r="N103" s="280"/>
      <c r="O103" s="326"/>
    </row>
    <row r="104" spans="2:15" x14ac:dyDescent="0.25">
      <c r="B104" s="274" t="s">
        <v>16</v>
      </c>
      <c r="C104" s="276"/>
      <c r="D104" s="294"/>
      <c r="E104" s="583"/>
      <c r="F104" s="277"/>
      <c r="G104" s="279"/>
      <c r="H104" s="272">
        <f>SUM(H99:H103)</f>
        <v>262061.65519999998</v>
      </c>
      <c r="I104" s="277"/>
      <c r="J104" s="279"/>
      <c r="K104" s="272">
        <f>SUM(K99:K103)</f>
        <v>287977.91399999999</v>
      </c>
      <c r="L104" s="272"/>
      <c r="M104" s="304">
        <f>SUM(M99:M103)</f>
        <v>25916.2588</v>
      </c>
      <c r="N104" s="318">
        <f>IFERROR(ROUND(M104/H104,5), )</f>
        <v>9.8890000000000006E-2</v>
      </c>
      <c r="O104" s="326"/>
    </row>
    <row r="105" spans="2:15" x14ac:dyDescent="0.25">
      <c r="B105" s="274"/>
      <c r="C105" s="276"/>
      <c r="D105" s="294"/>
      <c r="E105" s="583"/>
      <c r="F105" s="277"/>
      <c r="G105" s="279"/>
      <c r="H105" s="272"/>
      <c r="I105" s="277"/>
      <c r="J105" s="279"/>
      <c r="K105" s="272"/>
      <c r="L105" s="272"/>
      <c r="M105" s="272"/>
      <c r="N105" s="280"/>
      <c r="O105" s="326"/>
    </row>
    <row r="106" spans="2:15" x14ac:dyDescent="0.25">
      <c r="B106" s="274" t="s">
        <v>166</v>
      </c>
      <c r="C106" s="276"/>
      <c r="D106" s="294"/>
      <c r="E106" s="583"/>
      <c r="F106" s="277"/>
      <c r="G106" s="279"/>
      <c r="H106" s="272">
        <v>262061.65</v>
      </c>
      <c r="I106" s="277"/>
      <c r="J106" s="279"/>
      <c r="K106" s="272"/>
      <c r="L106" s="272"/>
      <c r="M106" s="272"/>
      <c r="N106" s="280"/>
      <c r="O106" s="326"/>
    </row>
    <row r="107" spans="2:15" x14ac:dyDescent="0.25">
      <c r="B107" s="274"/>
      <c r="C107" s="276"/>
      <c r="D107" s="294"/>
      <c r="E107" s="344"/>
      <c r="F107" s="270"/>
      <c r="G107" s="270"/>
      <c r="H107" s="272"/>
      <c r="I107" s="270"/>
      <c r="J107" s="270"/>
      <c r="K107" s="272"/>
      <c r="L107" s="272"/>
      <c r="M107" s="272"/>
      <c r="N107" s="280"/>
      <c r="O107" s="326"/>
    </row>
    <row r="108" spans="2:15" x14ac:dyDescent="0.25">
      <c r="B108" s="274" t="s">
        <v>167</v>
      </c>
      <c r="C108" s="276"/>
      <c r="D108" s="294"/>
      <c r="E108" s="348"/>
      <c r="F108" s="277"/>
      <c r="G108" s="277"/>
      <c r="H108" s="272">
        <f>H104-H106</f>
        <v>5.1999999850522727E-3</v>
      </c>
      <c r="I108" s="277"/>
      <c r="J108" s="270"/>
      <c r="K108" s="272"/>
      <c r="L108" s="272"/>
      <c r="M108" s="272"/>
      <c r="N108" s="273"/>
      <c r="O108" s="326"/>
    </row>
    <row r="109" spans="2:15" x14ac:dyDescent="0.25">
      <c r="B109" s="274" t="s">
        <v>168</v>
      </c>
      <c r="C109" s="276"/>
      <c r="D109" s="294"/>
      <c r="E109" s="344"/>
      <c r="F109" s="270"/>
      <c r="G109" s="270"/>
      <c r="H109" s="306">
        <f>H108/H104</f>
        <v>1.9842658709774773E-8</v>
      </c>
      <c r="I109" s="277"/>
      <c r="J109" s="270"/>
      <c r="K109" s="272"/>
      <c r="L109" s="272"/>
      <c r="M109" s="272"/>
      <c r="N109" s="273"/>
      <c r="O109" s="296"/>
    </row>
    <row r="110" spans="2:15" x14ac:dyDescent="0.25">
      <c r="B110" s="395"/>
      <c r="C110" s="396"/>
      <c r="D110" s="397"/>
      <c r="E110" s="577"/>
      <c r="F110" s="390"/>
      <c r="G110" s="390"/>
      <c r="H110" s="398"/>
      <c r="I110" s="392"/>
      <c r="J110" s="390"/>
      <c r="K110" s="391"/>
      <c r="L110" s="391"/>
      <c r="M110" s="391"/>
      <c r="N110" s="372"/>
      <c r="O110" s="296"/>
    </row>
    <row r="111" spans="2:15" x14ac:dyDescent="0.25">
      <c r="B111" s="262" t="s">
        <v>64</v>
      </c>
      <c r="C111" s="264"/>
      <c r="D111" s="393" t="s">
        <v>63</v>
      </c>
      <c r="E111" s="578"/>
      <c r="F111" s="265"/>
      <c r="G111" s="265"/>
      <c r="H111" s="267"/>
      <c r="I111" s="266"/>
      <c r="J111" s="265"/>
      <c r="K111" s="267"/>
      <c r="L111" s="267"/>
      <c r="M111" s="267"/>
      <c r="N111" s="312"/>
      <c r="O111" s="236"/>
    </row>
    <row r="112" spans="2:15" x14ac:dyDescent="0.25">
      <c r="B112" s="290"/>
      <c r="C112" s="291"/>
      <c r="D112" s="364"/>
      <c r="E112" s="579"/>
      <c r="F112" s="270"/>
      <c r="G112" s="270"/>
      <c r="H112" s="272"/>
      <c r="I112" s="325"/>
      <c r="J112" s="270"/>
      <c r="K112" s="272"/>
      <c r="L112" s="272"/>
      <c r="M112" s="272"/>
      <c r="N112" s="273"/>
    </row>
    <row r="113" spans="2:15" x14ac:dyDescent="0.25">
      <c r="B113" s="301" t="s">
        <v>184</v>
      </c>
      <c r="C113" s="291" t="s">
        <v>63</v>
      </c>
      <c r="D113" s="289" t="str">
        <f>VLOOKUP(C113,Rates!$B$3:$J$136,2,FALSE)</f>
        <v>LCPA_BSC</v>
      </c>
      <c r="E113" s="348" t="s">
        <v>165</v>
      </c>
      <c r="F113" s="277">
        <f>VLOOKUP(C113,Rates!$B:$J,4,FALSE)</f>
        <v>24</v>
      </c>
      <c r="G113" s="418">
        <f>VLOOKUP($D113,Rates!$C$1:$J$136,5,FALSE)</f>
        <v>121.01</v>
      </c>
      <c r="H113" s="272">
        <f>SUM(+F113*G113)</f>
        <v>2904.2400000000002</v>
      </c>
      <c r="I113" s="277"/>
      <c r="J113" s="279">
        <f>$J$162</f>
        <v>181.5</v>
      </c>
      <c r="K113" s="272">
        <f>SUM(+F113*J113)</f>
        <v>4356</v>
      </c>
      <c r="L113" s="272"/>
      <c r="M113" s="272">
        <f>K113-H113</f>
        <v>1451.7599999999998</v>
      </c>
      <c r="N113" s="280">
        <f>IFERROR(ROUND(M113/H113,5), )</f>
        <v>0.49987999999999999</v>
      </c>
      <c r="O113" s="326"/>
    </row>
    <row r="114" spans="2:15" x14ac:dyDescent="0.25">
      <c r="B114" s="281" t="s">
        <v>200</v>
      </c>
      <c r="C114" s="291" t="s">
        <v>237</v>
      </c>
      <c r="D114" s="289" t="str">
        <f>VLOOKUP(C114,Rates!$B$3:$J$136,2,FALSE)</f>
        <v>LCPA_B1</v>
      </c>
      <c r="E114" s="344" t="s">
        <v>162</v>
      </c>
      <c r="F114" s="277">
        <f>VLOOKUP(C114,Rates!$B:$J,5,FALSE)</f>
        <v>3942</v>
      </c>
      <c r="G114" s="278">
        <f>VLOOKUP($D114,Rates!$C$1:$J$136,7,FALSE)</f>
        <v>1.4947999999999999</v>
      </c>
      <c r="H114" s="272">
        <f t="shared" ref="H114:H115" si="43">SUM(+F114*G114)</f>
        <v>5892.5015999999996</v>
      </c>
      <c r="I114" s="277"/>
      <c r="J114" s="282"/>
      <c r="K114" s="272">
        <f t="shared" ref="K114:K115" si="44">SUM(+F114*J114)</f>
        <v>0</v>
      </c>
      <c r="L114" s="272"/>
      <c r="M114" s="272"/>
      <c r="N114" s="280">
        <f t="shared" ref="N114:N115" si="45">IFERROR(ROUND(M114/H114,5), )</f>
        <v>0</v>
      </c>
      <c r="O114" s="326"/>
    </row>
    <row r="115" spans="2:15" x14ac:dyDescent="0.25">
      <c r="B115" s="281" t="s">
        <v>201</v>
      </c>
      <c r="C115" s="291" t="s">
        <v>238</v>
      </c>
      <c r="D115" s="289" t="str">
        <f>VLOOKUP(C115,Rates!$B$3:$J$136,2,FALSE)</f>
        <v>LCPA_B2</v>
      </c>
      <c r="E115" s="344" t="s">
        <v>162</v>
      </c>
      <c r="F115" s="277">
        <f>VLOOKUP(C115,Rates!$B:$J,5,FALSE)</f>
        <v>740</v>
      </c>
      <c r="G115" s="278">
        <f>VLOOKUP($D115,Rates!$C$1:$J$136,7,FALSE)</f>
        <v>1.3812</v>
      </c>
      <c r="H115" s="272">
        <f t="shared" si="43"/>
        <v>1022.088</v>
      </c>
      <c r="I115" s="277"/>
      <c r="J115" s="282"/>
      <c r="K115" s="272">
        <f t="shared" si="44"/>
        <v>0</v>
      </c>
      <c r="L115" s="272"/>
      <c r="M115" s="272"/>
      <c r="N115" s="280">
        <f t="shared" si="45"/>
        <v>0</v>
      </c>
      <c r="O115" s="326"/>
    </row>
    <row r="116" spans="2:15" x14ac:dyDescent="0.25">
      <c r="B116" s="281" t="s">
        <v>115</v>
      </c>
      <c r="C116" s="291" t="s">
        <v>239</v>
      </c>
      <c r="D116" s="289" t="str">
        <f>VLOOKUP(C116,Rates!$B$3:$J$136,2,FALSE)</f>
        <v>LCPA_B3</v>
      </c>
      <c r="E116" s="344" t="s">
        <v>162</v>
      </c>
      <c r="F116" s="284">
        <f>VLOOKUP(C116,Rates!$B:$J,5,FALSE)</f>
        <v>0</v>
      </c>
      <c r="G116" s="278">
        <f>VLOOKUP($D116,Rates!$C$1:$J$136,7,FALSE)</f>
        <v>1.2310989999999999</v>
      </c>
      <c r="H116" s="285">
        <f t="shared" ref="H116" si="46">SUM(+F116*G116)</f>
        <v>0</v>
      </c>
      <c r="I116" s="277"/>
      <c r="J116" s="286"/>
      <c r="K116" s="285">
        <f t="shared" ref="K116:K117" si="47">SUM(+F116*J116)</f>
        <v>0</v>
      </c>
      <c r="L116" s="272"/>
      <c r="M116" s="285"/>
      <c r="N116" s="287">
        <f t="shared" ref="N116:N117" si="48">IFERROR(ROUND(M116/H116,5), )</f>
        <v>0</v>
      </c>
      <c r="O116" s="326"/>
    </row>
    <row r="117" spans="2:15" x14ac:dyDescent="0.25">
      <c r="B117" s="281" t="s">
        <v>298</v>
      </c>
      <c r="C117" s="291"/>
      <c r="D117" s="289" t="s">
        <v>348</v>
      </c>
      <c r="E117" s="344"/>
      <c r="F117" s="277">
        <f>SUM(F114:F116)</f>
        <v>4682</v>
      </c>
      <c r="G117" s="278"/>
      <c r="H117" s="272">
        <f>SUM(H114:H116)</f>
        <v>6914.5895999999993</v>
      </c>
      <c r="I117" s="277"/>
      <c r="J117" s="282">
        <f>$J$163</f>
        <v>1.5465</v>
      </c>
      <c r="K117" s="272">
        <f t="shared" si="47"/>
        <v>7240.7129999999997</v>
      </c>
      <c r="L117" s="272"/>
      <c r="M117" s="272">
        <f>K117-H117</f>
        <v>326.1234000000004</v>
      </c>
      <c r="N117" s="280">
        <f t="shared" si="48"/>
        <v>4.7160000000000001E-2</v>
      </c>
      <c r="O117" s="326"/>
    </row>
    <row r="118" spans="2:15" x14ac:dyDescent="0.25">
      <c r="B118" s="290"/>
      <c r="C118" s="291"/>
      <c r="D118" s="364"/>
      <c r="E118" s="583"/>
      <c r="F118" s="277"/>
      <c r="G118" s="279"/>
      <c r="H118" s="272"/>
      <c r="I118" s="277"/>
      <c r="J118" s="279"/>
      <c r="K118" s="272"/>
      <c r="L118" s="272"/>
      <c r="M118" s="272"/>
      <c r="N118" s="280"/>
      <c r="O118" s="326"/>
    </row>
    <row r="119" spans="2:15" x14ac:dyDescent="0.25">
      <c r="B119" s="269" t="s">
        <v>163</v>
      </c>
      <c r="C119" s="291"/>
      <c r="D119" s="289" t="s">
        <v>148</v>
      </c>
      <c r="E119" s="348" t="s">
        <v>279</v>
      </c>
      <c r="F119" s="277"/>
      <c r="G119" s="278">
        <f>VLOOKUP($D119,Rates!$C$1:$J$136,5,FALSE)</f>
        <v>0</v>
      </c>
      <c r="H119" s="272">
        <f>($F$114+$F$115+$F$116)*G119</f>
        <v>0</v>
      </c>
      <c r="I119" s="277"/>
      <c r="J119" s="279">
        <v>0</v>
      </c>
      <c r="K119" s="272">
        <f>($F$114+$F$115+$F$116)*J119</f>
        <v>0</v>
      </c>
      <c r="L119" s="272"/>
      <c r="M119" s="272">
        <f t="shared" ref="M119" si="49">K119-H119</f>
        <v>0</v>
      </c>
      <c r="N119" s="280">
        <f t="shared" ref="N119" si="50">IFERROR(ROUND(M119/H119,5), )</f>
        <v>0</v>
      </c>
      <c r="O119" s="326"/>
    </row>
    <row r="120" spans="2:15" x14ac:dyDescent="0.25">
      <c r="B120" s="269" t="s">
        <v>147</v>
      </c>
      <c r="C120" s="295"/>
      <c r="D120" s="289" t="s">
        <v>296</v>
      </c>
      <c r="E120" s="344" t="s">
        <v>290</v>
      </c>
      <c r="F120" s="277"/>
      <c r="G120" s="270"/>
      <c r="H120" s="272">
        <v>-26</v>
      </c>
      <c r="I120" s="277"/>
      <c r="J120" s="279">
        <v>0</v>
      </c>
      <c r="K120" s="272">
        <f>($F$114+$F$115+$F$116)*J120</f>
        <v>0</v>
      </c>
      <c r="L120" s="272"/>
      <c r="M120" s="272">
        <f t="shared" ref="M120" si="51">K120-H120</f>
        <v>26</v>
      </c>
      <c r="N120" s="280">
        <f t="shared" ref="N120" si="52">IFERROR(ROUND(M120/H120,5), )</f>
        <v>-1</v>
      </c>
      <c r="O120" s="326"/>
    </row>
    <row r="121" spans="2:15" x14ac:dyDescent="0.25">
      <c r="B121" s="301"/>
      <c r="C121" s="295"/>
      <c r="D121" s="295"/>
      <c r="E121" s="583"/>
      <c r="F121" s="277"/>
      <c r="G121" s="279"/>
      <c r="H121" s="285"/>
      <c r="I121" s="277"/>
      <c r="J121" s="279"/>
      <c r="K121" s="285"/>
      <c r="L121" s="272"/>
      <c r="M121" s="285"/>
      <c r="N121" s="287"/>
      <c r="O121" s="326"/>
    </row>
    <row r="122" spans="2:15" x14ac:dyDescent="0.25">
      <c r="B122" s="274" t="s">
        <v>16</v>
      </c>
      <c r="C122" s="276"/>
      <c r="D122" s="294"/>
      <c r="E122" s="583"/>
      <c r="F122" s="277"/>
      <c r="G122" s="279"/>
      <c r="H122" s="272">
        <f>SUM(H117:H121)+H113</f>
        <v>9792.8295999999991</v>
      </c>
      <c r="I122" s="277"/>
      <c r="J122" s="279"/>
      <c r="K122" s="272">
        <f>SUM(K117:K121)+K113</f>
        <v>11596.713</v>
      </c>
      <c r="L122" s="272"/>
      <c r="M122" s="272">
        <f>SUM(M117:M121)+M113</f>
        <v>1803.8834000000002</v>
      </c>
      <c r="N122" s="280">
        <f>IFERROR(ROUND(M122/H122,5), )</f>
        <v>0.1842</v>
      </c>
      <c r="O122" s="326"/>
    </row>
    <row r="123" spans="2:15" x14ac:dyDescent="0.25">
      <c r="B123" s="274"/>
      <c r="C123" s="276"/>
      <c r="D123" s="294"/>
      <c r="E123" s="583"/>
      <c r="F123" s="277"/>
      <c r="G123" s="279"/>
      <c r="H123" s="272"/>
      <c r="I123" s="277"/>
      <c r="J123" s="279"/>
      <c r="K123" s="272"/>
      <c r="L123" s="272"/>
      <c r="M123" s="272"/>
      <c r="N123" s="280"/>
      <c r="O123" s="326"/>
    </row>
    <row r="124" spans="2:15" x14ac:dyDescent="0.25">
      <c r="B124" s="274" t="s">
        <v>166</v>
      </c>
      <c r="C124" s="276"/>
      <c r="D124" s="294"/>
      <c r="E124" s="583"/>
      <c r="F124" s="277"/>
      <c r="G124" s="279"/>
      <c r="H124" s="272">
        <v>9792.8280000000013</v>
      </c>
      <c r="I124" s="277"/>
      <c r="J124" s="279"/>
      <c r="K124" s="272"/>
      <c r="L124" s="272"/>
      <c r="M124" s="272"/>
      <c r="N124" s="280"/>
      <c r="O124" s="326"/>
    </row>
    <row r="125" spans="2:15" x14ac:dyDescent="0.25">
      <c r="B125" s="274"/>
      <c r="C125" s="276"/>
      <c r="D125" s="294"/>
      <c r="E125" s="344"/>
      <c r="F125" s="270"/>
      <c r="G125" s="270"/>
      <c r="H125" s="272"/>
      <c r="I125" s="270"/>
      <c r="J125" s="270"/>
      <c r="K125" s="272"/>
      <c r="L125" s="272"/>
      <c r="M125" s="272"/>
      <c r="N125" s="280"/>
      <c r="O125" s="326"/>
    </row>
    <row r="126" spans="2:15" x14ac:dyDescent="0.25">
      <c r="B126" s="274" t="s">
        <v>167</v>
      </c>
      <c r="C126" s="276"/>
      <c r="D126" s="294"/>
      <c r="E126" s="348"/>
      <c r="F126" s="277"/>
      <c r="G126" s="277"/>
      <c r="H126" s="272">
        <f>H122-H124</f>
        <v>1.5999999977793777E-3</v>
      </c>
      <c r="I126" s="277"/>
      <c r="J126" s="270"/>
      <c r="K126" s="272"/>
      <c r="L126" s="272"/>
      <c r="M126" s="272"/>
      <c r="N126" s="273"/>
      <c r="O126" s="326"/>
    </row>
    <row r="127" spans="2:15" x14ac:dyDescent="0.25">
      <c r="B127" s="274" t="s">
        <v>168</v>
      </c>
      <c r="C127" s="276"/>
      <c r="D127" s="294"/>
      <c r="E127" s="344"/>
      <c r="F127" s="270"/>
      <c r="G127" s="270"/>
      <c r="H127" s="306">
        <f>H126/H122</f>
        <v>1.6338485025608717E-7</v>
      </c>
      <c r="I127" s="277"/>
      <c r="J127" s="270"/>
      <c r="K127" s="272"/>
      <c r="L127" s="272"/>
      <c r="M127" s="272"/>
      <c r="N127" s="273"/>
      <c r="O127" s="296"/>
    </row>
    <row r="128" spans="2:15" x14ac:dyDescent="0.25">
      <c r="B128" s="395"/>
      <c r="C128" s="396"/>
      <c r="D128" s="397"/>
      <c r="E128" s="577"/>
      <c r="F128" s="390"/>
      <c r="G128" s="390"/>
      <c r="H128" s="398"/>
      <c r="I128" s="392"/>
      <c r="J128" s="390"/>
      <c r="K128" s="391"/>
      <c r="L128" s="391"/>
      <c r="M128" s="391"/>
      <c r="N128" s="372"/>
      <c r="O128" s="296"/>
    </row>
    <row r="129" spans="2:15" x14ac:dyDescent="0.25">
      <c r="B129" s="262" t="s">
        <v>97</v>
      </c>
      <c r="C129" s="264"/>
      <c r="D129" s="393" t="s">
        <v>96</v>
      </c>
      <c r="E129" s="578"/>
      <c r="F129" s="265"/>
      <c r="G129" s="265"/>
      <c r="H129" s="267"/>
      <c r="I129" s="266"/>
      <c r="J129" s="265"/>
      <c r="K129" s="267"/>
      <c r="L129" s="267"/>
      <c r="M129" s="267"/>
      <c r="N129" s="312"/>
      <c r="O129" s="236"/>
    </row>
    <row r="130" spans="2:15" x14ac:dyDescent="0.25">
      <c r="B130" s="290"/>
      <c r="C130" s="291"/>
      <c r="D130" s="364"/>
      <c r="E130" s="579"/>
      <c r="F130" s="270"/>
      <c r="G130" s="270"/>
      <c r="H130" s="272"/>
      <c r="I130" s="325"/>
      <c r="J130" s="270"/>
      <c r="K130" s="272"/>
      <c r="L130" s="272"/>
      <c r="M130" s="272"/>
      <c r="N130" s="273"/>
    </row>
    <row r="131" spans="2:15" x14ac:dyDescent="0.25">
      <c r="B131" s="301" t="s">
        <v>184</v>
      </c>
      <c r="C131" s="291" t="s">
        <v>96</v>
      </c>
      <c r="D131" s="289" t="str">
        <f>VLOOKUP(C131,Rates!$B$3:$J$136,2,FALSE)</f>
        <v>LCPA_BSC</v>
      </c>
      <c r="E131" s="348" t="s">
        <v>165</v>
      </c>
      <c r="F131" s="277">
        <f>VLOOKUP(C131,Rates!$B:$J,4,FALSE)</f>
        <v>3389</v>
      </c>
      <c r="G131" s="418">
        <f>VLOOKUP($D131,Rates!$C$1:$J$136,5,FALSE)</f>
        <v>121.01</v>
      </c>
      <c r="H131" s="272">
        <f>SUM(+F131*G131)</f>
        <v>410102.89</v>
      </c>
      <c r="I131" s="277"/>
      <c r="J131" s="279">
        <f>$J$162</f>
        <v>181.5</v>
      </c>
      <c r="K131" s="272">
        <f>SUM(+F131*J131)</f>
        <v>615103.5</v>
      </c>
      <c r="L131" s="272"/>
      <c r="M131" s="272">
        <f>K131-H131</f>
        <v>205000.61</v>
      </c>
      <c r="N131" s="280">
        <f>IFERROR(ROUND(M131/H131,5), )</f>
        <v>0.49987999999999999</v>
      </c>
      <c r="O131" s="326"/>
    </row>
    <row r="132" spans="2:15" x14ac:dyDescent="0.25">
      <c r="B132" s="281" t="s">
        <v>170</v>
      </c>
      <c r="C132" s="291" t="s">
        <v>232</v>
      </c>
      <c r="D132" s="289" t="str">
        <f>VLOOKUP(C132,Rates!$B$3:$J$136,2,FALSE)</f>
        <v>LCPA_TRANS_MMT</v>
      </c>
      <c r="E132" s="344" t="s">
        <v>162</v>
      </c>
      <c r="F132" s="277">
        <f>VLOOKUP(C132,Rates!$B:$J,5,FALSE)</f>
        <v>1942245</v>
      </c>
      <c r="G132" s="278">
        <f>VLOOKUP($D132,Rates!$C$1:$J$136,7,FALSE)</f>
        <v>1.4361999999999999</v>
      </c>
      <c r="H132" s="272">
        <f t="shared" ref="H132" si="53">SUM(+F132*G132)</f>
        <v>2789452.2689999999</v>
      </c>
      <c r="I132" s="277"/>
      <c r="J132" s="282">
        <f>$J$163</f>
        <v>1.5465</v>
      </c>
      <c r="K132" s="272">
        <f t="shared" ref="K132" si="54">SUM(+F132*J132)</f>
        <v>3003681.8925000001</v>
      </c>
      <c r="L132" s="272"/>
      <c r="M132" s="272">
        <f t="shared" ref="M132" si="55">K132-H132</f>
        <v>214229.62350000022</v>
      </c>
      <c r="N132" s="280">
        <f t="shared" ref="N132" si="56">IFERROR(ROUND(M132/H132,5), )</f>
        <v>7.6799999999999993E-2</v>
      </c>
      <c r="O132" s="326"/>
    </row>
    <row r="133" spans="2:15" x14ac:dyDescent="0.25">
      <c r="B133" s="281"/>
      <c r="C133" s="291"/>
      <c r="D133" s="289"/>
      <c r="E133" s="344"/>
      <c r="F133" s="277"/>
      <c r="G133" s="278"/>
      <c r="H133" s="272"/>
      <c r="I133" s="277"/>
      <c r="J133" s="282"/>
      <c r="K133" s="272"/>
      <c r="L133" s="272"/>
      <c r="M133" s="272"/>
      <c r="N133" s="280"/>
      <c r="O133" s="326"/>
    </row>
    <row r="134" spans="2:15" x14ac:dyDescent="0.25">
      <c r="B134" s="269" t="s">
        <v>147</v>
      </c>
      <c r="C134" s="295"/>
      <c r="D134" s="289" t="s">
        <v>296</v>
      </c>
      <c r="E134" s="344" t="s">
        <v>290</v>
      </c>
      <c r="F134" s="277"/>
      <c r="G134" s="270"/>
      <c r="H134" s="272">
        <v>-8897</v>
      </c>
      <c r="I134" s="277"/>
      <c r="J134" s="282"/>
      <c r="K134" s="272"/>
      <c r="L134" s="272"/>
      <c r="M134" s="272">
        <f t="shared" ref="M134" si="57">K134-H134</f>
        <v>8897</v>
      </c>
      <c r="N134" s="280">
        <f t="shared" ref="N134" si="58">IFERROR(ROUND(M134/H134,5), )</f>
        <v>-1</v>
      </c>
      <c r="O134" s="326"/>
    </row>
    <row r="135" spans="2:15" x14ac:dyDescent="0.25">
      <c r="B135" s="290"/>
      <c r="C135" s="291"/>
      <c r="D135" s="364"/>
      <c r="E135" s="583"/>
      <c r="F135" s="277"/>
      <c r="G135" s="279"/>
      <c r="H135" s="285"/>
      <c r="I135" s="277"/>
      <c r="J135" s="279"/>
      <c r="K135" s="272"/>
      <c r="L135" s="272"/>
      <c r="M135" s="272"/>
      <c r="N135" s="280"/>
      <c r="O135" s="326"/>
    </row>
    <row r="136" spans="2:15" x14ac:dyDescent="0.25">
      <c r="B136" s="274" t="s">
        <v>16</v>
      </c>
      <c r="C136" s="276"/>
      <c r="D136" s="294"/>
      <c r="E136" s="583"/>
      <c r="F136" s="277"/>
      <c r="G136" s="279"/>
      <c r="H136" s="272">
        <f>SUM(H131:H135)</f>
        <v>3190658.159</v>
      </c>
      <c r="I136" s="277"/>
      <c r="J136" s="279"/>
      <c r="K136" s="304">
        <f>SUM(K131:K135)</f>
        <v>3618785.3925000001</v>
      </c>
      <c r="L136" s="272"/>
      <c r="M136" s="304">
        <f>SUM(M131:M135)</f>
        <v>428127.23350000021</v>
      </c>
      <c r="N136" s="318">
        <f>IFERROR(ROUND(M136/H136,5), )</f>
        <v>0.13417999999999999</v>
      </c>
      <c r="O136" s="326"/>
    </row>
    <row r="137" spans="2:15" x14ac:dyDescent="0.25">
      <c r="B137" s="274"/>
      <c r="C137" s="276"/>
      <c r="D137" s="294"/>
      <c r="E137" s="583"/>
      <c r="F137" s="277"/>
      <c r="G137" s="279"/>
      <c r="H137" s="272"/>
      <c r="I137" s="277"/>
      <c r="J137" s="279"/>
      <c r="K137" s="272"/>
      <c r="L137" s="272"/>
      <c r="M137" s="272"/>
      <c r="N137" s="280"/>
      <c r="O137" s="326"/>
    </row>
    <row r="138" spans="2:15" x14ac:dyDescent="0.25">
      <c r="B138" s="274" t="s">
        <v>166</v>
      </c>
      <c r="C138" s="276"/>
      <c r="D138" s="294"/>
      <c r="E138" s="583"/>
      <c r="F138" s="277"/>
      <c r="G138" s="279"/>
      <c r="H138" s="272">
        <v>3190658.1500000004</v>
      </c>
      <c r="I138" s="277"/>
      <c r="J138" s="279"/>
      <c r="K138" s="272"/>
      <c r="L138" s="272"/>
      <c r="M138" s="272"/>
      <c r="N138" s="280"/>
      <c r="O138" s="326"/>
    </row>
    <row r="139" spans="2:15" x14ac:dyDescent="0.25">
      <c r="B139" s="274"/>
      <c r="C139" s="276"/>
      <c r="D139" s="294"/>
      <c r="E139" s="344"/>
      <c r="F139" s="270"/>
      <c r="G139" s="270"/>
      <c r="H139" s="272"/>
      <c r="I139" s="270"/>
      <c r="J139" s="270"/>
      <c r="K139" s="272"/>
      <c r="L139" s="272"/>
      <c r="M139" s="272"/>
      <c r="N139" s="280"/>
      <c r="O139" s="326"/>
    </row>
    <row r="140" spans="2:15" x14ac:dyDescent="0.25">
      <c r="B140" s="274" t="s">
        <v>167</v>
      </c>
      <c r="C140" s="276"/>
      <c r="D140" s="294"/>
      <c r="E140" s="348"/>
      <c r="F140" s="277"/>
      <c r="G140" s="277"/>
      <c r="H140" s="272">
        <f>H136-H138</f>
        <v>8.999999612569809E-3</v>
      </c>
      <c r="I140" s="277"/>
      <c r="J140" s="270"/>
      <c r="K140" s="272"/>
      <c r="L140" s="272"/>
      <c r="M140" s="272"/>
      <c r="N140" s="273"/>
      <c r="O140" s="326"/>
    </row>
    <row r="141" spans="2:15" x14ac:dyDescent="0.25">
      <c r="B141" s="274" t="s">
        <v>168</v>
      </c>
      <c r="C141" s="276"/>
      <c r="D141" s="294"/>
      <c r="E141" s="344"/>
      <c r="F141" s="270"/>
      <c r="G141" s="270"/>
      <c r="H141" s="306">
        <f>H140/H136</f>
        <v>2.8207345206139363E-9</v>
      </c>
      <c r="I141" s="277"/>
      <c r="J141" s="270"/>
      <c r="K141" s="272"/>
      <c r="L141" s="272"/>
      <c r="M141" s="272"/>
      <c r="N141" s="273"/>
      <c r="O141" s="296"/>
    </row>
    <row r="142" spans="2:15" x14ac:dyDescent="0.25">
      <c r="B142" s="395"/>
      <c r="C142" s="396"/>
      <c r="D142" s="397"/>
      <c r="E142" s="577"/>
      <c r="F142" s="390"/>
      <c r="G142" s="390"/>
      <c r="H142" s="398"/>
      <c r="I142" s="392"/>
      <c r="J142" s="390"/>
      <c r="K142" s="391"/>
      <c r="L142" s="391"/>
      <c r="M142" s="391"/>
      <c r="N142" s="372"/>
      <c r="O142" s="296"/>
    </row>
    <row r="143" spans="2:15" x14ac:dyDescent="0.25">
      <c r="B143" s="236"/>
      <c r="C143" s="236"/>
      <c r="D143" s="399"/>
      <c r="N143" s="379"/>
      <c r="O143" s="296"/>
    </row>
    <row r="144" spans="2:15" x14ac:dyDescent="0.25">
      <c r="B144" s="333" t="s">
        <v>300</v>
      </c>
      <c r="C144" s="334"/>
      <c r="D144" s="356"/>
      <c r="E144" s="580"/>
      <c r="F144" s="335" t="s">
        <v>162</v>
      </c>
      <c r="G144" s="258"/>
      <c r="H144" s="336" t="s">
        <v>3</v>
      </c>
      <c r="I144" s="259"/>
      <c r="J144" s="258"/>
      <c r="K144" s="337" t="s">
        <v>4</v>
      </c>
      <c r="L144" s="260"/>
      <c r="M144" s="337" t="s">
        <v>18</v>
      </c>
      <c r="N144" s="314"/>
      <c r="O144" s="316"/>
    </row>
    <row r="145" spans="2:14" x14ac:dyDescent="0.25">
      <c r="B145" s="338" t="s">
        <v>16</v>
      </c>
      <c r="C145" s="270"/>
      <c r="D145" s="295"/>
      <c r="E145" s="579"/>
      <c r="F145" s="339">
        <f>SUMIF(E12:E142,F144,F12:F142)</f>
        <v>6697503.0999999996</v>
      </c>
      <c r="G145" s="270"/>
      <c r="H145" s="272">
        <f>H23+H37+H52+H70+H90+H104+H122+H136</f>
        <v>11922568.367137002</v>
      </c>
      <c r="I145" s="277"/>
      <c r="J145" s="270"/>
      <c r="K145" s="272">
        <f>K23+K37+K52+K70+K90+K104+K122+K136</f>
        <v>13847265.356290001</v>
      </c>
      <c r="L145" s="272"/>
      <c r="M145" s="272">
        <f>K145-H145</f>
        <v>1924696.9891529996</v>
      </c>
      <c r="N145" s="280">
        <f>M145/H145</f>
        <v>0.16143308470833975</v>
      </c>
    </row>
    <row r="146" spans="2:14" x14ac:dyDescent="0.25">
      <c r="B146" s="290"/>
      <c r="C146" s="291"/>
      <c r="D146" s="364"/>
      <c r="E146" s="579"/>
      <c r="F146" s="270"/>
      <c r="G146" s="270"/>
      <c r="H146" s="291"/>
      <c r="I146" s="277"/>
      <c r="J146" s="270"/>
      <c r="K146" s="279"/>
      <c r="L146" s="279"/>
      <c r="M146" s="270"/>
      <c r="N146" s="340"/>
    </row>
    <row r="147" spans="2:14" x14ac:dyDescent="0.25">
      <c r="B147" s="290"/>
      <c r="C147" s="291"/>
      <c r="D147" s="364"/>
      <c r="E147" s="579"/>
      <c r="F147" s="270"/>
      <c r="G147" s="270"/>
      <c r="H147" s="341" t="s">
        <v>3</v>
      </c>
      <c r="I147" s="342"/>
      <c r="J147" s="341"/>
      <c r="K147" s="343" t="s">
        <v>4</v>
      </c>
      <c r="L147" s="343"/>
      <c r="M147" s="343" t="s">
        <v>18</v>
      </c>
      <c r="N147" s="273"/>
    </row>
    <row r="148" spans="2:14" x14ac:dyDescent="0.25">
      <c r="B148" s="290"/>
      <c r="C148" s="291"/>
      <c r="D148" s="364"/>
      <c r="E148" s="344" t="s">
        <v>165</v>
      </c>
      <c r="F148" s="345"/>
      <c r="G148" s="270"/>
      <c r="H148" s="339">
        <f t="shared" ref="H148:H153" si="59">SUMIF($E$12:$E$142,E148,$H$12:$H$142)</f>
        <v>2243525.4000000004</v>
      </c>
      <c r="I148" s="277"/>
      <c r="J148" s="270"/>
      <c r="K148" s="346">
        <f>SUMIF($E$12:$E$142,E148,$K$12:$K$142)</f>
        <v>3365010</v>
      </c>
      <c r="L148" s="279"/>
      <c r="M148" s="272">
        <f>K148-H148</f>
        <v>1121484.5999999996</v>
      </c>
      <c r="N148" s="280">
        <f>IFERROR(ROUND(M148/H148,5), )</f>
        <v>0.49987999999999999</v>
      </c>
    </row>
    <row r="149" spans="2:14" x14ac:dyDescent="0.25">
      <c r="B149" s="290"/>
      <c r="C149" s="291"/>
      <c r="D149" s="364"/>
      <c r="E149" s="344" t="s">
        <v>162</v>
      </c>
      <c r="F149" s="270"/>
      <c r="G149" s="270"/>
      <c r="H149" s="339">
        <f t="shared" si="59"/>
        <v>9630083.6182493009</v>
      </c>
      <c r="I149" s="277"/>
      <c r="J149" s="270"/>
      <c r="K149" s="347">
        <f>K16+K33+K47+K65+K83+K100+K117+K132</f>
        <v>10357688.544150002</v>
      </c>
      <c r="L149" s="279"/>
      <c r="M149" s="272">
        <f t="shared" ref="M149:M150" si="60">K149-H149</f>
        <v>727604.92590070143</v>
      </c>
      <c r="N149" s="280">
        <f t="shared" ref="N149:N150" si="61">IFERROR(ROUND(M149/H149,5), )</f>
        <v>7.5560000000000002E-2</v>
      </c>
    </row>
    <row r="150" spans="2:14" x14ac:dyDescent="0.25">
      <c r="B150" s="290"/>
      <c r="C150" s="291"/>
      <c r="D150" s="364"/>
      <c r="E150" s="348" t="s">
        <v>279</v>
      </c>
      <c r="F150" s="270"/>
      <c r="G150" s="270"/>
      <c r="H150" s="339">
        <f t="shared" si="59"/>
        <v>0</v>
      </c>
      <c r="I150" s="277"/>
      <c r="J150" s="270"/>
      <c r="K150" s="346">
        <f>SUMIF($E$12:$E$142,E150,$K$12:$K$142)</f>
        <v>0</v>
      </c>
      <c r="L150" s="279"/>
      <c r="M150" s="272">
        <f t="shared" si="60"/>
        <v>0</v>
      </c>
      <c r="N150" s="280">
        <f t="shared" si="61"/>
        <v>0</v>
      </c>
    </row>
    <row r="151" spans="2:14" x14ac:dyDescent="0.25">
      <c r="B151" s="290"/>
      <c r="C151" s="291"/>
      <c r="D151" s="364"/>
      <c r="E151" s="344" t="s">
        <v>287</v>
      </c>
      <c r="F151" s="270"/>
      <c r="G151" s="270"/>
      <c r="H151" s="339">
        <f t="shared" si="59"/>
        <v>15603.673387699997</v>
      </c>
      <c r="I151" s="277"/>
      <c r="J151" s="270"/>
      <c r="K151" s="339">
        <f>SUMIF($E$12:$E$142,E151,$K$12:$K$142)</f>
        <v>34775.552949999998</v>
      </c>
      <c r="L151" s="279"/>
      <c r="M151" s="272">
        <f t="shared" ref="M151:M153" si="62">K151-H151</f>
        <v>19171.879562300001</v>
      </c>
      <c r="N151" s="280">
        <f t="shared" ref="N151:N154" si="63">IFERROR(ROUND(M151/H151,5), )</f>
        <v>1.22868</v>
      </c>
    </row>
    <row r="152" spans="2:14" x14ac:dyDescent="0.25">
      <c r="B152" s="290"/>
      <c r="C152" s="291"/>
      <c r="D152" s="364"/>
      <c r="E152" s="344" t="s">
        <v>288</v>
      </c>
      <c r="F152" s="270"/>
      <c r="G152" s="270"/>
      <c r="H152" s="339">
        <f t="shared" si="59"/>
        <v>82054.675499999983</v>
      </c>
      <c r="I152" s="277"/>
      <c r="J152" s="270"/>
      <c r="K152" s="339">
        <f>SUMIF($E$12:$E$142,E152,$K$12:$K$142)</f>
        <v>89791.259189999997</v>
      </c>
      <c r="L152" s="279"/>
      <c r="M152" s="272">
        <f t="shared" si="62"/>
        <v>7736.583690000014</v>
      </c>
      <c r="N152" s="280">
        <f t="shared" si="63"/>
        <v>9.4289999999999999E-2</v>
      </c>
    </row>
    <row r="153" spans="2:14" x14ac:dyDescent="0.25">
      <c r="B153" s="290"/>
      <c r="C153" s="291"/>
      <c r="D153" s="364"/>
      <c r="E153" s="344" t="s">
        <v>290</v>
      </c>
      <c r="F153" s="270"/>
      <c r="G153" s="270"/>
      <c r="H153" s="367">
        <f t="shared" si="59"/>
        <v>-48699</v>
      </c>
      <c r="I153" s="284"/>
      <c r="J153" s="350"/>
      <c r="K153" s="367">
        <f>SUMIF($E$12:$E$142,E153,$K$12:$K$142)</f>
        <v>0</v>
      </c>
      <c r="L153" s="351"/>
      <c r="M153" s="285">
        <f t="shared" si="62"/>
        <v>48699</v>
      </c>
      <c r="N153" s="287">
        <f t="shared" si="63"/>
        <v>-1</v>
      </c>
    </row>
    <row r="154" spans="2:14" x14ac:dyDescent="0.25">
      <c r="B154" s="290"/>
      <c r="C154" s="291"/>
      <c r="D154" s="364"/>
      <c r="E154" s="579"/>
      <c r="F154" s="270"/>
      <c r="G154" s="270"/>
      <c r="H154" s="352">
        <f>SUM(H148:H153)</f>
        <v>11922568.367137002</v>
      </c>
      <c r="I154" s="277"/>
      <c r="J154" s="270"/>
      <c r="K154" s="352">
        <f>SUM(K148:K153)</f>
        <v>13847265.356290003</v>
      </c>
      <c r="L154" s="279"/>
      <c r="M154" s="352">
        <f>SUM(M148:M153)</f>
        <v>1924696.989153001</v>
      </c>
      <c r="N154" s="287">
        <f t="shared" si="63"/>
        <v>0.16142999999999999</v>
      </c>
    </row>
    <row r="155" spans="2:14" x14ac:dyDescent="0.25">
      <c r="B155" s="290"/>
      <c r="C155" s="291"/>
      <c r="D155" s="364"/>
      <c r="E155" s="579"/>
      <c r="F155" s="270"/>
      <c r="G155" s="270"/>
      <c r="H155" s="291"/>
      <c r="I155" s="277"/>
      <c r="J155" s="270"/>
      <c r="K155" s="279"/>
      <c r="L155" s="279"/>
      <c r="M155" s="270"/>
      <c r="N155" s="340"/>
    </row>
    <row r="156" spans="2:14" x14ac:dyDescent="0.25">
      <c r="B156" s="290"/>
      <c r="C156" s="291"/>
      <c r="D156" s="364"/>
      <c r="E156" s="579"/>
      <c r="F156" s="270"/>
      <c r="G156" s="270"/>
      <c r="H156" s="353">
        <v>11922568.058000002</v>
      </c>
      <c r="I156" s="277"/>
      <c r="J156" s="270"/>
      <c r="K156" s="272">
        <v>13847292.426672395</v>
      </c>
      <c r="L156" s="279"/>
      <c r="M156" s="270"/>
      <c r="N156" s="340"/>
    </row>
    <row r="157" spans="2:14" x14ac:dyDescent="0.25">
      <c r="B157" s="290"/>
      <c r="C157" s="291"/>
      <c r="D157" s="364"/>
      <c r="E157" s="579"/>
      <c r="F157" s="270"/>
      <c r="G157" s="270"/>
      <c r="H157" s="291"/>
      <c r="I157" s="277"/>
      <c r="J157" s="270"/>
      <c r="K157" s="279"/>
      <c r="L157" s="279"/>
      <c r="M157" s="270"/>
      <c r="N157" s="340"/>
    </row>
    <row r="158" spans="2:14" x14ac:dyDescent="0.25">
      <c r="B158" s="274" t="s">
        <v>167</v>
      </c>
      <c r="C158" s="291"/>
      <c r="D158" s="364"/>
      <c r="E158" s="579"/>
      <c r="F158" s="270"/>
      <c r="G158" s="270"/>
      <c r="H158" s="272">
        <f>(H154+H157)-H156</f>
        <v>0.30913699977099895</v>
      </c>
      <c r="I158" s="277"/>
      <c r="J158" s="270"/>
      <c r="K158" s="272">
        <f>(K154+K157)-K156</f>
        <v>-27.070382392033935</v>
      </c>
      <c r="L158" s="279"/>
      <c r="M158" s="270"/>
      <c r="N158" s="340"/>
    </row>
    <row r="159" spans="2:14" x14ac:dyDescent="0.25">
      <c r="B159" s="274" t="s">
        <v>168</v>
      </c>
      <c r="C159" s="291"/>
      <c r="D159" s="364"/>
      <c r="E159" s="579"/>
      <c r="F159" s="270"/>
      <c r="G159" s="270"/>
      <c r="H159" s="306">
        <f>H158/H154</f>
        <v>2.5928725275595366E-8</v>
      </c>
      <c r="I159" s="277"/>
      <c r="J159" s="270"/>
      <c r="K159" s="306">
        <f>K158/K154</f>
        <v>-1.9549262396230056E-6</v>
      </c>
      <c r="L159" s="279"/>
      <c r="M159" s="270"/>
      <c r="N159" s="340"/>
    </row>
    <row r="160" spans="2:14" x14ac:dyDescent="0.25">
      <c r="B160" s="290"/>
      <c r="C160" s="291"/>
      <c r="D160" s="364"/>
      <c r="E160" s="579"/>
      <c r="F160" s="270"/>
      <c r="G160" s="270"/>
      <c r="H160" s="291"/>
      <c r="I160" s="277"/>
      <c r="J160" s="270"/>
      <c r="K160" s="279"/>
      <c r="L160" s="279"/>
      <c r="M160" s="270"/>
      <c r="N160" s="340"/>
    </row>
    <row r="161" spans="2:17" ht="15.75" thickBot="1" x14ac:dyDescent="0.3">
      <c r="B161" s="400" t="s">
        <v>297</v>
      </c>
      <c r="C161" s="334"/>
      <c r="D161" s="356"/>
      <c r="E161" s="580"/>
      <c r="F161" s="357"/>
      <c r="G161" s="686" t="s">
        <v>3</v>
      </c>
      <c r="H161" s="686"/>
      <c r="I161" s="259"/>
      <c r="J161" s="687" t="s">
        <v>4</v>
      </c>
      <c r="K161" s="688"/>
      <c r="L161" s="358"/>
      <c r="M161" s="358" t="s">
        <v>18</v>
      </c>
      <c r="N161" s="314"/>
    </row>
    <row r="162" spans="2:17" ht="15.75" thickBot="1" x14ac:dyDescent="0.3">
      <c r="B162" s="401">
        <v>13847292.426672395</v>
      </c>
      <c r="C162" s="270"/>
      <c r="D162" s="295"/>
      <c r="E162" s="344" t="s">
        <v>165</v>
      </c>
      <c r="F162" s="345">
        <f>SUMIF($E$12:$E$142,E162,$F$12:$F$142)</f>
        <v>18540</v>
      </c>
      <c r="G162" s="406">
        <f>G12</f>
        <v>121.01</v>
      </c>
      <c r="H162" s="339">
        <f t="shared" ref="H162:H168" si="64">SUMIF($E$12:$E$142,E162,$H$12:$H$142)</f>
        <v>2243525.4000000004</v>
      </c>
      <c r="I162" s="277"/>
      <c r="J162" s="604">
        <f>ROUND(G162*1.5,1)</f>
        <v>181.5</v>
      </c>
      <c r="K162" s="339">
        <f>J162*F162</f>
        <v>3365010</v>
      </c>
      <c r="L162" s="279"/>
      <c r="M162" s="272">
        <f>K162-H162</f>
        <v>1121484.5999999996</v>
      </c>
      <c r="N162" s="280">
        <f t="shared" ref="N162:N166" si="65">IFERROR(ROUND(M162/H162,5), )</f>
        <v>0.49987999999999999</v>
      </c>
      <c r="P162" s="288"/>
    </row>
    <row r="163" spans="2:17" x14ac:dyDescent="0.25">
      <c r="B163" s="402"/>
      <c r="C163" s="291"/>
      <c r="D163" s="364"/>
      <c r="E163" s="344" t="s">
        <v>162</v>
      </c>
      <c r="F163" s="345">
        <f>SUMIF($E$12:$E$142,E163,$F$12:$F$142)</f>
        <v>6697503.0999999996</v>
      </c>
      <c r="G163" s="346"/>
      <c r="H163" s="339">
        <f t="shared" si="64"/>
        <v>9630083.6182493009</v>
      </c>
      <c r="I163" s="277"/>
      <c r="J163" s="278">
        <f>ROUND(K163/F163,4)</f>
        <v>1.5465</v>
      </c>
      <c r="K163" s="339">
        <f>B162-SUM(K162,K166,K167)</f>
        <v>10357715.614532396</v>
      </c>
      <c r="L163" s="279"/>
      <c r="M163" s="272">
        <f t="shared" ref="M163:M168" si="66">K163-H163</f>
        <v>727631.99628309533</v>
      </c>
      <c r="N163" s="280">
        <f t="shared" si="65"/>
        <v>7.5560000000000002E-2</v>
      </c>
    </row>
    <row r="164" spans="2:17" x14ac:dyDescent="0.25">
      <c r="B164" s="403" t="s">
        <v>15</v>
      </c>
      <c r="C164" s="291"/>
      <c r="D164" s="364"/>
      <c r="E164" s="348" t="s">
        <v>279</v>
      </c>
      <c r="F164" s="345"/>
      <c r="G164" s="270"/>
      <c r="H164" s="339">
        <f t="shared" si="64"/>
        <v>0</v>
      </c>
      <c r="I164" s="277"/>
      <c r="J164" s="278"/>
      <c r="K164" s="339">
        <f>SUMIF($E$12:$E$76,E164,$K$12:$K$76)</f>
        <v>0</v>
      </c>
      <c r="L164" s="279"/>
      <c r="M164" s="272">
        <f t="shared" si="66"/>
        <v>0</v>
      </c>
      <c r="N164" s="280">
        <f t="shared" si="65"/>
        <v>0</v>
      </c>
    </row>
    <row r="165" spans="2:17" ht="15.75" thickBot="1" x14ac:dyDescent="0.3">
      <c r="B165" s="403">
        <f>K145-B162</f>
        <v>-27.07038239389658</v>
      </c>
      <c r="C165" s="291"/>
      <c r="D165" s="364"/>
      <c r="E165" s="344" t="s">
        <v>280</v>
      </c>
      <c r="F165" s="345"/>
      <c r="G165" s="270"/>
      <c r="H165" s="339">
        <f t="shared" si="64"/>
        <v>0</v>
      </c>
      <c r="I165" s="277"/>
      <c r="J165" s="278"/>
      <c r="K165" s="339">
        <f>SUMIF($E$12:$E$76,E165,$K$12:$K$76)</f>
        <v>0</v>
      </c>
      <c r="L165" s="279"/>
      <c r="M165" s="272">
        <f t="shared" si="66"/>
        <v>0</v>
      </c>
      <c r="N165" s="280">
        <f t="shared" si="65"/>
        <v>0</v>
      </c>
    </row>
    <row r="166" spans="2:17" ht="15.75" thickBot="1" x14ac:dyDescent="0.3">
      <c r="B166" s="290"/>
      <c r="C166" s="291"/>
      <c r="D166" s="289" t="s">
        <v>289</v>
      </c>
      <c r="E166" s="344" t="s">
        <v>287</v>
      </c>
      <c r="F166" s="345">
        <f>F13+F14+F15+F80+F81+F82</f>
        <v>781473.09999999986</v>
      </c>
      <c r="G166" s="270"/>
      <c r="H166" s="339">
        <f t="shared" si="64"/>
        <v>15603.673387699997</v>
      </c>
      <c r="I166" s="277"/>
      <c r="J166" s="361">
        <f>VLOOKUP($D166,Rates!$C$1:$J$136,8,FALSE)</f>
        <v>4.4499999999999998E-2</v>
      </c>
      <c r="K166" s="339">
        <f>J166*F166</f>
        <v>34775.55294999999</v>
      </c>
      <c r="L166" s="279"/>
      <c r="M166" s="272">
        <f t="shared" si="66"/>
        <v>19171.879562299993</v>
      </c>
      <c r="N166" s="280">
        <f t="shared" si="65"/>
        <v>1.22868</v>
      </c>
    </row>
    <row r="167" spans="2:17" ht="15.75" thickBot="1" x14ac:dyDescent="0.3">
      <c r="B167" s="290"/>
      <c r="C167" s="291"/>
      <c r="D167" s="289" t="s">
        <v>286</v>
      </c>
      <c r="E167" s="344" t="s">
        <v>288</v>
      </c>
      <c r="F167" s="345">
        <f>F166</f>
        <v>781473.09999999986</v>
      </c>
      <c r="G167" s="270"/>
      <c r="H167" s="339">
        <f t="shared" si="64"/>
        <v>82054.675499999983</v>
      </c>
      <c r="I167" s="277"/>
      <c r="J167" s="361">
        <f>VLOOKUP($D167,Rates!$C$1:$J$136,8,FALSE)</f>
        <v>0.1149</v>
      </c>
      <c r="K167" s="339">
        <f>J167*F167</f>
        <v>89791.259189999982</v>
      </c>
      <c r="L167" s="279"/>
      <c r="M167" s="272">
        <f t="shared" si="66"/>
        <v>7736.5836899999995</v>
      </c>
      <c r="N167" s="280">
        <f>IFERROR(ROUND(M167/H167,5), )</f>
        <v>9.4289999999999999E-2</v>
      </c>
    </row>
    <row r="168" spans="2:17" x14ac:dyDescent="0.25">
      <c r="B168" s="290"/>
      <c r="C168" s="291"/>
      <c r="D168" s="364"/>
      <c r="E168" s="344" t="s">
        <v>290</v>
      </c>
      <c r="F168" s="345"/>
      <c r="G168" s="270"/>
      <c r="H168" s="367">
        <f t="shared" si="64"/>
        <v>-48699</v>
      </c>
      <c r="I168" s="277"/>
      <c r="J168" s="278"/>
      <c r="K168" s="367">
        <f>SUMIF($E$12:$E$76,E168,$K$12:$K$76)</f>
        <v>0</v>
      </c>
      <c r="L168" s="279"/>
      <c r="M168" s="285">
        <f t="shared" si="66"/>
        <v>48699</v>
      </c>
      <c r="N168" s="280">
        <f>IFERROR(ROUND(M168/H168,5), )</f>
        <v>-1</v>
      </c>
    </row>
    <row r="169" spans="2:17" x14ac:dyDescent="0.25">
      <c r="B169" s="269"/>
      <c r="C169" s="270"/>
      <c r="D169" s="295"/>
      <c r="E169" s="579"/>
      <c r="F169" s="270"/>
      <c r="G169" s="270"/>
      <c r="H169" s="368">
        <f>SUM(H162:H168)</f>
        <v>11922568.367137002</v>
      </c>
      <c r="I169" s="277"/>
      <c r="J169" s="278"/>
      <c r="K169" s="368">
        <f>SUM(K162:K168)</f>
        <v>13847292.426672397</v>
      </c>
      <c r="L169" s="279"/>
      <c r="M169" s="368">
        <f>SUM(M162:M168)</f>
        <v>1924724.0595353949</v>
      </c>
      <c r="N169" s="280">
        <f>IFERROR(ROUND(M169/H169,5), )</f>
        <v>0.16144</v>
      </c>
    </row>
    <row r="170" spans="2:17" x14ac:dyDescent="0.25">
      <c r="B170" s="307"/>
      <c r="C170" s="350"/>
      <c r="D170" s="369"/>
      <c r="E170" s="582"/>
      <c r="F170" s="350"/>
      <c r="G170" s="350"/>
      <c r="H170" s="370"/>
      <c r="I170" s="284"/>
      <c r="J170" s="371"/>
      <c r="K170" s="351"/>
      <c r="L170" s="351"/>
      <c r="M170" s="350"/>
      <c r="N170" s="372"/>
    </row>
    <row r="172" spans="2:17" s="270" customFormat="1" x14ac:dyDescent="0.25">
      <c r="B172" s="262" t="s">
        <v>293</v>
      </c>
      <c r="C172" s="264"/>
      <c r="D172" s="393" t="s">
        <v>291</v>
      </c>
      <c r="E172" s="578"/>
      <c r="F172" s="265"/>
      <c r="G172" s="265"/>
      <c r="H172" s="267"/>
      <c r="I172" s="266"/>
      <c r="J172" s="265"/>
      <c r="K172" s="267"/>
      <c r="L172" s="267"/>
      <c r="M172" s="267"/>
      <c r="N172" s="312"/>
      <c r="O172" s="404"/>
    </row>
    <row r="173" spans="2:17" s="270" customFormat="1" x14ac:dyDescent="0.25">
      <c r="B173" s="269"/>
      <c r="D173" s="295"/>
      <c r="E173" s="344"/>
      <c r="H173" s="272"/>
      <c r="I173" s="271"/>
      <c r="K173" s="272"/>
      <c r="L173" s="272"/>
      <c r="M173" s="272"/>
      <c r="N173" s="273"/>
      <c r="O173" s="404"/>
    </row>
    <row r="174" spans="2:17" s="270" customFormat="1" x14ac:dyDescent="0.25">
      <c r="B174" s="274" t="s">
        <v>2</v>
      </c>
      <c r="C174" s="291" t="s">
        <v>291</v>
      </c>
      <c r="D174" s="405" t="s">
        <v>295</v>
      </c>
      <c r="E174" s="348" t="s">
        <v>165</v>
      </c>
      <c r="F174" s="277">
        <f>VLOOKUP(C174,Rates!$B:$J,4,FALSE)</f>
        <v>96</v>
      </c>
      <c r="G174" s="278">
        <f>VLOOKUP($D174,Rates!$C$1:$J$136,5,FALSE)</f>
        <v>0</v>
      </c>
      <c r="H174" s="272">
        <f>SUM(+F174*G174)</f>
        <v>0</v>
      </c>
      <c r="I174" s="277"/>
      <c r="J174" s="279">
        <f>$J$205</f>
        <v>0</v>
      </c>
      <c r="K174" s="272">
        <f>SUM(+F174*J174)</f>
        <v>0</v>
      </c>
      <c r="L174" s="272"/>
      <c r="M174" s="272">
        <f>K174-H174</f>
        <v>0</v>
      </c>
      <c r="N174" s="280">
        <f>IFERROR(ROUND(M174/H174,5), )</f>
        <v>0</v>
      </c>
      <c r="O174" s="404"/>
    </row>
    <row r="175" spans="2:17" s="270" customFormat="1" x14ac:dyDescent="0.25">
      <c r="B175" s="281" t="s">
        <v>170</v>
      </c>
      <c r="C175" s="291" t="s">
        <v>292</v>
      </c>
      <c r="D175" s="289" t="str">
        <f>VLOOKUP(C175,Rates!$B$3:$J$136,2,FALSE)</f>
        <v>NGV_MARGIN</v>
      </c>
      <c r="E175" s="344" t="s">
        <v>162</v>
      </c>
      <c r="F175" s="277">
        <f>VLOOKUP(C175,Rates!$B:$J,5,FALSE)</f>
        <v>123192</v>
      </c>
      <c r="G175" s="278">
        <f>VLOOKUP($D175,Rates!$C$1:$J$136,7,FALSE)</f>
        <v>0.3</v>
      </c>
      <c r="H175" s="272">
        <f t="shared" ref="H175" si="67">SUM(+F175*G175)</f>
        <v>36957.599999999999</v>
      </c>
      <c r="I175" s="277"/>
      <c r="J175" s="282">
        <f>$J$206</f>
        <v>0.35189999999999999</v>
      </c>
      <c r="K175" s="272">
        <f>SUM(+F175*J175)</f>
        <v>43351.264799999997</v>
      </c>
      <c r="L175" s="272"/>
      <c r="M175" s="272">
        <f>K175-H175</f>
        <v>6393.6647999999986</v>
      </c>
      <c r="N175" s="280">
        <f>IFERROR(ROUND(M175/H175,5), )</f>
        <v>0.17299999999999999</v>
      </c>
      <c r="O175" s="404"/>
      <c r="Q175" s="406"/>
    </row>
    <row r="176" spans="2:17" s="270" customFormat="1" x14ac:dyDescent="0.25">
      <c r="B176" s="321"/>
      <c r="C176" s="291"/>
      <c r="D176" s="394"/>
      <c r="E176" s="344"/>
      <c r="F176" s="277"/>
      <c r="G176" s="278"/>
      <c r="H176" s="272"/>
      <c r="I176" s="277"/>
      <c r="J176" s="282"/>
      <c r="K176" s="272"/>
      <c r="L176" s="272"/>
      <c r="M176" s="272"/>
      <c r="N176" s="280"/>
      <c r="O176" s="404"/>
    </row>
    <row r="177" spans="2:15" s="270" customFormat="1" x14ac:dyDescent="0.25">
      <c r="B177" s="269" t="s">
        <v>147</v>
      </c>
      <c r="C177" s="295"/>
      <c r="D177" s="289" t="s">
        <v>296</v>
      </c>
      <c r="E177" s="344" t="s">
        <v>290</v>
      </c>
      <c r="F177" s="277"/>
      <c r="H177" s="272">
        <v>-2832</v>
      </c>
      <c r="I177" s="277"/>
      <c r="J177" s="282"/>
      <c r="K177" s="272"/>
      <c r="L177" s="272"/>
      <c r="M177" s="272">
        <f>K177-H177</f>
        <v>2832</v>
      </c>
      <c r="N177" s="280">
        <f>IFERROR(ROUND(M177/H177,5), )</f>
        <v>-1</v>
      </c>
      <c r="O177" s="404"/>
    </row>
    <row r="178" spans="2:15" s="270" customFormat="1" x14ac:dyDescent="0.25">
      <c r="B178" s="301"/>
      <c r="C178" s="295"/>
      <c r="D178" s="295"/>
      <c r="E178" s="579"/>
      <c r="G178" s="302"/>
      <c r="H178" s="303"/>
      <c r="I178" s="277"/>
      <c r="K178" s="272"/>
      <c r="L178" s="272"/>
      <c r="M178" s="272"/>
      <c r="N178" s="273"/>
      <c r="O178" s="404"/>
    </row>
    <row r="179" spans="2:15" s="270" customFormat="1" x14ac:dyDescent="0.25">
      <c r="B179" s="274" t="s">
        <v>16</v>
      </c>
      <c r="C179" s="276"/>
      <c r="D179" s="294"/>
      <c r="E179" s="348"/>
      <c r="H179" s="304">
        <f>SUM(H174:H178)</f>
        <v>34125.599999999999</v>
      </c>
      <c r="I179" s="277"/>
      <c r="K179" s="304">
        <f>SUM(K174:K178)</f>
        <v>43351.264799999997</v>
      </c>
      <c r="L179" s="272"/>
      <c r="M179" s="304">
        <f>SUM(M174:M178)</f>
        <v>9225.6647999999986</v>
      </c>
      <c r="N179" s="318">
        <f>IFERROR(ROUND(M179/H179,5), )</f>
        <v>0.27034000000000002</v>
      </c>
      <c r="O179" s="404"/>
    </row>
    <row r="180" spans="2:15" s="270" customFormat="1" x14ac:dyDescent="0.25">
      <c r="B180" s="274"/>
      <c r="C180" s="276"/>
      <c r="D180" s="294"/>
      <c r="E180" s="348"/>
      <c r="H180" s="272"/>
      <c r="I180" s="277"/>
      <c r="K180" s="272"/>
      <c r="L180" s="272"/>
      <c r="M180" s="272"/>
      <c r="N180" s="280"/>
      <c r="O180" s="404"/>
    </row>
    <row r="181" spans="2:15" s="270" customFormat="1" x14ac:dyDescent="0.25">
      <c r="B181" s="274" t="s">
        <v>166</v>
      </c>
      <c r="C181" s="276"/>
      <c r="D181" s="294"/>
      <c r="E181" s="348"/>
      <c r="H181" s="272">
        <v>34125.600000000326</v>
      </c>
      <c r="I181" s="277"/>
      <c r="K181" s="272"/>
      <c r="L181" s="272"/>
      <c r="M181" s="272"/>
      <c r="N181" s="280"/>
      <c r="O181" s="404"/>
    </row>
    <row r="182" spans="2:15" s="270" customFormat="1" x14ac:dyDescent="0.25">
      <c r="B182" s="274"/>
      <c r="C182" s="276"/>
      <c r="D182" s="294"/>
      <c r="E182" s="348"/>
      <c r="H182" s="272"/>
      <c r="I182" s="277"/>
      <c r="K182" s="272"/>
      <c r="L182" s="272"/>
      <c r="M182" s="272"/>
      <c r="N182" s="280"/>
      <c r="O182" s="404"/>
    </row>
    <row r="183" spans="2:15" s="270" customFormat="1" x14ac:dyDescent="0.25">
      <c r="B183" s="274" t="s">
        <v>167</v>
      </c>
      <c r="C183" s="276"/>
      <c r="D183" s="294"/>
      <c r="E183" s="348"/>
      <c r="H183" s="272">
        <f>H179-H181</f>
        <v>-3.2741809263825417E-10</v>
      </c>
      <c r="I183" s="277"/>
      <c r="K183" s="272"/>
      <c r="L183" s="272"/>
      <c r="M183" s="272"/>
      <c r="N183" s="280"/>
      <c r="O183" s="404"/>
    </row>
    <row r="184" spans="2:15" s="270" customFormat="1" x14ac:dyDescent="0.25">
      <c r="B184" s="274" t="s">
        <v>168</v>
      </c>
      <c r="C184" s="276"/>
      <c r="D184" s="294"/>
      <c r="E184" s="348"/>
      <c r="H184" s="306">
        <f>H183/H179</f>
        <v>-9.5945006868232121E-15</v>
      </c>
      <c r="I184" s="277"/>
      <c r="K184" s="272"/>
      <c r="L184" s="272"/>
      <c r="M184" s="272"/>
      <c r="N184" s="280"/>
      <c r="O184" s="404"/>
    </row>
    <row r="185" spans="2:15" s="270" customFormat="1" x14ac:dyDescent="0.25">
      <c r="B185" s="307"/>
      <c r="C185" s="390"/>
      <c r="D185" s="386"/>
      <c r="E185" s="577"/>
      <c r="F185" s="390"/>
      <c r="G185" s="390"/>
      <c r="H185" s="391"/>
      <c r="I185" s="390"/>
      <c r="J185" s="390"/>
      <c r="K185" s="391"/>
      <c r="L185" s="391"/>
      <c r="M185" s="391"/>
      <c r="N185" s="287"/>
      <c r="O185" s="404"/>
    </row>
    <row r="186" spans="2:15" s="270" customFormat="1" x14ac:dyDescent="0.25">
      <c r="D186" s="295"/>
      <c r="E186" s="344"/>
      <c r="H186" s="272"/>
      <c r="K186" s="272"/>
      <c r="L186" s="272"/>
      <c r="M186" s="272"/>
      <c r="N186" s="373"/>
      <c r="O186" s="404"/>
    </row>
    <row r="187" spans="2:15" x14ac:dyDescent="0.25">
      <c r="B187" s="333" t="s">
        <v>308</v>
      </c>
      <c r="C187" s="334"/>
      <c r="D187" s="356"/>
      <c r="E187" s="580"/>
      <c r="F187" s="335" t="s">
        <v>162</v>
      </c>
      <c r="G187" s="258"/>
      <c r="H187" s="336" t="s">
        <v>3</v>
      </c>
      <c r="I187" s="259"/>
      <c r="J187" s="258"/>
      <c r="K187" s="337" t="s">
        <v>4</v>
      </c>
      <c r="L187" s="260"/>
      <c r="M187" s="337" t="s">
        <v>18</v>
      </c>
      <c r="N187" s="314"/>
    </row>
    <row r="188" spans="2:15" x14ac:dyDescent="0.25">
      <c r="B188" s="338" t="s">
        <v>16</v>
      </c>
      <c r="C188" s="270"/>
      <c r="D188" s="295"/>
      <c r="E188" s="579"/>
      <c r="F188" s="339">
        <f>SUMIF(E174:E185,F187,F174:F185)</f>
        <v>123192</v>
      </c>
      <c r="G188" s="270"/>
      <c r="H188" s="272">
        <f>H179</f>
        <v>34125.599999999999</v>
      </c>
      <c r="I188" s="277"/>
      <c r="J188" s="270"/>
      <c r="K188" s="272">
        <f>K179</f>
        <v>43351.264799999997</v>
      </c>
      <c r="L188" s="272"/>
      <c r="M188" s="272">
        <f>K188-H188</f>
        <v>9225.6647999999986</v>
      </c>
      <c r="N188" s="280">
        <f>M188/H188</f>
        <v>0.27034439834024893</v>
      </c>
    </row>
    <row r="189" spans="2:15" x14ac:dyDescent="0.25">
      <c r="B189" s="290"/>
      <c r="C189" s="291"/>
      <c r="D189" s="364"/>
      <c r="E189" s="579"/>
      <c r="F189" s="270"/>
      <c r="G189" s="270"/>
      <c r="H189" s="291"/>
      <c r="I189" s="277"/>
      <c r="J189" s="270"/>
      <c r="K189" s="279"/>
      <c r="L189" s="279"/>
      <c r="M189" s="270"/>
      <c r="N189" s="340"/>
    </row>
    <row r="190" spans="2:15" x14ac:dyDescent="0.25">
      <c r="B190" s="290"/>
      <c r="C190" s="291"/>
      <c r="D190" s="364"/>
      <c r="E190" s="579"/>
      <c r="F190" s="270"/>
      <c r="G190" s="270"/>
      <c r="H190" s="341" t="s">
        <v>3</v>
      </c>
      <c r="I190" s="342"/>
      <c r="J190" s="407"/>
      <c r="K190" s="343" t="s">
        <v>4</v>
      </c>
      <c r="L190" s="343"/>
      <c r="M190" s="343" t="s">
        <v>18</v>
      </c>
      <c r="N190" s="273"/>
    </row>
    <row r="191" spans="2:15" x14ac:dyDescent="0.25">
      <c r="B191" s="290"/>
      <c r="C191" s="291"/>
      <c r="D191" s="364"/>
      <c r="E191" s="344" t="s">
        <v>165</v>
      </c>
      <c r="F191" s="345"/>
      <c r="G191" s="270"/>
      <c r="H191" s="346">
        <f>SUMIF($E$174:$E$185,E191,$H$174:$H$185)</f>
        <v>0</v>
      </c>
      <c r="I191" s="277"/>
      <c r="J191" s="270"/>
      <c r="K191" s="346">
        <f>SUMIF($E$174:$E$185,E191,$K$174:$K$185)</f>
        <v>0</v>
      </c>
      <c r="L191" s="279"/>
      <c r="M191" s="272">
        <f>K191-H191</f>
        <v>0</v>
      </c>
      <c r="N191" s="280">
        <f>IFERROR(ROUND(M191/H191,5), )</f>
        <v>0</v>
      </c>
    </row>
    <row r="192" spans="2:15" x14ac:dyDescent="0.25">
      <c r="B192" s="290"/>
      <c r="C192" s="291"/>
      <c r="D192" s="364"/>
      <c r="E192" s="344" t="s">
        <v>162</v>
      </c>
      <c r="F192" s="270"/>
      <c r="G192" s="270"/>
      <c r="H192" s="339">
        <f t="shared" ref="H192:H196" si="68">SUMIF($E$174:$E$185,E192,$H$174:$H$185)</f>
        <v>36957.599999999999</v>
      </c>
      <c r="I192" s="277"/>
      <c r="J192" s="270"/>
      <c r="K192" s="346">
        <f t="shared" ref="K192:K196" si="69">SUMIF($E$174:$E$185,E192,$K$174:$K$185)</f>
        <v>43351.264799999997</v>
      </c>
      <c r="L192" s="279"/>
      <c r="M192" s="272">
        <f t="shared" ref="M192:M196" si="70">K192-H192</f>
        <v>6393.6647999999986</v>
      </c>
      <c r="N192" s="280">
        <f t="shared" ref="N192:N197" si="71">IFERROR(ROUND(M192/H192,5), )</f>
        <v>0.17299999999999999</v>
      </c>
    </row>
    <row r="193" spans="2:14" x14ac:dyDescent="0.25">
      <c r="B193" s="290"/>
      <c r="C193" s="291"/>
      <c r="D193" s="364"/>
      <c r="E193" s="348" t="s">
        <v>279</v>
      </c>
      <c r="F193" s="270"/>
      <c r="G193" s="270"/>
      <c r="H193" s="339">
        <f t="shared" si="68"/>
        <v>0</v>
      </c>
      <c r="I193" s="277"/>
      <c r="J193" s="270"/>
      <c r="K193" s="346">
        <f t="shared" si="69"/>
        <v>0</v>
      </c>
      <c r="L193" s="279"/>
      <c r="M193" s="272">
        <f t="shared" si="70"/>
        <v>0</v>
      </c>
      <c r="N193" s="280">
        <f t="shared" si="71"/>
        <v>0</v>
      </c>
    </row>
    <row r="194" spans="2:14" x14ac:dyDescent="0.25">
      <c r="B194" s="290"/>
      <c r="C194" s="291"/>
      <c r="D194" s="364"/>
      <c r="E194" s="344" t="s">
        <v>287</v>
      </c>
      <c r="F194" s="270"/>
      <c r="G194" s="270"/>
      <c r="H194" s="339">
        <f t="shared" si="68"/>
        <v>0</v>
      </c>
      <c r="I194" s="277"/>
      <c r="J194" s="270"/>
      <c r="K194" s="346">
        <f t="shared" si="69"/>
        <v>0</v>
      </c>
      <c r="L194" s="279"/>
      <c r="M194" s="272">
        <f t="shared" si="70"/>
        <v>0</v>
      </c>
      <c r="N194" s="280">
        <f t="shared" si="71"/>
        <v>0</v>
      </c>
    </row>
    <row r="195" spans="2:14" x14ac:dyDescent="0.25">
      <c r="B195" s="290"/>
      <c r="C195" s="291"/>
      <c r="D195" s="364"/>
      <c r="E195" s="344" t="s">
        <v>288</v>
      </c>
      <c r="F195" s="270"/>
      <c r="G195" s="270"/>
      <c r="H195" s="339">
        <f t="shared" si="68"/>
        <v>0</v>
      </c>
      <c r="I195" s="277"/>
      <c r="J195" s="270"/>
      <c r="K195" s="346">
        <f t="shared" si="69"/>
        <v>0</v>
      </c>
      <c r="L195" s="279"/>
      <c r="M195" s="272">
        <f t="shared" si="70"/>
        <v>0</v>
      </c>
      <c r="N195" s="280">
        <f t="shared" si="71"/>
        <v>0</v>
      </c>
    </row>
    <row r="196" spans="2:14" x14ac:dyDescent="0.25">
      <c r="B196" s="290"/>
      <c r="C196" s="291"/>
      <c r="D196" s="364"/>
      <c r="E196" s="344" t="s">
        <v>290</v>
      </c>
      <c r="F196" s="270"/>
      <c r="G196" s="270"/>
      <c r="H196" s="367">
        <f t="shared" si="68"/>
        <v>-2832</v>
      </c>
      <c r="I196" s="284"/>
      <c r="J196" s="270"/>
      <c r="K196" s="349">
        <f t="shared" si="69"/>
        <v>0</v>
      </c>
      <c r="L196" s="351"/>
      <c r="M196" s="285">
        <f t="shared" si="70"/>
        <v>2832</v>
      </c>
      <c r="N196" s="287">
        <f t="shared" si="71"/>
        <v>-1</v>
      </c>
    </row>
    <row r="197" spans="2:14" x14ac:dyDescent="0.25">
      <c r="B197" s="290"/>
      <c r="C197" s="291"/>
      <c r="D197" s="364"/>
      <c r="E197" s="579"/>
      <c r="F197" s="270"/>
      <c r="G197" s="270"/>
      <c r="H197" s="352">
        <f>SUM(H191:H196)</f>
        <v>34125.599999999999</v>
      </c>
      <c r="I197" s="277"/>
      <c r="J197" s="270"/>
      <c r="K197" s="352">
        <f>SUM(K191:K196)</f>
        <v>43351.264799999997</v>
      </c>
      <c r="L197" s="279"/>
      <c r="M197" s="352">
        <f>SUM(M191:M196)</f>
        <v>9225.6647999999986</v>
      </c>
      <c r="N197" s="280">
        <f t="shared" si="71"/>
        <v>0.27034000000000002</v>
      </c>
    </row>
    <row r="198" spans="2:14" x14ac:dyDescent="0.25">
      <c r="B198" s="290"/>
      <c r="C198" s="291"/>
      <c r="D198" s="364"/>
      <c r="E198" s="579"/>
      <c r="F198" s="270"/>
      <c r="G198" s="270"/>
      <c r="H198" s="291"/>
      <c r="I198" s="277"/>
      <c r="J198" s="270"/>
      <c r="K198" s="279"/>
      <c r="L198" s="279"/>
      <c r="M198" s="270"/>
      <c r="N198" s="340"/>
    </row>
    <row r="199" spans="2:14" x14ac:dyDescent="0.25">
      <c r="B199" s="290"/>
      <c r="C199" s="291"/>
      <c r="D199" s="364"/>
      <c r="E199" s="579"/>
      <c r="F199" s="270"/>
      <c r="G199" s="270"/>
      <c r="H199" s="353">
        <v>34125.600000000326</v>
      </c>
      <c r="I199" s="277"/>
      <c r="J199" s="270"/>
      <c r="K199" s="279">
        <v>43356.293907763669</v>
      </c>
      <c r="L199" s="279"/>
      <c r="M199" s="270"/>
      <c r="N199" s="340"/>
    </row>
    <row r="200" spans="2:14" x14ac:dyDescent="0.25">
      <c r="B200" s="290"/>
      <c r="C200" s="291"/>
      <c r="D200" s="364"/>
      <c r="E200" s="579"/>
      <c r="F200" s="270"/>
      <c r="G200" s="270"/>
      <c r="H200" s="291"/>
      <c r="I200" s="277"/>
      <c r="J200" s="270"/>
      <c r="K200" s="279"/>
      <c r="L200" s="279"/>
      <c r="M200" s="270"/>
      <c r="N200" s="340"/>
    </row>
    <row r="201" spans="2:14" x14ac:dyDescent="0.25">
      <c r="B201" s="274" t="s">
        <v>167</v>
      </c>
      <c r="C201" s="291"/>
      <c r="D201" s="364"/>
      <c r="E201" s="579"/>
      <c r="F201" s="270"/>
      <c r="G201" s="270"/>
      <c r="H201" s="272">
        <f>(H197+H200)-H199</f>
        <v>-3.2741809263825417E-10</v>
      </c>
      <c r="I201" s="277"/>
      <c r="J201" s="270"/>
      <c r="K201" s="272">
        <f>(K197+K200)-K199</f>
        <v>-5.0291077636720729</v>
      </c>
      <c r="L201" s="279"/>
      <c r="M201" s="270"/>
      <c r="N201" s="340"/>
    </row>
    <row r="202" spans="2:14" x14ac:dyDescent="0.25">
      <c r="B202" s="274" t="s">
        <v>168</v>
      </c>
      <c r="C202" s="291"/>
      <c r="D202" s="364"/>
      <c r="E202" s="579"/>
      <c r="F202" s="270"/>
      <c r="G202" s="270"/>
      <c r="H202" s="306">
        <f>H201/H197</f>
        <v>-9.5945006868232121E-15</v>
      </c>
      <c r="I202" s="277"/>
      <c r="J202" s="270"/>
      <c r="K202" s="306">
        <f>K201/K197</f>
        <v>-1.1600832840457456E-4</v>
      </c>
      <c r="L202" s="279"/>
      <c r="M202" s="270"/>
      <c r="N202" s="340"/>
    </row>
    <row r="203" spans="2:14" x14ac:dyDescent="0.25">
      <c r="B203" s="290"/>
      <c r="C203" s="291"/>
      <c r="D203" s="364"/>
      <c r="E203" s="579"/>
      <c r="F203" s="270"/>
      <c r="G203" s="270"/>
      <c r="H203" s="291"/>
      <c r="I203" s="277"/>
      <c r="J203" s="270"/>
      <c r="K203" s="279"/>
      <c r="L203" s="279"/>
      <c r="M203" s="270"/>
      <c r="N203" s="340"/>
    </row>
    <row r="204" spans="2:14" ht="15.75" thickBot="1" x14ac:dyDescent="0.3">
      <c r="B204" s="355" t="s">
        <v>297</v>
      </c>
      <c r="C204" s="374"/>
      <c r="D204" s="375"/>
      <c r="E204" s="606"/>
      <c r="F204" s="376"/>
      <c r="G204" s="686" t="s">
        <v>3</v>
      </c>
      <c r="H204" s="686"/>
      <c r="I204" s="377"/>
      <c r="J204" s="689" t="s">
        <v>4</v>
      </c>
      <c r="K204" s="688"/>
      <c r="L204" s="358"/>
      <c r="M204" s="358" t="s">
        <v>18</v>
      </c>
      <c r="N204" s="378"/>
    </row>
    <row r="205" spans="2:14" ht="15.75" thickBot="1" x14ac:dyDescent="0.3">
      <c r="B205" s="408">
        <v>43356.293907763669</v>
      </c>
      <c r="C205" s="270"/>
      <c r="D205" s="295"/>
      <c r="E205" s="344" t="s">
        <v>165</v>
      </c>
      <c r="F205" s="345">
        <f>SUMIF($E$174:$E$185,E205,$F$174:$F$185)</f>
        <v>96</v>
      </c>
      <c r="G205" s="360">
        <f>G42</f>
        <v>0</v>
      </c>
      <c r="H205" s="339">
        <f>SUMIF($E$174:$E$185,E205,$H$174:$H$185)</f>
        <v>0</v>
      </c>
      <c r="I205" s="277"/>
      <c r="J205" s="361">
        <v>0</v>
      </c>
      <c r="K205" s="339">
        <f>J205*F205</f>
        <v>0</v>
      </c>
      <c r="L205" s="279"/>
      <c r="M205" s="272">
        <f>K205-H205</f>
        <v>0</v>
      </c>
      <c r="N205" s="280">
        <f t="shared" ref="N205:N209" si="72">IFERROR(ROUND(M205/H205,5), )</f>
        <v>0</v>
      </c>
    </row>
    <row r="206" spans="2:14" x14ac:dyDescent="0.25">
      <c r="B206" s="363"/>
      <c r="C206" s="291"/>
      <c r="D206" s="364"/>
      <c r="E206" s="344" t="s">
        <v>162</v>
      </c>
      <c r="F206" s="345">
        <f>SUMIF($E$174:$E$185,E206,$F$174:$F$185)</f>
        <v>123192</v>
      </c>
      <c r="G206" s="346"/>
      <c r="H206" s="339">
        <f t="shared" ref="H206:H211" si="73">SUMIF($E$174:$E$185,E206,$H$174:$H$185)</f>
        <v>36957.599999999999</v>
      </c>
      <c r="I206" s="277"/>
      <c r="J206" s="278">
        <f>ROUND(K206/F206,4)</f>
        <v>0.35189999999999999</v>
      </c>
      <c r="K206" s="339">
        <f>B205-SUM(K205,K209,K210)</f>
        <v>43356.293907763669</v>
      </c>
      <c r="L206" s="279"/>
      <c r="M206" s="272">
        <f t="shared" ref="M206:M211" si="74">K206-H206</f>
        <v>6398.6939077636707</v>
      </c>
      <c r="N206" s="280">
        <f t="shared" si="72"/>
        <v>0.17313999999999999</v>
      </c>
    </row>
    <row r="207" spans="2:14" x14ac:dyDescent="0.25">
      <c r="B207" s="365" t="s">
        <v>15</v>
      </c>
      <c r="C207" s="291"/>
      <c r="D207" s="364"/>
      <c r="E207" s="348" t="s">
        <v>279</v>
      </c>
      <c r="F207" s="345"/>
      <c r="G207" s="270"/>
      <c r="H207" s="339">
        <f t="shared" si="73"/>
        <v>0</v>
      </c>
      <c r="I207" s="277"/>
      <c r="J207" s="278"/>
      <c r="K207" s="339">
        <f>SUMIF($E$12:$E$76,E207,$K$12:$K$76)</f>
        <v>0</v>
      </c>
      <c r="L207" s="279"/>
      <c r="M207" s="272">
        <f t="shared" si="74"/>
        <v>0</v>
      </c>
      <c r="N207" s="280">
        <f t="shared" si="72"/>
        <v>0</v>
      </c>
    </row>
    <row r="208" spans="2:14" ht="15.75" thickBot="1" x14ac:dyDescent="0.3">
      <c r="B208" s="365">
        <f>K188-B205</f>
        <v>-5.0291077636720729</v>
      </c>
      <c r="C208" s="291"/>
      <c r="D208" s="364"/>
      <c r="E208" s="344" t="s">
        <v>280</v>
      </c>
      <c r="F208" s="345"/>
      <c r="G208" s="270"/>
      <c r="H208" s="339">
        <f t="shared" si="73"/>
        <v>0</v>
      </c>
      <c r="I208" s="277"/>
      <c r="J208" s="278"/>
      <c r="K208" s="339">
        <f>SUMIF($E$12:$E$76,E208,$K$12:$K$76)</f>
        <v>0</v>
      </c>
      <c r="L208" s="279"/>
      <c r="M208" s="272">
        <f t="shared" si="74"/>
        <v>0</v>
      </c>
      <c r="N208" s="280">
        <f t="shared" si="72"/>
        <v>0</v>
      </c>
    </row>
    <row r="209" spans="2:14" ht="15.75" thickBot="1" x14ac:dyDescent="0.3">
      <c r="B209" s="290"/>
      <c r="C209" s="291"/>
      <c r="D209" s="289" t="s">
        <v>289</v>
      </c>
      <c r="E209" s="344" t="s">
        <v>287</v>
      </c>
      <c r="F209" s="345">
        <v>0</v>
      </c>
      <c r="G209" s="270"/>
      <c r="H209" s="339">
        <f t="shared" si="73"/>
        <v>0</v>
      </c>
      <c r="I209" s="277"/>
      <c r="J209" s="361">
        <f>VLOOKUP($D209,Rates!$C$1:$J$136,8,FALSE)</f>
        <v>4.4499999999999998E-2</v>
      </c>
      <c r="K209" s="339">
        <f>J209*F209</f>
        <v>0</v>
      </c>
      <c r="L209" s="279"/>
      <c r="M209" s="272">
        <f t="shared" si="74"/>
        <v>0</v>
      </c>
      <c r="N209" s="280">
        <f t="shared" si="72"/>
        <v>0</v>
      </c>
    </row>
    <row r="210" spans="2:14" ht="15.75" thickBot="1" x14ac:dyDescent="0.3">
      <c r="B210" s="290"/>
      <c r="C210" s="291"/>
      <c r="D210" s="289" t="s">
        <v>286</v>
      </c>
      <c r="E210" s="344" t="s">
        <v>288</v>
      </c>
      <c r="F210" s="345">
        <v>0</v>
      </c>
      <c r="G210" s="270"/>
      <c r="H210" s="339">
        <f t="shared" si="73"/>
        <v>0</v>
      </c>
      <c r="I210" s="277"/>
      <c r="J210" s="361">
        <f>VLOOKUP($D210,Rates!$C$1:$J$136,8,FALSE)</f>
        <v>0.1149</v>
      </c>
      <c r="K210" s="339">
        <f>J210*F210</f>
        <v>0</v>
      </c>
      <c r="L210" s="279"/>
      <c r="M210" s="272">
        <f t="shared" si="74"/>
        <v>0</v>
      </c>
      <c r="N210" s="280">
        <f>IFERROR(ROUND(M210/H210,5), )</f>
        <v>0</v>
      </c>
    </row>
    <row r="211" spans="2:14" x14ac:dyDescent="0.25">
      <c r="B211" s="290"/>
      <c r="C211" s="291"/>
      <c r="D211" s="364"/>
      <c r="E211" s="344" t="s">
        <v>290</v>
      </c>
      <c r="F211" s="345"/>
      <c r="G211" s="350"/>
      <c r="H211" s="367">
        <f t="shared" si="73"/>
        <v>-2832</v>
      </c>
      <c r="I211" s="277"/>
      <c r="J211" s="278"/>
      <c r="K211" s="367">
        <f>SUMIF($E$12:$E$76,E211,$K$12:$K$76)</f>
        <v>0</v>
      </c>
      <c r="L211" s="279"/>
      <c r="M211" s="285">
        <f t="shared" si="74"/>
        <v>2832</v>
      </c>
      <c r="N211" s="280">
        <f>IFERROR(ROUND(M211/H211,5), )</f>
        <v>-1</v>
      </c>
    </row>
    <row r="212" spans="2:14" x14ac:dyDescent="0.25">
      <c r="B212" s="269"/>
      <c r="C212" s="270"/>
      <c r="D212" s="295"/>
      <c r="E212" s="579"/>
      <c r="F212" s="270"/>
      <c r="G212" s="270"/>
      <c r="H212" s="368">
        <f>SUM(H205:H211)</f>
        <v>34125.599999999999</v>
      </c>
      <c r="I212" s="277"/>
      <c r="J212" s="278"/>
      <c r="K212" s="368">
        <f>SUM(K205:K211)</f>
        <v>43356.293907763669</v>
      </c>
      <c r="L212" s="279"/>
      <c r="M212" s="368">
        <f>SUM(M205:M211)</f>
        <v>9230.6939077636707</v>
      </c>
      <c r="N212" s="280">
        <f>IFERROR(ROUND(M212/H212,5), )</f>
        <v>0.27049000000000001</v>
      </c>
    </row>
    <row r="213" spans="2:14" x14ac:dyDescent="0.25">
      <c r="B213" s="307"/>
      <c r="C213" s="350"/>
      <c r="D213" s="369"/>
      <c r="E213" s="582"/>
      <c r="F213" s="350"/>
      <c r="G213" s="350"/>
      <c r="H213" s="370"/>
      <c r="I213" s="284"/>
      <c r="J213" s="371"/>
      <c r="K213" s="351"/>
      <c r="L213" s="351"/>
      <c r="M213" s="350"/>
      <c r="N213" s="372"/>
    </row>
    <row r="215" spans="2:14" x14ac:dyDescent="0.25">
      <c r="B215" s="333"/>
      <c r="C215" s="334"/>
      <c r="D215" s="356"/>
      <c r="E215" s="580"/>
      <c r="F215" s="258"/>
      <c r="G215" s="258"/>
      <c r="H215" s="334"/>
      <c r="I215" s="259"/>
      <c r="J215" s="258"/>
      <c r="K215" s="260"/>
      <c r="L215" s="260"/>
      <c r="M215" s="258"/>
      <c r="N215" s="261"/>
    </row>
    <row r="216" spans="2:14" x14ac:dyDescent="0.25">
      <c r="B216" s="290" t="s">
        <v>309</v>
      </c>
      <c r="C216" s="291"/>
      <c r="D216" s="364"/>
      <c r="E216" s="579"/>
      <c r="F216" s="409" t="s">
        <v>162</v>
      </c>
      <c r="G216" s="270"/>
      <c r="H216" s="410" t="s">
        <v>3</v>
      </c>
      <c r="I216" s="277"/>
      <c r="J216" s="270"/>
      <c r="K216" s="411" t="s">
        <v>4</v>
      </c>
      <c r="L216" s="279"/>
      <c r="M216" s="411" t="s">
        <v>18</v>
      </c>
      <c r="N216" s="273"/>
    </row>
    <row r="217" spans="2:14" x14ac:dyDescent="0.25">
      <c r="B217" s="338" t="s">
        <v>16</v>
      </c>
      <c r="C217" s="270"/>
      <c r="D217" s="295"/>
      <c r="E217" s="579"/>
      <c r="F217" s="339">
        <f>F145+F188</f>
        <v>6820695.0999999996</v>
      </c>
      <c r="G217" s="270"/>
      <c r="H217" s="339">
        <f>H145+H188</f>
        <v>11956693.967137001</v>
      </c>
      <c r="I217" s="277"/>
      <c r="J217" s="270"/>
      <c r="K217" s="339">
        <f>K145+K188</f>
        <v>13890616.62109</v>
      </c>
      <c r="L217" s="272"/>
      <c r="M217" s="339">
        <f>M145+M188</f>
        <v>1933922.6539529995</v>
      </c>
      <c r="N217" s="280">
        <f>M217/H217</f>
        <v>0.16174392848628474</v>
      </c>
    </row>
    <row r="218" spans="2:14" x14ac:dyDescent="0.25">
      <c r="B218" s="290"/>
      <c r="C218" s="291"/>
      <c r="D218" s="364"/>
      <c r="E218" s="579"/>
      <c r="F218" s="270"/>
      <c r="G218" s="270"/>
      <c r="H218" s="291"/>
      <c r="I218" s="277"/>
      <c r="J218" s="270"/>
      <c r="K218" s="279"/>
      <c r="L218" s="279"/>
      <c r="M218" s="270"/>
      <c r="N218" s="340"/>
    </row>
    <row r="219" spans="2:14" x14ac:dyDescent="0.25">
      <c r="B219" s="290"/>
      <c r="C219" s="291"/>
      <c r="D219" s="364"/>
      <c r="E219" s="579"/>
      <c r="F219" s="270"/>
      <c r="G219" s="270"/>
      <c r="H219" s="341" t="s">
        <v>3</v>
      </c>
      <c r="I219" s="342"/>
      <c r="J219" s="341"/>
      <c r="K219" s="343" t="s">
        <v>4</v>
      </c>
      <c r="L219" s="343"/>
      <c r="M219" s="343" t="s">
        <v>18</v>
      </c>
      <c r="N219" s="273"/>
    </row>
    <row r="220" spans="2:14" x14ac:dyDescent="0.25">
      <c r="B220" s="290"/>
      <c r="C220" s="291"/>
      <c r="D220" s="364"/>
      <c r="E220" s="344" t="s">
        <v>165</v>
      </c>
      <c r="F220" s="345"/>
      <c r="G220" s="270"/>
      <c r="H220" s="339">
        <f t="shared" ref="H220:H225" si="75">H148+H191</f>
        <v>2243525.4000000004</v>
      </c>
      <c r="I220" s="277"/>
      <c r="J220" s="270"/>
      <c r="K220" s="339">
        <f t="shared" ref="K220:K225" si="76">K148+K191</f>
        <v>3365010</v>
      </c>
      <c r="L220" s="279"/>
      <c r="M220" s="339">
        <f t="shared" ref="M220:M225" si="77">M148+M191</f>
        <v>1121484.5999999996</v>
      </c>
      <c r="N220" s="280">
        <f>IFERROR(ROUND(M220/H220,5), )</f>
        <v>0.49987999999999999</v>
      </c>
    </row>
    <row r="221" spans="2:14" x14ac:dyDescent="0.25">
      <c r="B221" s="290"/>
      <c r="C221" s="291"/>
      <c r="D221" s="364"/>
      <c r="E221" s="344" t="s">
        <v>162</v>
      </c>
      <c r="F221" s="270"/>
      <c r="G221" s="270"/>
      <c r="H221" s="339">
        <f t="shared" si="75"/>
        <v>9667041.2182493005</v>
      </c>
      <c r="I221" s="277"/>
      <c r="J221" s="270"/>
      <c r="K221" s="339">
        <f t="shared" si="76"/>
        <v>10401039.808950001</v>
      </c>
      <c r="L221" s="279"/>
      <c r="M221" s="339">
        <f t="shared" si="77"/>
        <v>733998.59070070146</v>
      </c>
      <c r="N221" s="280">
        <f t="shared" ref="N221:N226" si="78">IFERROR(ROUND(M221/H221,5), )</f>
        <v>7.5929999999999997E-2</v>
      </c>
    </row>
    <row r="222" spans="2:14" x14ac:dyDescent="0.25">
      <c r="B222" s="290"/>
      <c r="C222" s="291"/>
      <c r="D222" s="364"/>
      <c r="E222" s="348" t="s">
        <v>279</v>
      </c>
      <c r="F222" s="270"/>
      <c r="G222" s="270"/>
      <c r="H222" s="339">
        <f t="shared" si="75"/>
        <v>0</v>
      </c>
      <c r="I222" s="277"/>
      <c r="J222" s="270"/>
      <c r="K222" s="339">
        <f t="shared" si="76"/>
        <v>0</v>
      </c>
      <c r="L222" s="279"/>
      <c r="M222" s="339">
        <f t="shared" si="77"/>
        <v>0</v>
      </c>
      <c r="N222" s="280">
        <f t="shared" si="78"/>
        <v>0</v>
      </c>
    </row>
    <row r="223" spans="2:14" x14ac:dyDescent="0.25">
      <c r="B223" s="290"/>
      <c r="C223" s="291"/>
      <c r="D223" s="364"/>
      <c r="E223" s="344" t="s">
        <v>287</v>
      </c>
      <c r="F223" s="270"/>
      <c r="G223" s="270"/>
      <c r="H223" s="339">
        <f t="shared" si="75"/>
        <v>15603.673387699997</v>
      </c>
      <c r="I223" s="277"/>
      <c r="J223" s="270"/>
      <c r="K223" s="339">
        <f t="shared" si="76"/>
        <v>34775.552949999998</v>
      </c>
      <c r="L223" s="279"/>
      <c r="M223" s="339">
        <f t="shared" si="77"/>
        <v>19171.879562300001</v>
      </c>
      <c r="N223" s="280">
        <f t="shared" si="78"/>
        <v>1.22868</v>
      </c>
    </row>
    <row r="224" spans="2:14" x14ac:dyDescent="0.25">
      <c r="B224" s="290"/>
      <c r="C224" s="291"/>
      <c r="D224" s="364"/>
      <c r="E224" s="344" t="s">
        <v>288</v>
      </c>
      <c r="F224" s="270"/>
      <c r="G224" s="270"/>
      <c r="H224" s="339">
        <f t="shared" si="75"/>
        <v>82054.675499999983</v>
      </c>
      <c r="I224" s="277"/>
      <c r="J224" s="270"/>
      <c r="K224" s="339">
        <f t="shared" si="76"/>
        <v>89791.259189999997</v>
      </c>
      <c r="L224" s="279"/>
      <c r="M224" s="339">
        <f t="shared" si="77"/>
        <v>7736.583690000014</v>
      </c>
      <c r="N224" s="280">
        <f t="shared" si="78"/>
        <v>9.4289999999999999E-2</v>
      </c>
    </row>
    <row r="225" spans="2:14" x14ac:dyDescent="0.25">
      <c r="B225" s="290"/>
      <c r="C225" s="291"/>
      <c r="D225" s="364"/>
      <c r="E225" s="344" t="s">
        <v>290</v>
      </c>
      <c r="F225" s="270"/>
      <c r="G225" s="270"/>
      <c r="H225" s="367">
        <f t="shared" si="75"/>
        <v>-51531</v>
      </c>
      <c r="I225" s="284"/>
      <c r="J225" s="350"/>
      <c r="K225" s="367">
        <f t="shared" si="76"/>
        <v>0</v>
      </c>
      <c r="L225" s="351"/>
      <c r="M225" s="367">
        <f t="shared" si="77"/>
        <v>51531</v>
      </c>
      <c r="N225" s="287">
        <f t="shared" si="78"/>
        <v>-1</v>
      </c>
    </row>
    <row r="226" spans="2:14" x14ac:dyDescent="0.25">
      <c r="B226" s="290"/>
      <c r="C226" s="291"/>
      <c r="D226" s="364"/>
      <c r="E226" s="579"/>
      <c r="F226" s="270"/>
      <c r="G226" s="270"/>
      <c r="H226" s="352">
        <f>SUM(H220:H225)</f>
        <v>11956693.967137001</v>
      </c>
      <c r="I226" s="277"/>
      <c r="J226" s="270"/>
      <c r="K226" s="352">
        <f>SUM(K220:K225)</f>
        <v>13890616.621090002</v>
      </c>
      <c r="L226" s="279"/>
      <c r="M226" s="352">
        <f>SUM(M220:M225)</f>
        <v>1933922.6539530009</v>
      </c>
      <c r="N226" s="287">
        <f t="shared" si="78"/>
        <v>0.16173999999999999</v>
      </c>
    </row>
    <row r="227" spans="2:14" x14ac:dyDescent="0.25">
      <c r="B227" s="290"/>
      <c r="C227" s="291"/>
      <c r="D227" s="364"/>
      <c r="E227" s="579"/>
      <c r="F227" s="270"/>
      <c r="G227" s="270"/>
      <c r="H227" s="291"/>
      <c r="I227" s="277"/>
      <c r="J227" s="270"/>
      <c r="K227" s="279"/>
      <c r="L227" s="279"/>
      <c r="M227" s="270"/>
      <c r="N227" s="340"/>
    </row>
    <row r="228" spans="2:14" x14ac:dyDescent="0.25">
      <c r="B228" s="290"/>
      <c r="C228" s="291"/>
      <c r="D228" s="364"/>
      <c r="E228" s="579"/>
      <c r="F228" s="270"/>
      <c r="G228" s="270"/>
      <c r="H228" s="353">
        <v>11956693.658000002</v>
      </c>
      <c r="I228" s="277"/>
      <c r="J228" s="270"/>
      <c r="K228" s="279"/>
      <c r="L228" s="279"/>
      <c r="M228" s="270"/>
      <c r="N228" s="340"/>
    </row>
    <row r="229" spans="2:14" x14ac:dyDescent="0.25">
      <c r="B229" s="290"/>
      <c r="C229" s="291"/>
      <c r="D229" s="364"/>
      <c r="E229" s="579"/>
      <c r="F229" s="270"/>
      <c r="G229" s="270"/>
      <c r="H229" s="291"/>
      <c r="I229" s="277"/>
      <c r="J229" s="270"/>
      <c r="K229" s="279"/>
      <c r="L229" s="279"/>
      <c r="M229" s="270"/>
      <c r="N229" s="340"/>
    </row>
    <row r="230" spans="2:14" x14ac:dyDescent="0.25">
      <c r="B230" s="274" t="s">
        <v>167</v>
      </c>
      <c r="C230" s="291"/>
      <c r="D230" s="364"/>
      <c r="E230" s="579"/>
      <c r="F230" s="270"/>
      <c r="G230" s="270"/>
      <c r="H230" s="272">
        <f>(H226+H229)-H228</f>
        <v>0.30913699977099895</v>
      </c>
      <c r="I230" s="277"/>
      <c r="J230" s="270"/>
      <c r="K230" s="279"/>
      <c r="L230" s="279"/>
      <c r="M230" s="270"/>
      <c r="N230" s="340"/>
    </row>
    <row r="231" spans="2:14" x14ac:dyDescent="0.25">
      <c r="B231" s="274" t="s">
        <v>168</v>
      </c>
      <c r="C231" s="291"/>
      <c r="D231" s="364"/>
      <c r="E231" s="579"/>
      <c r="F231" s="270"/>
      <c r="G231" s="270"/>
      <c r="H231" s="306">
        <f>H230/H226</f>
        <v>2.5854722101331911E-8</v>
      </c>
      <c r="I231" s="277"/>
      <c r="J231" s="270"/>
      <c r="K231" s="279"/>
      <c r="L231" s="279"/>
      <c r="M231" s="270"/>
      <c r="N231" s="340"/>
    </row>
    <row r="232" spans="2:14" x14ac:dyDescent="0.25">
      <c r="B232" s="383"/>
      <c r="C232" s="370"/>
      <c r="D232" s="412"/>
      <c r="E232" s="582"/>
      <c r="F232" s="350"/>
      <c r="G232" s="350"/>
      <c r="H232" s="370"/>
      <c r="I232" s="284"/>
      <c r="J232" s="350"/>
      <c r="K232" s="351"/>
      <c r="L232" s="351"/>
      <c r="M232" s="350"/>
      <c r="N232" s="384"/>
    </row>
  </sheetData>
  <dataConsolidate/>
  <mergeCells count="4">
    <mergeCell ref="G161:H161"/>
    <mergeCell ref="J161:K161"/>
    <mergeCell ref="G204:H204"/>
    <mergeCell ref="J204:K204"/>
  </mergeCells>
  <pageMargins left="0.45" right="0.45" top="0.5" bottom="0.5" header="0.3" footer="0.3"/>
  <pageSetup scale="67" fitToHeight="4" orientation="portrait" blackAndWhite="1" r:id="rId1"/>
  <headerFooter alignWithMargins="0"/>
  <rowBreaks count="3" manualBreakCount="3">
    <brk id="58" max="13" man="1"/>
    <brk id="110" max="13" man="1"/>
    <brk id="17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34AE-FB9A-4640-82C4-5C0E06EF1BF1}">
  <sheetPr codeName="Sheet7"/>
  <dimension ref="B1:Q316"/>
  <sheetViews>
    <sheetView topLeftCell="A289" workbookViewId="0">
      <selection activeCell="I325" sqref="I325"/>
    </sheetView>
  </sheetViews>
  <sheetFormatPr defaultColWidth="9.28515625" defaultRowHeight="14.85" customHeight="1" x14ac:dyDescent="0.25"/>
  <cols>
    <col min="1" max="1" width="0.42578125" style="236" customWidth="1"/>
    <col min="2" max="2" width="37.42578125" style="233" customWidth="1"/>
    <col min="3" max="3" width="6" style="233" hidden="1" customWidth="1"/>
    <col min="4" max="4" width="9.7109375" style="237" hidden="1" customWidth="1"/>
    <col min="5" max="5" width="8.28515625" style="575" customWidth="1"/>
    <col min="6" max="6" width="15.85546875" style="236" customWidth="1"/>
    <col min="7" max="7" width="12.140625" style="236" customWidth="1"/>
    <col min="8" max="8" width="14.42578125" style="233" customWidth="1"/>
    <col min="9" max="9" width="2.28515625" style="240" customWidth="1"/>
    <col min="10" max="10" width="11.7109375" style="236" customWidth="1"/>
    <col min="11" max="11" width="14.42578125" style="241" customWidth="1"/>
    <col min="12" max="12" width="2.28515625" style="241" customWidth="1"/>
    <col min="13" max="13" width="13.5703125" style="236" customWidth="1"/>
    <col min="14" max="14" width="10.85546875" style="242" customWidth="1"/>
    <col min="15" max="15" width="2.7109375" style="242" customWidth="1"/>
    <col min="16" max="16" width="14.5703125" style="236" customWidth="1"/>
    <col min="17" max="16384" width="9.28515625" style="236"/>
  </cols>
  <sheetData>
    <row r="1" spans="2:16" ht="14.85" customHeight="1" x14ac:dyDescent="0.25">
      <c r="B1" s="233" t="str">
        <f>'EXHIBIT JDT-3 RES'!B1</f>
        <v>NATIONAL FUEL GAS DISTRIBUTION CORPORATION</v>
      </c>
      <c r="F1" s="233"/>
      <c r="G1" s="233"/>
      <c r="I1" s="233"/>
      <c r="J1" s="233"/>
      <c r="K1" s="233"/>
      <c r="L1" s="233"/>
      <c r="M1" s="233"/>
      <c r="N1" s="233"/>
      <c r="O1" s="234"/>
      <c r="P1" s="235"/>
    </row>
    <row r="2" spans="2:16" ht="14.85" customHeight="1" x14ac:dyDescent="0.25">
      <c r="B2" s="233" t="str">
        <f>'EXHIBIT JDT-3 RES'!B2</f>
        <v>PENNSYLVANIA DIVISION</v>
      </c>
      <c r="F2" s="233"/>
      <c r="G2" s="233"/>
      <c r="I2" s="233"/>
      <c r="J2" s="233"/>
      <c r="K2" s="233"/>
      <c r="L2" s="233"/>
      <c r="M2" s="233"/>
      <c r="N2" s="233"/>
      <c r="O2" s="234"/>
      <c r="P2" s="235"/>
    </row>
    <row r="3" spans="2:16" ht="14.85" customHeight="1" x14ac:dyDescent="0.25">
      <c r="B3" s="233" t="str">
        <f>'EXHIBIT JDT-3 RES'!B3</f>
        <v>TWELVE MONTHS ENDED JULY 31, 2024</v>
      </c>
      <c r="C3" s="237"/>
      <c r="F3" s="238"/>
      <c r="G3" s="238"/>
      <c r="H3" s="238"/>
      <c r="I3" s="238"/>
      <c r="J3" s="238"/>
      <c r="K3" s="238"/>
      <c r="L3" s="238"/>
      <c r="M3" s="238"/>
      <c r="N3" s="238"/>
      <c r="O3" s="234"/>
      <c r="P3" s="235"/>
    </row>
    <row r="4" spans="2:16" ht="14.85" customHeight="1" x14ac:dyDescent="0.25">
      <c r="B4" s="237" t="s">
        <v>371</v>
      </c>
      <c r="C4" s="237"/>
      <c r="F4" s="238"/>
      <c r="G4" s="238"/>
      <c r="H4" s="238"/>
      <c r="I4" s="238"/>
      <c r="J4" s="238"/>
      <c r="K4" s="238"/>
      <c r="L4" s="238"/>
      <c r="M4" s="238"/>
      <c r="N4" s="238"/>
      <c r="O4" s="234"/>
      <c r="P4" s="235"/>
    </row>
    <row r="5" spans="2:16" ht="14.85" customHeight="1" x14ac:dyDescent="0.25">
      <c r="B5" s="237" t="s">
        <v>393</v>
      </c>
      <c r="C5" s="237"/>
      <c r="F5" s="238"/>
      <c r="G5" s="238"/>
      <c r="H5" s="238"/>
      <c r="I5" s="238"/>
      <c r="J5" s="238"/>
      <c r="K5" s="238"/>
      <c r="L5" s="238"/>
      <c r="M5" s="238"/>
      <c r="N5" s="238"/>
      <c r="O5" s="234"/>
      <c r="P5" s="235"/>
    </row>
    <row r="6" spans="2:16" ht="14.85" customHeight="1" x14ac:dyDescent="0.25">
      <c r="P6" s="235"/>
    </row>
    <row r="7" spans="2:16" ht="14.85" customHeight="1" x14ac:dyDescent="0.25">
      <c r="B7" s="243"/>
      <c r="C7" s="244"/>
      <c r="D7" s="247"/>
      <c r="E7" s="576"/>
      <c r="F7" s="244" t="s">
        <v>5</v>
      </c>
      <c r="G7" s="245" t="s">
        <v>6</v>
      </c>
      <c r="H7" s="246"/>
      <c r="I7" s="247"/>
      <c r="J7" s="245" t="s">
        <v>7</v>
      </c>
      <c r="K7" s="246"/>
      <c r="L7" s="248"/>
      <c r="M7" s="246" t="s">
        <v>8</v>
      </c>
      <c r="N7" s="249"/>
      <c r="O7" s="250"/>
      <c r="P7" s="235"/>
    </row>
    <row r="8" spans="2:16" ht="14.85" customHeight="1" x14ac:dyDescent="0.25">
      <c r="B8" s="385" t="s">
        <v>0</v>
      </c>
      <c r="C8" s="253"/>
      <c r="D8" s="386"/>
      <c r="E8" s="253" t="s">
        <v>9</v>
      </c>
      <c r="F8" s="253" t="s">
        <v>10</v>
      </c>
      <c r="G8" s="253" t="s">
        <v>11</v>
      </c>
      <c r="H8" s="254" t="s">
        <v>12</v>
      </c>
      <c r="I8" s="253"/>
      <c r="J8" s="253" t="s">
        <v>11</v>
      </c>
      <c r="K8" s="254" t="s">
        <v>12</v>
      </c>
      <c r="L8" s="254"/>
      <c r="M8" s="254" t="s">
        <v>13</v>
      </c>
      <c r="N8" s="255" t="s">
        <v>14</v>
      </c>
      <c r="O8" s="256"/>
      <c r="P8" s="235"/>
    </row>
    <row r="9" spans="2:16" ht="14.85" customHeight="1" x14ac:dyDescent="0.25">
      <c r="B9" s="257"/>
      <c r="C9" s="258"/>
      <c r="D9" s="247"/>
      <c r="E9" s="576"/>
      <c r="F9" s="258"/>
      <c r="G9" s="258"/>
      <c r="H9" s="258"/>
      <c r="I9" s="259"/>
      <c r="J9" s="258"/>
      <c r="K9" s="260"/>
      <c r="L9" s="260"/>
      <c r="M9" s="258"/>
      <c r="N9" s="261"/>
      <c r="P9" s="235"/>
    </row>
    <row r="10" spans="2:16" ht="14.85" customHeight="1" x14ac:dyDescent="0.25">
      <c r="B10" s="262" t="s">
        <v>66</v>
      </c>
      <c r="C10" s="263"/>
      <c r="D10" s="263" t="s">
        <v>65</v>
      </c>
      <c r="E10" s="578"/>
      <c r="F10" s="265"/>
      <c r="G10" s="265"/>
      <c r="H10" s="265"/>
      <c r="I10" s="266"/>
      <c r="J10" s="265"/>
      <c r="K10" s="267"/>
      <c r="L10" s="267"/>
      <c r="M10" s="267"/>
      <c r="N10" s="268"/>
      <c r="P10" s="235"/>
    </row>
    <row r="11" spans="2:16" ht="14.85" customHeight="1" x14ac:dyDescent="0.25">
      <c r="B11" s="269"/>
      <c r="C11" s="270"/>
      <c r="D11" s="295"/>
      <c r="E11" s="344"/>
      <c r="F11" s="270"/>
      <c r="G11" s="270"/>
      <c r="H11" s="270"/>
      <c r="I11" s="271"/>
      <c r="J11" s="270"/>
      <c r="K11" s="272"/>
      <c r="L11" s="272"/>
      <c r="M11" s="272"/>
      <c r="N11" s="273"/>
      <c r="P11" s="235"/>
    </row>
    <row r="12" spans="2:16" ht="14.85" customHeight="1" x14ac:dyDescent="0.25">
      <c r="B12" s="301" t="s">
        <v>184</v>
      </c>
      <c r="C12" s="291" t="s">
        <v>65</v>
      </c>
      <c r="D12" s="289" t="str">
        <f>VLOOKUP(C12,Rates!$B$3:$J$136,2,FALSE)</f>
        <v>SVIS_BSC</v>
      </c>
      <c r="E12" s="348" t="s">
        <v>165</v>
      </c>
      <c r="F12" s="277">
        <f>VLOOKUP(C12,Rates!$B:$J,4,FALSE)</f>
        <v>1333</v>
      </c>
      <c r="G12" s="418">
        <f>VLOOKUP($D12,Rates!$C$1:$J$136,5,FALSE)</f>
        <v>65.599999999999994</v>
      </c>
      <c r="H12" s="272">
        <f>SUM(+F12*G12)</f>
        <v>87444.799999999988</v>
      </c>
      <c r="I12" s="277"/>
      <c r="J12" s="279">
        <f>$J$76</f>
        <v>98.5</v>
      </c>
      <c r="K12" s="272">
        <f>SUM(+F12*J12)</f>
        <v>131300.5</v>
      </c>
      <c r="L12" s="272"/>
      <c r="M12" s="272">
        <f>K12-H12</f>
        <v>43855.700000000012</v>
      </c>
      <c r="N12" s="280">
        <f>IFERROR(ROUND(M12/H12,5), )</f>
        <v>0.50151999999999997</v>
      </c>
      <c r="P12" s="235"/>
    </row>
    <row r="13" spans="2:16" ht="14.85" customHeight="1" x14ac:dyDescent="0.25">
      <c r="B13" s="281" t="s">
        <v>170</v>
      </c>
      <c r="C13" s="291" t="s">
        <v>241</v>
      </c>
      <c r="D13" s="289" t="str">
        <f>VLOOKUP(C13,Rates!$B$3:$J$136,2,FALSE)</f>
        <v>SVIS_VOL</v>
      </c>
      <c r="E13" s="344" t="s">
        <v>162</v>
      </c>
      <c r="F13" s="277">
        <f>VLOOKUP(C13,Rates!$B:$J,5,FALSE)</f>
        <v>51040</v>
      </c>
      <c r="G13" s="278">
        <f>VLOOKUP($D13,Rates!$C$1:$J$136,7,FALSE)</f>
        <v>2.0531000000000001</v>
      </c>
      <c r="H13" s="272">
        <f t="shared" ref="H13" si="0">SUM(+F13*G13)</f>
        <v>104790.224</v>
      </c>
      <c r="I13" s="277"/>
      <c r="J13" s="282">
        <f>$J$77</f>
        <v>1.8742000000000001</v>
      </c>
      <c r="K13" s="272">
        <f t="shared" ref="K13" si="1">SUM(+F13*J13)</f>
        <v>95659.168000000005</v>
      </c>
      <c r="L13" s="272"/>
      <c r="M13" s="272">
        <f t="shared" ref="M13" si="2">K13-H13</f>
        <v>-9131.0559999999969</v>
      </c>
      <c r="N13" s="280">
        <f t="shared" ref="N13" si="3">IFERROR(ROUND(M13/H13,5), )</f>
        <v>-8.7139999999999995E-2</v>
      </c>
      <c r="O13" s="236"/>
      <c r="P13" s="235"/>
    </row>
    <row r="14" spans="2:16" ht="14.85" customHeight="1" x14ac:dyDescent="0.25">
      <c r="B14" s="290"/>
      <c r="C14" s="291"/>
      <c r="D14" s="364"/>
      <c r="E14" s="348"/>
      <c r="F14" s="277"/>
      <c r="G14" s="270"/>
      <c r="H14" s="272"/>
      <c r="I14" s="277"/>
      <c r="J14" s="270"/>
      <c r="K14" s="272"/>
      <c r="L14" s="272"/>
      <c r="M14" s="272"/>
      <c r="N14" s="280"/>
      <c r="O14" s="236"/>
      <c r="P14" s="235"/>
    </row>
    <row r="15" spans="2:16" ht="14.85" customHeight="1" x14ac:dyDescent="0.25">
      <c r="B15" s="269" t="s">
        <v>163</v>
      </c>
      <c r="C15" s="270"/>
      <c r="D15" s="289" t="s">
        <v>148</v>
      </c>
      <c r="E15" s="348" t="s">
        <v>279</v>
      </c>
      <c r="F15" s="277"/>
      <c r="G15" s="278">
        <f>VLOOKUP($D15,Rates!$C$1:$J$136,5,FALSE)</f>
        <v>0</v>
      </c>
      <c r="H15" s="272">
        <f>($F$13)*G15</f>
        <v>0</v>
      </c>
      <c r="I15" s="277"/>
      <c r="J15" s="387">
        <v>0</v>
      </c>
      <c r="K15" s="272">
        <f>($F$13)*J15</f>
        <v>0</v>
      </c>
      <c r="L15" s="272"/>
      <c r="M15" s="272">
        <f>K15-H15</f>
        <v>0</v>
      </c>
      <c r="N15" s="280">
        <f>IFERROR(ROUND(M15/H15,5), )</f>
        <v>0</v>
      </c>
      <c r="O15" s="236"/>
      <c r="P15" s="235"/>
    </row>
    <row r="16" spans="2:16" ht="14.85" customHeight="1" x14ac:dyDescent="0.25">
      <c r="B16" s="269" t="s">
        <v>283</v>
      </c>
      <c r="C16" s="295"/>
      <c r="D16" s="388" t="s">
        <v>289</v>
      </c>
      <c r="E16" s="344" t="s">
        <v>287</v>
      </c>
      <c r="F16" s="277"/>
      <c r="G16" s="278">
        <f>VLOOKUP($D16,Rates!$C$1:$J$136,5,FALSE)</f>
        <v>1.9966999999999999E-2</v>
      </c>
      <c r="H16" s="272">
        <f>($F$13)*G16</f>
        <v>1019.1156799999999</v>
      </c>
      <c r="I16" s="277"/>
      <c r="J16" s="387">
        <f>$J$80</f>
        <v>4.4499999999999998E-2</v>
      </c>
      <c r="K16" s="272">
        <f>($F$13)*J16</f>
        <v>2271.2799999999997</v>
      </c>
      <c r="L16" s="272"/>
      <c r="M16" s="272">
        <f t="shared" ref="M16" si="4">K16-H16</f>
        <v>1252.1643199999999</v>
      </c>
      <c r="N16" s="280">
        <f t="shared" ref="N16" si="5">IFERROR(ROUND(M16/H16,5), )</f>
        <v>1.22868</v>
      </c>
      <c r="O16" s="296"/>
      <c r="P16" s="235"/>
    </row>
    <row r="17" spans="2:16" ht="14.85" customHeight="1" x14ac:dyDescent="0.25">
      <c r="B17" s="269" t="s">
        <v>284</v>
      </c>
      <c r="C17" s="295"/>
      <c r="D17" s="388" t="s">
        <v>286</v>
      </c>
      <c r="E17" s="344" t="s">
        <v>288</v>
      </c>
      <c r="F17" s="277"/>
      <c r="G17" s="278">
        <f>VLOOKUP($D17,Rates!$C$1:$J$136,5,FALSE)</f>
        <v>0.105</v>
      </c>
      <c r="H17" s="272">
        <f>($F$13)*G17</f>
        <v>5359.2</v>
      </c>
      <c r="I17" s="277"/>
      <c r="J17" s="387">
        <f>$J$81</f>
        <v>0.1149</v>
      </c>
      <c r="K17" s="272">
        <f>($F$13)*J17</f>
        <v>5864.4960000000001</v>
      </c>
      <c r="L17" s="272"/>
      <c r="M17" s="272">
        <f t="shared" ref="M17" si="6">K17-H17</f>
        <v>505.29600000000028</v>
      </c>
      <c r="N17" s="280">
        <f t="shared" ref="N17" si="7">IFERROR(ROUND(M17/H17,5), )</f>
        <v>9.4289999999999999E-2</v>
      </c>
      <c r="O17" s="296"/>
      <c r="P17" s="235"/>
    </row>
    <row r="18" spans="2:16" ht="14.85" customHeight="1" x14ac:dyDescent="0.25">
      <c r="B18" s="269" t="s">
        <v>147</v>
      </c>
      <c r="C18" s="295"/>
      <c r="D18" s="289" t="s">
        <v>296</v>
      </c>
      <c r="E18" s="344" t="s">
        <v>290</v>
      </c>
      <c r="F18" s="277"/>
      <c r="G18" s="270"/>
      <c r="H18" s="272">
        <v>-1622</v>
      </c>
      <c r="I18" s="277"/>
      <c r="J18" s="387"/>
      <c r="K18" s="272"/>
      <c r="L18" s="272"/>
      <c r="M18" s="272">
        <f t="shared" ref="M18" si="8">K18-H18</f>
        <v>1622</v>
      </c>
      <c r="N18" s="280">
        <f t="shared" ref="N18" si="9">IFERROR(ROUND(M18/H18,5), )</f>
        <v>-1</v>
      </c>
      <c r="O18" s="296"/>
      <c r="P18" s="235"/>
    </row>
    <row r="19" spans="2:16" ht="14.85" customHeight="1" x14ac:dyDescent="0.25">
      <c r="B19" s="301"/>
      <c r="C19" s="295"/>
      <c r="D19" s="295"/>
      <c r="E19" s="579"/>
      <c r="F19" s="270"/>
      <c r="G19" s="302"/>
      <c r="H19" s="303"/>
      <c r="I19" s="277"/>
      <c r="J19" s="270"/>
      <c r="K19" s="272"/>
      <c r="L19" s="272"/>
      <c r="M19" s="272"/>
      <c r="N19" s="273"/>
      <c r="O19" s="296"/>
      <c r="P19" s="235"/>
    </row>
    <row r="20" spans="2:16" ht="14.85" customHeight="1" x14ac:dyDescent="0.25">
      <c r="B20" s="274" t="s">
        <v>16</v>
      </c>
      <c r="C20" s="276"/>
      <c r="D20" s="294"/>
      <c r="E20" s="348"/>
      <c r="F20" s="277"/>
      <c r="G20" s="270"/>
      <c r="H20" s="304">
        <f>SUM(H12:H19)</f>
        <v>196991.33967999998</v>
      </c>
      <c r="I20" s="277"/>
      <c r="J20" s="270"/>
      <c r="K20" s="304">
        <f>SUM(K12:K19)</f>
        <v>235095.44400000002</v>
      </c>
      <c r="L20" s="272"/>
      <c r="M20" s="304">
        <f>SUM(M12:M19)</f>
        <v>38104.104320000013</v>
      </c>
      <c r="N20" s="318">
        <f>IFERROR(ROUND(M20/H20,5), )</f>
        <v>0.19342999999999999</v>
      </c>
      <c r="O20" s="296"/>
      <c r="P20" s="235"/>
    </row>
    <row r="21" spans="2:16" ht="14.85" customHeight="1" x14ac:dyDescent="0.25">
      <c r="B21" s="274"/>
      <c r="C21" s="276"/>
      <c r="D21" s="294"/>
      <c r="E21" s="348"/>
      <c r="F21" s="277"/>
      <c r="G21" s="270"/>
      <c r="H21" s="272"/>
      <c r="I21" s="277"/>
      <c r="J21" s="270"/>
      <c r="K21" s="272"/>
      <c r="L21" s="272"/>
      <c r="M21" s="272"/>
      <c r="N21" s="280"/>
      <c r="O21" s="296"/>
      <c r="P21" s="235"/>
    </row>
    <row r="22" spans="2:16" ht="14.85" customHeight="1" x14ac:dyDescent="0.25">
      <c r="B22" s="274" t="s">
        <v>166</v>
      </c>
      <c r="C22" s="276"/>
      <c r="D22" s="294"/>
      <c r="E22" s="348"/>
      <c r="F22" s="277"/>
      <c r="G22" s="270"/>
      <c r="H22" s="272">
        <v>196991.37</v>
      </c>
      <c r="I22" s="277"/>
      <c r="J22" s="270"/>
      <c r="K22" s="272"/>
      <c r="L22" s="272"/>
      <c r="M22" s="272"/>
      <c r="N22" s="280"/>
      <c r="O22" s="296"/>
      <c r="P22" s="235"/>
    </row>
    <row r="23" spans="2:16" ht="14.85" customHeight="1" x14ac:dyDescent="0.25">
      <c r="B23" s="274"/>
      <c r="C23" s="276"/>
      <c r="D23" s="294"/>
      <c r="E23" s="348"/>
      <c r="F23" s="277"/>
      <c r="G23" s="270"/>
      <c r="H23" s="272"/>
      <c r="I23" s="277"/>
      <c r="J23" s="270"/>
      <c r="K23" s="272"/>
      <c r="L23" s="272"/>
      <c r="M23" s="272"/>
      <c r="N23" s="280"/>
      <c r="O23" s="296"/>
      <c r="P23" s="235"/>
    </row>
    <row r="24" spans="2:16" ht="14.85" customHeight="1" x14ac:dyDescent="0.25">
      <c r="B24" s="274" t="s">
        <v>167</v>
      </c>
      <c r="C24" s="276"/>
      <c r="D24" s="294"/>
      <c r="E24" s="348"/>
      <c r="F24" s="277"/>
      <c r="G24" s="270"/>
      <c r="H24" s="272">
        <f>H20-H22</f>
        <v>-3.0320000019855797E-2</v>
      </c>
      <c r="I24" s="277"/>
      <c r="J24" s="270"/>
      <c r="K24" s="272"/>
      <c r="L24" s="272"/>
      <c r="M24" s="272"/>
      <c r="N24" s="280"/>
      <c r="O24" s="296"/>
      <c r="P24" s="235"/>
    </row>
    <row r="25" spans="2:16" ht="14.85" customHeight="1" x14ac:dyDescent="0.25">
      <c r="B25" s="274" t="s">
        <v>168</v>
      </c>
      <c r="C25" s="276"/>
      <c r="D25" s="294"/>
      <c r="E25" s="348"/>
      <c r="F25" s="277"/>
      <c r="G25" s="270"/>
      <c r="H25" s="306">
        <f>H24/H20</f>
        <v>-1.5391539581947475E-7</v>
      </c>
      <c r="I25" s="277"/>
      <c r="J25" s="270"/>
      <c r="K25" s="272"/>
      <c r="L25" s="272"/>
      <c r="M25" s="272"/>
      <c r="N25" s="280"/>
      <c r="O25" s="296"/>
      <c r="P25" s="239"/>
    </row>
    <row r="26" spans="2:16" ht="14.85" customHeight="1" x14ac:dyDescent="0.25">
      <c r="B26" s="307"/>
      <c r="C26" s="390"/>
      <c r="D26" s="386"/>
      <c r="E26" s="577"/>
      <c r="F26" s="390"/>
      <c r="G26" s="390"/>
      <c r="H26" s="391"/>
      <c r="I26" s="392"/>
      <c r="J26" s="390"/>
      <c r="K26" s="391"/>
      <c r="L26" s="391"/>
      <c r="M26" s="391"/>
      <c r="N26" s="287"/>
      <c r="O26" s="236"/>
    </row>
    <row r="27" spans="2:16" ht="14.85" customHeight="1" x14ac:dyDescent="0.25">
      <c r="B27" s="262" t="s">
        <v>69</v>
      </c>
      <c r="C27" s="264"/>
      <c r="D27" s="393" t="s">
        <v>68</v>
      </c>
      <c r="E27" s="578"/>
      <c r="F27" s="265"/>
      <c r="G27" s="265"/>
      <c r="H27" s="267"/>
      <c r="I27" s="266"/>
      <c r="J27" s="265"/>
      <c r="K27" s="267"/>
      <c r="L27" s="267"/>
      <c r="M27" s="267"/>
      <c r="N27" s="312"/>
      <c r="O27" s="236"/>
    </row>
    <row r="28" spans="2:16" ht="14.85" customHeight="1" x14ac:dyDescent="0.25">
      <c r="B28" s="257"/>
      <c r="C28" s="258"/>
      <c r="D28" s="247"/>
      <c r="E28" s="576"/>
      <c r="F28" s="258"/>
      <c r="G28" s="258"/>
      <c r="H28" s="304"/>
      <c r="I28" s="313"/>
      <c r="J28" s="258"/>
      <c r="K28" s="304"/>
      <c r="L28" s="304"/>
      <c r="M28" s="304"/>
      <c r="N28" s="314"/>
      <c r="P28" s="315"/>
    </row>
    <row r="29" spans="2:16" ht="14.85" customHeight="1" x14ac:dyDescent="0.25">
      <c r="B29" s="274" t="s">
        <v>2</v>
      </c>
      <c r="C29" s="291" t="s">
        <v>68</v>
      </c>
      <c r="D29" s="289" t="str">
        <f>VLOOKUP(C29,Rates!$B$3:$J$136,2,FALSE)</f>
        <v>SVIS_BSC</v>
      </c>
      <c r="E29" s="348" t="s">
        <v>165</v>
      </c>
      <c r="F29" s="277">
        <f>VLOOKUP(C29,Rates!$B:$J,4,FALSE)</f>
        <v>744</v>
      </c>
      <c r="G29" s="418">
        <f>VLOOKUP($D29,Rates!$C$1:$J$136,5,FALSE)</f>
        <v>65.599999999999994</v>
      </c>
      <c r="H29" s="272">
        <f>SUM(+F29*G29)</f>
        <v>48806.399999999994</v>
      </c>
      <c r="I29" s="277"/>
      <c r="J29" s="279">
        <f>$J$76</f>
        <v>98.5</v>
      </c>
      <c r="K29" s="272">
        <f>SUM(+F29*J29)</f>
        <v>73284</v>
      </c>
      <c r="L29" s="272"/>
      <c r="M29" s="272">
        <f>K29-H29</f>
        <v>24477.600000000006</v>
      </c>
      <c r="N29" s="280">
        <f>IFERROR(ROUND(M29/H29,5), )</f>
        <v>0.50151999999999997</v>
      </c>
      <c r="P29" s="316"/>
    </row>
    <row r="30" spans="2:16" ht="14.85" customHeight="1" x14ac:dyDescent="0.25">
      <c r="B30" s="281" t="s">
        <v>170</v>
      </c>
      <c r="C30" s="291" t="s">
        <v>242</v>
      </c>
      <c r="D30" s="289" t="str">
        <f>VLOOKUP(C30,Rates!$B$3:$J$136,2,FALSE)</f>
        <v>SVIS_TRANS</v>
      </c>
      <c r="E30" s="344" t="s">
        <v>162</v>
      </c>
      <c r="F30" s="277">
        <f>VLOOKUP(C30,Rates!$B:$J,5,FALSE)</f>
        <v>35974</v>
      </c>
      <c r="G30" s="278">
        <f>VLOOKUP($D30,Rates!$C$1:$J$136,7,FALSE)</f>
        <v>2.1857000000000002</v>
      </c>
      <c r="H30" s="272">
        <f t="shared" ref="H30" si="10">SUM(+F30*G30)</f>
        <v>78628.371800000008</v>
      </c>
      <c r="I30" s="277"/>
      <c r="J30" s="282">
        <f>$J$77</f>
        <v>1.8742000000000001</v>
      </c>
      <c r="K30" s="272">
        <f t="shared" ref="K30" si="11">SUM(+F30*J30)</f>
        <v>67422.47080000001</v>
      </c>
      <c r="L30" s="272"/>
      <c r="M30" s="272">
        <f t="shared" ref="M30" si="12">K30-H30</f>
        <v>-11205.900999999998</v>
      </c>
      <c r="N30" s="280">
        <f t="shared" ref="N30" si="13">IFERROR(ROUND(M30/H30,5), )</f>
        <v>-0.14252000000000001</v>
      </c>
      <c r="P30" s="316"/>
    </row>
    <row r="31" spans="2:16" ht="14.85" customHeight="1" x14ac:dyDescent="0.25">
      <c r="B31" s="281"/>
      <c r="C31" s="291"/>
      <c r="D31" s="289"/>
      <c r="E31" s="344"/>
      <c r="F31" s="277"/>
      <c r="G31" s="278"/>
      <c r="H31" s="272"/>
      <c r="I31" s="277"/>
      <c r="J31" s="282"/>
      <c r="K31" s="272"/>
      <c r="L31" s="272"/>
      <c r="M31" s="272"/>
      <c r="N31" s="280"/>
      <c r="P31" s="316"/>
    </row>
    <row r="32" spans="2:16" ht="14.85" customHeight="1" x14ac:dyDescent="0.25">
      <c r="B32" s="269" t="s">
        <v>147</v>
      </c>
      <c r="C32" s="295"/>
      <c r="D32" s="289" t="s">
        <v>296</v>
      </c>
      <c r="E32" s="344" t="s">
        <v>290</v>
      </c>
      <c r="F32" s="277"/>
      <c r="G32" s="270"/>
      <c r="H32" s="272">
        <v>-323</v>
      </c>
      <c r="I32" s="277"/>
      <c r="J32" s="282"/>
      <c r="K32" s="272"/>
      <c r="L32" s="272"/>
      <c r="M32" s="272">
        <f t="shared" ref="M32" si="14">K32-H32</f>
        <v>323</v>
      </c>
      <c r="N32" s="280">
        <f t="shared" ref="N32" si="15">IFERROR(ROUND(M32/H32,5), )</f>
        <v>-1</v>
      </c>
      <c r="P32" s="316"/>
    </row>
    <row r="33" spans="2:16" ht="14.85" customHeight="1" x14ac:dyDescent="0.25">
      <c r="B33" s="290"/>
      <c r="C33" s="291"/>
      <c r="D33" s="364"/>
      <c r="E33" s="579"/>
      <c r="F33" s="270"/>
      <c r="G33" s="270"/>
      <c r="H33" s="303"/>
      <c r="I33" s="277"/>
      <c r="J33" s="270"/>
      <c r="K33" s="272"/>
      <c r="L33" s="272"/>
      <c r="M33" s="272"/>
      <c r="N33" s="273"/>
      <c r="O33" s="236"/>
      <c r="P33" s="317"/>
    </row>
    <row r="34" spans="2:16" ht="14.85" customHeight="1" x14ac:dyDescent="0.25">
      <c r="B34" s="274" t="s">
        <v>16</v>
      </c>
      <c r="C34" s="276"/>
      <c r="D34" s="294"/>
      <c r="E34" s="348"/>
      <c r="F34" s="270"/>
      <c r="G34" s="270"/>
      <c r="H34" s="304">
        <f>SUM(H29:H33)</f>
        <v>127111.7718</v>
      </c>
      <c r="I34" s="277"/>
      <c r="J34" s="270"/>
      <c r="K34" s="304">
        <f>SUM(K29:K33)</f>
        <v>140706.47080000001</v>
      </c>
      <c r="L34" s="272"/>
      <c r="M34" s="304">
        <f>SUM(M29:M33)</f>
        <v>13594.699000000008</v>
      </c>
      <c r="N34" s="318">
        <f>IFERROR(ROUND(M34/H34,5), )</f>
        <v>0.10695</v>
      </c>
      <c r="O34" s="236"/>
      <c r="P34" s="317"/>
    </row>
    <row r="35" spans="2:16" ht="14.85" customHeight="1" x14ac:dyDescent="0.25">
      <c r="B35" s="274"/>
      <c r="C35" s="276"/>
      <c r="D35" s="294"/>
      <c r="E35" s="348"/>
      <c r="F35" s="270"/>
      <c r="G35" s="270"/>
      <c r="H35" s="272"/>
      <c r="I35" s="277"/>
      <c r="J35" s="270"/>
      <c r="K35" s="272"/>
      <c r="L35" s="272"/>
      <c r="M35" s="272"/>
      <c r="N35" s="280"/>
      <c r="O35" s="236"/>
      <c r="P35" s="317"/>
    </row>
    <row r="36" spans="2:16" ht="14.85" customHeight="1" x14ac:dyDescent="0.25">
      <c r="B36" s="274" t="s">
        <v>166</v>
      </c>
      <c r="C36" s="276"/>
      <c r="D36" s="294"/>
      <c r="E36" s="348"/>
      <c r="F36" s="270"/>
      <c r="G36" s="270"/>
      <c r="H36" s="272">
        <v>127111.76999999999</v>
      </c>
      <c r="I36" s="277"/>
      <c r="J36" s="270"/>
      <c r="K36" s="272"/>
      <c r="L36" s="272"/>
      <c r="M36" s="272"/>
      <c r="N36" s="280"/>
      <c r="O36" s="236"/>
      <c r="P36" s="317"/>
    </row>
    <row r="37" spans="2:16" ht="14.85" customHeight="1" x14ac:dyDescent="0.25">
      <c r="B37" s="274"/>
      <c r="C37" s="276"/>
      <c r="D37" s="294"/>
      <c r="E37" s="348"/>
      <c r="F37" s="270"/>
      <c r="G37" s="270"/>
      <c r="H37" s="272"/>
      <c r="I37" s="277"/>
      <c r="J37" s="270"/>
      <c r="K37" s="272"/>
      <c r="L37" s="272"/>
      <c r="M37" s="272"/>
      <c r="N37" s="280"/>
      <c r="O37" s="236"/>
      <c r="P37" s="317"/>
    </row>
    <row r="38" spans="2:16" ht="14.85" customHeight="1" x14ac:dyDescent="0.25">
      <c r="B38" s="274" t="s">
        <v>167</v>
      </c>
      <c r="C38" s="276"/>
      <c r="D38" s="294"/>
      <c r="E38" s="348"/>
      <c r="F38" s="270"/>
      <c r="G38" s="270"/>
      <c r="H38" s="272">
        <f>H34-H36</f>
        <v>1.8000000127358362E-3</v>
      </c>
      <c r="I38" s="277"/>
      <c r="J38" s="270"/>
      <c r="K38" s="272"/>
      <c r="L38" s="272"/>
      <c r="M38" s="272"/>
      <c r="N38" s="280"/>
      <c r="O38" s="236"/>
      <c r="P38" s="317"/>
    </row>
    <row r="39" spans="2:16" ht="14.85" customHeight="1" x14ac:dyDescent="0.25">
      <c r="B39" s="274" t="s">
        <v>168</v>
      </c>
      <c r="C39" s="276"/>
      <c r="D39" s="294"/>
      <c r="E39" s="348"/>
      <c r="F39" s="270"/>
      <c r="G39" s="270"/>
      <c r="H39" s="306">
        <f>H38/H34</f>
        <v>1.4160765657235816E-8</v>
      </c>
      <c r="I39" s="277"/>
      <c r="J39" s="270"/>
      <c r="K39" s="272"/>
      <c r="L39" s="272"/>
      <c r="M39" s="272"/>
      <c r="N39" s="280"/>
      <c r="O39" s="236"/>
      <c r="P39" s="317"/>
    </row>
    <row r="40" spans="2:16" ht="14.85" customHeight="1" x14ac:dyDescent="0.25">
      <c r="B40" s="307"/>
      <c r="C40" s="390"/>
      <c r="D40" s="386"/>
      <c r="E40" s="577"/>
      <c r="F40" s="390"/>
      <c r="G40" s="390"/>
      <c r="H40" s="391"/>
      <c r="I40" s="390"/>
      <c r="J40" s="390"/>
      <c r="K40" s="391"/>
      <c r="L40" s="391"/>
      <c r="M40" s="391"/>
      <c r="N40" s="287"/>
      <c r="O40" s="236"/>
      <c r="P40" s="319"/>
    </row>
    <row r="41" spans="2:16" ht="14.85" customHeight="1" x14ac:dyDescent="0.25">
      <c r="B41" s="262" t="s">
        <v>71</v>
      </c>
      <c r="C41" s="264"/>
      <c r="D41" s="393" t="s">
        <v>70</v>
      </c>
      <c r="E41" s="578"/>
      <c r="F41" s="265"/>
      <c r="G41" s="265"/>
      <c r="H41" s="267"/>
      <c r="I41" s="266"/>
      <c r="J41" s="265"/>
      <c r="K41" s="267"/>
      <c r="L41" s="267"/>
      <c r="M41" s="267"/>
      <c r="N41" s="312"/>
      <c r="O41" s="236"/>
    </row>
    <row r="42" spans="2:16" ht="14.85" customHeight="1" x14ac:dyDescent="0.25">
      <c r="B42" s="257"/>
      <c r="C42" s="258"/>
      <c r="D42" s="247"/>
      <c r="E42" s="576"/>
      <c r="F42" s="258"/>
      <c r="G42" s="258"/>
      <c r="H42" s="304"/>
      <c r="I42" s="313"/>
      <c r="J42" s="258"/>
      <c r="K42" s="304"/>
      <c r="L42" s="304"/>
      <c r="M42" s="304"/>
      <c r="N42" s="314"/>
      <c r="P42" s="315"/>
    </row>
    <row r="43" spans="2:16" ht="14.85" customHeight="1" x14ac:dyDescent="0.25">
      <c r="B43" s="274" t="s">
        <v>2</v>
      </c>
      <c r="C43" s="291" t="s">
        <v>70</v>
      </c>
      <c r="D43" s="289" t="str">
        <f>VLOOKUP(C43,Rates!$B$3:$J$136,2,FALSE)</f>
        <v>SVIS_BSC</v>
      </c>
      <c r="E43" s="348" t="s">
        <v>165</v>
      </c>
      <c r="F43" s="277">
        <f>VLOOKUP(C43,Rates!$B:$J,4,FALSE)</f>
        <v>216</v>
      </c>
      <c r="G43" s="418">
        <f>VLOOKUP($D43,Rates!$C$1:$J$136,5,FALSE)</f>
        <v>65.599999999999994</v>
      </c>
      <c r="H43" s="272">
        <f>SUM(+F43*G43)</f>
        <v>14169.599999999999</v>
      </c>
      <c r="I43" s="277"/>
      <c r="J43" s="279">
        <f>$J$76</f>
        <v>98.5</v>
      </c>
      <c r="K43" s="272">
        <f>SUM(+F43*J43)</f>
        <v>21276</v>
      </c>
      <c r="L43" s="272"/>
      <c r="M43" s="272">
        <f>K43-H43</f>
        <v>7106.4000000000015</v>
      </c>
      <c r="N43" s="280">
        <f>IFERROR(ROUND(M43/H43,5), )</f>
        <v>0.50151999999999997</v>
      </c>
      <c r="P43" s="316"/>
    </row>
    <row r="44" spans="2:16" ht="14.85" customHeight="1" x14ac:dyDescent="0.25">
      <c r="B44" s="281" t="s">
        <v>170</v>
      </c>
      <c r="C44" s="291" t="s">
        <v>245</v>
      </c>
      <c r="D44" s="289" t="str">
        <f>VLOOKUP(C44,Rates!$B$3:$J$136,2,FALSE)</f>
        <v>SVIS_VOL</v>
      </c>
      <c r="E44" s="344" t="s">
        <v>162</v>
      </c>
      <c r="F44" s="277">
        <f>VLOOKUP(C44,Rates!$B:$J,5,FALSE)</f>
        <v>8406</v>
      </c>
      <c r="G44" s="278">
        <f>VLOOKUP($D44,Rates!$C$1:$J$136,7,FALSE)</f>
        <v>2.0531000000000001</v>
      </c>
      <c r="H44" s="272">
        <f t="shared" ref="H44" si="16">SUM(+F44*G44)</f>
        <v>17258.3586</v>
      </c>
      <c r="I44" s="277"/>
      <c r="J44" s="282">
        <f>$J$77</f>
        <v>1.8742000000000001</v>
      </c>
      <c r="K44" s="272">
        <f>SUM(+F44*J44)</f>
        <v>15754.5252</v>
      </c>
      <c r="L44" s="272"/>
      <c r="M44" s="272">
        <f>K44-H44</f>
        <v>-1503.8333999999995</v>
      </c>
      <c r="N44" s="280">
        <f>IFERROR(ROUND(M44/H44,5), )</f>
        <v>-8.7139999999999995E-2</v>
      </c>
      <c r="P44" s="316"/>
    </row>
    <row r="45" spans="2:16" ht="14.85" customHeight="1" x14ac:dyDescent="0.25">
      <c r="B45" s="321"/>
      <c r="C45" s="291"/>
      <c r="D45" s="394"/>
      <c r="E45" s="344"/>
      <c r="F45" s="277"/>
      <c r="G45" s="278"/>
      <c r="H45" s="272"/>
      <c r="I45" s="277"/>
      <c r="J45" s="282"/>
      <c r="K45" s="272"/>
      <c r="L45" s="272"/>
      <c r="M45" s="272"/>
      <c r="N45" s="280"/>
      <c r="P45" s="316"/>
    </row>
    <row r="46" spans="2:16" ht="14.85" customHeight="1" x14ac:dyDescent="0.25">
      <c r="B46" s="269" t="s">
        <v>163</v>
      </c>
      <c r="C46" s="270"/>
      <c r="D46" s="289" t="s">
        <v>148</v>
      </c>
      <c r="E46" s="348" t="s">
        <v>279</v>
      </c>
      <c r="F46" s="277"/>
      <c r="G46" s="278">
        <f>VLOOKUP($D46,Rates!$C$1:$J$136,5,FALSE)</f>
        <v>0</v>
      </c>
      <c r="H46" s="272">
        <f>$F$44*G46</f>
        <v>0</v>
      </c>
      <c r="I46" s="277"/>
      <c r="J46" s="387">
        <v>0</v>
      </c>
      <c r="K46" s="272">
        <f>$F$44*J46</f>
        <v>0</v>
      </c>
      <c r="L46" s="272"/>
      <c r="M46" s="272">
        <f>K46-H46</f>
        <v>0</v>
      </c>
      <c r="N46" s="280">
        <f>IFERROR(ROUND(M46/H46,5), )</f>
        <v>0</v>
      </c>
      <c r="O46" s="236"/>
      <c r="P46" s="324"/>
    </row>
    <row r="47" spans="2:16" ht="14.85" customHeight="1" x14ac:dyDescent="0.25">
      <c r="B47" s="269" t="s">
        <v>147</v>
      </c>
      <c r="C47" s="295"/>
      <c r="D47" s="289" t="s">
        <v>296</v>
      </c>
      <c r="E47" s="344" t="s">
        <v>290</v>
      </c>
      <c r="F47" s="277"/>
      <c r="G47" s="270"/>
      <c r="H47" s="272">
        <v>-78</v>
      </c>
      <c r="I47" s="277"/>
      <c r="J47" s="387"/>
      <c r="K47" s="272"/>
      <c r="L47" s="272"/>
      <c r="M47" s="272">
        <f>K47-H47</f>
        <v>78</v>
      </c>
      <c r="N47" s="280">
        <f>IFERROR(ROUND(M47/H47,5), )</f>
        <v>-1</v>
      </c>
      <c r="O47" s="236"/>
      <c r="P47" s="324"/>
    </row>
    <row r="48" spans="2:16" ht="14.85" customHeight="1" x14ac:dyDescent="0.25">
      <c r="B48" s="301"/>
      <c r="C48" s="295"/>
      <c r="D48" s="295"/>
      <c r="E48" s="579"/>
      <c r="F48" s="270"/>
      <c r="G48" s="302"/>
      <c r="H48" s="303"/>
      <c r="I48" s="277"/>
      <c r="J48" s="270"/>
      <c r="K48" s="272"/>
      <c r="L48" s="272"/>
      <c r="M48" s="272"/>
      <c r="N48" s="273"/>
      <c r="O48" s="296"/>
    </row>
    <row r="49" spans="2:16" ht="14.85" customHeight="1" x14ac:dyDescent="0.25">
      <c r="B49" s="274" t="s">
        <v>16</v>
      </c>
      <c r="C49" s="276"/>
      <c r="D49" s="294"/>
      <c r="E49" s="348"/>
      <c r="F49" s="270"/>
      <c r="G49" s="270"/>
      <c r="H49" s="304">
        <f>SUM(H43:H48)</f>
        <v>31349.958599999998</v>
      </c>
      <c r="I49" s="277"/>
      <c r="J49" s="270"/>
      <c r="K49" s="304">
        <f>SUM(K43:K48)</f>
        <v>37030.525200000004</v>
      </c>
      <c r="L49" s="272"/>
      <c r="M49" s="304">
        <f>SUM(M43:M48)</f>
        <v>5680.5666000000019</v>
      </c>
      <c r="N49" s="318">
        <f>IFERROR(ROUND(M49/H49,5), )</f>
        <v>0.1812</v>
      </c>
      <c r="O49" s="236"/>
      <c r="P49" s="317"/>
    </row>
    <row r="50" spans="2:16" ht="14.85" customHeight="1" x14ac:dyDescent="0.25">
      <c r="B50" s="274"/>
      <c r="C50" s="276"/>
      <c r="D50" s="294"/>
      <c r="E50" s="348"/>
      <c r="F50" s="270"/>
      <c r="G50" s="270"/>
      <c r="H50" s="272"/>
      <c r="I50" s="277"/>
      <c r="J50" s="270"/>
      <c r="K50" s="272"/>
      <c r="L50" s="272"/>
      <c r="M50" s="272"/>
      <c r="N50" s="280"/>
      <c r="O50" s="236"/>
      <c r="P50" s="317"/>
    </row>
    <row r="51" spans="2:16" ht="14.85" customHeight="1" x14ac:dyDescent="0.25">
      <c r="B51" s="274" t="s">
        <v>166</v>
      </c>
      <c r="C51" s="276"/>
      <c r="D51" s="294"/>
      <c r="E51" s="348"/>
      <c r="F51" s="270"/>
      <c r="G51" s="270"/>
      <c r="H51" s="272">
        <v>31349.958600000002</v>
      </c>
      <c r="I51" s="277"/>
      <c r="J51" s="270"/>
      <c r="K51" s="272"/>
      <c r="L51" s="272"/>
      <c r="M51" s="272"/>
      <c r="N51" s="280"/>
      <c r="O51" s="236"/>
      <c r="P51" s="317"/>
    </row>
    <row r="52" spans="2:16" ht="14.85" customHeight="1" x14ac:dyDescent="0.25">
      <c r="B52" s="274"/>
      <c r="C52" s="276"/>
      <c r="D52" s="294"/>
      <c r="E52" s="348"/>
      <c r="F52" s="270"/>
      <c r="G52" s="270"/>
      <c r="H52" s="272"/>
      <c r="I52" s="277"/>
      <c r="J52" s="270"/>
      <c r="K52" s="272"/>
      <c r="L52" s="272"/>
      <c r="M52" s="272"/>
      <c r="N52" s="280"/>
      <c r="O52" s="236"/>
      <c r="P52" s="317"/>
    </row>
    <row r="53" spans="2:16" ht="14.85" customHeight="1" x14ac:dyDescent="0.25">
      <c r="B53" s="274" t="s">
        <v>167</v>
      </c>
      <c r="C53" s="276"/>
      <c r="D53" s="294"/>
      <c r="E53" s="348"/>
      <c r="F53" s="270"/>
      <c r="G53" s="270"/>
      <c r="H53" s="272">
        <f>H49-H51</f>
        <v>0</v>
      </c>
      <c r="I53" s="277"/>
      <c r="J53" s="270"/>
      <c r="K53" s="272"/>
      <c r="L53" s="272"/>
      <c r="M53" s="272"/>
      <c r="N53" s="280"/>
      <c r="O53" s="236"/>
      <c r="P53" s="317"/>
    </row>
    <row r="54" spans="2:16" ht="14.85" customHeight="1" x14ac:dyDescent="0.25">
      <c r="B54" s="274" t="s">
        <v>168</v>
      </c>
      <c r="C54" s="276"/>
      <c r="D54" s="294"/>
      <c r="E54" s="348"/>
      <c r="F54" s="270"/>
      <c r="G54" s="270"/>
      <c r="H54" s="306">
        <f>H53/H49</f>
        <v>0</v>
      </c>
      <c r="I54" s="277"/>
      <c r="J54" s="270"/>
      <c r="K54" s="272"/>
      <c r="L54" s="272"/>
      <c r="M54" s="272"/>
      <c r="N54" s="280"/>
      <c r="O54" s="236"/>
      <c r="P54" s="317"/>
    </row>
    <row r="55" spans="2:16" ht="14.85" customHeight="1" x14ac:dyDescent="0.25">
      <c r="B55" s="307"/>
      <c r="C55" s="350"/>
      <c r="D55" s="369"/>
      <c r="E55" s="419"/>
      <c r="F55" s="350"/>
      <c r="G55" s="350"/>
      <c r="H55" s="285"/>
      <c r="I55" s="350"/>
      <c r="J55" s="350"/>
      <c r="K55" s="285"/>
      <c r="L55" s="285"/>
      <c r="M55" s="285"/>
      <c r="N55" s="287"/>
      <c r="O55" s="236"/>
      <c r="P55" s="319"/>
    </row>
    <row r="56" spans="2:16" s="270" customFormat="1" ht="14.85" customHeight="1" x14ac:dyDescent="0.25">
      <c r="D56" s="295"/>
      <c r="E56" s="344"/>
      <c r="H56" s="272"/>
      <c r="K56" s="272"/>
      <c r="L56" s="272"/>
      <c r="M56" s="272"/>
      <c r="N56" s="373"/>
      <c r="P56" s="366"/>
    </row>
    <row r="57" spans="2:16" s="270" customFormat="1" ht="14.85" customHeight="1" x14ac:dyDescent="0.25">
      <c r="B57" s="333" t="s">
        <v>299</v>
      </c>
      <c r="C57" s="334"/>
      <c r="D57" s="356"/>
      <c r="E57" s="580"/>
      <c r="F57" s="335" t="s">
        <v>162</v>
      </c>
      <c r="G57" s="258"/>
      <c r="H57" s="336" t="s">
        <v>3</v>
      </c>
      <c r="I57" s="259"/>
      <c r="J57" s="258"/>
      <c r="K57" s="337" t="s">
        <v>4</v>
      </c>
      <c r="L57" s="260"/>
      <c r="M57" s="337" t="s">
        <v>18</v>
      </c>
      <c r="N57" s="314"/>
      <c r="P57" s="366"/>
    </row>
    <row r="58" spans="2:16" s="270" customFormat="1" ht="14.85" customHeight="1" x14ac:dyDescent="0.25">
      <c r="B58" s="338" t="s">
        <v>16</v>
      </c>
      <c r="D58" s="295"/>
      <c r="E58" s="579"/>
      <c r="F58" s="339">
        <f>SUMIF(E12:E55,F57,F12:F55)</f>
        <v>95420</v>
      </c>
      <c r="H58" s="272">
        <f>H20+H34+H49</f>
        <v>355453.07007999998</v>
      </c>
      <c r="I58" s="277"/>
      <c r="K58" s="272">
        <f>K20+K34+K49</f>
        <v>412832.44000000006</v>
      </c>
      <c r="L58" s="272"/>
      <c r="M58" s="272">
        <f>K58-H58</f>
        <v>57379.369920000085</v>
      </c>
      <c r="N58" s="362">
        <f>M58/H58</f>
        <v>0.16142600739694274</v>
      </c>
      <c r="P58" s="366"/>
    </row>
    <row r="59" spans="2:16" s="270" customFormat="1" ht="14.85" customHeight="1" x14ac:dyDescent="0.25">
      <c r="B59" s="290"/>
      <c r="C59" s="291"/>
      <c r="D59" s="364"/>
      <c r="E59" s="581"/>
      <c r="F59" s="277"/>
      <c r="G59" s="277"/>
      <c r="H59" s="277"/>
      <c r="I59" s="277"/>
      <c r="J59" s="277"/>
      <c r="K59" s="277"/>
      <c r="L59" s="277"/>
      <c r="M59" s="277"/>
      <c r="N59" s="413"/>
      <c r="P59" s="366"/>
    </row>
    <row r="60" spans="2:16" s="270" customFormat="1" ht="14.85" customHeight="1" x14ac:dyDescent="0.25">
      <c r="B60" s="290"/>
      <c r="C60" s="291"/>
      <c r="D60" s="364"/>
      <c r="E60" s="581"/>
      <c r="F60" s="277"/>
      <c r="G60" s="277"/>
      <c r="H60" s="277"/>
      <c r="I60" s="277"/>
      <c r="J60" s="277"/>
      <c r="K60" s="277"/>
      <c r="L60" s="277"/>
      <c r="M60" s="277"/>
      <c r="N60" s="413"/>
      <c r="P60" s="366"/>
    </row>
    <row r="61" spans="2:16" s="270" customFormat="1" ht="14.85" customHeight="1" x14ac:dyDescent="0.25">
      <c r="B61" s="290"/>
      <c r="C61" s="291"/>
      <c r="D61" s="364"/>
      <c r="E61" s="579"/>
      <c r="H61" s="341" t="s">
        <v>3</v>
      </c>
      <c r="I61" s="342"/>
      <c r="J61" s="341"/>
      <c r="K61" s="343" t="s">
        <v>4</v>
      </c>
      <c r="L61" s="343"/>
      <c r="M61" s="343" t="s">
        <v>18</v>
      </c>
      <c r="N61" s="273"/>
      <c r="P61" s="366"/>
    </row>
    <row r="62" spans="2:16" s="270" customFormat="1" ht="14.85" customHeight="1" x14ac:dyDescent="0.25">
      <c r="B62" s="290"/>
      <c r="C62" s="291"/>
      <c r="D62" s="364"/>
      <c r="E62" s="344" t="s">
        <v>165</v>
      </c>
      <c r="F62" s="345"/>
      <c r="H62" s="339">
        <f>SUMIF($E$12:$E$55,E62,$H$12:$H$55)</f>
        <v>150420.79999999999</v>
      </c>
      <c r="I62" s="277"/>
      <c r="K62" s="339">
        <f>SUMIF($E$12:$E$55,E62,$K$12:$K$55)</f>
        <v>225860.5</v>
      </c>
      <c r="L62" s="279"/>
      <c r="M62" s="272">
        <f>K62-H62</f>
        <v>75439.700000000012</v>
      </c>
      <c r="N62" s="362">
        <f>IFERROR(ROUND(M62/H62,5), )</f>
        <v>0.50151999999999997</v>
      </c>
      <c r="P62" s="366"/>
    </row>
    <row r="63" spans="2:16" s="270" customFormat="1" ht="14.85" customHeight="1" x14ac:dyDescent="0.25">
      <c r="B63" s="290"/>
      <c r="C63" s="291"/>
      <c r="D63" s="364"/>
      <c r="E63" s="344" t="s">
        <v>162</v>
      </c>
      <c r="H63" s="339">
        <f t="shared" ref="H63:H67" si="17">SUMIF($E$12:$E$55,E63,$H$12:$H$55)</f>
        <v>200676.95440000002</v>
      </c>
      <c r="I63" s="277"/>
      <c r="K63" s="339">
        <f t="shared" ref="K63:K67" si="18">SUMIF($E$12:$E$55,E63,$K$12:$K$55)</f>
        <v>178836.16400000002</v>
      </c>
      <c r="L63" s="279"/>
      <c r="M63" s="272">
        <f t="shared" ref="M63:M67" si="19">K63-H63</f>
        <v>-21840.790399999998</v>
      </c>
      <c r="N63" s="362">
        <f t="shared" ref="N63:N67" si="20">IFERROR(ROUND(M63/H63,5), )</f>
        <v>-0.10884000000000001</v>
      </c>
      <c r="P63" s="366"/>
    </row>
    <row r="64" spans="2:16" s="270" customFormat="1" ht="14.85" customHeight="1" x14ac:dyDescent="0.25">
      <c r="B64" s="290"/>
      <c r="C64" s="291"/>
      <c r="D64" s="364"/>
      <c r="E64" s="348" t="s">
        <v>279</v>
      </c>
      <c r="H64" s="339">
        <f t="shared" si="17"/>
        <v>0</v>
      </c>
      <c r="I64" s="277"/>
      <c r="K64" s="339">
        <f t="shared" si="18"/>
        <v>0</v>
      </c>
      <c r="L64" s="279"/>
      <c r="M64" s="272">
        <f t="shared" si="19"/>
        <v>0</v>
      </c>
      <c r="N64" s="280">
        <f t="shared" si="20"/>
        <v>0</v>
      </c>
      <c r="P64" s="366"/>
    </row>
    <row r="65" spans="2:17" s="270" customFormat="1" ht="14.85" customHeight="1" x14ac:dyDescent="0.25">
      <c r="B65" s="290"/>
      <c r="C65" s="291"/>
      <c r="D65" s="364"/>
      <c r="E65" s="344" t="s">
        <v>287</v>
      </c>
      <c r="F65" s="277"/>
      <c r="H65" s="339">
        <f t="shared" si="17"/>
        <v>1019.1156799999999</v>
      </c>
      <c r="I65" s="277"/>
      <c r="K65" s="339">
        <f t="shared" si="18"/>
        <v>2271.2799999999997</v>
      </c>
      <c r="L65" s="279"/>
      <c r="M65" s="272">
        <f t="shared" si="19"/>
        <v>1252.1643199999999</v>
      </c>
      <c r="N65" s="280">
        <f t="shared" si="20"/>
        <v>1.22868</v>
      </c>
      <c r="P65" s="366"/>
    </row>
    <row r="66" spans="2:17" s="270" customFormat="1" ht="14.85" customHeight="1" x14ac:dyDescent="0.25">
      <c r="B66" s="290"/>
      <c r="C66" s="291"/>
      <c r="D66" s="364"/>
      <c r="E66" s="344" t="s">
        <v>288</v>
      </c>
      <c r="H66" s="339">
        <f t="shared" si="17"/>
        <v>5359.2</v>
      </c>
      <c r="I66" s="277"/>
      <c r="K66" s="339">
        <f t="shared" si="18"/>
        <v>5864.4960000000001</v>
      </c>
      <c r="L66" s="279"/>
      <c r="M66" s="272">
        <f t="shared" si="19"/>
        <v>505.29600000000028</v>
      </c>
      <c r="N66" s="280">
        <f t="shared" si="20"/>
        <v>9.4289999999999999E-2</v>
      </c>
      <c r="P66" s="366"/>
    </row>
    <row r="67" spans="2:17" s="270" customFormat="1" ht="14.85" customHeight="1" x14ac:dyDescent="0.25">
      <c r="B67" s="290"/>
      <c r="C67" s="291"/>
      <c r="D67" s="364"/>
      <c r="E67" s="344" t="s">
        <v>290</v>
      </c>
      <c r="H67" s="367">
        <f t="shared" si="17"/>
        <v>-2023</v>
      </c>
      <c r="I67" s="284"/>
      <c r="J67" s="350"/>
      <c r="K67" s="367">
        <f t="shared" si="18"/>
        <v>0</v>
      </c>
      <c r="L67" s="351"/>
      <c r="M67" s="285">
        <f t="shared" si="19"/>
        <v>2023</v>
      </c>
      <c r="N67" s="287">
        <f t="shared" si="20"/>
        <v>-1</v>
      </c>
      <c r="P67" s="366"/>
    </row>
    <row r="68" spans="2:17" s="270" customFormat="1" ht="14.85" customHeight="1" x14ac:dyDescent="0.25">
      <c r="B68" s="290"/>
      <c r="C68" s="291"/>
      <c r="D68" s="364"/>
      <c r="E68" s="579"/>
      <c r="H68" s="352">
        <f>SUM(H62:H67)</f>
        <v>355453.07007999998</v>
      </c>
      <c r="I68" s="277"/>
      <c r="K68" s="352">
        <f>SUM(K62:K67)</f>
        <v>412832.44</v>
      </c>
      <c r="L68" s="279"/>
      <c r="M68" s="352">
        <f>SUM(M62:M67)</f>
        <v>57379.369920000012</v>
      </c>
      <c r="N68" s="362">
        <f>IFERROR(ROUND(M68/H68,5), )</f>
        <v>0.16142999999999999</v>
      </c>
      <c r="P68" s="366"/>
    </row>
    <row r="69" spans="2:17" s="270" customFormat="1" ht="14.85" customHeight="1" x14ac:dyDescent="0.25">
      <c r="B69" s="290"/>
      <c r="C69" s="291"/>
      <c r="D69" s="364"/>
      <c r="E69" s="579"/>
      <c r="H69" s="291"/>
      <c r="I69" s="277"/>
      <c r="K69" s="279"/>
      <c r="L69" s="279"/>
      <c r="N69" s="340"/>
      <c r="P69" s="366"/>
    </row>
    <row r="70" spans="2:17" s="270" customFormat="1" ht="14.85" customHeight="1" x14ac:dyDescent="0.25">
      <c r="B70" s="274" t="s">
        <v>166</v>
      </c>
      <c r="C70" s="291"/>
      <c r="D70" s="364"/>
      <c r="E70" s="579"/>
      <c r="H70" s="353">
        <v>355453.09860000003</v>
      </c>
      <c r="I70" s="277"/>
      <c r="K70" s="339">
        <v>412835.80654239422</v>
      </c>
      <c r="L70" s="279"/>
      <c r="N70" s="340"/>
      <c r="P70" s="366"/>
    </row>
    <row r="71" spans="2:17" s="270" customFormat="1" ht="14.85" customHeight="1" x14ac:dyDescent="0.25">
      <c r="B71" s="274"/>
      <c r="C71" s="291"/>
      <c r="D71" s="364"/>
      <c r="E71" s="579"/>
      <c r="H71" s="291"/>
      <c r="I71" s="277"/>
      <c r="K71" s="279"/>
      <c r="L71" s="279"/>
      <c r="N71" s="340"/>
      <c r="P71" s="366"/>
    </row>
    <row r="72" spans="2:17" s="270" customFormat="1" ht="14.85" customHeight="1" x14ac:dyDescent="0.25">
      <c r="B72" s="274" t="s">
        <v>167</v>
      </c>
      <c r="C72" s="291"/>
      <c r="D72" s="364"/>
      <c r="E72" s="579"/>
      <c r="H72" s="272">
        <f>H68-H70</f>
        <v>-2.8520000050775707E-2</v>
      </c>
      <c r="I72" s="277"/>
      <c r="K72" s="272">
        <f>K68-K70</f>
        <v>-3.3665423942147754</v>
      </c>
      <c r="L72" s="279"/>
      <c r="N72" s="340"/>
      <c r="P72" s="366"/>
    </row>
    <row r="73" spans="2:17" s="270" customFormat="1" ht="14.85" customHeight="1" x14ac:dyDescent="0.25">
      <c r="B73" s="274" t="s">
        <v>168</v>
      </c>
      <c r="C73" s="291"/>
      <c r="D73" s="364"/>
      <c r="E73" s="579"/>
      <c r="H73" s="306">
        <f>H72/H68</f>
        <v>-8.0235627292111609E-8</v>
      </c>
      <c r="I73" s="277"/>
      <c r="K73" s="306">
        <f>K72/K68</f>
        <v>-8.1547428642351259E-6</v>
      </c>
      <c r="L73" s="279"/>
      <c r="N73" s="340"/>
      <c r="P73" s="366"/>
    </row>
    <row r="74" spans="2:17" s="270" customFormat="1" ht="14.85" customHeight="1" x14ac:dyDescent="0.25">
      <c r="B74" s="269"/>
      <c r="D74" s="295"/>
      <c r="E74" s="344"/>
      <c r="H74" s="272"/>
      <c r="K74" s="272"/>
      <c r="L74" s="272"/>
      <c r="M74" s="272"/>
      <c r="N74" s="280"/>
      <c r="P74" s="366"/>
    </row>
    <row r="75" spans="2:17" s="270" customFormat="1" ht="14.85" customHeight="1" thickBot="1" x14ac:dyDescent="0.3">
      <c r="B75" s="400" t="s">
        <v>297</v>
      </c>
      <c r="C75" s="334"/>
      <c r="D75" s="356"/>
      <c r="E75" s="580"/>
      <c r="F75" s="357"/>
      <c r="G75" s="686" t="s">
        <v>3</v>
      </c>
      <c r="H75" s="686"/>
      <c r="I75" s="259"/>
      <c r="J75" s="687" t="s">
        <v>4</v>
      </c>
      <c r="K75" s="688"/>
      <c r="L75" s="358"/>
      <c r="M75" s="358" t="s">
        <v>18</v>
      </c>
      <c r="N75" s="314"/>
      <c r="P75" s="366"/>
    </row>
    <row r="76" spans="2:17" s="270" customFormat="1" ht="14.85" customHeight="1" thickBot="1" x14ac:dyDescent="0.3">
      <c r="B76" s="401">
        <v>412835.80654239422</v>
      </c>
      <c r="D76" s="295"/>
      <c r="E76" s="344" t="s">
        <v>165</v>
      </c>
      <c r="F76" s="345">
        <f>SUMIF($E$12:$E$55,E76,$F$12:$F$55)</f>
        <v>2293</v>
      </c>
      <c r="G76" s="406">
        <f>G12</f>
        <v>65.599999999999994</v>
      </c>
      <c r="H76" s="339">
        <f>SUMIF($E$12:$E$55,E76,$H$12:$H$55)</f>
        <v>150420.79999999999</v>
      </c>
      <c r="I76" s="277"/>
      <c r="J76" s="604">
        <v>98.5</v>
      </c>
      <c r="K76" s="339">
        <f>J76*F76</f>
        <v>225860.5</v>
      </c>
      <c r="L76" s="279"/>
      <c r="M76" s="272">
        <f>K76-H76</f>
        <v>75439.700000000012</v>
      </c>
      <c r="N76" s="280">
        <f t="shared" ref="N76:N80" si="21">IFERROR(ROUND(M76/H76,5), )</f>
        <v>0.50151999999999997</v>
      </c>
      <c r="P76" s="366"/>
      <c r="Q76" s="406"/>
    </row>
    <row r="77" spans="2:17" s="270" customFormat="1" ht="14.85" customHeight="1" x14ac:dyDescent="0.25">
      <c r="B77" s="363"/>
      <c r="C77" s="291"/>
      <c r="D77" s="364"/>
      <c r="E77" s="344" t="s">
        <v>162</v>
      </c>
      <c r="F77" s="345">
        <f t="shared" ref="F77" si="22">SUMIF($E$12:$E$55,E77,$F$12:$F$55)</f>
        <v>95420</v>
      </c>
      <c r="G77" s="346"/>
      <c r="H77" s="339">
        <f t="shared" ref="H77:H82" si="23">SUMIF($E$12:$E$55,E77,$H$12:$H$55)</f>
        <v>200676.95440000002</v>
      </c>
      <c r="I77" s="277"/>
      <c r="J77" s="278">
        <f>ROUND(K77/F77,4)</f>
        <v>1.8742000000000001</v>
      </c>
      <c r="K77" s="339">
        <f>B76-SUM(K76,K80,K81)</f>
        <v>178839.5305423942</v>
      </c>
      <c r="L77" s="279"/>
      <c r="M77" s="272">
        <f t="shared" ref="M77:M82" si="24">K77-H77</f>
        <v>-21837.423857605812</v>
      </c>
      <c r="N77" s="280">
        <f t="shared" si="21"/>
        <v>-0.10882</v>
      </c>
      <c r="P77" s="366"/>
    </row>
    <row r="78" spans="2:17" s="270" customFormat="1" ht="14.85" customHeight="1" x14ac:dyDescent="0.25">
      <c r="B78" s="365" t="s">
        <v>15</v>
      </c>
      <c r="C78" s="291"/>
      <c r="D78" s="364"/>
      <c r="E78" s="348" t="s">
        <v>279</v>
      </c>
      <c r="F78" s="345"/>
      <c r="H78" s="339">
        <f t="shared" si="23"/>
        <v>0</v>
      </c>
      <c r="I78" s="277"/>
      <c r="J78" s="278"/>
      <c r="K78" s="339">
        <f t="shared" ref="K78:K82" si="25">J78*F78</f>
        <v>0</v>
      </c>
      <c r="L78" s="279"/>
      <c r="M78" s="272">
        <f t="shared" si="24"/>
        <v>0</v>
      </c>
      <c r="N78" s="280">
        <f t="shared" si="21"/>
        <v>0</v>
      </c>
      <c r="P78" s="366"/>
    </row>
    <row r="79" spans="2:17" s="270" customFormat="1" ht="14.85" customHeight="1" thickBot="1" x14ac:dyDescent="0.3">
      <c r="B79" s="365">
        <f>K58-B76</f>
        <v>-3.3665423941565678</v>
      </c>
      <c r="C79" s="291"/>
      <c r="D79" s="364"/>
      <c r="E79" s="344" t="s">
        <v>280</v>
      </c>
      <c r="F79" s="345"/>
      <c r="H79" s="339">
        <f t="shared" si="23"/>
        <v>0</v>
      </c>
      <c r="I79" s="277"/>
      <c r="J79" s="278"/>
      <c r="K79" s="339">
        <f t="shared" si="25"/>
        <v>0</v>
      </c>
      <c r="L79" s="279"/>
      <c r="M79" s="272">
        <f t="shared" si="24"/>
        <v>0</v>
      </c>
      <c r="N79" s="280">
        <f t="shared" si="21"/>
        <v>0</v>
      </c>
      <c r="P79" s="366"/>
    </row>
    <row r="80" spans="2:17" s="270" customFormat="1" ht="14.85" customHeight="1" thickBot="1" x14ac:dyDescent="0.3">
      <c r="B80" s="290"/>
      <c r="C80" s="291"/>
      <c r="D80" s="289" t="s">
        <v>289</v>
      </c>
      <c r="E80" s="344" t="s">
        <v>287</v>
      </c>
      <c r="F80" s="345">
        <f>F13</f>
        <v>51040</v>
      </c>
      <c r="H80" s="339">
        <f t="shared" si="23"/>
        <v>1019.1156799999999</v>
      </c>
      <c r="I80" s="277"/>
      <c r="J80" s="361">
        <f>VLOOKUP($D80,Rates!$C$1:$J$136,8,FALSE)</f>
        <v>4.4499999999999998E-2</v>
      </c>
      <c r="K80" s="339">
        <f t="shared" si="25"/>
        <v>2271.2799999999997</v>
      </c>
      <c r="L80" s="279"/>
      <c r="M80" s="272">
        <f t="shared" si="24"/>
        <v>1252.1643199999999</v>
      </c>
      <c r="N80" s="280">
        <f t="shared" si="21"/>
        <v>1.22868</v>
      </c>
      <c r="P80" s="366"/>
    </row>
    <row r="81" spans="2:16" s="270" customFormat="1" ht="14.85" customHeight="1" thickBot="1" x14ac:dyDescent="0.3">
      <c r="B81" s="290"/>
      <c r="C81" s="291"/>
      <c r="D81" s="289" t="s">
        <v>286</v>
      </c>
      <c r="E81" s="344" t="s">
        <v>288</v>
      </c>
      <c r="F81" s="345">
        <f>F80</f>
        <v>51040</v>
      </c>
      <c r="H81" s="339">
        <f t="shared" si="23"/>
        <v>5359.2</v>
      </c>
      <c r="I81" s="277"/>
      <c r="J81" s="361">
        <f>VLOOKUP($D81,Rates!$C$1:$J$136,8,FALSE)</f>
        <v>0.1149</v>
      </c>
      <c r="K81" s="339">
        <f t="shared" si="25"/>
        <v>5864.4960000000001</v>
      </c>
      <c r="L81" s="279"/>
      <c r="M81" s="272">
        <f t="shared" si="24"/>
        <v>505.29600000000028</v>
      </c>
      <c r="N81" s="280">
        <f>IFERROR(ROUND(M81/H81,5), )</f>
        <v>9.4289999999999999E-2</v>
      </c>
      <c r="P81" s="366"/>
    </row>
    <row r="82" spans="2:16" s="270" customFormat="1" ht="14.85" customHeight="1" x14ac:dyDescent="0.25">
      <c r="B82" s="290"/>
      <c r="C82" s="291"/>
      <c r="D82" s="364"/>
      <c r="E82" s="344" t="s">
        <v>290</v>
      </c>
      <c r="F82" s="345"/>
      <c r="H82" s="367">
        <f t="shared" si="23"/>
        <v>-2023</v>
      </c>
      <c r="I82" s="277"/>
      <c r="J82" s="278"/>
      <c r="K82" s="367">
        <f t="shared" si="25"/>
        <v>0</v>
      </c>
      <c r="L82" s="279"/>
      <c r="M82" s="285">
        <f t="shared" si="24"/>
        <v>2023</v>
      </c>
      <c r="N82" s="280">
        <f>IFERROR(ROUND(M82/H82,5), )</f>
        <v>-1</v>
      </c>
      <c r="P82" s="366"/>
    </row>
    <row r="83" spans="2:16" s="270" customFormat="1" ht="14.85" customHeight="1" x14ac:dyDescent="0.25">
      <c r="B83" s="269"/>
      <c r="D83" s="295"/>
      <c r="E83" s="579"/>
      <c r="H83" s="368">
        <f>SUM(H76:H82)</f>
        <v>355453.07007999998</v>
      </c>
      <c r="I83" s="277"/>
      <c r="J83" s="278"/>
      <c r="K83" s="368">
        <f>SUM(K76:K82)</f>
        <v>412835.80654239422</v>
      </c>
      <c r="L83" s="279"/>
      <c r="M83" s="368">
        <f>SUM(M76:M82)</f>
        <v>57382.736462394198</v>
      </c>
      <c r="N83" s="280">
        <f>IFERROR(ROUND(M83/H83,5), )</f>
        <v>0.16144</v>
      </c>
      <c r="P83" s="366"/>
    </row>
    <row r="84" spans="2:16" s="270" customFormat="1" ht="14.85" customHeight="1" x14ac:dyDescent="0.25">
      <c r="B84" s="307"/>
      <c r="C84" s="350"/>
      <c r="D84" s="369"/>
      <c r="E84" s="582"/>
      <c r="F84" s="350"/>
      <c r="G84" s="350"/>
      <c r="H84" s="370"/>
      <c r="I84" s="284"/>
      <c r="J84" s="371"/>
      <c r="K84" s="351"/>
      <c r="L84" s="351"/>
      <c r="M84" s="350"/>
      <c r="N84" s="372"/>
      <c r="P84" s="366"/>
    </row>
    <row r="85" spans="2:16" s="270" customFormat="1" ht="14.85" customHeight="1" x14ac:dyDescent="0.25">
      <c r="D85" s="295"/>
      <c r="E85" s="344"/>
      <c r="H85" s="272"/>
      <c r="K85" s="272"/>
      <c r="L85" s="272"/>
      <c r="M85" s="272"/>
      <c r="N85" s="373"/>
      <c r="P85" s="366"/>
    </row>
    <row r="86" spans="2:16" ht="14.85" customHeight="1" x14ac:dyDescent="0.25">
      <c r="B86" s="262" t="s">
        <v>73</v>
      </c>
      <c r="C86" s="264"/>
      <c r="D86" s="393" t="s">
        <v>72</v>
      </c>
      <c r="E86" s="578"/>
      <c r="F86" s="265"/>
      <c r="G86" s="265"/>
      <c r="H86" s="267"/>
      <c r="I86" s="266"/>
      <c r="J86" s="265"/>
      <c r="K86" s="267"/>
      <c r="L86" s="267"/>
      <c r="M86" s="267"/>
      <c r="N86" s="312"/>
      <c r="O86" s="236"/>
    </row>
    <row r="87" spans="2:16" ht="14.85" customHeight="1" x14ac:dyDescent="0.25">
      <c r="B87" s="290"/>
      <c r="C87" s="291"/>
      <c r="D87" s="364"/>
      <c r="E87" s="579"/>
      <c r="F87" s="270"/>
      <c r="G87" s="270"/>
      <c r="H87" s="272"/>
      <c r="I87" s="325"/>
      <c r="J87" s="270"/>
      <c r="K87" s="272"/>
      <c r="L87" s="272"/>
      <c r="M87" s="272"/>
      <c r="N87" s="273"/>
    </row>
    <row r="88" spans="2:16" ht="14.85" customHeight="1" x14ac:dyDescent="0.25">
      <c r="B88" s="301" t="s">
        <v>184</v>
      </c>
      <c r="C88" s="291" t="s">
        <v>72</v>
      </c>
      <c r="D88" s="289" t="str">
        <f>VLOOKUP(C88,Rates!$B$3:$J$136,2,FALSE)</f>
        <v>IVIS_BSC</v>
      </c>
      <c r="E88" s="348" t="s">
        <v>165</v>
      </c>
      <c r="F88" s="277">
        <f>VLOOKUP(C88,Rates!$B:$J,4,FALSE)</f>
        <v>669</v>
      </c>
      <c r="G88" s="418">
        <f>VLOOKUP($D88,Rates!$C$1:$J$136,5,FALSE)</f>
        <v>201.91</v>
      </c>
      <c r="H88" s="272">
        <f>SUM(+F88*G88)</f>
        <v>135077.79</v>
      </c>
      <c r="I88" s="277"/>
      <c r="J88" s="279">
        <f>$J$172</f>
        <v>303</v>
      </c>
      <c r="K88" s="272">
        <f>SUM(+F88*J88)</f>
        <v>202707</v>
      </c>
      <c r="L88" s="272"/>
      <c r="M88" s="272">
        <f>K88-H88</f>
        <v>67629.209999999992</v>
      </c>
      <c r="N88" s="280">
        <f>IFERROR(ROUND(M88/H88,5), )</f>
        <v>0.50066999999999995</v>
      </c>
      <c r="O88" s="326"/>
    </row>
    <row r="89" spans="2:16" ht="14.85" customHeight="1" x14ac:dyDescent="0.25">
      <c r="B89" s="281" t="s">
        <v>250</v>
      </c>
      <c r="C89" s="291" t="s">
        <v>247</v>
      </c>
      <c r="D89" s="289" t="str">
        <f>VLOOKUP(C89,Rates!$B$3:$J$136,2,FALSE)</f>
        <v>IVIS_B1</v>
      </c>
      <c r="E89" s="344" t="s">
        <v>162</v>
      </c>
      <c r="F89" s="277">
        <f>VLOOKUP(C89,Rates!$B:$J,5,FALSE)</f>
        <v>42803</v>
      </c>
      <c r="G89" s="278">
        <f>VLOOKUP($D89,Rates!$C$1:$J$136,7,FALSE)</f>
        <v>1.4947999999999999</v>
      </c>
      <c r="H89" s="272">
        <f t="shared" ref="H89:H91" si="26">SUM(+F89*G89)</f>
        <v>63981.924399999996</v>
      </c>
      <c r="I89" s="277"/>
      <c r="J89" s="279"/>
      <c r="K89" s="272">
        <f t="shared" ref="K89:K92" si="27">SUM(+F89*J89)</f>
        <v>0</v>
      </c>
      <c r="L89" s="272"/>
      <c r="M89" s="272"/>
      <c r="N89" s="280">
        <f t="shared" ref="N89:N91" si="28">IFERROR(ROUND(M89/H89,5), )</f>
        <v>0</v>
      </c>
      <c r="O89" s="326"/>
    </row>
    <row r="90" spans="2:16" ht="14.85" customHeight="1" x14ac:dyDescent="0.25">
      <c r="B90" s="281" t="s">
        <v>121</v>
      </c>
      <c r="C90" s="291" t="s">
        <v>248</v>
      </c>
      <c r="D90" s="289" t="str">
        <f>VLOOKUP(C90,Rates!$B$3:$J$136,2,FALSE)</f>
        <v>IVIS_B2</v>
      </c>
      <c r="E90" s="344" t="s">
        <v>162</v>
      </c>
      <c r="F90" s="277">
        <f>VLOOKUP(C90,Rates!$B:$J,5,FALSE)</f>
        <v>123969.8</v>
      </c>
      <c r="G90" s="278">
        <f>VLOOKUP($D90,Rates!$C$1:$J$136,7,FALSE)</f>
        <v>1.0999000000000001</v>
      </c>
      <c r="H90" s="272">
        <f t="shared" si="26"/>
        <v>136354.38302000001</v>
      </c>
      <c r="I90" s="277"/>
      <c r="J90" s="279"/>
      <c r="K90" s="272">
        <f t="shared" si="27"/>
        <v>0</v>
      </c>
      <c r="L90" s="272"/>
      <c r="M90" s="272"/>
      <c r="N90" s="280">
        <f t="shared" si="28"/>
        <v>0</v>
      </c>
      <c r="O90" s="326"/>
    </row>
    <row r="91" spans="2:16" ht="14.85" customHeight="1" x14ac:dyDescent="0.25">
      <c r="B91" s="283" t="s">
        <v>115</v>
      </c>
      <c r="C91" s="291" t="s">
        <v>249</v>
      </c>
      <c r="D91" s="289" t="str">
        <f>VLOOKUP(C91,Rates!$B$3:$J$136,2,FALSE)</f>
        <v>IVIS_B3</v>
      </c>
      <c r="E91" s="344" t="s">
        <v>162</v>
      </c>
      <c r="F91" s="284">
        <f>VLOOKUP(C91,Rates!$B:$J,5,FALSE)</f>
        <v>20237.099999999999</v>
      </c>
      <c r="G91" s="278">
        <f>VLOOKUP($D91,Rates!$C$1:$J$136,7,FALSE)</f>
        <v>0.79079999999999995</v>
      </c>
      <c r="H91" s="285">
        <f t="shared" si="26"/>
        <v>16003.498679999997</v>
      </c>
      <c r="I91" s="277"/>
      <c r="J91" s="351"/>
      <c r="K91" s="285">
        <f t="shared" si="27"/>
        <v>0</v>
      </c>
      <c r="L91" s="272"/>
      <c r="M91" s="285"/>
      <c r="N91" s="287">
        <f t="shared" si="28"/>
        <v>0</v>
      </c>
      <c r="O91" s="326"/>
    </row>
    <row r="92" spans="2:16" ht="14.85" customHeight="1" x14ac:dyDescent="0.25">
      <c r="B92" s="281" t="s">
        <v>298</v>
      </c>
      <c r="C92" s="291"/>
      <c r="D92" s="289" t="s">
        <v>350</v>
      </c>
      <c r="E92" s="344"/>
      <c r="F92" s="277">
        <f>SUM(F89:F91)</f>
        <v>187009.9</v>
      </c>
      <c r="G92" s="278"/>
      <c r="H92" s="277">
        <f>SUM(H89:H91)</f>
        <v>216339.80609999999</v>
      </c>
      <c r="I92" s="277"/>
      <c r="J92" s="282">
        <f>$J$173</f>
        <v>1.1675</v>
      </c>
      <c r="K92" s="272">
        <f t="shared" si="27"/>
        <v>218334.05825</v>
      </c>
      <c r="L92" s="272"/>
      <c r="M92" s="272">
        <f>K92-H92</f>
        <v>1994.2521500000148</v>
      </c>
      <c r="N92" s="280">
        <f>IFERROR(ROUND(M92/H92,5), )</f>
        <v>9.2200000000000008E-3</v>
      </c>
      <c r="O92" s="326"/>
    </row>
    <row r="93" spans="2:16" ht="14.85" customHeight="1" x14ac:dyDescent="0.25">
      <c r="B93" s="290"/>
      <c r="C93" s="291"/>
      <c r="D93" s="364"/>
      <c r="E93" s="583"/>
      <c r="F93" s="277"/>
      <c r="G93" s="279"/>
      <c r="H93" s="272"/>
      <c r="I93" s="277"/>
      <c r="J93" s="279"/>
      <c r="K93" s="272"/>
      <c r="L93" s="272"/>
      <c r="M93" s="272"/>
      <c r="N93" s="280"/>
      <c r="O93" s="326"/>
    </row>
    <row r="94" spans="2:16" ht="14.85" customHeight="1" x14ac:dyDescent="0.25">
      <c r="B94" s="269" t="s">
        <v>163</v>
      </c>
      <c r="C94" s="270"/>
      <c r="D94" s="289" t="s">
        <v>148</v>
      </c>
      <c r="E94" s="348" t="s">
        <v>279</v>
      </c>
      <c r="F94" s="277"/>
      <c r="G94" s="278">
        <f>VLOOKUP($D94,Rates!$C$1:$J$136,5,FALSE)</f>
        <v>0</v>
      </c>
      <c r="H94" s="272">
        <f>($F$89+$F$90+$F$91)*G94</f>
        <v>0</v>
      </c>
      <c r="I94" s="277"/>
      <c r="J94" s="387">
        <v>0</v>
      </c>
      <c r="K94" s="272">
        <f>($F$89+$F$90+$F$91)*J94</f>
        <v>0</v>
      </c>
      <c r="L94" s="272"/>
      <c r="M94" s="272">
        <f t="shared" ref="M94:M95" si="29">K94-H94</f>
        <v>0</v>
      </c>
      <c r="N94" s="280">
        <f t="shared" ref="N94:N95" si="30">IFERROR(ROUND(M94/H94,5), )</f>
        <v>0</v>
      </c>
      <c r="O94" s="326"/>
    </row>
    <row r="95" spans="2:16" ht="14.85" customHeight="1" x14ac:dyDescent="0.25">
      <c r="B95" s="269" t="s">
        <v>283</v>
      </c>
      <c r="C95" s="295"/>
      <c r="D95" s="388" t="s">
        <v>289</v>
      </c>
      <c r="E95" s="344" t="s">
        <v>287</v>
      </c>
      <c r="F95" s="277"/>
      <c r="G95" s="278">
        <f>VLOOKUP($D95,Rates!$C$1:$J$136,5,FALSE)</f>
        <v>1.9966999999999999E-2</v>
      </c>
      <c r="H95" s="272">
        <f>($F$89+$F$90+$F$91)*G95</f>
        <v>3734.0266732999994</v>
      </c>
      <c r="I95" s="277"/>
      <c r="J95" s="387">
        <f>$J$176</f>
        <v>4.4499999999999998E-2</v>
      </c>
      <c r="K95" s="272">
        <f>($F$89+$F$90+$F$91)*J95</f>
        <v>8321.9405499999993</v>
      </c>
      <c r="L95" s="272"/>
      <c r="M95" s="272">
        <f t="shared" si="29"/>
        <v>4587.9138767000004</v>
      </c>
      <c r="N95" s="280">
        <f t="shared" si="30"/>
        <v>1.22868</v>
      </c>
      <c r="O95" s="326"/>
    </row>
    <row r="96" spans="2:16" ht="14.85" customHeight="1" x14ac:dyDescent="0.25">
      <c r="B96" s="269" t="s">
        <v>284</v>
      </c>
      <c r="C96" s="295"/>
      <c r="D96" s="388" t="s">
        <v>286</v>
      </c>
      <c r="E96" s="344" t="s">
        <v>288</v>
      </c>
      <c r="F96" s="277"/>
      <c r="G96" s="278">
        <f>VLOOKUP($D96,Rates!$C$1:$J$136,5,FALSE)</f>
        <v>0.105</v>
      </c>
      <c r="H96" s="272">
        <f>($F$89+$F$90+$F$91)*G96</f>
        <v>19636.039499999999</v>
      </c>
      <c r="I96" s="277"/>
      <c r="J96" s="387">
        <f>$J$177</f>
        <v>0.1149</v>
      </c>
      <c r="K96" s="272">
        <f>($F$89+$F$90+$F$91)*J96</f>
        <v>21487.43751</v>
      </c>
      <c r="L96" s="272"/>
      <c r="M96" s="272">
        <f t="shared" ref="M96" si="31">K96-H96</f>
        <v>1851.3980100000008</v>
      </c>
      <c r="N96" s="280">
        <f t="shared" ref="N96" si="32">IFERROR(ROUND(M96/H96,5), )</f>
        <v>9.4289999999999999E-2</v>
      </c>
      <c r="O96" s="326"/>
    </row>
    <row r="97" spans="2:15" ht="14.85" customHeight="1" x14ac:dyDescent="0.25">
      <c r="B97" s="269" t="s">
        <v>147</v>
      </c>
      <c r="C97" s="295"/>
      <c r="D97" s="289" t="s">
        <v>296</v>
      </c>
      <c r="E97" s="344" t="s">
        <v>290</v>
      </c>
      <c r="F97" s="277"/>
      <c r="G97" s="270"/>
      <c r="H97" s="272">
        <v>-5087</v>
      </c>
      <c r="I97" s="277"/>
      <c r="J97" s="282">
        <v>0</v>
      </c>
      <c r="K97" s="272">
        <f>($F$89+$F$90+$F$91)*J97</f>
        <v>0</v>
      </c>
      <c r="L97" s="272"/>
      <c r="M97" s="272">
        <f t="shared" ref="M97" si="33">K97-H97</f>
        <v>5087</v>
      </c>
      <c r="N97" s="280">
        <f t="shared" ref="N97" si="34">IFERROR(ROUND(M97/H97,5), )</f>
        <v>-1</v>
      </c>
      <c r="O97" s="326"/>
    </row>
    <row r="98" spans="2:15" ht="14.85" customHeight="1" x14ac:dyDescent="0.25">
      <c r="B98" s="301"/>
      <c r="C98" s="295"/>
      <c r="D98" s="295"/>
      <c r="E98" s="583"/>
      <c r="F98" s="277"/>
      <c r="G98" s="279"/>
      <c r="H98" s="285"/>
      <c r="I98" s="277"/>
      <c r="J98" s="279"/>
      <c r="K98" s="285"/>
      <c r="L98" s="285"/>
      <c r="M98" s="285"/>
      <c r="N98" s="280"/>
      <c r="O98" s="326"/>
    </row>
    <row r="99" spans="2:15" ht="14.85" customHeight="1" x14ac:dyDescent="0.25">
      <c r="B99" s="274" t="s">
        <v>16</v>
      </c>
      <c r="C99" s="276"/>
      <c r="D99" s="294"/>
      <c r="E99" s="583"/>
      <c r="F99" s="277"/>
      <c r="G99" s="279"/>
      <c r="H99" s="272">
        <f>SUM(H92:H98)+H88</f>
        <v>369700.6622733</v>
      </c>
      <c r="I99" s="277"/>
      <c r="J99" s="279"/>
      <c r="K99" s="272">
        <f>SUM(K92:K98)+K88</f>
        <v>450850.43631000002</v>
      </c>
      <c r="L99" s="272"/>
      <c r="M99" s="272">
        <f>SUM(M92:M98)+M88</f>
        <v>81149.774036700008</v>
      </c>
      <c r="N99" s="318">
        <f>IFERROR(ROUND(M99/H99,5), )</f>
        <v>0.2195</v>
      </c>
      <c r="O99" s="326"/>
    </row>
    <row r="100" spans="2:15" ht="14.85" customHeight="1" x14ac:dyDescent="0.25">
      <c r="B100" s="274"/>
      <c r="C100" s="276"/>
      <c r="D100" s="294"/>
      <c r="E100" s="583"/>
      <c r="F100" s="277"/>
      <c r="G100" s="279"/>
      <c r="H100" s="272"/>
      <c r="I100" s="277"/>
      <c r="J100" s="279"/>
      <c r="K100" s="272"/>
      <c r="L100" s="272"/>
      <c r="M100" s="272"/>
      <c r="N100" s="280"/>
      <c r="O100" s="326"/>
    </row>
    <row r="101" spans="2:15" ht="14.85" customHeight="1" x14ac:dyDescent="0.25">
      <c r="B101" s="274" t="s">
        <v>166</v>
      </c>
      <c r="C101" s="276"/>
      <c r="D101" s="294"/>
      <c r="E101" s="583"/>
      <c r="F101" s="277"/>
      <c r="G101" s="279"/>
      <c r="H101" s="272">
        <v>369700.5700000003</v>
      </c>
      <c r="I101" s="277"/>
      <c r="J101" s="279"/>
      <c r="K101" s="272"/>
      <c r="L101" s="272"/>
      <c r="M101" s="272"/>
      <c r="N101" s="280"/>
      <c r="O101" s="326"/>
    </row>
    <row r="102" spans="2:15" ht="14.85" customHeight="1" x14ac:dyDescent="0.25">
      <c r="B102" s="274"/>
      <c r="C102" s="276"/>
      <c r="D102" s="294"/>
      <c r="E102" s="344"/>
      <c r="F102" s="270"/>
      <c r="G102" s="270"/>
      <c r="H102" s="272"/>
      <c r="I102" s="270"/>
      <c r="J102" s="270"/>
      <c r="K102" s="272"/>
      <c r="L102" s="272"/>
      <c r="M102" s="272"/>
      <c r="N102" s="280"/>
      <c r="O102" s="326"/>
    </row>
    <row r="103" spans="2:15" ht="14.85" customHeight="1" x14ac:dyDescent="0.25">
      <c r="B103" s="274" t="s">
        <v>167</v>
      </c>
      <c r="C103" s="276"/>
      <c r="D103" s="294"/>
      <c r="E103" s="348"/>
      <c r="F103" s="277"/>
      <c r="G103" s="277"/>
      <c r="H103" s="272">
        <f>H99-H101</f>
        <v>9.2273299698717892E-2</v>
      </c>
      <c r="I103" s="277"/>
      <c r="J103" s="270"/>
      <c r="K103" s="272"/>
      <c r="L103" s="272"/>
      <c r="M103" s="272"/>
      <c r="N103" s="273"/>
      <c r="O103" s="326"/>
    </row>
    <row r="104" spans="2:15" ht="14.85" customHeight="1" x14ac:dyDescent="0.25">
      <c r="B104" s="274" t="s">
        <v>168</v>
      </c>
      <c r="C104" s="276"/>
      <c r="D104" s="294"/>
      <c r="E104" s="344"/>
      <c r="F104" s="270"/>
      <c r="G104" s="270"/>
      <c r="H104" s="306">
        <f>H103/H99</f>
        <v>2.4958921937365956E-7</v>
      </c>
      <c r="I104" s="277"/>
      <c r="J104" s="270"/>
      <c r="K104" s="272"/>
      <c r="L104" s="272"/>
      <c r="M104" s="272"/>
      <c r="N104" s="273"/>
      <c r="O104" s="296"/>
    </row>
    <row r="105" spans="2:15" ht="14.85" customHeight="1" x14ac:dyDescent="0.25">
      <c r="B105" s="395"/>
      <c r="C105" s="396"/>
      <c r="D105" s="397"/>
      <c r="E105" s="577"/>
      <c r="F105" s="390"/>
      <c r="G105" s="390"/>
      <c r="H105" s="398"/>
      <c r="I105" s="392"/>
      <c r="J105" s="390"/>
      <c r="K105" s="391"/>
      <c r="L105" s="391"/>
      <c r="M105" s="391"/>
      <c r="N105" s="372"/>
      <c r="O105" s="296"/>
    </row>
    <row r="106" spans="2:15" ht="14.85" customHeight="1" x14ac:dyDescent="0.25">
      <c r="B106" s="262" t="s">
        <v>75</v>
      </c>
      <c r="C106" s="264"/>
      <c r="D106" s="393" t="s">
        <v>74</v>
      </c>
      <c r="E106" s="578"/>
      <c r="F106" s="265"/>
      <c r="G106" s="265"/>
      <c r="H106" s="267"/>
      <c r="I106" s="266"/>
      <c r="J106" s="265"/>
      <c r="K106" s="267"/>
      <c r="L106" s="267"/>
      <c r="M106" s="267"/>
      <c r="N106" s="312"/>
      <c r="O106" s="236"/>
    </row>
    <row r="107" spans="2:15" ht="14.85" customHeight="1" x14ac:dyDescent="0.25">
      <c r="B107" s="290"/>
      <c r="C107" s="291"/>
      <c r="D107" s="364"/>
      <c r="E107" s="579"/>
      <c r="F107" s="270"/>
      <c r="G107" s="270"/>
      <c r="H107" s="272"/>
      <c r="I107" s="325"/>
      <c r="J107" s="270"/>
      <c r="K107" s="272"/>
      <c r="L107" s="272"/>
      <c r="M107" s="272"/>
      <c r="N107" s="273"/>
    </row>
    <row r="108" spans="2:15" ht="14.85" customHeight="1" x14ac:dyDescent="0.25">
      <c r="B108" s="301" t="s">
        <v>184</v>
      </c>
      <c r="C108" s="291" t="s">
        <v>74</v>
      </c>
      <c r="D108" s="289" t="str">
        <f>VLOOKUP(C108,Rates!$B$3:$J$136,2,FALSE)</f>
        <v>IVIS_BSC</v>
      </c>
      <c r="E108" s="348" t="s">
        <v>165</v>
      </c>
      <c r="F108" s="277">
        <f>VLOOKUP(C108,Rates!$B:$J,4,FALSE)</f>
        <v>3275</v>
      </c>
      <c r="G108" s="418">
        <f>VLOOKUP($D108,Rates!$C$1:$J$136,5,FALSE)</f>
        <v>201.91</v>
      </c>
      <c r="H108" s="272">
        <f>SUM(+F108*G108)</f>
        <v>661255.25</v>
      </c>
      <c r="I108" s="277"/>
      <c r="J108" s="279">
        <f>$J$172</f>
        <v>303</v>
      </c>
      <c r="K108" s="272">
        <f>SUM(+F108*J108)</f>
        <v>992325</v>
      </c>
      <c r="L108" s="272"/>
      <c r="M108" s="272">
        <f>K108-H108</f>
        <v>331069.75</v>
      </c>
      <c r="N108" s="280">
        <f>IFERROR(ROUND(M108/H108,5), )</f>
        <v>0.50066999999999995</v>
      </c>
      <c r="O108" s="326"/>
    </row>
    <row r="109" spans="2:15" ht="14.85" customHeight="1" x14ac:dyDescent="0.25">
      <c r="B109" s="281" t="s">
        <v>170</v>
      </c>
      <c r="C109" s="291" t="s">
        <v>251</v>
      </c>
      <c r="D109" s="289" t="str">
        <f>VLOOKUP(C109,Rates!$B$3:$J$136,2,FALSE)</f>
        <v>IVIS_TRANS_MMT</v>
      </c>
      <c r="E109" s="344" t="s">
        <v>162</v>
      </c>
      <c r="F109" s="277">
        <f>VLOOKUP(C109,Rates!$B:$J,5,FALSE)</f>
        <v>2358513</v>
      </c>
      <c r="G109" s="278">
        <f>VLOOKUP($D109,Rates!$C$1:$J$136,7,FALSE)</f>
        <v>1.0904</v>
      </c>
      <c r="H109" s="272">
        <f t="shared" ref="H109" si="35">SUM(+F109*G109)</f>
        <v>2571722.5752000003</v>
      </c>
      <c r="I109" s="277"/>
      <c r="J109" s="282">
        <f>$J$173</f>
        <v>1.1675</v>
      </c>
      <c r="K109" s="272">
        <f t="shared" ref="K109" si="36">SUM(+F109*J109)</f>
        <v>2753563.9274999998</v>
      </c>
      <c r="L109" s="272"/>
      <c r="M109" s="272">
        <f t="shared" ref="M109" si="37">K109-H109</f>
        <v>181841.35229999945</v>
      </c>
      <c r="N109" s="280">
        <f t="shared" ref="N109" si="38">IFERROR(ROUND(M109/H109,5), )</f>
        <v>7.0709999999999995E-2</v>
      </c>
      <c r="O109" s="326"/>
    </row>
    <row r="110" spans="2:15" ht="14.85" customHeight="1" x14ac:dyDescent="0.25">
      <c r="B110" s="281"/>
      <c r="C110" s="291"/>
      <c r="D110" s="289"/>
      <c r="E110" s="344"/>
      <c r="F110" s="277"/>
      <c r="G110" s="278"/>
      <c r="H110" s="272"/>
      <c r="I110" s="277"/>
      <c r="J110" s="282"/>
      <c r="K110" s="272"/>
      <c r="L110" s="272"/>
      <c r="M110" s="272"/>
      <c r="N110" s="280"/>
      <c r="O110" s="326"/>
    </row>
    <row r="111" spans="2:15" ht="14.85" customHeight="1" x14ac:dyDescent="0.25">
      <c r="B111" s="269" t="s">
        <v>147</v>
      </c>
      <c r="C111" s="295"/>
      <c r="D111" s="289" t="s">
        <v>296</v>
      </c>
      <c r="E111" s="344" t="s">
        <v>290</v>
      </c>
      <c r="F111" s="277"/>
      <c r="G111" s="270"/>
      <c r="H111" s="272">
        <v>-9537</v>
      </c>
      <c r="I111" s="277"/>
      <c r="J111" s="282"/>
      <c r="K111" s="272"/>
      <c r="L111" s="272"/>
      <c r="M111" s="272">
        <f t="shared" ref="M111" si="39">K111-H111</f>
        <v>9537</v>
      </c>
      <c r="N111" s="280">
        <f t="shared" ref="N111" si="40">IFERROR(ROUND(M111/H111,5), )</f>
        <v>-1</v>
      </c>
      <c r="O111" s="326"/>
    </row>
    <row r="112" spans="2:15" ht="14.85" customHeight="1" x14ac:dyDescent="0.25">
      <c r="B112" s="281"/>
      <c r="C112" s="291"/>
      <c r="D112" s="289"/>
      <c r="E112" s="344"/>
      <c r="F112" s="277"/>
      <c r="G112" s="278"/>
      <c r="H112" s="285"/>
      <c r="I112" s="277"/>
      <c r="J112" s="282"/>
      <c r="K112" s="272"/>
      <c r="L112" s="272"/>
      <c r="M112" s="272"/>
      <c r="N112" s="280"/>
      <c r="O112" s="326"/>
    </row>
    <row r="113" spans="2:15" ht="14.85" customHeight="1" x14ac:dyDescent="0.25">
      <c r="B113" s="274" t="s">
        <v>16</v>
      </c>
      <c r="C113" s="276"/>
      <c r="D113" s="294"/>
      <c r="E113" s="583"/>
      <c r="F113" s="277"/>
      <c r="G113" s="279"/>
      <c r="H113" s="272">
        <f>SUM(H108:H112)</f>
        <v>3223440.8252000003</v>
      </c>
      <c r="I113" s="277"/>
      <c r="J113" s="279"/>
      <c r="K113" s="304">
        <f>SUM(K108:K112)</f>
        <v>3745888.9274999998</v>
      </c>
      <c r="L113" s="272"/>
      <c r="M113" s="304">
        <f>SUM(M108:M112)</f>
        <v>522448.10229999945</v>
      </c>
      <c r="N113" s="318">
        <f>IFERROR(ROUND(M113/H113,5), )</f>
        <v>0.16208</v>
      </c>
      <c r="O113" s="326"/>
    </row>
    <row r="114" spans="2:15" ht="14.85" customHeight="1" x14ac:dyDescent="0.25">
      <c r="B114" s="274"/>
      <c r="C114" s="276"/>
      <c r="D114" s="294"/>
      <c r="E114" s="583"/>
      <c r="F114" s="277"/>
      <c r="G114" s="279"/>
      <c r="H114" s="272"/>
      <c r="I114" s="277"/>
      <c r="J114" s="279"/>
      <c r="K114" s="272"/>
      <c r="L114" s="272"/>
      <c r="M114" s="272"/>
      <c r="N114" s="280"/>
      <c r="O114" s="326"/>
    </row>
    <row r="115" spans="2:15" ht="14.85" customHeight="1" x14ac:dyDescent="0.25">
      <c r="B115" s="274" t="s">
        <v>166</v>
      </c>
      <c r="C115" s="276"/>
      <c r="D115" s="294"/>
      <c r="E115" s="583"/>
      <c r="F115" s="277"/>
      <c r="G115" s="279"/>
      <c r="H115" s="272">
        <v>3223440.83</v>
      </c>
      <c r="I115" s="277"/>
      <c r="J115" s="279"/>
      <c r="K115" s="272"/>
      <c r="L115" s="272"/>
      <c r="M115" s="272"/>
      <c r="N115" s="280"/>
      <c r="O115" s="326"/>
    </row>
    <row r="116" spans="2:15" ht="14.85" customHeight="1" x14ac:dyDescent="0.25">
      <c r="B116" s="274"/>
      <c r="C116" s="276"/>
      <c r="D116" s="294"/>
      <c r="E116" s="344"/>
      <c r="F116" s="270"/>
      <c r="G116" s="270"/>
      <c r="H116" s="272"/>
      <c r="I116" s="270"/>
      <c r="J116" s="270"/>
      <c r="K116" s="272"/>
      <c r="L116" s="272"/>
      <c r="M116" s="272"/>
      <c r="N116" s="280"/>
      <c r="O116" s="326"/>
    </row>
    <row r="117" spans="2:15" ht="14.85" customHeight="1" x14ac:dyDescent="0.25">
      <c r="B117" s="274" t="s">
        <v>167</v>
      </c>
      <c r="C117" s="276"/>
      <c r="D117" s="294"/>
      <c r="E117" s="348"/>
      <c r="F117" s="277"/>
      <c r="G117" s="277"/>
      <c r="H117" s="272">
        <f>H113-H115</f>
        <v>-4.799999762326479E-3</v>
      </c>
      <c r="I117" s="277"/>
      <c r="J117" s="270"/>
      <c r="K117" s="272"/>
      <c r="L117" s="272"/>
      <c r="M117" s="272"/>
      <c r="N117" s="273"/>
      <c r="O117" s="326"/>
    </row>
    <row r="118" spans="2:15" ht="14.85" customHeight="1" x14ac:dyDescent="0.25">
      <c r="B118" s="274" t="s">
        <v>168</v>
      </c>
      <c r="C118" s="276"/>
      <c r="D118" s="294"/>
      <c r="E118" s="344"/>
      <c r="F118" s="270"/>
      <c r="G118" s="270"/>
      <c r="H118" s="306">
        <f>H117/H113</f>
        <v>-1.4890919432431833E-9</v>
      </c>
      <c r="I118" s="277"/>
      <c r="J118" s="270"/>
      <c r="K118" s="272"/>
      <c r="L118" s="272"/>
      <c r="M118" s="272"/>
      <c r="N118" s="273"/>
      <c r="O118" s="296"/>
    </row>
    <row r="119" spans="2:15" ht="14.85" customHeight="1" x14ac:dyDescent="0.25">
      <c r="B119" s="395"/>
      <c r="C119" s="396"/>
      <c r="D119" s="397"/>
      <c r="E119" s="577"/>
      <c r="F119" s="390"/>
      <c r="G119" s="390"/>
      <c r="H119" s="398"/>
      <c r="I119" s="392"/>
      <c r="J119" s="390"/>
      <c r="K119" s="391"/>
      <c r="L119" s="391"/>
      <c r="M119" s="391"/>
      <c r="N119" s="372"/>
      <c r="O119" s="296"/>
    </row>
    <row r="120" spans="2:15" ht="14.85" customHeight="1" x14ac:dyDescent="0.25">
      <c r="B120" s="262" t="s">
        <v>77</v>
      </c>
      <c r="C120" s="264"/>
      <c r="D120" s="393" t="s">
        <v>76</v>
      </c>
      <c r="E120" s="578"/>
      <c r="F120" s="265"/>
      <c r="G120" s="265"/>
      <c r="H120" s="267"/>
      <c r="I120" s="266"/>
      <c r="J120" s="265"/>
      <c r="K120" s="267"/>
      <c r="L120" s="267"/>
      <c r="M120" s="267"/>
      <c r="N120" s="312"/>
      <c r="O120" s="236"/>
    </row>
    <row r="121" spans="2:15" ht="14.85" customHeight="1" x14ac:dyDescent="0.25">
      <c r="B121" s="290"/>
      <c r="C121" s="291"/>
      <c r="D121" s="364"/>
      <c r="E121" s="579"/>
      <c r="F121" s="270"/>
      <c r="G121" s="270"/>
      <c r="H121" s="272"/>
      <c r="I121" s="325"/>
      <c r="J121" s="270"/>
      <c r="K121" s="272"/>
      <c r="L121" s="272"/>
      <c r="M121" s="272"/>
      <c r="N121" s="273"/>
    </row>
    <row r="122" spans="2:15" ht="14.85" customHeight="1" x14ac:dyDescent="0.25">
      <c r="B122" s="301" t="s">
        <v>184</v>
      </c>
      <c r="C122" s="291" t="s">
        <v>76</v>
      </c>
      <c r="D122" s="289" t="str">
        <f>VLOOKUP(C122,Rates!$B$3:$J$136,2,FALSE)</f>
        <v>IVIS_BSC</v>
      </c>
      <c r="E122" s="348" t="s">
        <v>165</v>
      </c>
      <c r="F122" s="277">
        <f>VLOOKUP(C122,Rates!$B:$J,4,FALSE)</f>
        <v>240</v>
      </c>
      <c r="G122" s="418">
        <f>VLOOKUP($D122,Rates!$C$1:$J$136,5,FALSE)</f>
        <v>201.91</v>
      </c>
      <c r="H122" s="272">
        <f>SUM(+F122*G122)</f>
        <v>48458.400000000001</v>
      </c>
      <c r="I122" s="277"/>
      <c r="J122" s="279">
        <f>$J$172</f>
        <v>303</v>
      </c>
      <c r="K122" s="272">
        <f>SUM(+F122*J122)</f>
        <v>72720</v>
      </c>
      <c r="L122" s="272"/>
      <c r="M122" s="272">
        <f>K122-H122</f>
        <v>24261.599999999999</v>
      </c>
      <c r="N122" s="280">
        <f>IFERROR(ROUND(M122/H122,5), )</f>
        <v>0.50066999999999995</v>
      </c>
      <c r="O122" s="326"/>
    </row>
    <row r="123" spans="2:15" ht="14.85" customHeight="1" x14ac:dyDescent="0.25">
      <c r="B123" s="281" t="s">
        <v>170</v>
      </c>
      <c r="C123" s="291" t="s">
        <v>253</v>
      </c>
      <c r="D123" s="289" t="str">
        <f>VLOOKUP(C123,Rates!$B$3:$J$136,2,FALSE)</f>
        <v>IVIS_TRANS_DMT</v>
      </c>
      <c r="E123" s="344" t="s">
        <v>162</v>
      </c>
      <c r="F123" s="277">
        <f>VLOOKUP(C123,Rates!$B:$J,5,FALSE)</f>
        <v>557980</v>
      </c>
      <c r="G123" s="278">
        <f>VLOOKUP($D123,Rates!$C$1:$J$136,7,FALSE)</f>
        <v>1.0704</v>
      </c>
      <c r="H123" s="272">
        <f t="shared" ref="H123" si="41">SUM(+F123*G123)</f>
        <v>597261.79200000002</v>
      </c>
      <c r="I123" s="277"/>
      <c r="J123" s="282">
        <f>$J$173</f>
        <v>1.1675</v>
      </c>
      <c r="K123" s="272">
        <f t="shared" ref="K123" si="42">SUM(+F123*J123)</f>
        <v>651441.65</v>
      </c>
      <c r="L123" s="272"/>
      <c r="M123" s="272">
        <f t="shared" ref="M123" si="43">K123-H123</f>
        <v>54179.858000000007</v>
      </c>
      <c r="N123" s="280">
        <f t="shared" ref="N123" si="44">IFERROR(ROUND(M123/H123,5), )</f>
        <v>9.0709999999999999E-2</v>
      </c>
      <c r="O123" s="326"/>
    </row>
    <row r="124" spans="2:15" ht="14.85" customHeight="1" x14ac:dyDescent="0.25">
      <c r="B124" s="281"/>
      <c r="C124" s="291"/>
      <c r="D124" s="289"/>
      <c r="E124" s="344"/>
      <c r="F124" s="277"/>
      <c r="G124" s="278"/>
      <c r="H124" s="272"/>
      <c r="I124" s="277"/>
      <c r="J124" s="282"/>
      <c r="K124" s="272"/>
      <c r="L124" s="272"/>
      <c r="M124" s="272"/>
      <c r="N124" s="280"/>
      <c r="O124" s="326"/>
    </row>
    <row r="125" spans="2:15" ht="14.85" customHeight="1" x14ac:dyDescent="0.25">
      <c r="B125" s="269" t="s">
        <v>147</v>
      </c>
      <c r="C125" s="295"/>
      <c r="D125" s="289" t="s">
        <v>296</v>
      </c>
      <c r="E125" s="344" t="s">
        <v>290</v>
      </c>
      <c r="F125" s="277"/>
      <c r="G125" s="270"/>
      <c r="H125" s="272">
        <v>-1428</v>
      </c>
      <c r="I125" s="277"/>
      <c r="J125" s="279"/>
      <c r="K125" s="272"/>
      <c r="L125" s="272"/>
      <c r="M125" s="272">
        <f t="shared" ref="M125" si="45">K125-H125</f>
        <v>1428</v>
      </c>
      <c r="N125" s="280">
        <f t="shared" ref="N125" si="46">IFERROR(ROUND(M125/H125,5), )</f>
        <v>-1</v>
      </c>
      <c r="O125" s="326"/>
    </row>
    <row r="126" spans="2:15" ht="14.85" customHeight="1" x14ac:dyDescent="0.25">
      <c r="B126" s="269"/>
      <c r="C126" s="295"/>
      <c r="D126" s="289"/>
      <c r="E126" s="344"/>
      <c r="F126" s="277"/>
      <c r="G126" s="270"/>
      <c r="H126" s="285"/>
      <c r="I126" s="277"/>
      <c r="J126" s="279"/>
      <c r="K126" s="272"/>
      <c r="L126" s="272"/>
      <c r="M126" s="285"/>
      <c r="N126" s="280"/>
      <c r="O126" s="326"/>
    </row>
    <row r="127" spans="2:15" ht="14.85" customHeight="1" x14ac:dyDescent="0.25">
      <c r="B127" s="274" t="s">
        <v>16</v>
      </c>
      <c r="C127" s="276"/>
      <c r="D127" s="294"/>
      <c r="E127" s="583"/>
      <c r="F127" s="277"/>
      <c r="G127" s="279"/>
      <c r="H127" s="272">
        <f>SUM(H122:H126)</f>
        <v>644292.19200000004</v>
      </c>
      <c r="I127" s="277"/>
      <c r="J127" s="279"/>
      <c r="K127" s="272">
        <f>SUM(K122:K126)</f>
        <v>724161.65</v>
      </c>
      <c r="L127" s="272"/>
      <c r="M127" s="272">
        <f>SUM(M122:M126)</f>
        <v>79869.458000000013</v>
      </c>
      <c r="N127" s="318">
        <f>IFERROR(ROUND(M127/H127,5), )</f>
        <v>0.12396</v>
      </c>
      <c r="O127" s="326"/>
    </row>
    <row r="128" spans="2:15" ht="14.85" customHeight="1" x14ac:dyDescent="0.25">
      <c r="B128" s="274"/>
      <c r="C128" s="276"/>
      <c r="D128" s="294"/>
      <c r="E128" s="583"/>
      <c r="F128" s="277"/>
      <c r="G128" s="279"/>
      <c r="H128" s="272"/>
      <c r="I128" s="277"/>
      <c r="J128" s="279"/>
      <c r="K128" s="272"/>
      <c r="L128" s="272"/>
      <c r="M128" s="272"/>
      <c r="N128" s="280"/>
      <c r="O128" s="326"/>
    </row>
    <row r="129" spans="2:15" ht="14.85" customHeight="1" x14ac:dyDescent="0.25">
      <c r="B129" s="274" t="s">
        <v>166</v>
      </c>
      <c r="C129" s="276"/>
      <c r="D129" s="294"/>
      <c r="E129" s="583"/>
      <c r="F129" s="277"/>
      <c r="G129" s="279"/>
      <c r="H129" s="272">
        <v>644292.19999999995</v>
      </c>
      <c r="I129" s="277"/>
      <c r="J129" s="279"/>
      <c r="K129" s="272"/>
      <c r="L129" s="272"/>
      <c r="M129" s="272"/>
      <c r="N129" s="280"/>
      <c r="O129" s="326"/>
    </row>
    <row r="130" spans="2:15" ht="14.85" customHeight="1" x14ac:dyDescent="0.25">
      <c r="B130" s="274"/>
      <c r="C130" s="276"/>
      <c r="D130" s="294"/>
      <c r="E130" s="344"/>
      <c r="F130" s="270"/>
      <c r="G130" s="270"/>
      <c r="H130" s="272"/>
      <c r="I130" s="270"/>
      <c r="J130" s="270"/>
      <c r="K130" s="272"/>
      <c r="L130" s="272"/>
      <c r="M130" s="272"/>
      <c r="N130" s="280"/>
      <c r="O130" s="326"/>
    </row>
    <row r="131" spans="2:15" ht="14.85" customHeight="1" x14ac:dyDescent="0.25">
      <c r="B131" s="274" t="s">
        <v>167</v>
      </c>
      <c r="C131" s="276"/>
      <c r="D131" s="294"/>
      <c r="E131" s="348"/>
      <c r="F131" s="277"/>
      <c r="G131" s="277"/>
      <c r="H131" s="272">
        <f>H127-H129</f>
        <v>-7.9999999143183231E-3</v>
      </c>
      <c r="I131" s="277"/>
      <c r="J131" s="270"/>
      <c r="K131" s="272"/>
      <c r="L131" s="272"/>
      <c r="M131" s="272"/>
      <c r="N131" s="273"/>
      <c r="O131" s="326"/>
    </row>
    <row r="132" spans="2:15" ht="14.85" customHeight="1" x14ac:dyDescent="0.25">
      <c r="B132" s="274" t="s">
        <v>168</v>
      </c>
      <c r="C132" s="276"/>
      <c r="D132" s="294"/>
      <c r="E132" s="344"/>
      <c r="F132" s="270"/>
      <c r="G132" s="270"/>
      <c r="H132" s="306">
        <f>H131/H127</f>
        <v>-1.2416726469220231E-8</v>
      </c>
      <c r="I132" s="277"/>
      <c r="J132" s="270"/>
      <c r="K132" s="272"/>
      <c r="L132" s="272"/>
      <c r="M132" s="272"/>
      <c r="N132" s="273"/>
      <c r="O132" s="296"/>
    </row>
    <row r="133" spans="2:15" ht="14.85" customHeight="1" x14ac:dyDescent="0.25">
      <c r="B133" s="395"/>
      <c r="C133" s="396"/>
      <c r="D133" s="397"/>
      <c r="E133" s="577"/>
      <c r="F133" s="390"/>
      <c r="G133" s="390"/>
      <c r="H133" s="398"/>
      <c r="I133" s="392"/>
      <c r="J133" s="390"/>
      <c r="K133" s="391"/>
      <c r="L133" s="391"/>
      <c r="M133" s="391"/>
      <c r="N133" s="372"/>
      <c r="O133" s="296"/>
    </row>
    <row r="134" spans="2:15" ht="14.85" customHeight="1" x14ac:dyDescent="0.25">
      <c r="B134" s="262" t="s">
        <v>79</v>
      </c>
      <c r="C134" s="264"/>
      <c r="D134" s="393" t="s">
        <v>78</v>
      </c>
      <c r="E134" s="578"/>
      <c r="F134" s="265"/>
      <c r="G134" s="265"/>
      <c r="H134" s="267"/>
      <c r="I134" s="266"/>
      <c r="J134" s="265"/>
      <c r="K134" s="267"/>
      <c r="L134" s="267"/>
      <c r="M134" s="267"/>
      <c r="N134" s="312"/>
      <c r="O134" s="236"/>
    </row>
    <row r="135" spans="2:15" ht="14.85" customHeight="1" x14ac:dyDescent="0.25">
      <c r="B135" s="333"/>
      <c r="C135" s="334"/>
      <c r="D135" s="356"/>
      <c r="E135" s="580"/>
      <c r="F135" s="258"/>
      <c r="G135" s="258"/>
      <c r="H135" s="304"/>
      <c r="I135" s="414"/>
      <c r="J135" s="258"/>
      <c r="K135" s="304"/>
      <c r="L135" s="304"/>
      <c r="M135" s="304"/>
      <c r="N135" s="314"/>
    </row>
    <row r="136" spans="2:15" ht="14.85" customHeight="1" x14ac:dyDescent="0.25">
      <c r="B136" s="301" t="s">
        <v>184</v>
      </c>
      <c r="C136" s="291" t="s">
        <v>78</v>
      </c>
      <c r="D136" s="289" t="str">
        <f>VLOOKUP(C136,Rates!$B$3:$J$136,2,FALSE)</f>
        <v>IVIS_BSC</v>
      </c>
      <c r="E136" s="348" t="s">
        <v>165</v>
      </c>
      <c r="F136" s="277">
        <f>VLOOKUP(C136,Rates!$B:$J,4,FALSE)</f>
        <v>24</v>
      </c>
      <c r="G136" s="418">
        <f>VLOOKUP($D136,Rates!$C$1:$J$136,5,FALSE)</f>
        <v>201.91</v>
      </c>
      <c r="H136" s="272">
        <f>SUM(+F136*G136)</f>
        <v>4845.84</v>
      </c>
      <c r="I136" s="277"/>
      <c r="J136" s="279">
        <f>$J$172</f>
        <v>303</v>
      </c>
      <c r="K136" s="272">
        <f>SUM(+F136*J136)</f>
        <v>7272</v>
      </c>
      <c r="L136" s="272"/>
      <c r="M136" s="272">
        <f>K136-H136</f>
        <v>2426.16</v>
      </c>
      <c r="N136" s="280">
        <f>IFERROR(ROUND(M136/H136,5), )</f>
        <v>0.50066999999999995</v>
      </c>
      <c r="O136" s="326"/>
    </row>
    <row r="137" spans="2:15" ht="14.85" customHeight="1" x14ac:dyDescent="0.25">
      <c r="B137" s="281" t="s">
        <v>250</v>
      </c>
      <c r="C137" s="291" t="s">
        <v>255</v>
      </c>
      <c r="D137" s="289" t="str">
        <f>VLOOKUP(C137,Rates!$B$3:$J$136,2,FALSE)</f>
        <v>IVIS_B1</v>
      </c>
      <c r="E137" s="344" t="s">
        <v>162</v>
      </c>
      <c r="F137" s="277">
        <f>VLOOKUP(C137,Rates!$B:$J,5,FALSE)</f>
        <v>1495.6000000000001</v>
      </c>
      <c r="G137" s="278">
        <f>VLOOKUP($D137,Rates!$C$1:$J$136,7,FALSE)</f>
        <v>1.4947999999999999</v>
      </c>
      <c r="H137" s="272">
        <f t="shared" ref="H137:H139" si="47">SUM(+F137*G137)</f>
        <v>2235.6228799999999</v>
      </c>
      <c r="I137" s="277"/>
      <c r="J137" s="282"/>
      <c r="K137" s="272">
        <f t="shared" ref="K137:K140" si="48">SUM(+F137*J137)</f>
        <v>0</v>
      </c>
      <c r="L137" s="272"/>
      <c r="M137" s="272"/>
      <c r="N137" s="280"/>
      <c r="O137" s="326"/>
    </row>
    <row r="138" spans="2:15" ht="14.85" customHeight="1" x14ac:dyDescent="0.25">
      <c r="B138" s="281" t="s">
        <v>121</v>
      </c>
      <c r="C138" s="291" t="s">
        <v>256</v>
      </c>
      <c r="D138" s="289" t="str">
        <f>VLOOKUP(C138,Rates!$B$3:$J$136,2,FALSE)</f>
        <v>IVIS_B2</v>
      </c>
      <c r="E138" s="344" t="s">
        <v>162</v>
      </c>
      <c r="F138" s="277">
        <f>VLOOKUP(C138,Rates!$B:$J,5,FALSE)</f>
        <v>934.4</v>
      </c>
      <c r="G138" s="278">
        <f>VLOOKUP($D138,Rates!$C$1:$J$136,7,FALSE)</f>
        <v>1.0999000000000001</v>
      </c>
      <c r="H138" s="272">
        <f t="shared" si="47"/>
        <v>1027.74656</v>
      </c>
      <c r="I138" s="277"/>
      <c r="J138" s="282"/>
      <c r="K138" s="272">
        <f t="shared" si="48"/>
        <v>0</v>
      </c>
      <c r="L138" s="272"/>
      <c r="M138" s="272"/>
      <c r="N138" s="280"/>
      <c r="O138" s="326"/>
    </row>
    <row r="139" spans="2:15" ht="14.85" customHeight="1" x14ac:dyDescent="0.25">
      <c r="B139" s="281" t="s">
        <v>115</v>
      </c>
      <c r="C139" s="291" t="s">
        <v>257</v>
      </c>
      <c r="D139" s="289" t="str">
        <f>VLOOKUP(C139,Rates!$B$3:$J$136,2,FALSE)</f>
        <v>IVIS_B3</v>
      </c>
      <c r="E139" s="344" t="s">
        <v>162</v>
      </c>
      <c r="F139" s="284">
        <f>VLOOKUP(C139,Rates!$B:$J,5,FALSE)</f>
        <v>0</v>
      </c>
      <c r="G139" s="278">
        <f>VLOOKUP($D139,Rates!$C$1:$J$136,7,FALSE)</f>
        <v>0.79079999999999995</v>
      </c>
      <c r="H139" s="285">
        <f t="shared" si="47"/>
        <v>0</v>
      </c>
      <c r="I139" s="277"/>
      <c r="J139" s="286"/>
      <c r="K139" s="285">
        <f t="shared" si="48"/>
        <v>0</v>
      </c>
      <c r="L139" s="272"/>
      <c r="M139" s="285"/>
      <c r="N139" s="287"/>
      <c r="O139" s="326"/>
    </row>
    <row r="140" spans="2:15" ht="14.85" customHeight="1" x14ac:dyDescent="0.25">
      <c r="B140" s="281" t="s">
        <v>298</v>
      </c>
      <c r="C140" s="291"/>
      <c r="D140" s="289" t="s">
        <v>350</v>
      </c>
      <c r="E140" s="344"/>
      <c r="F140" s="277">
        <f>SUM(F137:F139)</f>
        <v>2430</v>
      </c>
      <c r="G140" s="278"/>
      <c r="H140" s="277">
        <f>SUM(H137:H139)</f>
        <v>3263.3694399999999</v>
      </c>
      <c r="I140" s="277"/>
      <c r="J140" s="282">
        <f>$J$173</f>
        <v>1.1675</v>
      </c>
      <c r="K140" s="272">
        <f t="shared" si="48"/>
        <v>2837.0250000000001</v>
      </c>
      <c r="L140" s="272"/>
      <c r="M140" s="272">
        <f t="shared" ref="M140" si="49">K140-H140</f>
        <v>-426.34443999999985</v>
      </c>
      <c r="N140" s="280">
        <f t="shared" ref="N140" si="50">IFERROR(ROUND(M140/H140,5), )</f>
        <v>-0.13064999999999999</v>
      </c>
      <c r="O140" s="326"/>
    </row>
    <row r="141" spans="2:15" ht="14.85" customHeight="1" x14ac:dyDescent="0.25">
      <c r="B141" s="290"/>
      <c r="C141" s="291"/>
      <c r="D141" s="364"/>
      <c r="E141" s="583"/>
      <c r="F141" s="277"/>
      <c r="G141" s="279"/>
      <c r="H141" s="272"/>
      <c r="I141" s="277"/>
      <c r="J141" s="279"/>
      <c r="K141" s="272"/>
      <c r="L141" s="272"/>
      <c r="M141" s="272"/>
      <c r="N141" s="280"/>
      <c r="O141" s="326"/>
    </row>
    <row r="142" spans="2:15" ht="14.85" customHeight="1" x14ac:dyDescent="0.25">
      <c r="B142" s="269" t="s">
        <v>163</v>
      </c>
      <c r="C142" s="291"/>
      <c r="D142" s="289" t="s">
        <v>148</v>
      </c>
      <c r="E142" s="348" t="s">
        <v>279</v>
      </c>
      <c r="F142" s="277"/>
      <c r="G142" s="278">
        <f>VLOOKUP($D142,Rates!$C$1:$J$136,5,FALSE)</f>
        <v>0</v>
      </c>
      <c r="H142" s="272">
        <f>($F$137+$F$138+$F$139)*G142</f>
        <v>0</v>
      </c>
      <c r="I142" s="277"/>
      <c r="J142" s="279">
        <f>G142</f>
        <v>0</v>
      </c>
      <c r="K142" s="272">
        <f>($F$137+$F$138+$F$139)*J142</f>
        <v>0</v>
      </c>
      <c r="L142" s="272"/>
      <c r="M142" s="272">
        <f t="shared" ref="M142" si="51">K142-H142</f>
        <v>0</v>
      </c>
      <c r="N142" s="280">
        <f t="shared" ref="N142" si="52">IFERROR(ROUND(M142/H142,5), )</f>
        <v>0</v>
      </c>
      <c r="O142" s="326"/>
    </row>
    <row r="143" spans="2:15" ht="14.85" customHeight="1" x14ac:dyDescent="0.25">
      <c r="B143" s="269" t="s">
        <v>147</v>
      </c>
      <c r="C143" s="295"/>
      <c r="D143" s="289" t="s">
        <v>296</v>
      </c>
      <c r="E143" s="344" t="s">
        <v>290</v>
      </c>
      <c r="F143" s="277"/>
      <c r="G143" s="270"/>
      <c r="H143" s="272">
        <v>-20</v>
      </c>
      <c r="I143" s="277"/>
      <c r="J143" s="279"/>
      <c r="K143" s="272"/>
      <c r="L143" s="272"/>
      <c r="M143" s="272">
        <f t="shared" ref="M143" si="53">K143-H143</f>
        <v>20</v>
      </c>
      <c r="N143" s="280">
        <f t="shared" ref="N143" si="54">IFERROR(ROUND(M143/H143,5), )</f>
        <v>-1</v>
      </c>
      <c r="O143" s="326"/>
    </row>
    <row r="144" spans="2:15" ht="14.85" customHeight="1" x14ac:dyDescent="0.25">
      <c r="B144" s="301"/>
      <c r="C144" s="295"/>
      <c r="D144" s="295"/>
      <c r="E144" s="583"/>
      <c r="F144" s="277"/>
      <c r="G144" s="279"/>
      <c r="H144" s="285"/>
      <c r="I144" s="277"/>
      <c r="J144" s="279"/>
      <c r="K144" s="285"/>
      <c r="L144" s="285"/>
      <c r="M144" s="285"/>
      <c r="N144" s="287"/>
      <c r="O144" s="326"/>
    </row>
    <row r="145" spans="2:15" ht="14.85" customHeight="1" x14ac:dyDescent="0.25">
      <c r="B145" s="274" t="s">
        <v>16</v>
      </c>
      <c r="C145" s="276"/>
      <c r="D145" s="294"/>
      <c r="E145" s="583"/>
      <c r="F145" s="277"/>
      <c r="G145" s="279"/>
      <c r="H145" s="272">
        <f>SUM(H140:H144)+H136</f>
        <v>8089.2094400000005</v>
      </c>
      <c r="I145" s="277"/>
      <c r="J145" s="279"/>
      <c r="K145" s="272">
        <f>SUM(K140:K144)+K136</f>
        <v>10109.025</v>
      </c>
      <c r="L145" s="272"/>
      <c r="M145" s="272">
        <f>SUM(M140:M144)+M136</f>
        <v>2019.81556</v>
      </c>
      <c r="N145" s="280">
        <f>IFERROR(ROUND(M145/H145,5), )</f>
        <v>0.24969</v>
      </c>
      <c r="O145" s="326"/>
    </row>
    <row r="146" spans="2:15" ht="14.85" customHeight="1" x14ac:dyDescent="0.25">
      <c r="B146" s="274"/>
      <c r="C146" s="276"/>
      <c r="D146" s="294"/>
      <c r="E146" s="583"/>
      <c r="F146" s="277"/>
      <c r="G146" s="279"/>
      <c r="H146" s="272"/>
      <c r="I146" s="277"/>
      <c r="J146" s="279"/>
      <c r="K146" s="272"/>
      <c r="L146" s="272"/>
      <c r="M146" s="272"/>
      <c r="N146" s="280"/>
      <c r="O146" s="326"/>
    </row>
    <row r="147" spans="2:15" ht="14.85" customHeight="1" x14ac:dyDescent="0.25">
      <c r="B147" s="274" t="s">
        <v>166</v>
      </c>
      <c r="C147" s="276"/>
      <c r="D147" s="294"/>
      <c r="E147" s="583"/>
      <c r="F147" s="277"/>
      <c r="G147" s="279"/>
      <c r="H147" s="272">
        <v>8089.2094400000005</v>
      </c>
      <c r="I147" s="277"/>
      <c r="J147" s="279"/>
      <c r="K147" s="272"/>
      <c r="L147" s="272"/>
      <c r="M147" s="272"/>
      <c r="N147" s="280"/>
      <c r="O147" s="326"/>
    </row>
    <row r="148" spans="2:15" ht="14.85" customHeight="1" x14ac:dyDescent="0.25">
      <c r="B148" s="274"/>
      <c r="C148" s="276"/>
      <c r="D148" s="294"/>
      <c r="E148" s="344"/>
      <c r="F148" s="270"/>
      <c r="G148" s="270"/>
      <c r="H148" s="272"/>
      <c r="I148" s="270"/>
      <c r="J148" s="270"/>
      <c r="K148" s="272"/>
      <c r="L148" s="272"/>
      <c r="M148" s="272"/>
      <c r="N148" s="280"/>
      <c r="O148" s="326"/>
    </row>
    <row r="149" spans="2:15" ht="14.85" customHeight="1" x14ac:dyDescent="0.25">
      <c r="B149" s="274" t="s">
        <v>167</v>
      </c>
      <c r="C149" s="276"/>
      <c r="D149" s="294"/>
      <c r="E149" s="348"/>
      <c r="F149" s="277"/>
      <c r="G149" s="277"/>
      <c r="H149" s="272">
        <f>H145-H147</f>
        <v>0</v>
      </c>
      <c r="I149" s="277"/>
      <c r="J149" s="270"/>
      <c r="K149" s="272"/>
      <c r="L149" s="272"/>
      <c r="M149" s="272"/>
      <c r="N149" s="273"/>
      <c r="O149" s="326"/>
    </row>
    <row r="150" spans="2:15" ht="14.85" customHeight="1" x14ac:dyDescent="0.25">
      <c r="B150" s="274" t="s">
        <v>168</v>
      </c>
      <c r="C150" s="276"/>
      <c r="D150" s="294"/>
      <c r="E150" s="344"/>
      <c r="F150" s="270"/>
      <c r="G150" s="270"/>
      <c r="H150" s="306">
        <f>H149/H145</f>
        <v>0</v>
      </c>
      <c r="I150" s="277"/>
      <c r="J150" s="270"/>
      <c r="K150" s="272"/>
      <c r="L150" s="272"/>
      <c r="M150" s="272"/>
      <c r="N150" s="273"/>
      <c r="O150" s="296"/>
    </row>
    <row r="151" spans="2:15" ht="14.85" customHeight="1" x14ac:dyDescent="0.25">
      <c r="B151" s="395"/>
      <c r="C151" s="354"/>
      <c r="D151" s="415"/>
      <c r="E151" s="419"/>
      <c r="F151" s="350"/>
      <c r="G151" s="350"/>
      <c r="H151" s="416"/>
      <c r="I151" s="284"/>
      <c r="J151" s="350"/>
      <c r="K151" s="285"/>
      <c r="L151" s="285"/>
      <c r="M151" s="285"/>
      <c r="N151" s="372"/>
      <c r="O151" s="296"/>
    </row>
    <row r="152" spans="2:15" s="270" customFormat="1" ht="14.85" customHeight="1" x14ac:dyDescent="0.25">
      <c r="B152" s="276"/>
      <c r="C152" s="276"/>
      <c r="D152" s="294"/>
      <c r="E152" s="344"/>
      <c r="H152" s="306"/>
      <c r="I152" s="277"/>
      <c r="K152" s="272"/>
      <c r="L152" s="272"/>
      <c r="M152" s="272"/>
      <c r="N152" s="332"/>
      <c r="O152" s="404"/>
    </row>
    <row r="153" spans="2:15" s="270" customFormat="1" ht="14.85" customHeight="1" x14ac:dyDescent="0.25">
      <c r="B153" s="333" t="s">
        <v>301</v>
      </c>
      <c r="C153" s="334"/>
      <c r="D153" s="356"/>
      <c r="E153" s="580"/>
      <c r="F153" s="335" t="s">
        <v>162</v>
      </c>
      <c r="G153" s="258"/>
      <c r="H153" s="336" t="s">
        <v>3</v>
      </c>
      <c r="I153" s="259"/>
      <c r="J153" s="258"/>
      <c r="K153" s="337" t="s">
        <v>4</v>
      </c>
      <c r="L153" s="260"/>
      <c r="M153" s="337" t="s">
        <v>18</v>
      </c>
      <c r="N153" s="314"/>
      <c r="O153" s="404"/>
    </row>
    <row r="154" spans="2:15" s="270" customFormat="1" ht="14.85" customHeight="1" x14ac:dyDescent="0.25">
      <c r="B154" s="338" t="s">
        <v>16</v>
      </c>
      <c r="D154" s="295"/>
      <c r="E154" s="579"/>
      <c r="F154" s="339">
        <f>SUMIF(E88:E151,F153,F88:F151)</f>
        <v>3105932.9</v>
      </c>
      <c r="H154" s="272">
        <f>H99+H113+H127+H145</f>
        <v>4245522.8889133008</v>
      </c>
      <c r="I154" s="277"/>
      <c r="K154" s="272">
        <f>K99+K113+K127+K145</f>
        <v>4931010.0388100008</v>
      </c>
      <c r="L154" s="272"/>
      <c r="M154" s="272">
        <f>K154-H154</f>
        <v>685487.14989669994</v>
      </c>
      <c r="N154" s="362">
        <f>M154/H154</f>
        <v>0.1614611834237831</v>
      </c>
      <c r="O154" s="404"/>
    </row>
    <row r="155" spans="2:15" s="270" customFormat="1" ht="14.85" customHeight="1" x14ac:dyDescent="0.25">
      <c r="B155" s="290"/>
      <c r="C155" s="291"/>
      <c r="D155" s="364"/>
      <c r="E155" s="581"/>
      <c r="F155" s="277"/>
      <c r="G155" s="277"/>
      <c r="H155" s="277"/>
      <c r="I155" s="277"/>
      <c r="J155" s="277"/>
      <c r="K155" s="277"/>
      <c r="L155" s="277"/>
      <c r="M155" s="277"/>
      <c r="N155" s="413"/>
      <c r="O155" s="404"/>
    </row>
    <row r="156" spans="2:15" s="270" customFormat="1" ht="14.85" customHeight="1" x14ac:dyDescent="0.25">
      <c r="B156" s="290"/>
      <c r="C156" s="291"/>
      <c r="D156" s="364"/>
      <c r="E156" s="581"/>
      <c r="F156" s="277"/>
      <c r="G156" s="277"/>
      <c r="H156" s="277"/>
      <c r="I156" s="277"/>
      <c r="J156" s="277"/>
      <c r="K156" s="277"/>
      <c r="L156" s="277"/>
      <c r="M156" s="277"/>
      <c r="N156" s="413"/>
      <c r="O156" s="404"/>
    </row>
    <row r="157" spans="2:15" s="270" customFormat="1" ht="14.85" customHeight="1" x14ac:dyDescent="0.25">
      <c r="B157" s="290"/>
      <c r="C157" s="291"/>
      <c r="D157" s="364"/>
      <c r="E157" s="579"/>
      <c r="H157" s="341" t="s">
        <v>3</v>
      </c>
      <c r="I157" s="342"/>
      <c r="J157" s="341"/>
      <c r="K157" s="343" t="s">
        <v>4</v>
      </c>
      <c r="L157" s="343"/>
      <c r="M157" s="343" t="s">
        <v>18</v>
      </c>
      <c r="N157" s="273"/>
      <c r="O157" s="404"/>
    </row>
    <row r="158" spans="2:15" s="270" customFormat="1" ht="14.85" customHeight="1" x14ac:dyDescent="0.25">
      <c r="B158" s="290"/>
      <c r="C158" s="291"/>
      <c r="D158" s="364"/>
      <c r="E158" s="344" t="s">
        <v>165</v>
      </c>
      <c r="F158" s="345"/>
      <c r="H158" s="339">
        <f>SUMIF($E$88:$E$151,E158,$H$88:$H$151)</f>
        <v>849637.28</v>
      </c>
      <c r="I158" s="277"/>
      <c r="K158" s="339">
        <f>SUMIF($E$88:$E$151,E158,$K$88:$K$151)</f>
        <v>1275024</v>
      </c>
      <c r="L158" s="279"/>
      <c r="M158" s="272">
        <f>K158-H158</f>
        <v>425386.72</v>
      </c>
      <c r="N158" s="362">
        <f>IFERROR(ROUND(M158/H158,5), )</f>
        <v>0.50066999999999995</v>
      </c>
      <c r="O158" s="404"/>
    </row>
    <row r="159" spans="2:15" s="270" customFormat="1" ht="14.85" customHeight="1" x14ac:dyDescent="0.25">
      <c r="B159" s="290"/>
      <c r="C159" s="291"/>
      <c r="D159" s="364"/>
      <c r="E159" s="344" t="s">
        <v>162</v>
      </c>
      <c r="H159" s="339">
        <f t="shared" ref="H159:H163" si="55">SUMIF($E$88:$E$151,E159,$H$88:$H$151)</f>
        <v>3388587.5427400004</v>
      </c>
      <c r="I159" s="277"/>
      <c r="K159" s="339">
        <f>K92+K109+K123+K140</f>
        <v>3626176.6607499998</v>
      </c>
      <c r="L159" s="279"/>
      <c r="M159" s="272">
        <f t="shared" ref="M159:M163" si="56">K159-H159</f>
        <v>237589.11800999939</v>
      </c>
      <c r="N159" s="362">
        <f t="shared" ref="N159:N163" si="57">IFERROR(ROUND(M159/H159,5), )</f>
        <v>7.0110000000000006E-2</v>
      </c>
      <c r="O159" s="404"/>
    </row>
    <row r="160" spans="2:15" s="270" customFormat="1" ht="14.85" customHeight="1" x14ac:dyDescent="0.25">
      <c r="B160" s="290"/>
      <c r="C160" s="291"/>
      <c r="D160" s="364"/>
      <c r="E160" s="348" t="s">
        <v>279</v>
      </c>
      <c r="H160" s="339">
        <f t="shared" si="55"/>
        <v>0</v>
      </c>
      <c r="I160" s="277"/>
      <c r="K160" s="339">
        <f t="shared" ref="K160:K163" si="58">SUMIF($E$88:$E$151,E160,$K$88:$K$151)</f>
        <v>0</v>
      </c>
      <c r="L160" s="279"/>
      <c r="M160" s="272">
        <f t="shared" si="56"/>
        <v>0</v>
      </c>
      <c r="N160" s="280">
        <f t="shared" si="57"/>
        <v>0</v>
      </c>
      <c r="O160" s="404"/>
    </row>
    <row r="161" spans="2:17" s="270" customFormat="1" ht="14.85" customHeight="1" x14ac:dyDescent="0.25">
      <c r="B161" s="290"/>
      <c r="C161" s="291"/>
      <c r="D161" s="364"/>
      <c r="E161" s="344" t="s">
        <v>287</v>
      </c>
      <c r="F161" s="277"/>
      <c r="H161" s="339">
        <f t="shared" si="55"/>
        <v>3734.0266732999994</v>
      </c>
      <c r="I161" s="277"/>
      <c r="K161" s="339">
        <f t="shared" si="58"/>
        <v>8321.9405499999993</v>
      </c>
      <c r="L161" s="279"/>
      <c r="M161" s="272">
        <f t="shared" si="56"/>
        <v>4587.9138767000004</v>
      </c>
      <c r="N161" s="280">
        <f t="shared" si="57"/>
        <v>1.22868</v>
      </c>
      <c r="O161" s="404"/>
    </row>
    <row r="162" spans="2:17" s="270" customFormat="1" ht="14.85" customHeight="1" x14ac:dyDescent="0.25">
      <c r="B162" s="290"/>
      <c r="C162" s="291"/>
      <c r="D162" s="364"/>
      <c r="E162" s="344" t="s">
        <v>288</v>
      </c>
      <c r="H162" s="339">
        <f t="shared" si="55"/>
        <v>19636.039499999999</v>
      </c>
      <c r="I162" s="277"/>
      <c r="K162" s="339">
        <f t="shared" si="58"/>
        <v>21487.43751</v>
      </c>
      <c r="L162" s="279"/>
      <c r="M162" s="272">
        <f t="shared" si="56"/>
        <v>1851.3980100000008</v>
      </c>
      <c r="N162" s="280">
        <f t="shared" si="57"/>
        <v>9.4289999999999999E-2</v>
      </c>
      <c r="O162" s="404"/>
    </row>
    <row r="163" spans="2:17" s="270" customFormat="1" ht="14.85" customHeight="1" x14ac:dyDescent="0.25">
      <c r="B163" s="290"/>
      <c r="C163" s="291"/>
      <c r="D163" s="364"/>
      <c r="E163" s="344" t="s">
        <v>290</v>
      </c>
      <c r="H163" s="367">
        <f t="shared" si="55"/>
        <v>-16072</v>
      </c>
      <c r="I163" s="284"/>
      <c r="J163" s="350"/>
      <c r="K163" s="367">
        <f t="shared" si="58"/>
        <v>0</v>
      </c>
      <c r="L163" s="351"/>
      <c r="M163" s="285">
        <f t="shared" si="56"/>
        <v>16072</v>
      </c>
      <c r="N163" s="287">
        <f t="shared" si="57"/>
        <v>-1</v>
      </c>
      <c r="O163" s="404"/>
    </row>
    <row r="164" spans="2:17" s="270" customFormat="1" ht="14.85" customHeight="1" x14ac:dyDescent="0.25">
      <c r="B164" s="290"/>
      <c r="C164" s="291"/>
      <c r="D164" s="364"/>
      <c r="E164" s="579"/>
      <c r="H164" s="352">
        <f>SUM(H158:H163)</f>
        <v>4245522.8889133008</v>
      </c>
      <c r="I164" s="277"/>
      <c r="K164" s="352">
        <f>SUM(K158:K163)</f>
        <v>4931010.0388099998</v>
      </c>
      <c r="L164" s="279"/>
      <c r="M164" s="352">
        <f>SUM(M158:M163)</f>
        <v>685487.14989669935</v>
      </c>
      <c r="N164" s="362">
        <f>IFERROR(ROUND(M164/H164,5), )</f>
        <v>0.16145999999999999</v>
      </c>
      <c r="O164" s="404"/>
    </row>
    <row r="165" spans="2:17" s="270" customFormat="1" ht="14.85" customHeight="1" x14ac:dyDescent="0.25">
      <c r="B165" s="290"/>
      <c r="C165" s="291"/>
      <c r="D165" s="364"/>
      <c r="E165" s="579"/>
      <c r="H165" s="291"/>
      <c r="I165" s="277"/>
      <c r="K165" s="279"/>
      <c r="L165" s="279"/>
      <c r="N165" s="340"/>
      <c r="O165" s="404"/>
    </row>
    <row r="166" spans="2:17" s="270" customFormat="1" ht="14.85" customHeight="1" x14ac:dyDescent="0.25">
      <c r="B166" s="274" t="s">
        <v>166</v>
      </c>
      <c r="C166" s="291"/>
      <c r="D166" s="364"/>
      <c r="E166" s="579"/>
      <c r="H166" s="353">
        <v>4245522.80944</v>
      </c>
      <c r="I166" s="277"/>
      <c r="K166" s="272">
        <v>4930900.4201470008</v>
      </c>
      <c r="L166" s="279"/>
      <c r="N166" s="340"/>
      <c r="O166" s="404"/>
    </row>
    <row r="167" spans="2:17" s="270" customFormat="1" ht="14.85" customHeight="1" x14ac:dyDescent="0.25">
      <c r="B167" s="274"/>
      <c r="C167" s="291"/>
      <c r="D167" s="364"/>
      <c r="E167" s="579"/>
      <c r="H167" s="291"/>
      <c r="I167" s="277"/>
      <c r="K167" s="279"/>
      <c r="L167" s="279"/>
      <c r="N167" s="340"/>
      <c r="O167" s="404"/>
    </row>
    <row r="168" spans="2:17" s="270" customFormat="1" ht="14.85" customHeight="1" x14ac:dyDescent="0.25">
      <c r="B168" s="274" t="s">
        <v>167</v>
      </c>
      <c r="C168" s="291"/>
      <c r="D168" s="364"/>
      <c r="E168" s="579"/>
      <c r="H168" s="272">
        <f>H164-H166</f>
        <v>7.9473300836980343E-2</v>
      </c>
      <c r="I168" s="277"/>
      <c r="K168" s="272">
        <f>K164-K166</f>
        <v>109.61866299901158</v>
      </c>
      <c r="L168" s="279"/>
      <c r="N168" s="340"/>
      <c r="O168" s="404"/>
    </row>
    <row r="169" spans="2:17" s="270" customFormat="1" ht="14.85" customHeight="1" x14ac:dyDescent="0.25">
      <c r="B169" s="274" t="s">
        <v>168</v>
      </c>
      <c r="C169" s="291"/>
      <c r="D169" s="364"/>
      <c r="E169" s="579"/>
      <c r="H169" s="306">
        <f>H168/H164</f>
        <v>1.8719319837967616E-8</v>
      </c>
      <c r="I169" s="277"/>
      <c r="K169" s="306">
        <f>K168/K164</f>
        <v>2.2230468430655605E-5</v>
      </c>
      <c r="L169" s="279"/>
      <c r="N169" s="340"/>
      <c r="O169" s="404"/>
    </row>
    <row r="170" spans="2:17" s="270" customFormat="1" ht="14.85" customHeight="1" x14ac:dyDescent="0.25">
      <c r="B170" s="269"/>
      <c r="D170" s="295"/>
      <c r="E170" s="344"/>
      <c r="H170" s="272"/>
      <c r="K170" s="272"/>
      <c r="L170" s="272"/>
      <c r="M170" s="272"/>
      <c r="N170" s="280"/>
      <c r="O170" s="404"/>
    </row>
    <row r="171" spans="2:17" s="270" customFormat="1" ht="14.85" customHeight="1" thickBot="1" x14ac:dyDescent="0.3">
      <c r="B171" s="400" t="s">
        <v>297</v>
      </c>
      <c r="C171" s="334"/>
      <c r="D171" s="356"/>
      <c r="E171" s="580"/>
      <c r="F171" s="357"/>
      <c r="G171" s="686" t="s">
        <v>3</v>
      </c>
      <c r="H171" s="686"/>
      <c r="I171" s="259"/>
      <c r="J171" s="687" t="s">
        <v>4</v>
      </c>
      <c r="K171" s="688"/>
      <c r="L171" s="358"/>
      <c r="M171" s="358" t="s">
        <v>18</v>
      </c>
      <c r="N171" s="314"/>
      <c r="O171" s="404"/>
    </row>
    <row r="172" spans="2:17" s="270" customFormat="1" ht="14.85" customHeight="1" thickBot="1" x14ac:dyDescent="0.3">
      <c r="B172" s="401">
        <v>4930900.4201470008</v>
      </c>
      <c r="D172" s="295"/>
      <c r="E172" s="344" t="s">
        <v>165</v>
      </c>
      <c r="F172" s="345">
        <f>SUMIF($E$88:$E$151,E172,$F$88:$F$151)</f>
        <v>4208</v>
      </c>
      <c r="G172" s="406">
        <f>G88</f>
        <v>201.91</v>
      </c>
      <c r="H172" s="339">
        <f>SUMIF($E$88:$E$151,E172,$H$88:$H$151)</f>
        <v>849637.28</v>
      </c>
      <c r="I172" s="277"/>
      <c r="J172" s="604">
        <v>303</v>
      </c>
      <c r="K172" s="339">
        <f>J172*F172</f>
        <v>1275024</v>
      </c>
      <c r="L172" s="279"/>
      <c r="M172" s="272">
        <f>K172-H172</f>
        <v>425386.72</v>
      </c>
      <c r="N172" s="280">
        <f t="shared" ref="N172:N176" si="59">IFERROR(ROUND(M172/H172,5), )</f>
        <v>0.50066999999999995</v>
      </c>
      <c r="O172" s="404"/>
      <c r="P172" s="406"/>
      <c r="Q172" s="417"/>
    </row>
    <row r="173" spans="2:17" s="270" customFormat="1" ht="14.85" customHeight="1" x14ac:dyDescent="0.25">
      <c r="B173" s="402"/>
      <c r="C173" s="291"/>
      <c r="D173" s="364"/>
      <c r="E173" s="344" t="s">
        <v>162</v>
      </c>
      <c r="F173" s="345">
        <f>SUMIF($E$88:$E$151,E173,$F$88:$F$151)</f>
        <v>3105932.9</v>
      </c>
      <c r="G173" s="346"/>
      <c r="H173" s="339">
        <f t="shared" ref="H173:H178" si="60">SUMIF($E$88:$E$151,E173,$H$88:$H$151)</f>
        <v>3388587.5427400004</v>
      </c>
      <c r="I173" s="277"/>
      <c r="J173" s="278">
        <f>ROUND(K173/F173,4)</f>
        <v>1.1675</v>
      </c>
      <c r="K173" s="339">
        <f>B172-SUM(K172,K176,K177)</f>
        <v>3626067.0420870008</v>
      </c>
      <c r="L173" s="279"/>
      <c r="M173" s="272">
        <f t="shared" ref="M173:M178" si="61">K173-H173</f>
        <v>237479.49934700038</v>
      </c>
      <c r="N173" s="280">
        <f t="shared" si="59"/>
        <v>7.0080000000000003E-2</v>
      </c>
      <c r="O173" s="404"/>
    </row>
    <row r="174" spans="2:17" s="270" customFormat="1" ht="14.85" customHeight="1" x14ac:dyDescent="0.25">
      <c r="B174" s="403" t="s">
        <v>15</v>
      </c>
      <c r="C174" s="291"/>
      <c r="D174" s="364"/>
      <c r="E174" s="348" t="s">
        <v>279</v>
      </c>
      <c r="F174" s="345"/>
      <c r="H174" s="339">
        <f t="shared" si="60"/>
        <v>0</v>
      </c>
      <c r="I174" s="277"/>
      <c r="J174" s="278"/>
      <c r="K174" s="339">
        <f t="shared" ref="K174:K178" si="62">J174*F174</f>
        <v>0</v>
      </c>
      <c r="L174" s="279"/>
      <c r="M174" s="272">
        <f t="shared" si="61"/>
        <v>0</v>
      </c>
      <c r="N174" s="280">
        <f t="shared" si="59"/>
        <v>0</v>
      </c>
      <c r="O174" s="404"/>
    </row>
    <row r="175" spans="2:17" s="270" customFormat="1" ht="14.85" customHeight="1" thickBot="1" x14ac:dyDescent="0.3">
      <c r="B175" s="403">
        <f>K154-B172</f>
        <v>109.6186629999429</v>
      </c>
      <c r="C175" s="291"/>
      <c r="D175" s="364"/>
      <c r="E175" s="344" t="s">
        <v>280</v>
      </c>
      <c r="F175" s="345"/>
      <c r="H175" s="339">
        <f t="shared" si="60"/>
        <v>0</v>
      </c>
      <c r="I175" s="277"/>
      <c r="J175" s="278"/>
      <c r="K175" s="339">
        <f t="shared" si="62"/>
        <v>0</v>
      </c>
      <c r="L175" s="279"/>
      <c r="M175" s="272">
        <f t="shared" si="61"/>
        <v>0</v>
      </c>
      <c r="N175" s="280">
        <f t="shared" si="59"/>
        <v>0</v>
      </c>
      <c r="O175" s="404"/>
    </row>
    <row r="176" spans="2:17" s="270" customFormat="1" ht="14.85" customHeight="1" thickBot="1" x14ac:dyDescent="0.3">
      <c r="B176" s="290"/>
      <c r="C176" s="291"/>
      <c r="D176" s="289" t="s">
        <v>289</v>
      </c>
      <c r="E176" s="344" t="s">
        <v>287</v>
      </c>
      <c r="F176" s="345">
        <f>F89+F90+F91</f>
        <v>187009.9</v>
      </c>
      <c r="H176" s="339">
        <f t="shared" si="60"/>
        <v>3734.0266732999994</v>
      </c>
      <c r="I176" s="277"/>
      <c r="J176" s="361">
        <f>VLOOKUP($D176,Rates!$C$1:$J$136,8,FALSE)</f>
        <v>4.4499999999999998E-2</v>
      </c>
      <c r="K176" s="339">
        <f t="shared" si="62"/>
        <v>8321.9405499999993</v>
      </c>
      <c r="L176" s="279"/>
      <c r="M176" s="272">
        <f t="shared" si="61"/>
        <v>4587.9138767000004</v>
      </c>
      <c r="N176" s="280">
        <f t="shared" si="59"/>
        <v>1.22868</v>
      </c>
      <c r="O176" s="404"/>
    </row>
    <row r="177" spans="2:15" s="270" customFormat="1" ht="14.85" customHeight="1" thickBot="1" x14ac:dyDescent="0.3">
      <c r="B177" s="290"/>
      <c r="C177" s="291"/>
      <c r="D177" s="289" t="s">
        <v>286</v>
      </c>
      <c r="E177" s="344" t="s">
        <v>288</v>
      </c>
      <c r="F177" s="345">
        <f>F176</f>
        <v>187009.9</v>
      </c>
      <c r="H177" s="339">
        <f t="shared" si="60"/>
        <v>19636.039499999999</v>
      </c>
      <c r="I177" s="277"/>
      <c r="J177" s="361">
        <f>VLOOKUP($D177,Rates!$C$1:$J$136,8,FALSE)</f>
        <v>0.1149</v>
      </c>
      <c r="K177" s="339">
        <f t="shared" si="62"/>
        <v>21487.43751</v>
      </c>
      <c r="L177" s="279"/>
      <c r="M177" s="272">
        <f t="shared" si="61"/>
        <v>1851.3980100000008</v>
      </c>
      <c r="N177" s="280">
        <f>IFERROR(ROUND(M177/H177,5), )</f>
        <v>9.4289999999999999E-2</v>
      </c>
      <c r="O177" s="404"/>
    </row>
    <row r="178" spans="2:15" s="270" customFormat="1" ht="14.85" customHeight="1" x14ac:dyDescent="0.25">
      <c r="B178" s="290"/>
      <c r="C178" s="291"/>
      <c r="D178" s="364"/>
      <c r="E178" s="344" t="s">
        <v>290</v>
      </c>
      <c r="F178" s="345"/>
      <c r="H178" s="367">
        <f t="shared" si="60"/>
        <v>-16072</v>
      </c>
      <c r="I178" s="277"/>
      <c r="J178" s="278"/>
      <c r="K178" s="367">
        <f t="shared" si="62"/>
        <v>0</v>
      </c>
      <c r="L178" s="279"/>
      <c r="M178" s="285">
        <f t="shared" si="61"/>
        <v>16072</v>
      </c>
      <c r="N178" s="287">
        <f>IFERROR(ROUND(M178/H178,5), )</f>
        <v>-1</v>
      </c>
      <c r="O178" s="404"/>
    </row>
    <row r="179" spans="2:15" s="270" customFormat="1" ht="14.85" customHeight="1" x14ac:dyDescent="0.25">
      <c r="B179" s="269"/>
      <c r="D179" s="295"/>
      <c r="E179" s="579"/>
      <c r="H179" s="368">
        <f>SUM(H172:H178)</f>
        <v>4245522.8889133008</v>
      </c>
      <c r="I179" s="277"/>
      <c r="J179" s="278"/>
      <c r="K179" s="368">
        <f>SUM(K172:K178)</f>
        <v>4930900.4201470008</v>
      </c>
      <c r="L179" s="279"/>
      <c r="M179" s="368">
        <f>SUM(M172:M178)</f>
        <v>685377.53123370034</v>
      </c>
      <c r="N179" s="280">
        <f>IFERROR(ROUND(M179/H179,5), )</f>
        <v>0.16144</v>
      </c>
      <c r="O179" s="404"/>
    </row>
    <row r="180" spans="2:15" s="270" customFormat="1" ht="14.85" customHeight="1" x14ac:dyDescent="0.25">
      <c r="B180" s="307"/>
      <c r="C180" s="350"/>
      <c r="D180" s="369"/>
      <c r="E180" s="582"/>
      <c r="F180" s="350"/>
      <c r="G180" s="350"/>
      <c r="H180" s="370"/>
      <c r="I180" s="284"/>
      <c r="J180" s="371"/>
      <c r="K180" s="351"/>
      <c r="L180" s="351"/>
      <c r="M180" s="350"/>
      <c r="N180" s="372"/>
      <c r="O180" s="404"/>
    </row>
    <row r="181" spans="2:15" s="270" customFormat="1" ht="14.85" customHeight="1" x14ac:dyDescent="0.25">
      <c r="B181" s="276"/>
      <c r="C181" s="276"/>
      <c r="D181" s="294"/>
      <c r="E181" s="344"/>
      <c r="H181" s="306"/>
      <c r="I181" s="277"/>
      <c r="K181" s="272"/>
      <c r="L181" s="272"/>
      <c r="M181" s="272"/>
      <c r="N181" s="332"/>
      <c r="O181" s="404"/>
    </row>
    <row r="182" spans="2:15" ht="14.85" customHeight="1" x14ac:dyDescent="0.25">
      <c r="B182" s="262" t="s">
        <v>81</v>
      </c>
      <c r="C182" s="264"/>
      <c r="D182" s="393" t="s">
        <v>80</v>
      </c>
      <c r="E182" s="578"/>
      <c r="F182" s="265"/>
      <c r="G182" s="265"/>
      <c r="H182" s="267"/>
      <c r="I182" s="266"/>
      <c r="J182" s="265"/>
      <c r="K182" s="267"/>
      <c r="L182" s="267"/>
      <c r="M182" s="267"/>
      <c r="N182" s="312"/>
      <c r="O182" s="236"/>
    </row>
    <row r="183" spans="2:15" ht="14.85" customHeight="1" x14ac:dyDescent="0.25">
      <c r="B183" s="290"/>
      <c r="C183" s="291"/>
      <c r="D183" s="364"/>
      <c r="E183" s="579"/>
      <c r="F183" s="270"/>
      <c r="G183" s="270"/>
      <c r="H183" s="272"/>
      <c r="I183" s="325"/>
      <c r="J183" s="270"/>
      <c r="K183" s="272"/>
      <c r="L183" s="272"/>
      <c r="M183" s="272"/>
      <c r="N183" s="273"/>
    </row>
    <row r="184" spans="2:15" ht="14.85" customHeight="1" x14ac:dyDescent="0.25">
      <c r="B184" s="301" t="s">
        <v>184</v>
      </c>
      <c r="C184" s="291" t="s">
        <v>80</v>
      </c>
      <c r="D184" s="289" t="str">
        <f>VLOOKUP(C184,Rates!$B$3:$J$136,2,FALSE)</f>
        <v>LVIS_BSC</v>
      </c>
      <c r="E184" s="348" t="s">
        <v>165</v>
      </c>
      <c r="F184" s="277">
        <f>VLOOKUP(C184,Rates!$B:$J,4,FALSE)</f>
        <v>96</v>
      </c>
      <c r="G184" s="418">
        <f>VLOOKUP($D184,Rates!$C$1:$J$136,5,FALSE)</f>
        <v>809</v>
      </c>
      <c r="H184" s="272">
        <f>SUM(+F184*G184)</f>
        <v>77664</v>
      </c>
      <c r="I184" s="277"/>
      <c r="J184" s="279">
        <f>$J$230</f>
        <v>1213.5</v>
      </c>
      <c r="K184" s="272">
        <f>SUM(+F184*J184)</f>
        <v>116496</v>
      </c>
      <c r="L184" s="272"/>
      <c r="M184" s="272">
        <f>K184-H184</f>
        <v>38832</v>
      </c>
      <c r="N184" s="280">
        <f>IFERROR(ROUND(M184/H184,5), )</f>
        <v>0.5</v>
      </c>
      <c r="O184" s="326"/>
    </row>
    <row r="185" spans="2:15" ht="14.85" customHeight="1" x14ac:dyDescent="0.25">
      <c r="B185" s="281" t="s">
        <v>170</v>
      </c>
      <c r="C185" s="291" t="s">
        <v>259</v>
      </c>
      <c r="D185" s="289" t="str">
        <f>VLOOKUP(C185,Rates!$B$3:$J$136,2,FALSE)</f>
        <v>LVIS_TRANS_MMT</v>
      </c>
      <c r="E185" s="344" t="s">
        <v>162</v>
      </c>
      <c r="F185" s="277">
        <f>VLOOKUP(C185,Rates!$B:$J,5,FALSE)</f>
        <v>562221.34570941317</v>
      </c>
      <c r="G185" s="278">
        <f>VLOOKUP($D185,Rates!$C$1:$J$136,7,FALSE)</f>
        <v>0.8286</v>
      </c>
      <c r="H185" s="272">
        <f t="shared" ref="H185" si="63">SUM(+F185*G185)</f>
        <v>465856.60705481976</v>
      </c>
      <c r="I185" s="277"/>
      <c r="J185" s="282">
        <f>$J$231</f>
        <v>0.90549999999999997</v>
      </c>
      <c r="K185" s="272">
        <f t="shared" ref="K185" si="64">SUM(+F185*J185)</f>
        <v>509091.42853987362</v>
      </c>
      <c r="L185" s="272"/>
      <c r="M185" s="272">
        <f t="shared" ref="M185" si="65">K185-H185</f>
        <v>43234.821485053864</v>
      </c>
      <c r="N185" s="280">
        <f t="shared" ref="N185" si="66">IFERROR(ROUND(M185/H185,5), )</f>
        <v>9.2810000000000004E-2</v>
      </c>
      <c r="O185" s="326"/>
    </row>
    <row r="186" spans="2:15" ht="14.85" customHeight="1" x14ac:dyDescent="0.25">
      <c r="B186" s="281"/>
      <c r="C186" s="291"/>
      <c r="D186" s="289"/>
      <c r="E186" s="344"/>
      <c r="F186" s="277"/>
      <c r="G186" s="278"/>
      <c r="H186" s="272"/>
      <c r="I186" s="277"/>
      <c r="J186" s="282"/>
      <c r="K186" s="272"/>
      <c r="L186" s="272"/>
      <c r="M186" s="272"/>
      <c r="N186" s="280"/>
      <c r="O186" s="326"/>
    </row>
    <row r="187" spans="2:15" ht="14.85" customHeight="1" x14ac:dyDescent="0.25">
      <c r="B187" s="269" t="s">
        <v>147</v>
      </c>
      <c r="C187" s="295"/>
      <c r="D187" s="289" t="s">
        <v>296</v>
      </c>
      <c r="E187" s="344" t="s">
        <v>290</v>
      </c>
      <c r="F187" s="277"/>
      <c r="G187" s="270"/>
      <c r="H187" s="272">
        <v>-1730</v>
      </c>
      <c r="I187" s="277"/>
      <c r="J187" s="279"/>
      <c r="K187" s="272"/>
      <c r="L187" s="272"/>
      <c r="M187" s="272">
        <f t="shared" ref="M187" si="67">K187-H187</f>
        <v>1730</v>
      </c>
      <c r="N187" s="280">
        <f t="shared" ref="N187" si="68">IFERROR(ROUND(M187/H187,5), )</f>
        <v>-1</v>
      </c>
      <c r="O187" s="326"/>
    </row>
    <row r="188" spans="2:15" ht="14.85" customHeight="1" x14ac:dyDescent="0.25">
      <c r="B188" s="301"/>
      <c r="C188" s="295"/>
      <c r="D188" s="295"/>
      <c r="E188" s="583"/>
      <c r="F188" s="277"/>
      <c r="G188" s="279"/>
      <c r="H188" s="285"/>
      <c r="I188" s="277"/>
      <c r="J188" s="279"/>
      <c r="K188" s="272"/>
      <c r="L188" s="272"/>
      <c r="M188" s="272"/>
      <c r="N188" s="280"/>
      <c r="O188" s="326"/>
    </row>
    <row r="189" spans="2:15" ht="14.85" customHeight="1" x14ac:dyDescent="0.25">
      <c r="B189" s="274" t="s">
        <v>16</v>
      </c>
      <c r="C189" s="276"/>
      <c r="D189" s="294"/>
      <c r="E189" s="583"/>
      <c r="F189" s="277"/>
      <c r="G189" s="279"/>
      <c r="H189" s="272">
        <f>SUM(H184:H187)</f>
        <v>541790.60705481982</v>
      </c>
      <c r="I189" s="277"/>
      <c r="J189" s="279"/>
      <c r="K189" s="304">
        <f>SUM(K184:K187)</f>
        <v>625587.42853987357</v>
      </c>
      <c r="L189" s="272"/>
      <c r="M189" s="304">
        <f>SUM(M184:M187)</f>
        <v>83796.821485053864</v>
      </c>
      <c r="N189" s="318">
        <f>IFERROR(ROUND(M189/H189,5), )</f>
        <v>0.15467</v>
      </c>
      <c r="O189" s="326"/>
    </row>
    <row r="190" spans="2:15" ht="14.85" customHeight="1" x14ac:dyDescent="0.25">
      <c r="B190" s="274"/>
      <c r="C190" s="276"/>
      <c r="D190" s="294"/>
      <c r="E190" s="583"/>
      <c r="F190" s="277"/>
      <c r="G190" s="279"/>
      <c r="H190" s="272"/>
      <c r="I190" s="277"/>
      <c r="J190" s="279"/>
      <c r="K190" s="272"/>
      <c r="L190" s="272"/>
      <c r="M190" s="272"/>
      <c r="N190" s="280"/>
      <c r="O190" s="326"/>
    </row>
    <row r="191" spans="2:15" ht="14.85" customHeight="1" x14ac:dyDescent="0.25">
      <c r="B191" s="274" t="s">
        <v>166</v>
      </c>
      <c r="C191" s="276"/>
      <c r="D191" s="294"/>
      <c r="E191" s="583"/>
      <c r="F191" s="277"/>
      <c r="G191" s="279"/>
      <c r="H191" s="272">
        <v>541790.61</v>
      </c>
      <c r="I191" s="277"/>
      <c r="J191" s="279"/>
      <c r="K191" s="272"/>
      <c r="L191" s="272"/>
      <c r="M191" s="272"/>
      <c r="N191" s="280"/>
      <c r="O191" s="326"/>
    </row>
    <row r="192" spans="2:15" ht="14.85" customHeight="1" x14ac:dyDescent="0.25">
      <c r="B192" s="274"/>
      <c r="C192" s="276"/>
      <c r="D192" s="294"/>
      <c r="E192" s="344"/>
      <c r="F192" s="270"/>
      <c r="G192" s="270"/>
      <c r="H192" s="272"/>
      <c r="I192" s="270"/>
      <c r="J192" s="270"/>
      <c r="K192" s="272"/>
      <c r="L192" s="272"/>
      <c r="M192" s="272"/>
      <c r="N192" s="280"/>
      <c r="O192" s="326"/>
    </row>
    <row r="193" spans="2:15" ht="14.85" customHeight="1" x14ac:dyDescent="0.25">
      <c r="B193" s="274" t="s">
        <v>167</v>
      </c>
      <c r="C193" s="276"/>
      <c r="D193" s="294"/>
      <c r="E193" s="348"/>
      <c r="F193" s="277"/>
      <c r="G193" s="277"/>
      <c r="H193" s="272">
        <f>H189-H191</f>
        <v>-2.9451801674440503E-3</v>
      </c>
      <c r="I193" s="277"/>
      <c r="J193" s="270"/>
      <c r="K193" s="272"/>
      <c r="L193" s="272"/>
      <c r="M193" s="272"/>
      <c r="N193" s="273"/>
      <c r="O193" s="326"/>
    </row>
    <row r="194" spans="2:15" ht="14.85" customHeight="1" x14ac:dyDescent="0.25">
      <c r="B194" s="274" t="s">
        <v>168</v>
      </c>
      <c r="C194" s="276"/>
      <c r="D194" s="294"/>
      <c r="E194" s="344"/>
      <c r="F194" s="270"/>
      <c r="G194" s="270"/>
      <c r="H194" s="306">
        <f>H193/H189</f>
        <v>-5.4360118634283544E-9</v>
      </c>
      <c r="I194" s="277"/>
      <c r="J194" s="270"/>
      <c r="K194" s="272"/>
      <c r="L194" s="272"/>
      <c r="M194" s="272"/>
      <c r="N194" s="273"/>
      <c r="O194" s="296"/>
    </row>
    <row r="195" spans="2:15" ht="14.85" customHeight="1" x14ac:dyDescent="0.25">
      <c r="B195" s="395"/>
      <c r="C195" s="396"/>
      <c r="D195" s="397"/>
      <c r="E195" s="577"/>
      <c r="F195" s="390"/>
      <c r="G195" s="390"/>
      <c r="H195" s="398"/>
      <c r="I195" s="392"/>
      <c r="J195" s="390"/>
      <c r="K195" s="391"/>
      <c r="L195" s="391"/>
      <c r="M195" s="391"/>
      <c r="N195" s="372"/>
      <c r="O195" s="296"/>
    </row>
    <row r="196" spans="2:15" ht="14.85" customHeight="1" x14ac:dyDescent="0.25">
      <c r="B196" s="262" t="s">
        <v>83</v>
      </c>
      <c r="C196" s="264"/>
      <c r="D196" s="393" t="s">
        <v>82</v>
      </c>
      <c r="E196" s="578"/>
      <c r="F196" s="265"/>
      <c r="G196" s="265"/>
      <c r="H196" s="267"/>
      <c r="I196" s="266"/>
      <c r="J196" s="265"/>
      <c r="K196" s="267"/>
      <c r="L196" s="267"/>
      <c r="M196" s="267"/>
      <c r="N196" s="312"/>
      <c r="O196" s="236"/>
    </row>
    <row r="197" spans="2:15" ht="14.85" customHeight="1" x14ac:dyDescent="0.25">
      <c r="B197" s="333"/>
      <c r="C197" s="334"/>
      <c r="D197" s="356"/>
      <c r="E197" s="580"/>
      <c r="F197" s="258"/>
      <c r="G197" s="258"/>
      <c r="H197" s="304"/>
      <c r="I197" s="414"/>
      <c r="J197" s="258"/>
      <c r="K197" s="304"/>
      <c r="L197" s="304"/>
      <c r="M197" s="304"/>
      <c r="N197" s="314"/>
    </row>
    <row r="198" spans="2:15" ht="14.85" customHeight="1" x14ac:dyDescent="0.25">
      <c r="B198" s="301" t="s">
        <v>184</v>
      </c>
      <c r="C198" s="291" t="s">
        <v>82</v>
      </c>
      <c r="D198" s="289" t="str">
        <f>VLOOKUP(C198,Rates!$B$3:$J$136,2,FALSE)</f>
        <v>LVIS_BSC</v>
      </c>
      <c r="E198" s="348" t="s">
        <v>165</v>
      </c>
      <c r="F198" s="277">
        <f>VLOOKUP(C198,Rates!$B:$J,4,FALSE)</f>
        <v>216</v>
      </c>
      <c r="G198" s="418">
        <f>VLOOKUP($D198,Rates!$C$1:$J$136,5,FALSE)</f>
        <v>809</v>
      </c>
      <c r="H198" s="272">
        <f>SUM(+F198*G198)</f>
        <v>174744</v>
      </c>
      <c r="I198" s="277"/>
      <c r="J198" s="279">
        <f>$J$230</f>
        <v>1213.5</v>
      </c>
      <c r="K198" s="272">
        <f>SUM(+F198*J198)</f>
        <v>262116</v>
      </c>
      <c r="L198" s="272"/>
      <c r="M198" s="272">
        <f>K198-H198</f>
        <v>87372</v>
      </c>
      <c r="N198" s="280">
        <f>IFERROR(ROUND(M198/H198,5), )</f>
        <v>0.5</v>
      </c>
      <c r="O198" s="326"/>
    </row>
    <row r="199" spans="2:15" ht="14.85" customHeight="1" x14ac:dyDescent="0.25">
      <c r="B199" s="281" t="s">
        <v>170</v>
      </c>
      <c r="C199" s="291" t="s">
        <v>262</v>
      </c>
      <c r="D199" s="289" t="str">
        <f>VLOOKUP(C199,Rates!$B$3:$J$136,2,FALSE)</f>
        <v>LVIS_TRANS_DMT</v>
      </c>
      <c r="E199" s="344" t="s">
        <v>162</v>
      </c>
      <c r="F199" s="277">
        <f>VLOOKUP(C199,Rates!$B:$J,5,FALSE)</f>
        <v>1769730.7337014659</v>
      </c>
      <c r="G199" s="278">
        <f>VLOOKUP($D199,Rates!$C$1:$J$136,7,FALSE)</f>
        <v>0.80859999999999999</v>
      </c>
      <c r="H199" s="272">
        <f t="shared" ref="H199" si="69">SUM(+F199*G199)</f>
        <v>1431004.2712710053</v>
      </c>
      <c r="I199" s="277"/>
      <c r="J199" s="282">
        <f>$J$231</f>
        <v>0.90549999999999997</v>
      </c>
      <c r="K199" s="272">
        <f t="shared" ref="K199" si="70">SUM(+F199*J199)</f>
        <v>1602491.1793666773</v>
      </c>
      <c r="L199" s="272"/>
      <c r="M199" s="272">
        <f t="shared" ref="M199" si="71">K199-H199</f>
        <v>171486.90809567203</v>
      </c>
      <c r="N199" s="280">
        <f t="shared" ref="N199" si="72">IFERROR(ROUND(M199/H199,5), )</f>
        <v>0.11984</v>
      </c>
      <c r="O199" s="326"/>
    </row>
    <row r="200" spans="2:15" ht="14.85" customHeight="1" x14ac:dyDescent="0.25">
      <c r="B200" s="281"/>
      <c r="C200" s="291"/>
      <c r="D200" s="289"/>
      <c r="E200" s="344"/>
      <c r="F200" s="277"/>
      <c r="G200" s="278"/>
      <c r="H200" s="272"/>
      <c r="I200" s="277"/>
      <c r="J200" s="282"/>
      <c r="K200" s="272"/>
      <c r="L200" s="272"/>
      <c r="M200" s="272"/>
      <c r="N200" s="280"/>
      <c r="O200" s="326"/>
    </row>
    <row r="201" spans="2:15" ht="14.85" customHeight="1" x14ac:dyDescent="0.25">
      <c r="B201" s="269" t="s">
        <v>147</v>
      </c>
      <c r="C201" s="295"/>
      <c r="D201" s="289" t="s">
        <v>296</v>
      </c>
      <c r="E201" s="344" t="s">
        <v>290</v>
      </c>
      <c r="F201" s="277"/>
      <c r="G201" s="270"/>
      <c r="H201" s="272">
        <v>-3506</v>
      </c>
      <c r="I201" s="277"/>
      <c r="J201" s="282"/>
      <c r="K201" s="272"/>
      <c r="L201" s="272"/>
      <c r="M201" s="272">
        <f t="shared" ref="M201" si="73">K201-H201</f>
        <v>3506</v>
      </c>
      <c r="N201" s="280">
        <f t="shared" ref="N201" si="74">IFERROR(ROUND(M201/H201,5), )</f>
        <v>-1</v>
      </c>
      <c r="O201" s="326"/>
    </row>
    <row r="202" spans="2:15" ht="14.85" customHeight="1" x14ac:dyDescent="0.25">
      <c r="B202" s="290"/>
      <c r="C202" s="291"/>
      <c r="D202" s="364"/>
      <c r="E202" s="583"/>
      <c r="F202" s="277"/>
      <c r="G202" s="279"/>
      <c r="H202" s="285"/>
      <c r="I202" s="277"/>
      <c r="J202" s="279"/>
      <c r="K202" s="272"/>
      <c r="L202" s="272"/>
      <c r="M202" s="272"/>
      <c r="N202" s="280"/>
      <c r="O202" s="326"/>
    </row>
    <row r="203" spans="2:15" ht="14.85" customHeight="1" x14ac:dyDescent="0.25">
      <c r="B203" s="274" t="s">
        <v>16</v>
      </c>
      <c r="C203" s="276"/>
      <c r="D203" s="294"/>
      <c r="E203" s="583"/>
      <c r="F203" s="277"/>
      <c r="G203" s="279"/>
      <c r="H203" s="272">
        <f>SUM(H198:H202)</f>
        <v>1602242.2712710053</v>
      </c>
      <c r="I203" s="277"/>
      <c r="J203" s="279"/>
      <c r="K203" s="304">
        <f>SUM(K198:K202)</f>
        <v>1864607.1793666773</v>
      </c>
      <c r="L203" s="272"/>
      <c r="M203" s="304">
        <f>SUM(M198:M202)</f>
        <v>262364.90809567203</v>
      </c>
      <c r="N203" s="318">
        <f>IFERROR(ROUND(M203/H203,5), )</f>
        <v>0.16375000000000001</v>
      </c>
      <c r="O203" s="326"/>
    </row>
    <row r="204" spans="2:15" ht="14.85" customHeight="1" x14ac:dyDescent="0.25">
      <c r="B204" s="274"/>
      <c r="C204" s="276"/>
      <c r="D204" s="294"/>
      <c r="E204" s="583"/>
      <c r="F204" s="277"/>
      <c r="G204" s="279"/>
      <c r="H204" s="272"/>
      <c r="I204" s="277"/>
      <c r="J204" s="279"/>
      <c r="K204" s="272"/>
      <c r="L204" s="272"/>
      <c r="M204" s="272"/>
      <c r="N204" s="280"/>
      <c r="O204" s="326"/>
    </row>
    <row r="205" spans="2:15" ht="14.85" customHeight="1" x14ac:dyDescent="0.25">
      <c r="B205" s="274" t="s">
        <v>166</v>
      </c>
      <c r="C205" s="276"/>
      <c r="D205" s="294"/>
      <c r="E205" s="583"/>
      <c r="F205" s="277"/>
      <c r="G205" s="279"/>
      <c r="H205" s="272">
        <v>1602242.27</v>
      </c>
      <c r="I205" s="277"/>
      <c r="J205" s="279"/>
      <c r="K205" s="272"/>
      <c r="L205" s="272"/>
      <c r="M205" s="272"/>
      <c r="N205" s="280"/>
      <c r="O205" s="326"/>
    </row>
    <row r="206" spans="2:15" ht="14.85" customHeight="1" x14ac:dyDescent="0.25">
      <c r="B206" s="274"/>
      <c r="C206" s="276"/>
      <c r="D206" s="294"/>
      <c r="E206" s="344"/>
      <c r="F206" s="270"/>
      <c r="G206" s="270"/>
      <c r="H206" s="272"/>
      <c r="I206" s="270"/>
      <c r="J206" s="270"/>
      <c r="K206" s="272"/>
      <c r="L206" s="272"/>
      <c r="M206" s="272"/>
      <c r="N206" s="280"/>
      <c r="O206" s="326"/>
    </row>
    <row r="207" spans="2:15" ht="14.85" customHeight="1" x14ac:dyDescent="0.25">
      <c r="B207" s="274" t="s">
        <v>167</v>
      </c>
      <c r="C207" s="276"/>
      <c r="D207" s="294"/>
      <c r="E207" s="348"/>
      <c r="F207" s="277"/>
      <c r="G207" s="277"/>
      <c r="H207" s="272">
        <f>H203-H205</f>
        <v>1.2710052542388439E-3</v>
      </c>
      <c r="I207" s="277"/>
      <c r="J207" s="270"/>
      <c r="K207" s="272"/>
      <c r="L207" s="272"/>
      <c r="M207" s="272"/>
      <c r="N207" s="273"/>
      <c r="O207" s="326"/>
    </row>
    <row r="208" spans="2:15" ht="14.85" customHeight="1" x14ac:dyDescent="0.25">
      <c r="B208" s="274" t="s">
        <v>168</v>
      </c>
      <c r="C208" s="276"/>
      <c r="D208" s="294"/>
      <c r="E208" s="344"/>
      <c r="F208" s="270"/>
      <c r="G208" s="270"/>
      <c r="H208" s="306">
        <f>H207/H203</f>
        <v>7.932665846037116E-10</v>
      </c>
      <c r="I208" s="277"/>
      <c r="J208" s="270"/>
      <c r="K208" s="272"/>
      <c r="L208" s="272"/>
      <c r="M208" s="272"/>
      <c r="N208" s="273"/>
      <c r="O208" s="296"/>
    </row>
    <row r="209" spans="2:15" ht="14.85" customHeight="1" x14ac:dyDescent="0.25">
      <c r="B209" s="395"/>
      <c r="C209" s="354"/>
      <c r="D209" s="415"/>
      <c r="E209" s="419"/>
      <c r="F209" s="350"/>
      <c r="G209" s="350"/>
      <c r="H209" s="416"/>
      <c r="I209" s="284"/>
      <c r="J209" s="350"/>
      <c r="K209" s="285"/>
      <c r="L209" s="285"/>
      <c r="M209" s="285"/>
      <c r="N209" s="372"/>
      <c r="O209" s="296"/>
    </row>
    <row r="210" spans="2:15" s="270" customFormat="1" ht="14.85" customHeight="1" x14ac:dyDescent="0.25">
      <c r="B210" s="276"/>
      <c r="C210" s="276"/>
      <c r="D210" s="294"/>
      <c r="E210" s="344"/>
      <c r="H210" s="306"/>
      <c r="I210" s="277"/>
      <c r="K210" s="272"/>
      <c r="L210" s="272"/>
      <c r="M210" s="272"/>
      <c r="N210" s="332"/>
      <c r="O210" s="404"/>
    </row>
    <row r="211" spans="2:15" s="270" customFormat="1" ht="14.85" customHeight="1" x14ac:dyDescent="0.25">
      <c r="B211" s="333" t="s">
        <v>302</v>
      </c>
      <c r="C211" s="334"/>
      <c r="D211" s="356"/>
      <c r="E211" s="580"/>
      <c r="F211" s="335" t="s">
        <v>162</v>
      </c>
      <c r="G211" s="258"/>
      <c r="H211" s="336" t="s">
        <v>3</v>
      </c>
      <c r="I211" s="259"/>
      <c r="J211" s="258"/>
      <c r="K211" s="337" t="s">
        <v>4</v>
      </c>
      <c r="L211" s="260"/>
      <c r="M211" s="337" t="s">
        <v>18</v>
      </c>
      <c r="N211" s="314"/>
      <c r="O211" s="404"/>
    </row>
    <row r="212" spans="2:15" s="270" customFormat="1" ht="14.85" customHeight="1" x14ac:dyDescent="0.25">
      <c r="B212" s="338" t="s">
        <v>16</v>
      </c>
      <c r="D212" s="295"/>
      <c r="E212" s="579"/>
      <c r="F212" s="339">
        <f>SUMIF(E184:E209,F211,F184:F209)</f>
        <v>2331952.0794108789</v>
      </c>
      <c r="H212" s="272">
        <f>H189+H203</f>
        <v>2144032.8783258251</v>
      </c>
      <c r="I212" s="277"/>
      <c r="K212" s="272">
        <f>K189+K203</f>
        <v>2490194.6079065511</v>
      </c>
      <c r="L212" s="272"/>
      <c r="M212" s="272">
        <f>K212-H212</f>
        <v>346161.72958072601</v>
      </c>
      <c r="N212" s="362">
        <f>M212/H212</f>
        <v>0.16145355469130096</v>
      </c>
      <c r="O212" s="404"/>
    </row>
    <row r="213" spans="2:15" s="270" customFormat="1" ht="14.85" customHeight="1" x14ac:dyDescent="0.25">
      <c r="B213" s="290"/>
      <c r="C213" s="291"/>
      <c r="D213" s="364"/>
      <c r="E213" s="581"/>
      <c r="F213" s="277"/>
      <c r="G213" s="277"/>
      <c r="H213" s="277"/>
      <c r="I213" s="277"/>
      <c r="J213" s="277"/>
      <c r="K213" s="277"/>
      <c r="L213" s="277"/>
      <c r="M213" s="277"/>
      <c r="N213" s="413"/>
      <c r="O213" s="404"/>
    </row>
    <row r="214" spans="2:15" s="270" customFormat="1" ht="14.85" customHeight="1" x14ac:dyDescent="0.25">
      <c r="B214" s="290"/>
      <c r="C214" s="291"/>
      <c r="D214" s="364"/>
      <c r="E214" s="581"/>
      <c r="F214" s="277"/>
      <c r="G214" s="277"/>
      <c r="H214" s="277"/>
      <c r="I214" s="277"/>
      <c r="J214" s="277"/>
      <c r="K214" s="277"/>
      <c r="L214" s="277"/>
      <c r="M214" s="277"/>
      <c r="N214" s="413"/>
      <c r="O214" s="404"/>
    </row>
    <row r="215" spans="2:15" s="270" customFormat="1" ht="14.85" customHeight="1" x14ac:dyDescent="0.25">
      <c r="B215" s="290"/>
      <c r="C215" s="291"/>
      <c r="D215" s="364"/>
      <c r="E215" s="579"/>
      <c r="H215" s="341" t="s">
        <v>3</v>
      </c>
      <c r="I215" s="342"/>
      <c r="J215" s="341"/>
      <c r="K215" s="343" t="s">
        <v>4</v>
      </c>
      <c r="L215" s="343"/>
      <c r="M215" s="343" t="s">
        <v>18</v>
      </c>
      <c r="N215" s="273"/>
      <c r="O215" s="404"/>
    </row>
    <row r="216" spans="2:15" s="270" customFormat="1" ht="14.85" customHeight="1" x14ac:dyDescent="0.25">
      <c r="B216" s="290"/>
      <c r="C216" s="291"/>
      <c r="D216" s="364"/>
      <c r="E216" s="344" t="s">
        <v>165</v>
      </c>
      <c r="F216" s="345"/>
      <c r="H216" s="339">
        <f>SUMIF($E$184:$E$209,E216,$H$184:$H$209)</f>
        <v>252408</v>
      </c>
      <c r="I216" s="277"/>
      <c r="K216" s="339">
        <f>SUMIF($E$184:$E$209,E216,$K$184:$K$209)</f>
        <v>378612</v>
      </c>
      <c r="L216" s="279"/>
      <c r="M216" s="272">
        <f>K216-H216</f>
        <v>126204</v>
      </c>
      <c r="N216" s="362">
        <f>IFERROR(ROUND(M216/H216,5), )</f>
        <v>0.5</v>
      </c>
      <c r="O216" s="404"/>
    </row>
    <row r="217" spans="2:15" s="270" customFormat="1" ht="14.85" customHeight="1" x14ac:dyDescent="0.25">
      <c r="B217" s="290"/>
      <c r="C217" s="291"/>
      <c r="D217" s="364"/>
      <c r="E217" s="344" t="s">
        <v>162</v>
      </c>
      <c r="H217" s="339">
        <f t="shared" ref="H217:H221" si="75">SUMIF($E$184:$E$209,E217,$H$184:$H$209)</f>
        <v>1896860.8783258251</v>
      </c>
      <c r="I217" s="277"/>
      <c r="K217" s="339">
        <f t="shared" ref="K217:K221" si="76">SUMIF($E$184:$E$209,E217,$K$184:$K$209)</f>
        <v>2111582.6079065511</v>
      </c>
      <c r="L217" s="279"/>
      <c r="M217" s="272">
        <f t="shared" ref="M217:M221" si="77">K217-H217</f>
        <v>214721.72958072601</v>
      </c>
      <c r="N217" s="362">
        <f t="shared" ref="N217:N221" si="78">IFERROR(ROUND(M217/H217,5), )</f>
        <v>0.1132</v>
      </c>
      <c r="O217" s="404"/>
    </row>
    <row r="218" spans="2:15" s="270" customFormat="1" ht="14.85" customHeight="1" x14ac:dyDescent="0.25">
      <c r="B218" s="290"/>
      <c r="C218" s="291"/>
      <c r="D218" s="364"/>
      <c r="E218" s="348" t="s">
        <v>279</v>
      </c>
      <c r="H218" s="339">
        <f t="shared" si="75"/>
        <v>0</v>
      </c>
      <c r="I218" s="277"/>
      <c r="K218" s="339">
        <f t="shared" si="76"/>
        <v>0</v>
      </c>
      <c r="L218" s="279"/>
      <c r="M218" s="272">
        <f t="shared" si="77"/>
        <v>0</v>
      </c>
      <c r="N218" s="280">
        <f t="shared" si="78"/>
        <v>0</v>
      </c>
      <c r="O218" s="404"/>
    </row>
    <row r="219" spans="2:15" s="270" customFormat="1" ht="14.85" customHeight="1" x14ac:dyDescent="0.25">
      <c r="B219" s="290"/>
      <c r="C219" s="291"/>
      <c r="D219" s="364"/>
      <c r="E219" s="344" t="s">
        <v>287</v>
      </c>
      <c r="F219" s="277"/>
      <c r="H219" s="339">
        <f t="shared" si="75"/>
        <v>0</v>
      </c>
      <c r="I219" s="277"/>
      <c r="K219" s="339">
        <f t="shared" si="76"/>
        <v>0</v>
      </c>
      <c r="L219" s="279"/>
      <c r="M219" s="272">
        <f t="shared" si="77"/>
        <v>0</v>
      </c>
      <c r="N219" s="280">
        <f t="shared" si="78"/>
        <v>0</v>
      </c>
      <c r="O219" s="404"/>
    </row>
    <row r="220" spans="2:15" s="270" customFormat="1" ht="14.85" customHeight="1" x14ac:dyDescent="0.25">
      <c r="B220" s="290"/>
      <c r="C220" s="291"/>
      <c r="D220" s="364"/>
      <c r="E220" s="344" t="s">
        <v>288</v>
      </c>
      <c r="H220" s="339">
        <f t="shared" si="75"/>
        <v>0</v>
      </c>
      <c r="I220" s="277"/>
      <c r="K220" s="339">
        <f t="shared" si="76"/>
        <v>0</v>
      </c>
      <c r="L220" s="279"/>
      <c r="M220" s="272">
        <f t="shared" si="77"/>
        <v>0</v>
      </c>
      <c r="N220" s="280">
        <f t="shared" si="78"/>
        <v>0</v>
      </c>
      <c r="O220" s="404"/>
    </row>
    <row r="221" spans="2:15" s="270" customFormat="1" ht="14.85" customHeight="1" x14ac:dyDescent="0.25">
      <c r="B221" s="290"/>
      <c r="C221" s="291"/>
      <c r="D221" s="364"/>
      <c r="E221" s="344" t="s">
        <v>290</v>
      </c>
      <c r="H221" s="367">
        <f t="shared" si="75"/>
        <v>-5236</v>
      </c>
      <c r="I221" s="284"/>
      <c r="J221" s="350"/>
      <c r="K221" s="367">
        <f t="shared" si="76"/>
        <v>0</v>
      </c>
      <c r="L221" s="351"/>
      <c r="M221" s="285">
        <f t="shared" si="77"/>
        <v>5236</v>
      </c>
      <c r="N221" s="287">
        <f t="shared" si="78"/>
        <v>-1</v>
      </c>
      <c r="O221" s="404"/>
    </row>
    <row r="222" spans="2:15" s="270" customFormat="1" ht="14.85" customHeight="1" x14ac:dyDescent="0.25">
      <c r="B222" s="290"/>
      <c r="C222" s="291"/>
      <c r="D222" s="364"/>
      <c r="E222" s="579"/>
      <c r="H222" s="352">
        <f>SUM(H216:H221)</f>
        <v>2144032.8783258251</v>
      </c>
      <c r="I222" s="277"/>
      <c r="K222" s="352">
        <f>SUM(K216:K221)</f>
        <v>2490194.6079065511</v>
      </c>
      <c r="L222" s="279"/>
      <c r="M222" s="352">
        <f>SUM(M216:M221)</f>
        <v>346161.72958072601</v>
      </c>
      <c r="N222" s="362">
        <f>IFERROR(ROUND(M222/H222,5), )</f>
        <v>0.16145000000000001</v>
      </c>
      <c r="O222" s="404"/>
    </row>
    <row r="223" spans="2:15" s="270" customFormat="1" ht="14.85" customHeight="1" x14ac:dyDescent="0.25">
      <c r="B223" s="290"/>
      <c r="C223" s="291"/>
      <c r="D223" s="364"/>
      <c r="E223" s="579"/>
      <c r="H223" s="291"/>
      <c r="I223" s="277"/>
      <c r="K223" s="279"/>
      <c r="L223" s="279"/>
      <c r="N223" s="340"/>
      <c r="O223" s="404"/>
    </row>
    <row r="224" spans="2:15" s="270" customFormat="1" ht="14.85" customHeight="1" x14ac:dyDescent="0.25">
      <c r="B224" s="274" t="s">
        <v>166</v>
      </c>
      <c r="C224" s="291"/>
      <c r="D224" s="364"/>
      <c r="E224" s="579"/>
      <c r="H224" s="353">
        <v>2144032.88</v>
      </c>
      <c r="I224" s="277"/>
      <c r="K224" s="279">
        <v>2490155.654162054</v>
      </c>
      <c r="L224" s="279"/>
      <c r="N224" s="340"/>
      <c r="O224" s="404"/>
    </row>
    <row r="225" spans="2:15" s="270" customFormat="1" ht="14.85" customHeight="1" x14ac:dyDescent="0.25">
      <c r="B225" s="274"/>
      <c r="C225" s="291"/>
      <c r="D225" s="364"/>
      <c r="E225" s="579"/>
      <c r="H225" s="291"/>
      <c r="I225" s="277"/>
      <c r="K225" s="279"/>
      <c r="L225" s="279"/>
      <c r="N225" s="340"/>
      <c r="O225" s="404"/>
    </row>
    <row r="226" spans="2:15" s="270" customFormat="1" ht="14.85" customHeight="1" x14ac:dyDescent="0.25">
      <c r="B226" s="274" t="s">
        <v>167</v>
      </c>
      <c r="C226" s="291"/>
      <c r="D226" s="364"/>
      <c r="E226" s="579"/>
      <c r="H226" s="272">
        <f>H222-H224</f>
        <v>-1.6741747967898846E-3</v>
      </c>
      <c r="I226" s="277"/>
      <c r="K226" s="272">
        <f>K222-K224</f>
        <v>38.953744497150183</v>
      </c>
      <c r="L226" s="279"/>
      <c r="N226" s="340"/>
      <c r="O226" s="404"/>
    </row>
    <row r="227" spans="2:15" s="270" customFormat="1" ht="14.85" customHeight="1" x14ac:dyDescent="0.25">
      <c r="B227" s="274" t="s">
        <v>168</v>
      </c>
      <c r="C227" s="291"/>
      <c r="D227" s="364"/>
      <c r="E227" s="579"/>
      <c r="H227" s="306">
        <f>H226/H222</f>
        <v>-7.8085313602894429E-10</v>
      </c>
      <c r="I227" s="277"/>
      <c r="K227" s="306">
        <f>K226/K222</f>
        <v>1.564285151588923E-5</v>
      </c>
      <c r="L227" s="279"/>
      <c r="N227" s="340"/>
      <c r="O227" s="404"/>
    </row>
    <row r="228" spans="2:15" s="270" customFormat="1" ht="14.85" customHeight="1" x14ac:dyDescent="0.25">
      <c r="B228" s="269"/>
      <c r="D228" s="295"/>
      <c r="E228" s="344"/>
      <c r="H228" s="272"/>
      <c r="K228" s="272"/>
      <c r="L228" s="272"/>
      <c r="M228" s="272"/>
      <c r="N228" s="280"/>
      <c r="O228" s="404"/>
    </row>
    <row r="229" spans="2:15" s="270" customFormat="1" ht="14.85" customHeight="1" thickBot="1" x14ac:dyDescent="0.3">
      <c r="B229" s="400" t="s">
        <v>297</v>
      </c>
      <c r="C229" s="334"/>
      <c r="D229" s="356"/>
      <c r="E229" s="580"/>
      <c r="F229" s="357"/>
      <c r="G229" s="686" t="s">
        <v>3</v>
      </c>
      <c r="H229" s="686"/>
      <c r="I229" s="259"/>
      <c r="J229" s="687" t="s">
        <v>4</v>
      </c>
      <c r="K229" s="688"/>
      <c r="L229" s="358"/>
      <c r="M229" s="358" t="s">
        <v>18</v>
      </c>
      <c r="N229" s="314"/>
      <c r="O229" s="404"/>
    </row>
    <row r="230" spans="2:15" s="270" customFormat="1" ht="14.85" customHeight="1" thickBot="1" x14ac:dyDescent="0.3">
      <c r="B230" s="401">
        <v>2490155.654162054</v>
      </c>
      <c r="D230" s="295"/>
      <c r="E230" s="344" t="s">
        <v>165</v>
      </c>
      <c r="F230" s="345">
        <f>SUMIF($E$184:$E$209,E230,$F$184:$F$209)</f>
        <v>312</v>
      </c>
      <c r="G230" s="406">
        <f>G184</f>
        <v>809</v>
      </c>
      <c r="H230" s="339">
        <f>SUMIF($E$184:$E$209,E230,$H$184:$H$209)</f>
        <v>252408</v>
      </c>
      <c r="I230" s="277"/>
      <c r="J230" s="604">
        <v>1213.5</v>
      </c>
      <c r="K230" s="339">
        <f>J230*F230</f>
        <v>378612</v>
      </c>
      <c r="L230" s="279"/>
      <c r="M230" s="272">
        <f>K230-H230</f>
        <v>126204</v>
      </c>
      <c r="N230" s="280">
        <f t="shared" ref="N230:N234" si="79">IFERROR(ROUND(M230/H230,5), )</f>
        <v>0.5</v>
      </c>
      <c r="O230" s="404"/>
    </row>
    <row r="231" spans="2:15" s="270" customFormat="1" ht="14.85" customHeight="1" x14ac:dyDescent="0.25">
      <c r="B231" s="402"/>
      <c r="C231" s="291"/>
      <c r="D231" s="364"/>
      <c r="E231" s="344" t="s">
        <v>162</v>
      </c>
      <c r="F231" s="345">
        <f>SUMIF($E$184:$E$209,E231,$F$184:$F$209)</f>
        <v>2331952.0794108789</v>
      </c>
      <c r="G231" s="346"/>
      <c r="H231" s="339">
        <f t="shared" ref="H231:H236" si="80">SUMIF($E$184:$E$209,E231,$H$184:$H$209)</f>
        <v>1896860.8783258251</v>
      </c>
      <c r="I231" s="277"/>
      <c r="J231" s="278">
        <f>ROUND(K231/F231,4)</f>
        <v>0.90549999999999997</v>
      </c>
      <c r="K231" s="339">
        <f>B230-SUM(K230,K234,K235)</f>
        <v>2111543.654162054</v>
      </c>
      <c r="L231" s="279"/>
      <c r="M231" s="272">
        <f t="shared" ref="M231:M236" si="81">K231-H231</f>
        <v>214682.77583622886</v>
      </c>
      <c r="N231" s="280">
        <f t="shared" si="79"/>
        <v>0.11318</v>
      </c>
      <c r="O231" s="404"/>
    </row>
    <row r="232" spans="2:15" s="270" customFormat="1" ht="14.85" customHeight="1" x14ac:dyDescent="0.25">
      <c r="B232" s="403" t="s">
        <v>15</v>
      </c>
      <c r="C232" s="291"/>
      <c r="D232" s="364"/>
      <c r="E232" s="348" t="s">
        <v>279</v>
      </c>
      <c r="F232" s="345"/>
      <c r="H232" s="339">
        <f t="shared" si="80"/>
        <v>0</v>
      </c>
      <c r="I232" s="277"/>
      <c r="J232" s="278"/>
      <c r="K232" s="339">
        <f t="shared" ref="K232:K236" si="82">J232*F232</f>
        <v>0</v>
      </c>
      <c r="L232" s="279"/>
      <c r="M232" s="272">
        <f t="shared" si="81"/>
        <v>0</v>
      </c>
      <c r="N232" s="280">
        <f t="shared" si="79"/>
        <v>0</v>
      </c>
      <c r="O232" s="404"/>
    </row>
    <row r="233" spans="2:15" s="270" customFormat="1" ht="14.85" customHeight="1" thickBot="1" x14ac:dyDescent="0.3">
      <c r="B233" s="403">
        <f>K212-B230</f>
        <v>38.953744497150183</v>
      </c>
      <c r="C233" s="291"/>
      <c r="D233" s="364"/>
      <c r="E233" s="344" t="s">
        <v>280</v>
      </c>
      <c r="F233" s="345"/>
      <c r="H233" s="339">
        <f t="shared" si="80"/>
        <v>0</v>
      </c>
      <c r="I233" s="277"/>
      <c r="J233" s="278"/>
      <c r="K233" s="339">
        <f t="shared" si="82"/>
        <v>0</v>
      </c>
      <c r="L233" s="279"/>
      <c r="M233" s="272">
        <f t="shared" si="81"/>
        <v>0</v>
      </c>
      <c r="N233" s="280">
        <f t="shared" si="79"/>
        <v>0</v>
      </c>
      <c r="O233" s="404"/>
    </row>
    <row r="234" spans="2:15" s="270" customFormat="1" ht="14.85" customHeight="1" thickBot="1" x14ac:dyDescent="0.3">
      <c r="B234" s="290"/>
      <c r="C234" s="291"/>
      <c r="D234" s="289" t="s">
        <v>289</v>
      </c>
      <c r="E234" s="344" t="s">
        <v>287</v>
      </c>
      <c r="F234" s="345">
        <v>0</v>
      </c>
      <c r="H234" s="339">
        <f t="shared" si="80"/>
        <v>0</v>
      </c>
      <c r="I234" s="277"/>
      <c r="J234" s="361">
        <f>VLOOKUP($D234,Rates!$C$1:$J$136,8,FALSE)</f>
        <v>4.4499999999999998E-2</v>
      </c>
      <c r="K234" s="339">
        <f t="shared" si="82"/>
        <v>0</v>
      </c>
      <c r="L234" s="279"/>
      <c r="M234" s="272">
        <f t="shared" si="81"/>
        <v>0</v>
      </c>
      <c r="N234" s="280">
        <f t="shared" si="79"/>
        <v>0</v>
      </c>
      <c r="O234" s="404"/>
    </row>
    <row r="235" spans="2:15" s="270" customFormat="1" ht="14.85" customHeight="1" thickBot="1" x14ac:dyDescent="0.3">
      <c r="B235" s="290"/>
      <c r="C235" s="291"/>
      <c r="D235" s="289" t="s">
        <v>286</v>
      </c>
      <c r="E235" s="344" t="s">
        <v>288</v>
      </c>
      <c r="F235" s="345">
        <f>F234</f>
        <v>0</v>
      </c>
      <c r="H235" s="339">
        <f t="shared" si="80"/>
        <v>0</v>
      </c>
      <c r="I235" s="277"/>
      <c r="J235" s="361">
        <f>VLOOKUP($D235,Rates!$C$1:$J$136,8,FALSE)</f>
        <v>0.1149</v>
      </c>
      <c r="K235" s="339">
        <f t="shared" si="82"/>
        <v>0</v>
      </c>
      <c r="L235" s="279"/>
      <c r="M235" s="272">
        <f t="shared" si="81"/>
        <v>0</v>
      </c>
      <c r="N235" s="280">
        <f>IFERROR(ROUND(M235/H235,5), )</f>
        <v>0</v>
      </c>
      <c r="O235" s="404"/>
    </row>
    <row r="236" spans="2:15" s="270" customFormat="1" ht="14.85" customHeight="1" x14ac:dyDescent="0.25">
      <c r="B236" s="290"/>
      <c r="C236" s="291"/>
      <c r="D236" s="364"/>
      <c r="E236" s="344" t="s">
        <v>290</v>
      </c>
      <c r="F236" s="345"/>
      <c r="H236" s="367">
        <f t="shared" si="80"/>
        <v>-5236</v>
      </c>
      <c r="I236" s="277"/>
      <c r="J236" s="278"/>
      <c r="K236" s="367">
        <f t="shared" si="82"/>
        <v>0</v>
      </c>
      <c r="L236" s="279"/>
      <c r="M236" s="285">
        <f t="shared" si="81"/>
        <v>5236</v>
      </c>
      <c r="N236" s="287">
        <f>IFERROR(ROUND(M236/H236,5), )</f>
        <v>-1</v>
      </c>
      <c r="O236" s="404"/>
    </row>
    <row r="237" spans="2:15" s="270" customFormat="1" ht="14.85" customHeight="1" x14ac:dyDescent="0.25">
      <c r="B237" s="269"/>
      <c r="D237" s="295"/>
      <c r="E237" s="579"/>
      <c r="H237" s="368">
        <f>SUM(H230:H236)</f>
        <v>2144032.8783258251</v>
      </c>
      <c r="I237" s="277"/>
      <c r="J237" s="278"/>
      <c r="K237" s="368">
        <f>SUM(K230:K236)</f>
        <v>2490155.654162054</v>
      </c>
      <c r="L237" s="279"/>
      <c r="M237" s="368">
        <f>SUM(M230:M236)</f>
        <v>346122.77583622886</v>
      </c>
      <c r="N237" s="280">
        <f>IFERROR(ROUND(M237/H237,5), )</f>
        <v>0.16144</v>
      </c>
      <c r="O237" s="404"/>
    </row>
    <row r="238" spans="2:15" s="270" customFormat="1" ht="14.85" customHeight="1" x14ac:dyDescent="0.25">
      <c r="B238" s="307"/>
      <c r="C238" s="350"/>
      <c r="D238" s="369"/>
      <c r="E238" s="582"/>
      <c r="F238" s="350"/>
      <c r="G238" s="350"/>
      <c r="H238" s="370"/>
      <c r="I238" s="284"/>
      <c r="J238" s="371"/>
      <c r="K238" s="351"/>
      <c r="L238" s="351"/>
      <c r="M238" s="350"/>
      <c r="N238" s="372"/>
      <c r="O238" s="404"/>
    </row>
    <row r="239" spans="2:15" s="270" customFormat="1" ht="14.85" customHeight="1" x14ac:dyDescent="0.25">
      <c r="B239" s="276"/>
      <c r="C239" s="276"/>
      <c r="D239" s="294"/>
      <c r="E239" s="344"/>
      <c r="H239" s="306"/>
      <c r="I239" s="277"/>
      <c r="K239" s="272"/>
      <c r="L239" s="272"/>
      <c r="M239" s="272"/>
      <c r="N239" s="332"/>
      <c r="O239" s="404"/>
    </row>
    <row r="240" spans="2:15" ht="14.85" customHeight="1" x14ac:dyDescent="0.25">
      <c r="B240" s="262" t="s">
        <v>85</v>
      </c>
      <c r="C240" s="264"/>
      <c r="D240" s="393" t="s">
        <v>84</v>
      </c>
      <c r="E240" s="578"/>
      <c r="F240" s="265"/>
      <c r="G240" s="265"/>
      <c r="H240" s="267"/>
      <c r="I240" s="266"/>
      <c r="J240" s="265"/>
      <c r="K240" s="267"/>
      <c r="L240" s="267"/>
      <c r="M240" s="267"/>
      <c r="N240" s="312"/>
      <c r="O240" s="236"/>
    </row>
    <row r="241" spans="2:15" ht="14.85" customHeight="1" x14ac:dyDescent="0.25">
      <c r="B241" s="290"/>
      <c r="C241" s="291"/>
      <c r="D241" s="364"/>
      <c r="E241" s="579"/>
      <c r="F241" s="270"/>
      <c r="G241" s="270"/>
      <c r="H241" s="272"/>
      <c r="I241" s="325"/>
      <c r="J241" s="270"/>
      <c r="K241" s="272"/>
      <c r="L241" s="272"/>
      <c r="M241" s="272"/>
      <c r="N241" s="273"/>
    </row>
    <row r="242" spans="2:15" ht="14.85" customHeight="1" x14ac:dyDescent="0.25">
      <c r="B242" s="301" t="s">
        <v>184</v>
      </c>
      <c r="C242" s="291" t="s">
        <v>84</v>
      </c>
      <c r="D242" s="289" t="str">
        <f>VLOOKUP(C242,Rates!$B$3:$J$136,2,FALSE)</f>
        <v>LIS_BSC</v>
      </c>
      <c r="E242" s="348" t="s">
        <v>165</v>
      </c>
      <c r="F242" s="277">
        <f>VLOOKUP(C242,Rates!$B:$J,4,FALSE)</f>
        <v>12</v>
      </c>
      <c r="G242" s="418">
        <f>VLOOKUP($D242,Rates!$C$1:$J$136,5,FALSE)</f>
        <v>1029</v>
      </c>
      <c r="H242" s="272">
        <f>SUM(+F242*G242)</f>
        <v>12348</v>
      </c>
      <c r="I242" s="277"/>
      <c r="J242" s="279">
        <f>$J$288</f>
        <v>1543.5</v>
      </c>
      <c r="K242" s="272">
        <f>SUM(+F242*J242)</f>
        <v>18522</v>
      </c>
      <c r="L242" s="272"/>
      <c r="M242" s="272">
        <f>K242-H242</f>
        <v>6174</v>
      </c>
      <c r="N242" s="280">
        <f>IFERROR(ROUND(M242/H242,5), )</f>
        <v>0.5</v>
      </c>
      <c r="O242" s="326"/>
    </row>
    <row r="243" spans="2:15" ht="14.85" customHeight="1" x14ac:dyDescent="0.25">
      <c r="B243" s="281" t="s">
        <v>170</v>
      </c>
      <c r="C243" s="291" t="s">
        <v>267</v>
      </c>
      <c r="D243" s="289" t="str">
        <f>VLOOKUP(C243,Rates!$B$3:$J$136,2,FALSE)</f>
        <v>LIS_TRANS_MMT</v>
      </c>
      <c r="E243" s="344" t="s">
        <v>162</v>
      </c>
      <c r="F243" s="277">
        <f>VLOOKUP(C243,Rates!$B:$J,5,FALSE)</f>
        <v>367094.96481140249</v>
      </c>
      <c r="G243" s="278">
        <f>VLOOKUP($D243,Rates!$C$1:$J$136,7,FALSE)</f>
        <v>0.50390000000000001</v>
      </c>
      <c r="H243" s="272">
        <f t="shared" ref="H243" si="83">SUM(+F243*G243)</f>
        <v>184979.15276846572</v>
      </c>
      <c r="I243" s="277"/>
      <c r="J243" s="282">
        <f>$J$289</f>
        <v>0.55410000000000004</v>
      </c>
      <c r="K243" s="272">
        <f t="shared" ref="K243" si="84">SUM(+F243*J243)</f>
        <v>203407.32000199813</v>
      </c>
      <c r="L243" s="272"/>
      <c r="M243" s="272">
        <f t="shared" ref="M243" si="85">K243-H243</f>
        <v>18428.167233532411</v>
      </c>
      <c r="N243" s="280">
        <f t="shared" ref="N243" si="86">IFERROR(ROUND(M243/H243,5), )</f>
        <v>9.962E-2</v>
      </c>
      <c r="O243" s="326"/>
    </row>
    <row r="244" spans="2:15" ht="14.85" customHeight="1" x14ac:dyDescent="0.25">
      <c r="B244" s="281"/>
      <c r="C244" s="291"/>
      <c r="D244" s="289"/>
      <c r="E244" s="344"/>
      <c r="F244" s="277"/>
      <c r="G244" s="278"/>
      <c r="H244" s="272"/>
      <c r="I244" s="277"/>
      <c r="J244" s="282"/>
      <c r="K244" s="272"/>
      <c r="L244" s="272"/>
      <c r="M244" s="272"/>
      <c r="N244" s="280"/>
      <c r="O244" s="326"/>
    </row>
    <row r="245" spans="2:15" ht="14.85" customHeight="1" x14ac:dyDescent="0.25">
      <c r="B245" s="269" t="s">
        <v>147</v>
      </c>
      <c r="C245" s="295"/>
      <c r="D245" s="289" t="s">
        <v>296</v>
      </c>
      <c r="E245" s="344" t="s">
        <v>290</v>
      </c>
      <c r="F245" s="277"/>
      <c r="G245" s="270"/>
      <c r="H245" s="272">
        <v>-798</v>
      </c>
      <c r="I245" s="277"/>
      <c r="J245" s="282"/>
      <c r="K245" s="272"/>
      <c r="L245" s="272"/>
      <c r="M245" s="272">
        <f t="shared" ref="M245" si="87">K245-H245</f>
        <v>798</v>
      </c>
      <c r="N245" s="280">
        <f t="shared" ref="N245" si="88">IFERROR(ROUND(M245/H245,5), )</f>
        <v>-1</v>
      </c>
      <c r="O245" s="326"/>
    </row>
    <row r="246" spans="2:15" ht="14.85" customHeight="1" x14ac:dyDescent="0.25">
      <c r="B246" s="290"/>
      <c r="C246" s="291"/>
      <c r="D246" s="364"/>
      <c r="E246" s="583"/>
      <c r="F246" s="277"/>
      <c r="G246" s="279"/>
      <c r="H246" s="285"/>
      <c r="I246" s="277"/>
      <c r="J246" s="279"/>
      <c r="K246" s="272"/>
      <c r="L246" s="272"/>
      <c r="M246" s="272"/>
      <c r="N246" s="280"/>
      <c r="O246" s="326"/>
    </row>
    <row r="247" spans="2:15" ht="14.85" customHeight="1" x14ac:dyDescent="0.25">
      <c r="B247" s="274" t="s">
        <v>16</v>
      </c>
      <c r="C247" s="276"/>
      <c r="D247" s="294"/>
      <c r="E247" s="583"/>
      <c r="F247" s="277"/>
      <c r="G247" s="279"/>
      <c r="H247" s="272">
        <f>SUM(H242:H246)</f>
        <v>196529.15276846572</v>
      </c>
      <c r="I247" s="277"/>
      <c r="J247" s="279"/>
      <c r="K247" s="304">
        <f>SUM(K242:K246)</f>
        <v>221929.32000199813</v>
      </c>
      <c r="L247" s="272"/>
      <c r="M247" s="304">
        <f>SUM(M240:M246)</f>
        <v>25400.167233532411</v>
      </c>
      <c r="N247" s="318">
        <f>IFERROR(ROUND(M247/H247,5), )</f>
        <v>0.12923999999999999</v>
      </c>
      <c r="O247" s="326"/>
    </row>
    <row r="248" spans="2:15" ht="14.85" customHeight="1" x14ac:dyDescent="0.25">
      <c r="B248" s="274"/>
      <c r="C248" s="276"/>
      <c r="D248" s="294"/>
      <c r="E248" s="583"/>
      <c r="F248" s="277"/>
      <c r="G248" s="279"/>
      <c r="H248" s="272"/>
      <c r="I248" s="277"/>
      <c r="J248" s="279"/>
      <c r="K248" s="272"/>
      <c r="L248" s="272"/>
      <c r="M248" s="272"/>
      <c r="N248" s="280"/>
      <c r="O248" s="326"/>
    </row>
    <row r="249" spans="2:15" ht="14.85" customHeight="1" x14ac:dyDescent="0.25">
      <c r="B249" s="274" t="s">
        <v>166</v>
      </c>
      <c r="C249" s="276"/>
      <c r="D249" s="294"/>
      <c r="E249" s="583"/>
      <c r="F249" s="277"/>
      <c r="G249" s="279"/>
      <c r="H249" s="272">
        <v>196529.16999999998</v>
      </c>
      <c r="I249" s="277"/>
      <c r="J249" s="279"/>
      <c r="K249" s="272"/>
      <c r="L249" s="272"/>
      <c r="M249" s="272"/>
      <c r="N249" s="280"/>
      <c r="O249" s="326"/>
    </row>
    <row r="250" spans="2:15" ht="14.85" customHeight="1" x14ac:dyDescent="0.25">
      <c r="B250" s="274"/>
      <c r="C250" s="276"/>
      <c r="D250" s="294"/>
      <c r="E250" s="344"/>
      <c r="F250" s="270"/>
      <c r="G250" s="270"/>
      <c r="H250" s="272"/>
      <c r="I250" s="270"/>
      <c r="J250" s="270"/>
      <c r="K250" s="272"/>
      <c r="L250" s="272"/>
      <c r="M250" s="272"/>
      <c r="N250" s="280"/>
      <c r="O250" s="326"/>
    </row>
    <row r="251" spans="2:15" ht="14.85" customHeight="1" x14ac:dyDescent="0.25">
      <c r="B251" s="274" t="s">
        <v>167</v>
      </c>
      <c r="C251" s="276"/>
      <c r="D251" s="294"/>
      <c r="E251" s="348"/>
      <c r="F251" s="277"/>
      <c r="G251" s="277"/>
      <c r="H251" s="272">
        <f>H247-H249</f>
        <v>-1.7231534264283255E-2</v>
      </c>
      <c r="I251" s="277"/>
      <c r="J251" s="270"/>
      <c r="K251" s="272"/>
      <c r="L251" s="272"/>
      <c r="M251" s="272"/>
      <c r="N251" s="273"/>
      <c r="O251" s="326"/>
    </row>
    <row r="252" spans="2:15" ht="14.85" customHeight="1" x14ac:dyDescent="0.25">
      <c r="B252" s="274" t="s">
        <v>168</v>
      </c>
      <c r="C252" s="276"/>
      <c r="D252" s="294"/>
      <c r="E252" s="344"/>
      <c r="F252" s="270"/>
      <c r="G252" s="270"/>
      <c r="H252" s="306">
        <f>H251/H247</f>
        <v>-8.7679278221811767E-8</v>
      </c>
      <c r="I252" s="277"/>
      <c r="J252" s="270"/>
      <c r="K252" s="272"/>
      <c r="L252" s="272"/>
      <c r="M252" s="272"/>
      <c r="N252" s="273"/>
      <c r="O252" s="296"/>
    </row>
    <row r="253" spans="2:15" ht="14.85" customHeight="1" x14ac:dyDescent="0.25">
      <c r="B253" s="395"/>
      <c r="C253" s="396"/>
      <c r="D253" s="397"/>
      <c r="E253" s="577"/>
      <c r="F253" s="390"/>
      <c r="G253" s="390"/>
      <c r="H253" s="398"/>
      <c r="I253" s="392"/>
      <c r="J253" s="390"/>
      <c r="K253" s="391"/>
      <c r="L253" s="391"/>
      <c r="M253" s="391"/>
      <c r="N253" s="372"/>
      <c r="O253" s="296"/>
    </row>
    <row r="254" spans="2:15" ht="14.85" customHeight="1" x14ac:dyDescent="0.25">
      <c r="B254" s="262" t="s">
        <v>87</v>
      </c>
      <c r="C254" s="264"/>
      <c r="D254" s="393" t="s">
        <v>86</v>
      </c>
      <c r="E254" s="578"/>
      <c r="F254" s="265"/>
      <c r="G254" s="265"/>
      <c r="H254" s="267"/>
      <c r="I254" s="266"/>
      <c r="J254" s="265"/>
      <c r="K254" s="267"/>
      <c r="L254" s="267"/>
      <c r="M254" s="267"/>
      <c r="N254" s="312"/>
      <c r="O254" s="236"/>
    </row>
    <row r="255" spans="2:15" ht="14.85" customHeight="1" x14ac:dyDescent="0.25">
      <c r="B255" s="333"/>
      <c r="C255" s="334"/>
      <c r="D255" s="356"/>
      <c r="E255" s="580"/>
      <c r="F255" s="258"/>
      <c r="G255" s="258"/>
      <c r="H255" s="304"/>
      <c r="I255" s="414"/>
      <c r="J255" s="258"/>
      <c r="K255" s="304"/>
      <c r="L255" s="304"/>
      <c r="M255" s="304"/>
      <c r="N255" s="314"/>
    </row>
    <row r="256" spans="2:15" ht="14.85" customHeight="1" x14ac:dyDescent="0.25">
      <c r="B256" s="301" t="s">
        <v>184</v>
      </c>
      <c r="C256" s="291" t="s">
        <v>86</v>
      </c>
      <c r="D256" s="289" t="str">
        <f>VLOOKUP(C256,Rates!$B$3:$J$136,2,FALSE)</f>
        <v>LIS_BSC</v>
      </c>
      <c r="E256" s="348" t="s">
        <v>165</v>
      </c>
      <c r="F256" s="277">
        <f>VLOOKUP(C256,Rates!$B:$J,4,FALSE)</f>
        <v>132</v>
      </c>
      <c r="G256" s="418">
        <f>VLOOKUP($D256,Rates!$C$1:$J$136,5,FALSE)</f>
        <v>1029</v>
      </c>
      <c r="H256" s="272">
        <f>SUM(+F256*G256)</f>
        <v>135828</v>
      </c>
      <c r="I256" s="277"/>
      <c r="J256" s="279">
        <f>$J$288</f>
        <v>1543.5</v>
      </c>
      <c r="K256" s="272">
        <f>SUM(+F256*J256)</f>
        <v>203742</v>
      </c>
      <c r="L256" s="272"/>
      <c r="M256" s="272">
        <f>K256-H256</f>
        <v>67914</v>
      </c>
      <c r="N256" s="280">
        <f>IFERROR(ROUND(M256/H256,5), )</f>
        <v>0.5</v>
      </c>
      <c r="O256" s="326"/>
    </row>
    <row r="257" spans="2:15" ht="14.85" customHeight="1" x14ac:dyDescent="0.25">
      <c r="B257" s="281" t="s">
        <v>170</v>
      </c>
      <c r="C257" s="291" t="s">
        <v>269</v>
      </c>
      <c r="D257" s="289" t="str">
        <f>VLOOKUP(C257,Rates!$B$3:$J$136,2,FALSE)</f>
        <v>LIS_TRANS_DMT</v>
      </c>
      <c r="E257" s="344" t="s">
        <v>162</v>
      </c>
      <c r="F257" s="277">
        <f>VLOOKUP(C257,Rates!$B:$J,5,FALSE)</f>
        <v>6024011.2124933479</v>
      </c>
      <c r="G257" s="278">
        <f>VLOOKUP($D257,Rates!$C$1:$J$136,7,FALSE)</f>
        <v>0.4839</v>
      </c>
      <c r="H257" s="272">
        <f t="shared" ref="H257" si="89">SUM(+F257*G257)</f>
        <v>2915019.0257255309</v>
      </c>
      <c r="I257" s="277"/>
      <c r="J257" s="282">
        <f>$J$289</f>
        <v>0.55410000000000004</v>
      </c>
      <c r="K257" s="272">
        <f t="shared" ref="K257" si="90">SUM(+F257*J257)</f>
        <v>3337904.6128425645</v>
      </c>
      <c r="L257" s="272"/>
      <c r="M257" s="272">
        <f t="shared" ref="M257" si="91">K257-H257</f>
        <v>422885.58711703354</v>
      </c>
      <c r="N257" s="280">
        <f t="shared" ref="N257" si="92">IFERROR(ROUND(M257/H257,5), )</f>
        <v>0.14507</v>
      </c>
      <c r="O257" s="326"/>
    </row>
    <row r="258" spans="2:15" ht="14.85" customHeight="1" x14ac:dyDescent="0.25">
      <c r="B258" s="281"/>
      <c r="C258" s="291"/>
      <c r="D258" s="289"/>
      <c r="E258" s="344"/>
      <c r="F258" s="277"/>
      <c r="G258" s="278"/>
      <c r="H258" s="272"/>
      <c r="I258" s="277"/>
      <c r="J258" s="282"/>
      <c r="K258" s="272"/>
      <c r="L258" s="272"/>
      <c r="M258" s="272"/>
      <c r="N258" s="280"/>
      <c r="O258" s="326"/>
    </row>
    <row r="259" spans="2:15" ht="14.85" customHeight="1" x14ac:dyDescent="0.25">
      <c r="B259" s="269" t="s">
        <v>147</v>
      </c>
      <c r="C259" s="295"/>
      <c r="D259" s="289" t="s">
        <v>296</v>
      </c>
      <c r="E259" s="344" t="s">
        <v>290</v>
      </c>
      <c r="F259" s="277"/>
      <c r="G259" s="278"/>
      <c r="H259" s="272">
        <v>-6888</v>
      </c>
      <c r="I259" s="277"/>
      <c r="J259" s="282"/>
      <c r="K259" s="272"/>
      <c r="L259" s="272"/>
      <c r="M259" s="272">
        <f t="shared" ref="M259" si="93">K259-H259</f>
        <v>6888</v>
      </c>
      <c r="N259" s="280">
        <f t="shared" ref="N259" si="94">IFERROR(ROUND(M259/H259,5), )</f>
        <v>-1</v>
      </c>
      <c r="O259" s="326"/>
    </row>
    <row r="260" spans="2:15" ht="14.85" customHeight="1" x14ac:dyDescent="0.25">
      <c r="B260" s="290"/>
      <c r="C260" s="291"/>
      <c r="D260" s="364"/>
      <c r="E260" s="583"/>
      <c r="F260" s="277"/>
      <c r="G260" s="279"/>
      <c r="H260" s="285"/>
      <c r="I260" s="277"/>
      <c r="J260" s="279"/>
      <c r="K260" s="272"/>
      <c r="L260" s="272"/>
      <c r="M260" s="272"/>
      <c r="N260" s="280"/>
      <c r="O260" s="326"/>
    </row>
    <row r="261" spans="2:15" ht="14.85" customHeight="1" x14ac:dyDescent="0.25">
      <c r="B261" s="274" t="s">
        <v>16</v>
      </c>
      <c r="C261" s="276"/>
      <c r="D261" s="294"/>
      <c r="E261" s="583"/>
      <c r="F261" s="277"/>
      <c r="G261" s="279"/>
      <c r="H261" s="272">
        <f>SUM(H256:H260)</f>
        <v>3043959.0257255309</v>
      </c>
      <c r="I261" s="277"/>
      <c r="J261" s="279"/>
      <c r="K261" s="304">
        <f>SUM(K256:K260)</f>
        <v>3541646.6128425645</v>
      </c>
      <c r="L261" s="272"/>
      <c r="M261" s="304">
        <f>SUM(M254:M260)</f>
        <v>497687.58711703354</v>
      </c>
      <c r="N261" s="318">
        <f>IFERROR(ROUND(M261/H261,5), )</f>
        <v>0.16350000000000001</v>
      </c>
      <c r="O261" s="326"/>
    </row>
    <row r="262" spans="2:15" ht="14.85" customHeight="1" x14ac:dyDescent="0.25">
      <c r="B262" s="274"/>
      <c r="C262" s="276"/>
      <c r="D262" s="294"/>
      <c r="E262" s="583"/>
      <c r="F262" s="277"/>
      <c r="G262" s="279"/>
      <c r="H262" s="272"/>
      <c r="I262" s="277"/>
      <c r="J262" s="279"/>
      <c r="K262" s="272"/>
      <c r="L262" s="272"/>
      <c r="M262" s="272"/>
      <c r="N262" s="280"/>
      <c r="O262" s="326"/>
    </row>
    <row r="263" spans="2:15" ht="14.85" customHeight="1" x14ac:dyDescent="0.25">
      <c r="B263" s="274" t="s">
        <v>166</v>
      </c>
      <c r="C263" s="276"/>
      <c r="D263" s="294"/>
      <c r="E263" s="583"/>
      <c r="F263" s="277"/>
      <c r="G263" s="279"/>
      <c r="H263" s="272">
        <v>3043959.03</v>
      </c>
      <c r="I263" s="277"/>
      <c r="J263" s="279"/>
      <c r="K263" s="272"/>
      <c r="L263" s="272"/>
      <c r="M263" s="272"/>
      <c r="N263" s="280"/>
      <c r="O263" s="326"/>
    </row>
    <row r="264" spans="2:15" ht="14.85" customHeight="1" x14ac:dyDescent="0.25">
      <c r="B264" s="274"/>
      <c r="C264" s="276"/>
      <c r="D264" s="294"/>
      <c r="E264" s="344"/>
      <c r="F264" s="270"/>
      <c r="G264" s="270"/>
      <c r="H264" s="272"/>
      <c r="I264" s="270"/>
      <c r="J264" s="270"/>
      <c r="K264" s="272"/>
      <c r="L264" s="272"/>
      <c r="M264" s="272"/>
      <c r="N264" s="280"/>
      <c r="O264" s="326"/>
    </row>
    <row r="265" spans="2:15" ht="14.85" customHeight="1" x14ac:dyDescent="0.25">
      <c r="B265" s="274" t="s">
        <v>167</v>
      </c>
      <c r="C265" s="276"/>
      <c r="D265" s="294"/>
      <c r="E265" s="348"/>
      <c r="F265" s="277"/>
      <c r="G265" s="277"/>
      <c r="H265" s="272">
        <f>H261-H263</f>
        <v>-4.274468868970871E-3</v>
      </c>
      <c r="I265" s="277"/>
      <c r="J265" s="270"/>
      <c r="K265" s="272"/>
      <c r="L265" s="272"/>
      <c r="M265" s="272"/>
      <c r="N265" s="273"/>
      <c r="O265" s="326"/>
    </row>
    <row r="266" spans="2:15" ht="14.85" customHeight="1" x14ac:dyDescent="0.25">
      <c r="B266" s="274" t="s">
        <v>168</v>
      </c>
      <c r="C266" s="276"/>
      <c r="D266" s="294"/>
      <c r="E266" s="344"/>
      <c r="F266" s="270"/>
      <c r="G266" s="270"/>
      <c r="H266" s="306">
        <f>H265/H261</f>
        <v>-1.4042465200240488E-9</v>
      </c>
      <c r="I266" s="277"/>
      <c r="J266" s="270"/>
      <c r="K266" s="272"/>
      <c r="L266" s="272"/>
      <c r="M266" s="272"/>
      <c r="N266" s="273"/>
      <c r="O266" s="296"/>
    </row>
    <row r="267" spans="2:15" s="270" customFormat="1" ht="14.85" customHeight="1" x14ac:dyDescent="0.25">
      <c r="B267" s="395"/>
      <c r="C267" s="354"/>
      <c r="D267" s="415"/>
      <c r="E267" s="419"/>
      <c r="F267" s="350"/>
      <c r="G267" s="350"/>
      <c r="H267" s="416"/>
      <c r="I267" s="284"/>
      <c r="J267" s="350"/>
      <c r="K267" s="285"/>
      <c r="L267" s="285"/>
      <c r="M267" s="285"/>
      <c r="N267" s="372"/>
      <c r="O267" s="404"/>
    </row>
    <row r="268" spans="2:15" s="270" customFormat="1" ht="14.85" customHeight="1" x14ac:dyDescent="0.25">
      <c r="B268" s="276"/>
      <c r="C268" s="276"/>
      <c r="D268" s="294"/>
      <c r="E268" s="344"/>
      <c r="H268" s="306"/>
      <c r="I268" s="277"/>
      <c r="K268" s="272"/>
      <c r="L268" s="272"/>
      <c r="M268" s="272"/>
      <c r="N268" s="332"/>
      <c r="O268" s="404"/>
    </row>
    <row r="269" spans="2:15" s="270" customFormat="1" ht="14.85" customHeight="1" x14ac:dyDescent="0.25">
      <c r="B269" s="333" t="s">
        <v>303</v>
      </c>
      <c r="C269" s="334"/>
      <c r="D269" s="356"/>
      <c r="E269" s="580"/>
      <c r="F269" s="335" t="s">
        <v>162</v>
      </c>
      <c r="G269" s="258"/>
      <c r="H269" s="336" t="s">
        <v>3</v>
      </c>
      <c r="I269" s="259"/>
      <c r="J269" s="258"/>
      <c r="K269" s="337" t="s">
        <v>4</v>
      </c>
      <c r="L269" s="260"/>
      <c r="M269" s="337" t="s">
        <v>18</v>
      </c>
      <c r="N269" s="314"/>
      <c r="O269" s="404"/>
    </row>
    <row r="270" spans="2:15" s="270" customFormat="1" ht="14.85" customHeight="1" x14ac:dyDescent="0.25">
      <c r="B270" s="338" t="s">
        <v>16</v>
      </c>
      <c r="D270" s="295"/>
      <c r="E270" s="579"/>
      <c r="F270" s="339">
        <f>SUMIF(E242:E267,F269,F242:F267)</f>
        <v>6391106.1773047503</v>
      </c>
      <c r="H270" s="272">
        <f>H247+H261</f>
        <v>3240488.1784939966</v>
      </c>
      <c r="I270" s="277"/>
      <c r="K270" s="272">
        <f>K247+K261</f>
        <v>3763575.9328445625</v>
      </c>
      <c r="L270" s="272"/>
      <c r="M270" s="272">
        <f>K270-H270</f>
        <v>523087.75435056584</v>
      </c>
      <c r="N270" s="362">
        <f>M270/H270</f>
        <v>0.16142251584872891</v>
      </c>
      <c r="O270" s="404"/>
    </row>
    <row r="271" spans="2:15" s="270" customFormat="1" ht="14.85" customHeight="1" x14ac:dyDescent="0.25">
      <c r="B271" s="290"/>
      <c r="C271" s="291"/>
      <c r="D271" s="364"/>
      <c r="E271" s="581"/>
      <c r="F271" s="277"/>
      <c r="G271" s="277"/>
      <c r="H271" s="277"/>
      <c r="I271" s="277"/>
      <c r="J271" s="277"/>
      <c r="K271" s="277"/>
      <c r="L271" s="277"/>
      <c r="M271" s="277"/>
      <c r="N271" s="413"/>
      <c r="O271" s="404"/>
    </row>
    <row r="272" spans="2:15" s="270" customFormat="1" ht="14.85" customHeight="1" x14ac:dyDescent="0.25">
      <c r="B272" s="290"/>
      <c r="C272" s="291"/>
      <c r="D272" s="364"/>
      <c r="E272" s="581"/>
      <c r="F272" s="277"/>
      <c r="G272" s="277"/>
      <c r="H272" s="277"/>
      <c r="I272" s="277"/>
      <c r="J272" s="277"/>
      <c r="K272" s="277"/>
      <c r="L272" s="277"/>
      <c r="M272" s="277"/>
      <c r="N272" s="413"/>
      <c r="O272" s="404"/>
    </row>
    <row r="273" spans="2:15" s="270" customFormat="1" ht="14.85" customHeight="1" x14ac:dyDescent="0.25">
      <c r="B273" s="290"/>
      <c r="C273" s="291"/>
      <c r="D273" s="364"/>
      <c r="E273" s="579"/>
      <c r="H273" s="341" t="s">
        <v>3</v>
      </c>
      <c r="I273" s="342"/>
      <c r="J273" s="341"/>
      <c r="K273" s="343" t="s">
        <v>4</v>
      </c>
      <c r="L273" s="343"/>
      <c r="M273" s="343" t="s">
        <v>18</v>
      </c>
      <c r="N273" s="273"/>
      <c r="O273" s="404"/>
    </row>
    <row r="274" spans="2:15" s="270" customFormat="1" ht="14.85" customHeight="1" x14ac:dyDescent="0.25">
      <c r="B274" s="290"/>
      <c r="C274" s="291"/>
      <c r="D274" s="364"/>
      <c r="E274" s="344" t="s">
        <v>165</v>
      </c>
      <c r="F274" s="345"/>
      <c r="H274" s="339">
        <f t="shared" ref="H274:H279" si="95">SUMIF($E$242:$E$267,E274,$H$242:$H$267)</f>
        <v>148176</v>
      </c>
      <c r="I274" s="277"/>
      <c r="K274" s="339">
        <f t="shared" ref="K274:K279" si="96">SUMIF($E$242:$E$267,E274,$K$242:$K$267)</f>
        <v>222264</v>
      </c>
      <c r="L274" s="279"/>
      <c r="M274" s="272">
        <f>K274-H274</f>
        <v>74088</v>
      </c>
      <c r="N274" s="362">
        <f>IFERROR(ROUND(M274/H274,5), )</f>
        <v>0.5</v>
      </c>
      <c r="O274" s="404"/>
    </row>
    <row r="275" spans="2:15" s="270" customFormat="1" ht="14.85" customHeight="1" x14ac:dyDescent="0.25">
      <c r="B275" s="290"/>
      <c r="C275" s="291"/>
      <c r="D275" s="364"/>
      <c r="E275" s="344" t="s">
        <v>162</v>
      </c>
      <c r="H275" s="339">
        <f t="shared" si="95"/>
        <v>3099998.1784939966</v>
      </c>
      <c r="I275" s="277"/>
      <c r="K275" s="339">
        <f t="shared" si="96"/>
        <v>3541311.9328445625</v>
      </c>
      <c r="L275" s="279"/>
      <c r="M275" s="272">
        <f t="shared" ref="M275:M279" si="97">K275-H275</f>
        <v>441313.75435056584</v>
      </c>
      <c r="N275" s="362">
        <f t="shared" ref="N275:N279" si="98">IFERROR(ROUND(M275/H275,5), )</f>
        <v>0.14235999999999999</v>
      </c>
      <c r="O275" s="404"/>
    </row>
    <row r="276" spans="2:15" s="270" customFormat="1" ht="14.85" customHeight="1" x14ac:dyDescent="0.25">
      <c r="B276" s="290"/>
      <c r="C276" s="291"/>
      <c r="D276" s="364"/>
      <c r="E276" s="348" t="s">
        <v>279</v>
      </c>
      <c r="H276" s="339">
        <f t="shared" si="95"/>
        <v>0</v>
      </c>
      <c r="I276" s="277"/>
      <c r="K276" s="339">
        <f t="shared" si="96"/>
        <v>0</v>
      </c>
      <c r="L276" s="279"/>
      <c r="M276" s="272">
        <f t="shared" si="97"/>
        <v>0</v>
      </c>
      <c r="N276" s="280">
        <f t="shared" si="98"/>
        <v>0</v>
      </c>
      <c r="O276" s="404"/>
    </row>
    <row r="277" spans="2:15" s="270" customFormat="1" ht="14.85" customHeight="1" x14ac:dyDescent="0.25">
      <c r="B277" s="290"/>
      <c r="C277" s="291"/>
      <c r="D277" s="364"/>
      <c r="E277" s="344" t="s">
        <v>287</v>
      </c>
      <c r="F277" s="277"/>
      <c r="H277" s="339">
        <f t="shared" si="95"/>
        <v>0</v>
      </c>
      <c r="I277" s="277"/>
      <c r="K277" s="339">
        <f t="shared" si="96"/>
        <v>0</v>
      </c>
      <c r="L277" s="279"/>
      <c r="M277" s="272">
        <f t="shared" si="97"/>
        <v>0</v>
      </c>
      <c r="N277" s="280">
        <f t="shared" si="98"/>
        <v>0</v>
      </c>
      <c r="O277" s="404"/>
    </row>
    <row r="278" spans="2:15" s="270" customFormat="1" ht="14.85" customHeight="1" x14ac:dyDescent="0.25">
      <c r="B278" s="290"/>
      <c r="C278" s="291"/>
      <c r="D278" s="364"/>
      <c r="E278" s="344" t="s">
        <v>288</v>
      </c>
      <c r="H278" s="339">
        <f t="shared" si="95"/>
        <v>0</v>
      </c>
      <c r="I278" s="277"/>
      <c r="K278" s="339">
        <f t="shared" si="96"/>
        <v>0</v>
      </c>
      <c r="L278" s="279"/>
      <c r="M278" s="272">
        <f t="shared" si="97"/>
        <v>0</v>
      </c>
      <c r="N278" s="280">
        <f t="shared" si="98"/>
        <v>0</v>
      </c>
      <c r="O278" s="404"/>
    </row>
    <row r="279" spans="2:15" s="270" customFormat="1" ht="14.85" customHeight="1" x14ac:dyDescent="0.25">
      <c r="B279" s="290"/>
      <c r="C279" s="291"/>
      <c r="D279" s="364"/>
      <c r="E279" s="344" t="s">
        <v>290</v>
      </c>
      <c r="H279" s="367">
        <f t="shared" si="95"/>
        <v>-7686</v>
      </c>
      <c r="I279" s="284"/>
      <c r="J279" s="350"/>
      <c r="K279" s="367">
        <f t="shared" si="96"/>
        <v>0</v>
      </c>
      <c r="L279" s="351"/>
      <c r="M279" s="285">
        <f t="shared" si="97"/>
        <v>7686</v>
      </c>
      <c r="N279" s="287">
        <f t="shared" si="98"/>
        <v>-1</v>
      </c>
      <c r="O279" s="404"/>
    </row>
    <row r="280" spans="2:15" s="270" customFormat="1" ht="14.85" customHeight="1" x14ac:dyDescent="0.25">
      <c r="B280" s="290"/>
      <c r="C280" s="291"/>
      <c r="D280" s="364"/>
      <c r="E280" s="579"/>
      <c r="H280" s="352">
        <f>SUM(H274:H279)</f>
        <v>3240488.1784939966</v>
      </c>
      <c r="I280" s="277"/>
      <c r="K280" s="352">
        <f>SUM(K274:K279)</f>
        <v>3763575.9328445625</v>
      </c>
      <c r="L280" s="279"/>
      <c r="M280" s="352">
        <f>SUM(M274:M279)</f>
        <v>523087.75435056584</v>
      </c>
      <c r="N280" s="362">
        <f>IFERROR(ROUND(M280/H280,5), )</f>
        <v>0.16142000000000001</v>
      </c>
      <c r="O280" s="404"/>
    </row>
    <row r="281" spans="2:15" s="270" customFormat="1" ht="14.85" customHeight="1" x14ac:dyDescent="0.25">
      <c r="B281" s="290"/>
      <c r="C281" s="291"/>
      <c r="D281" s="364"/>
      <c r="E281" s="579"/>
      <c r="H281" s="291"/>
      <c r="I281" s="277"/>
      <c r="K281" s="279"/>
      <c r="L281" s="279"/>
      <c r="N281" s="340"/>
      <c r="O281" s="404"/>
    </row>
    <row r="282" spans="2:15" s="270" customFormat="1" ht="14.85" customHeight="1" x14ac:dyDescent="0.25">
      <c r="B282" s="274" t="s">
        <v>166</v>
      </c>
      <c r="C282" s="291"/>
      <c r="D282" s="364"/>
      <c r="E282" s="579"/>
      <c r="H282" s="353">
        <v>3240488.1999999997</v>
      </c>
      <c r="I282" s="277"/>
      <c r="K282" s="279">
        <v>3763617.6612531319</v>
      </c>
      <c r="L282" s="279"/>
      <c r="N282" s="340"/>
      <c r="O282" s="404"/>
    </row>
    <row r="283" spans="2:15" s="270" customFormat="1" ht="14.85" customHeight="1" x14ac:dyDescent="0.25">
      <c r="B283" s="274"/>
      <c r="C283" s="291"/>
      <c r="D283" s="364"/>
      <c r="E283" s="579"/>
      <c r="H283" s="291"/>
      <c r="I283" s="277"/>
      <c r="K283" s="279"/>
      <c r="L283" s="279"/>
      <c r="N283" s="340"/>
      <c r="O283" s="404"/>
    </row>
    <row r="284" spans="2:15" s="270" customFormat="1" ht="14.85" customHeight="1" x14ac:dyDescent="0.25">
      <c r="B284" s="274" t="s">
        <v>167</v>
      </c>
      <c r="C284" s="291"/>
      <c r="D284" s="364"/>
      <c r="E284" s="579"/>
      <c r="H284" s="272">
        <f>H280-H282</f>
        <v>-2.1506003104150295E-2</v>
      </c>
      <c r="I284" s="277"/>
      <c r="K284" s="272">
        <f>K280-K282</f>
        <v>-41.728408569470048</v>
      </c>
      <c r="L284" s="279"/>
      <c r="N284" s="340"/>
      <c r="O284" s="404"/>
    </row>
    <row r="285" spans="2:15" s="270" customFormat="1" ht="14.85" customHeight="1" x14ac:dyDescent="0.25">
      <c r="B285" s="274" t="s">
        <v>168</v>
      </c>
      <c r="C285" s="291"/>
      <c r="D285" s="364"/>
      <c r="E285" s="579"/>
      <c r="H285" s="306">
        <f>H284/H280</f>
        <v>-6.6366553184419027E-9</v>
      </c>
      <c r="I285" s="277"/>
      <c r="K285" s="306">
        <f>K284/K280</f>
        <v>-1.1087436340876785E-5</v>
      </c>
      <c r="L285" s="279"/>
      <c r="N285" s="340"/>
      <c r="O285" s="404"/>
    </row>
    <row r="286" spans="2:15" s="270" customFormat="1" ht="14.85" customHeight="1" x14ac:dyDescent="0.25">
      <c r="B286" s="269"/>
      <c r="D286" s="295"/>
      <c r="E286" s="344"/>
      <c r="H286" s="272"/>
      <c r="K286" s="272"/>
      <c r="L286" s="272"/>
      <c r="M286" s="272"/>
      <c r="N286" s="280"/>
      <c r="O286" s="404"/>
    </row>
    <row r="287" spans="2:15" s="270" customFormat="1" ht="14.85" customHeight="1" thickBot="1" x14ac:dyDescent="0.3">
      <c r="B287" s="400" t="s">
        <v>297</v>
      </c>
      <c r="C287" s="334"/>
      <c r="D287" s="356"/>
      <c r="E287" s="580"/>
      <c r="F287" s="357"/>
      <c r="G287" s="686" t="s">
        <v>3</v>
      </c>
      <c r="H287" s="686"/>
      <c r="I287" s="259"/>
      <c r="J287" s="687" t="s">
        <v>4</v>
      </c>
      <c r="K287" s="688"/>
      <c r="L287" s="358"/>
      <c r="M287" s="358" t="s">
        <v>18</v>
      </c>
      <c r="N287" s="314"/>
      <c r="O287" s="404"/>
    </row>
    <row r="288" spans="2:15" s="270" customFormat="1" ht="14.85" customHeight="1" thickBot="1" x14ac:dyDescent="0.3">
      <c r="B288" s="401">
        <v>3763617.6612531319</v>
      </c>
      <c r="D288" s="295"/>
      <c r="E288" s="344" t="s">
        <v>165</v>
      </c>
      <c r="F288" s="345">
        <f>SUMIF($E$241:$E$267,E288,$F$241:$F$267)</f>
        <v>144</v>
      </c>
      <c r="G288" s="406">
        <f>G242</f>
        <v>1029</v>
      </c>
      <c r="H288" s="339">
        <f t="shared" ref="H288:H294" si="99">SUMIF($E$241:$E$267,E288,$H$241:$H$267)</f>
        <v>148176</v>
      </c>
      <c r="I288" s="277"/>
      <c r="J288" s="604">
        <v>1543.5</v>
      </c>
      <c r="K288" s="339">
        <f>J288*F288</f>
        <v>222264</v>
      </c>
      <c r="L288" s="279"/>
      <c r="M288" s="272">
        <f>K288-H288</f>
        <v>74088</v>
      </c>
      <c r="N288" s="280">
        <f t="shared" ref="N288:N292" si="100">IFERROR(ROUND(M288/H288,5), )</f>
        <v>0.5</v>
      </c>
      <c r="O288" s="404"/>
    </row>
    <row r="289" spans="2:16" s="270" customFormat="1" ht="14.85" customHeight="1" x14ac:dyDescent="0.25">
      <c r="B289" s="402"/>
      <c r="C289" s="291"/>
      <c r="D289" s="364"/>
      <c r="E289" s="344" t="s">
        <v>162</v>
      </c>
      <c r="F289" s="345">
        <f>SUMIF($E$241:$E$267,E289,$F$241:$F$267)</f>
        <v>6391106.1773047503</v>
      </c>
      <c r="G289" s="346"/>
      <c r="H289" s="339">
        <f t="shared" si="99"/>
        <v>3099998.1784939966</v>
      </c>
      <c r="I289" s="277"/>
      <c r="J289" s="278">
        <f>ROUND(K289/F289,4)</f>
        <v>0.55410000000000004</v>
      </c>
      <c r="K289" s="339">
        <f>B288-SUM(K288,K292,K293)</f>
        <v>3541353.6612531319</v>
      </c>
      <c r="L289" s="279"/>
      <c r="M289" s="272">
        <f t="shared" ref="M289:M294" si="101">K289-H289</f>
        <v>441355.48275913531</v>
      </c>
      <c r="N289" s="280">
        <f t="shared" si="100"/>
        <v>0.14237</v>
      </c>
      <c r="O289" s="404"/>
    </row>
    <row r="290" spans="2:16" s="270" customFormat="1" ht="14.85" customHeight="1" x14ac:dyDescent="0.25">
      <c r="B290" s="403" t="s">
        <v>15</v>
      </c>
      <c r="C290" s="291"/>
      <c r="D290" s="364"/>
      <c r="E290" s="348" t="s">
        <v>279</v>
      </c>
      <c r="F290" s="345"/>
      <c r="H290" s="339">
        <f t="shared" si="99"/>
        <v>0</v>
      </c>
      <c r="I290" s="277"/>
      <c r="J290" s="278"/>
      <c r="K290" s="339">
        <f t="shared" ref="K290:K294" si="102">J290*F290</f>
        <v>0</v>
      </c>
      <c r="L290" s="279"/>
      <c r="M290" s="272">
        <f t="shared" si="101"/>
        <v>0</v>
      </c>
      <c r="N290" s="280">
        <f t="shared" si="100"/>
        <v>0</v>
      </c>
      <c r="O290" s="404"/>
    </row>
    <row r="291" spans="2:16" s="270" customFormat="1" ht="14.85" customHeight="1" thickBot="1" x14ac:dyDescent="0.3">
      <c r="B291" s="403">
        <f>K270-B288</f>
        <v>-41.728408569470048</v>
      </c>
      <c r="C291" s="291"/>
      <c r="D291" s="364"/>
      <c r="E291" s="344" t="s">
        <v>280</v>
      </c>
      <c r="F291" s="345"/>
      <c r="H291" s="339">
        <f t="shared" si="99"/>
        <v>0</v>
      </c>
      <c r="I291" s="277"/>
      <c r="J291" s="278"/>
      <c r="K291" s="339">
        <f t="shared" si="102"/>
        <v>0</v>
      </c>
      <c r="L291" s="279"/>
      <c r="M291" s="272">
        <f t="shared" si="101"/>
        <v>0</v>
      </c>
      <c r="N291" s="280">
        <f t="shared" si="100"/>
        <v>0</v>
      </c>
      <c r="O291" s="404"/>
    </row>
    <row r="292" spans="2:16" s="270" customFormat="1" ht="14.85" customHeight="1" thickBot="1" x14ac:dyDescent="0.3">
      <c r="B292" s="290"/>
      <c r="C292" s="291"/>
      <c r="D292" s="289" t="s">
        <v>289</v>
      </c>
      <c r="E292" s="344" t="s">
        <v>287</v>
      </c>
      <c r="F292" s="345">
        <v>0</v>
      </c>
      <c r="H292" s="339">
        <f t="shared" si="99"/>
        <v>0</v>
      </c>
      <c r="I292" s="277"/>
      <c r="J292" s="361">
        <f>VLOOKUP($D292,Rates!$C$1:$J$136,8,FALSE)</f>
        <v>4.4499999999999998E-2</v>
      </c>
      <c r="K292" s="339">
        <f t="shared" si="102"/>
        <v>0</v>
      </c>
      <c r="L292" s="279"/>
      <c r="M292" s="272">
        <f t="shared" si="101"/>
        <v>0</v>
      </c>
      <c r="N292" s="280">
        <f t="shared" si="100"/>
        <v>0</v>
      </c>
      <c r="O292" s="404"/>
    </row>
    <row r="293" spans="2:16" s="270" customFormat="1" ht="14.85" customHeight="1" thickBot="1" x14ac:dyDescent="0.3">
      <c r="B293" s="290"/>
      <c r="C293" s="291"/>
      <c r="D293" s="289" t="s">
        <v>286</v>
      </c>
      <c r="E293" s="344" t="s">
        <v>288</v>
      </c>
      <c r="F293" s="345">
        <f>F292</f>
        <v>0</v>
      </c>
      <c r="H293" s="339">
        <f t="shared" si="99"/>
        <v>0</v>
      </c>
      <c r="I293" s="277"/>
      <c r="J293" s="361">
        <f>VLOOKUP($D293,Rates!$C$1:$J$136,8,FALSE)</f>
        <v>0.1149</v>
      </c>
      <c r="K293" s="339">
        <f t="shared" si="102"/>
        <v>0</v>
      </c>
      <c r="L293" s="279"/>
      <c r="M293" s="272">
        <f t="shared" si="101"/>
        <v>0</v>
      </c>
      <c r="N293" s="280">
        <f>IFERROR(ROUND(M293/H293,5), )</f>
        <v>0</v>
      </c>
      <c r="O293" s="404"/>
    </row>
    <row r="294" spans="2:16" s="270" customFormat="1" ht="14.85" customHeight="1" x14ac:dyDescent="0.25">
      <c r="B294" s="290"/>
      <c r="C294" s="291"/>
      <c r="D294" s="364"/>
      <c r="E294" s="344" t="s">
        <v>290</v>
      </c>
      <c r="F294" s="345"/>
      <c r="H294" s="367">
        <f t="shared" si="99"/>
        <v>-7686</v>
      </c>
      <c r="I294" s="277"/>
      <c r="J294" s="278"/>
      <c r="K294" s="367">
        <f t="shared" si="102"/>
        <v>0</v>
      </c>
      <c r="L294" s="279"/>
      <c r="M294" s="285">
        <f t="shared" si="101"/>
        <v>7686</v>
      </c>
      <c r="N294" s="287">
        <f>IFERROR(ROUND(M294/H294,5), )</f>
        <v>-1</v>
      </c>
      <c r="O294" s="404"/>
    </row>
    <row r="295" spans="2:16" s="270" customFormat="1" ht="14.85" customHeight="1" x14ac:dyDescent="0.25">
      <c r="B295" s="269"/>
      <c r="D295" s="295"/>
      <c r="E295" s="579"/>
      <c r="H295" s="368">
        <f>SUM(H288:H294)</f>
        <v>3240488.1784939966</v>
      </c>
      <c r="I295" s="277"/>
      <c r="J295" s="278"/>
      <c r="K295" s="368">
        <f>SUM(K288:K294)</f>
        <v>3763617.6612531319</v>
      </c>
      <c r="L295" s="279"/>
      <c r="M295" s="368">
        <f>SUM(M288:M294)</f>
        <v>523129.48275913531</v>
      </c>
      <c r="N295" s="280">
        <f>IFERROR(ROUND(M295/H295,5), )</f>
        <v>0.16144</v>
      </c>
      <c r="O295" s="404"/>
    </row>
    <row r="296" spans="2:16" s="270" customFormat="1" ht="14.85" customHeight="1" x14ac:dyDescent="0.25">
      <c r="B296" s="307"/>
      <c r="C296" s="350"/>
      <c r="D296" s="369"/>
      <c r="E296" s="582"/>
      <c r="F296" s="350"/>
      <c r="G296" s="350"/>
      <c r="H296" s="370"/>
      <c r="I296" s="284"/>
      <c r="J296" s="371"/>
      <c r="K296" s="351"/>
      <c r="L296" s="351"/>
      <c r="M296" s="350"/>
      <c r="N296" s="372"/>
      <c r="O296" s="404"/>
    </row>
    <row r="297" spans="2:16" s="270" customFormat="1" ht="14.85" customHeight="1" x14ac:dyDescent="0.25">
      <c r="B297" s="276"/>
      <c r="C297" s="276"/>
      <c r="D297" s="294"/>
      <c r="E297" s="344"/>
      <c r="H297" s="306"/>
      <c r="I297" s="277"/>
      <c r="K297" s="272"/>
      <c r="L297" s="272"/>
      <c r="M297" s="272"/>
      <c r="N297" s="332"/>
      <c r="O297" s="404"/>
    </row>
    <row r="298" spans="2:16" ht="14.85" customHeight="1" x14ac:dyDescent="0.25">
      <c r="B298" s="333" t="s">
        <v>305</v>
      </c>
      <c r="C298" s="334"/>
      <c r="D298" s="356"/>
      <c r="E298" s="580"/>
      <c r="F298" s="335" t="s">
        <v>162</v>
      </c>
      <c r="G298" s="258"/>
      <c r="H298" s="336" t="s">
        <v>3</v>
      </c>
      <c r="I298" s="259"/>
      <c r="J298" s="258"/>
      <c r="K298" s="337" t="s">
        <v>4</v>
      </c>
      <c r="L298" s="260"/>
      <c r="M298" s="337" t="s">
        <v>18</v>
      </c>
      <c r="N298" s="314"/>
      <c r="O298" s="316"/>
    </row>
    <row r="299" spans="2:16" ht="14.85" customHeight="1" x14ac:dyDescent="0.25">
      <c r="B299" s="338" t="s">
        <v>16</v>
      </c>
      <c r="C299" s="270"/>
      <c r="D299" s="295"/>
      <c r="E299" s="579"/>
      <c r="F299" s="339">
        <f>F58+F154+F212+F270</f>
        <v>11924411.15671563</v>
      </c>
      <c r="G299" s="270"/>
      <c r="H299" s="339">
        <f>H58+H154+H212+H270</f>
        <v>9985497.0158131234</v>
      </c>
      <c r="I299" s="277"/>
      <c r="J299" s="270"/>
      <c r="K299" s="339">
        <f>K58+K154+K212+K270</f>
        <v>11597613.019561116</v>
      </c>
      <c r="L299" s="272"/>
      <c r="M299" s="272">
        <f>K299-H299</f>
        <v>1612116.0037479922</v>
      </c>
      <c r="N299" s="362">
        <f>M299/H299</f>
        <v>0.16144574488330735</v>
      </c>
    </row>
    <row r="300" spans="2:16" s="240" customFormat="1" ht="14.85" customHeight="1" x14ac:dyDescent="0.25">
      <c r="B300" s="290"/>
      <c r="C300" s="291"/>
      <c r="D300" s="364"/>
      <c r="E300" s="581"/>
      <c r="F300" s="277"/>
      <c r="G300" s="277"/>
      <c r="H300" s="277"/>
      <c r="I300" s="277"/>
      <c r="J300" s="277"/>
      <c r="K300" s="277"/>
      <c r="L300" s="277"/>
      <c r="M300" s="277"/>
      <c r="N300" s="413"/>
      <c r="O300" s="242"/>
      <c r="P300" s="236"/>
    </row>
    <row r="301" spans="2:16" s="240" customFormat="1" ht="14.85" customHeight="1" x14ac:dyDescent="0.25">
      <c r="B301" s="290"/>
      <c r="C301" s="291"/>
      <c r="D301" s="364"/>
      <c r="E301" s="581"/>
      <c r="F301" s="277"/>
      <c r="G301" s="277"/>
      <c r="H301" s="277"/>
      <c r="I301" s="277"/>
      <c r="J301" s="277"/>
      <c r="K301" s="277"/>
      <c r="L301" s="277"/>
      <c r="M301" s="277"/>
      <c r="N301" s="413"/>
      <c r="O301" s="242"/>
      <c r="P301" s="236"/>
    </row>
    <row r="302" spans="2:16" s="240" customFormat="1" ht="14.85" customHeight="1" x14ac:dyDescent="0.25">
      <c r="B302" s="290"/>
      <c r="C302" s="291"/>
      <c r="D302" s="364"/>
      <c r="E302" s="579"/>
      <c r="F302" s="270"/>
      <c r="G302" s="270"/>
      <c r="H302" s="341" t="s">
        <v>3</v>
      </c>
      <c r="I302" s="342"/>
      <c r="J302" s="341"/>
      <c r="K302" s="343" t="s">
        <v>4</v>
      </c>
      <c r="L302" s="343"/>
      <c r="M302" s="343" t="s">
        <v>18</v>
      </c>
      <c r="N302" s="273"/>
      <c r="O302" s="242"/>
      <c r="P302" s="236"/>
    </row>
    <row r="303" spans="2:16" s="240" customFormat="1" ht="14.85" customHeight="1" x14ac:dyDescent="0.25">
      <c r="B303" s="290"/>
      <c r="C303" s="291"/>
      <c r="D303" s="364"/>
      <c r="E303" s="344" t="s">
        <v>165</v>
      </c>
      <c r="F303" s="345"/>
      <c r="G303" s="270"/>
      <c r="H303" s="339">
        <f t="shared" ref="H303:H308" si="103">H62+H158+H216+H274</f>
        <v>1400642.08</v>
      </c>
      <c r="I303" s="277"/>
      <c r="J303" s="270"/>
      <c r="K303" s="339">
        <f t="shared" ref="K303:K308" si="104">K62+K158+K216+K274</f>
        <v>2101760.5</v>
      </c>
      <c r="L303" s="279"/>
      <c r="M303" s="272">
        <f>K303-H303</f>
        <v>701118.41999999993</v>
      </c>
      <c r="N303" s="362">
        <f>IFERROR(ROUND(M303/H303,5), )</f>
        <v>0.50056999999999996</v>
      </c>
      <c r="O303" s="242"/>
      <c r="P303" s="236"/>
    </row>
    <row r="304" spans="2:16" ht="14.85" customHeight="1" x14ac:dyDescent="0.25">
      <c r="B304" s="290"/>
      <c r="C304" s="291"/>
      <c r="D304" s="364"/>
      <c r="E304" s="344" t="s">
        <v>162</v>
      </c>
      <c r="F304" s="270"/>
      <c r="G304" s="270"/>
      <c r="H304" s="339">
        <f t="shared" si="103"/>
        <v>8586123.5539598223</v>
      </c>
      <c r="I304" s="277"/>
      <c r="J304" s="270"/>
      <c r="K304" s="339">
        <f t="shared" si="104"/>
        <v>9457907.3655011132</v>
      </c>
      <c r="L304" s="279"/>
      <c r="M304" s="272">
        <f t="shared" ref="M304:M305" si="105">K304-H304</f>
        <v>871783.81154129095</v>
      </c>
      <c r="N304" s="362">
        <f t="shared" ref="N304:N305" si="106">IFERROR(ROUND(M304/H304,5), )</f>
        <v>0.10153</v>
      </c>
    </row>
    <row r="305" spans="2:14" ht="14.85" customHeight="1" x14ac:dyDescent="0.25">
      <c r="B305" s="290"/>
      <c r="C305" s="291"/>
      <c r="D305" s="364"/>
      <c r="E305" s="348" t="s">
        <v>279</v>
      </c>
      <c r="F305" s="270"/>
      <c r="G305" s="270"/>
      <c r="H305" s="339">
        <f t="shared" si="103"/>
        <v>0</v>
      </c>
      <c r="I305" s="277"/>
      <c r="J305" s="270"/>
      <c r="K305" s="339">
        <f t="shared" si="104"/>
        <v>0</v>
      </c>
      <c r="L305" s="279"/>
      <c r="M305" s="272">
        <f t="shared" si="105"/>
        <v>0</v>
      </c>
      <c r="N305" s="280">
        <f t="shared" si="106"/>
        <v>0</v>
      </c>
    </row>
    <row r="306" spans="2:14" ht="14.85" customHeight="1" x14ac:dyDescent="0.25">
      <c r="B306" s="290"/>
      <c r="C306" s="291"/>
      <c r="D306" s="364"/>
      <c r="E306" s="344" t="s">
        <v>287</v>
      </c>
      <c r="F306" s="270"/>
      <c r="G306" s="270"/>
      <c r="H306" s="339">
        <f t="shared" si="103"/>
        <v>4753.1423532999997</v>
      </c>
      <c r="I306" s="277"/>
      <c r="J306" s="270"/>
      <c r="K306" s="339">
        <f t="shared" si="104"/>
        <v>10593.220549999998</v>
      </c>
      <c r="L306" s="279"/>
      <c r="M306" s="272">
        <f t="shared" ref="M306:M308" si="107">K306-H306</f>
        <v>5840.0781966999984</v>
      </c>
      <c r="N306" s="280">
        <f t="shared" ref="N306:N308" si="108">IFERROR(ROUND(M306/H306,5), )</f>
        <v>1.22868</v>
      </c>
    </row>
    <row r="307" spans="2:14" ht="14.85" customHeight="1" x14ac:dyDescent="0.25">
      <c r="B307" s="290"/>
      <c r="C307" s="291"/>
      <c r="D307" s="364"/>
      <c r="E307" s="344" t="s">
        <v>288</v>
      </c>
      <c r="F307" s="270"/>
      <c r="G307" s="270"/>
      <c r="H307" s="339">
        <f t="shared" si="103"/>
        <v>24995.2395</v>
      </c>
      <c r="I307" s="277"/>
      <c r="J307" s="270"/>
      <c r="K307" s="339">
        <f t="shared" si="104"/>
        <v>27351.933509999999</v>
      </c>
      <c r="L307" s="279"/>
      <c r="M307" s="272">
        <f t="shared" si="107"/>
        <v>2356.6940099999993</v>
      </c>
      <c r="N307" s="280">
        <f t="shared" si="108"/>
        <v>9.4289999999999999E-2</v>
      </c>
    </row>
    <row r="308" spans="2:14" ht="14.85" customHeight="1" x14ac:dyDescent="0.25">
      <c r="B308" s="290"/>
      <c r="C308" s="291"/>
      <c r="D308" s="364"/>
      <c r="E308" s="344" t="s">
        <v>290</v>
      </c>
      <c r="F308" s="270"/>
      <c r="G308" s="270"/>
      <c r="H308" s="367">
        <f t="shared" si="103"/>
        <v>-31017</v>
      </c>
      <c r="I308" s="284"/>
      <c r="J308" s="350"/>
      <c r="K308" s="367">
        <f t="shared" si="104"/>
        <v>0</v>
      </c>
      <c r="L308" s="351"/>
      <c r="M308" s="285">
        <f t="shared" si="107"/>
        <v>31017</v>
      </c>
      <c r="N308" s="287">
        <f t="shared" si="108"/>
        <v>-1</v>
      </c>
    </row>
    <row r="309" spans="2:14" ht="14.85" customHeight="1" x14ac:dyDescent="0.25">
      <c r="B309" s="290"/>
      <c r="C309" s="291"/>
      <c r="D309" s="364"/>
      <c r="E309" s="579"/>
      <c r="F309" s="270"/>
      <c r="G309" s="270"/>
      <c r="H309" s="352">
        <f>SUM(H303:H308)</f>
        <v>9985497.0158131216</v>
      </c>
      <c r="I309" s="277"/>
      <c r="J309" s="270"/>
      <c r="K309" s="352">
        <f>SUM(K303:K308)</f>
        <v>11597613.019561114</v>
      </c>
      <c r="L309" s="279"/>
      <c r="M309" s="352">
        <f>SUM(M303:M308)</f>
        <v>1612116.0037479908</v>
      </c>
      <c r="N309" s="340"/>
    </row>
    <row r="310" spans="2:14" ht="14.85" customHeight="1" x14ac:dyDescent="0.25">
      <c r="B310" s="290"/>
      <c r="C310" s="291"/>
      <c r="D310" s="364"/>
      <c r="E310" s="579"/>
      <c r="F310" s="270"/>
      <c r="G310" s="270"/>
      <c r="H310" s="291"/>
      <c r="I310" s="277"/>
      <c r="J310" s="270"/>
      <c r="K310" s="279"/>
      <c r="L310" s="279"/>
      <c r="M310" s="270"/>
      <c r="N310" s="340"/>
    </row>
    <row r="311" spans="2:14" ht="14.85" customHeight="1" x14ac:dyDescent="0.25">
      <c r="B311" s="274" t="s">
        <v>166</v>
      </c>
      <c r="C311" s="291"/>
      <c r="D311" s="364"/>
      <c r="E311" s="579"/>
      <c r="F311" s="270"/>
      <c r="G311" s="270"/>
      <c r="H311" s="353">
        <v>11740115.656550057</v>
      </c>
      <c r="I311" s="277"/>
      <c r="J311" s="270"/>
      <c r="K311" s="339">
        <v>11597509.542104581</v>
      </c>
      <c r="L311" s="279"/>
      <c r="M311" s="270"/>
      <c r="N311" s="340"/>
    </row>
    <row r="312" spans="2:14" ht="14.85" customHeight="1" x14ac:dyDescent="0.25">
      <c r="B312" s="274"/>
      <c r="C312" s="291"/>
      <c r="D312" s="364"/>
      <c r="E312" s="579"/>
      <c r="F312" s="270"/>
      <c r="G312" s="270"/>
      <c r="H312" s="291"/>
      <c r="I312" s="277"/>
      <c r="J312" s="270"/>
      <c r="K312" s="279"/>
      <c r="L312" s="279"/>
      <c r="M312" s="270"/>
      <c r="N312" s="340"/>
    </row>
    <row r="313" spans="2:14" ht="14.85" customHeight="1" x14ac:dyDescent="0.25">
      <c r="B313" s="274" t="s">
        <v>167</v>
      </c>
      <c r="C313" s="291"/>
      <c r="D313" s="364"/>
      <c r="E313" s="579"/>
      <c r="F313" s="270"/>
      <c r="G313" s="270"/>
      <c r="H313" s="272">
        <f>H309-H311</f>
        <v>-1754618.6407369357</v>
      </c>
      <c r="I313" s="277"/>
      <c r="J313" s="270"/>
      <c r="K313" s="272">
        <f>K309-K311</f>
        <v>103.47745653241873</v>
      </c>
      <c r="L313" s="279"/>
      <c r="M313" s="270"/>
      <c r="N313" s="340"/>
    </row>
    <row r="314" spans="2:14" ht="14.85" customHeight="1" x14ac:dyDescent="0.25">
      <c r="B314" s="274" t="s">
        <v>168</v>
      </c>
      <c r="C314" s="291"/>
      <c r="D314" s="364"/>
      <c r="E314" s="579"/>
      <c r="F314" s="270"/>
      <c r="G314" s="270"/>
      <c r="H314" s="306">
        <f>H313/H309</f>
        <v>-0.17571670573415685</v>
      </c>
      <c r="I314" s="277"/>
      <c r="J314" s="270"/>
      <c r="K314" s="306">
        <f>K313/K309</f>
        <v>8.9223063709651696E-6</v>
      </c>
      <c r="L314" s="279"/>
      <c r="M314" s="270"/>
      <c r="N314" s="340"/>
    </row>
    <row r="315" spans="2:14" ht="14.85" customHeight="1" x14ac:dyDescent="0.25">
      <c r="B315" s="290"/>
      <c r="C315" s="291"/>
      <c r="D315" s="364"/>
      <c r="E315" s="579"/>
      <c r="F315" s="270"/>
      <c r="G315" s="270"/>
      <c r="H315" s="291"/>
      <c r="I315" s="277"/>
      <c r="J315" s="270"/>
      <c r="K315" s="279"/>
      <c r="L315" s="279"/>
      <c r="M315" s="270"/>
      <c r="N315" s="340"/>
    </row>
    <row r="316" spans="2:14" ht="14.85" customHeight="1" x14ac:dyDescent="0.25">
      <c r="B316" s="383"/>
      <c r="C316" s="370"/>
      <c r="D316" s="412"/>
      <c r="E316" s="582"/>
      <c r="F316" s="350"/>
      <c r="G316" s="419" t="s">
        <v>304</v>
      </c>
      <c r="H316" s="420">
        <v>1754618.6685100561</v>
      </c>
      <c r="I316" s="284"/>
      <c r="J316" s="350"/>
      <c r="K316" s="351"/>
      <c r="L316" s="351"/>
      <c r="M316" s="350"/>
      <c r="N316" s="384"/>
    </row>
  </sheetData>
  <dataConsolidate/>
  <mergeCells count="8">
    <mergeCell ref="G287:H287"/>
    <mergeCell ref="J287:K287"/>
    <mergeCell ref="G75:H75"/>
    <mergeCell ref="J75:K75"/>
    <mergeCell ref="G171:H171"/>
    <mergeCell ref="J171:K171"/>
    <mergeCell ref="G229:H229"/>
    <mergeCell ref="J229:K229"/>
  </mergeCells>
  <printOptions horizontalCentered="1"/>
  <pageMargins left="0.45" right="0.45" top="0.5" bottom="0.5" header="0.3" footer="0.3"/>
  <pageSetup scale="67" fitToHeight="6" orientation="portrait" blackAndWhite="1" r:id="rId1"/>
  <headerFooter alignWithMargins="0"/>
  <rowBreaks count="5" manualBreakCount="5">
    <brk id="56" max="13" man="1"/>
    <brk id="119" max="13" man="1"/>
    <brk id="181" max="13" man="1"/>
    <brk id="239" max="13" man="1"/>
    <brk id="26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FA25-27EA-44E0-A51F-528FC0CAF938}">
  <dimension ref="A1:AA1736"/>
  <sheetViews>
    <sheetView workbookViewId="0">
      <selection activeCell="O25" sqref="O25"/>
    </sheetView>
  </sheetViews>
  <sheetFormatPr defaultRowHeight="15.75" x14ac:dyDescent="0.25"/>
  <cols>
    <col min="1" max="1" width="6" style="180" customWidth="1"/>
    <col min="2" max="2" width="10.42578125" style="176" customWidth="1"/>
    <col min="3" max="3" width="13.28515625" style="176" customWidth="1"/>
    <col min="4" max="4" width="16.28515625" style="176" customWidth="1"/>
    <col min="5" max="5" width="10.42578125" style="176" customWidth="1"/>
    <col min="6" max="6" width="11" style="176" customWidth="1"/>
    <col min="7" max="7" width="14.5703125" style="176" bestFit="1" customWidth="1"/>
    <col min="8" max="8" width="11.5703125" style="176" customWidth="1"/>
    <col min="9" max="9" width="9.140625" style="176" hidden="1" customWidth="1"/>
    <col min="10" max="10" width="18.28515625" style="177" hidden="1" customWidth="1"/>
    <col min="11" max="11" width="0" style="176" hidden="1" customWidth="1"/>
    <col min="12" max="12" width="10" style="176" hidden="1" customWidth="1"/>
    <col min="13" max="17" width="9.140625" style="176"/>
    <col min="18" max="18" width="11.28515625" style="176" bestFit="1" customWidth="1"/>
    <col min="19" max="22" width="9.140625" style="176"/>
    <col min="23" max="23" width="10.5703125" style="176" customWidth="1"/>
    <col min="24" max="24" width="9.140625" style="176"/>
    <col min="25" max="25" width="9.140625" style="569"/>
    <col min="26" max="26" width="29.5703125" style="176" bestFit="1" customWidth="1"/>
    <col min="27" max="256" width="9.140625" style="176"/>
    <col min="257" max="257" width="6.140625" style="176" customWidth="1"/>
    <col min="258" max="258" width="14" style="176" bestFit="1" customWidth="1"/>
    <col min="259" max="259" width="12.85546875" style="176" customWidth="1"/>
    <col min="260" max="260" width="14.42578125" style="176" bestFit="1" customWidth="1"/>
    <col min="261" max="261" width="10.42578125" style="176" bestFit="1" customWidth="1"/>
    <col min="262" max="263" width="12" style="176" bestFit="1" customWidth="1"/>
    <col min="264" max="264" width="11.5703125" style="176" customWidth="1"/>
    <col min="265" max="512" width="9.140625" style="176"/>
    <col min="513" max="513" width="6.140625" style="176" customWidth="1"/>
    <col min="514" max="514" width="14" style="176" bestFit="1" customWidth="1"/>
    <col min="515" max="515" width="12.85546875" style="176" customWidth="1"/>
    <col min="516" max="516" width="14.42578125" style="176" bestFit="1" customWidth="1"/>
    <col min="517" max="517" width="10.42578125" style="176" bestFit="1" customWidth="1"/>
    <col min="518" max="519" width="12" style="176" bestFit="1" customWidth="1"/>
    <col min="520" max="520" width="11.5703125" style="176" customWidth="1"/>
    <col min="521" max="768" width="9.140625" style="176"/>
    <col min="769" max="769" width="6.140625" style="176" customWidth="1"/>
    <col min="770" max="770" width="14" style="176" bestFit="1" customWidth="1"/>
    <col min="771" max="771" width="12.85546875" style="176" customWidth="1"/>
    <col min="772" max="772" width="14.42578125" style="176" bestFit="1" customWidth="1"/>
    <col min="773" max="773" width="10.42578125" style="176" bestFit="1" customWidth="1"/>
    <col min="774" max="775" width="12" style="176" bestFit="1" customWidth="1"/>
    <col min="776" max="776" width="11.5703125" style="176" customWidth="1"/>
    <col min="777" max="1024" width="9.140625" style="176"/>
    <col min="1025" max="1025" width="6.140625" style="176" customWidth="1"/>
    <col min="1026" max="1026" width="14" style="176" bestFit="1" customWidth="1"/>
    <col min="1027" max="1027" width="12.85546875" style="176" customWidth="1"/>
    <col min="1028" max="1028" width="14.42578125" style="176" bestFit="1" customWidth="1"/>
    <col min="1029" max="1029" width="10.42578125" style="176" bestFit="1" customWidth="1"/>
    <col min="1030" max="1031" width="12" style="176" bestFit="1" customWidth="1"/>
    <col min="1032" max="1032" width="11.5703125" style="176" customWidth="1"/>
    <col min="1033" max="1280" width="9.140625" style="176"/>
    <col min="1281" max="1281" width="6.140625" style="176" customWidth="1"/>
    <col min="1282" max="1282" width="14" style="176" bestFit="1" customWidth="1"/>
    <col min="1283" max="1283" width="12.85546875" style="176" customWidth="1"/>
    <col min="1284" max="1284" width="14.42578125" style="176" bestFit="1" customWidth="1"/>
    <col min="1285" max="1285" width="10.42578125" style="176" bestFit="1" customWidth="1"/>
    <col min="1286" max="1287" width="12" style="176" bestFit="1" customWidth="1"/>
    <col min="1288" max="1288" width="11.5703125" style="176" customWidth="1"/>
    <col min="1289" max="1536" width="9.140625" style="176"/>
    <col min="1537" max="1537" width="6.140625" style="176" customWidth="1"/>
    <col min="1538" max="1538" width="14" style="176" bestFit="1" customWidth="1"/>
    <col min="1539" max="1539" width="12.85546875" style="176" customWidth="1"/>
    <col min="1540" max="1540" width="14.42578125" style="176" bestFit="1" customWidth="1"/>
    <col min="1541" max="1541" width="10.42578125" style="176" bestFit="1" customWidth="1"/>
    <col min="1542" max="1543" width="12" style="176" bestFit="1" customWidth="1"/>
    <col min="1544" max="1544" width="11.5703125" style="176" customWidth="1"/>
    <col min="1545" max="1792" width="9.140625" style="176"/>
    <col min="1793" max="1793" width="6.140625" style="176" customWidth="1"/>
    <col min="1794" max="1794" width="14" style="176" bestFit="1" customWidth="1"/>
    <col min="1795" max="1795" width="12.85546875" style="176" customWidth="1"/>
    <col min="1796" max="1796" width="14.42578125" style="176" bestFit="1" customWidth="1"/>
    <col min="1797" max="1797" width="10.42578125" style="176" bestFit="1" customWidth="1"/>
    <col min="1798" max="1799" width="12" style="176" bestFit="1" customWidth="1"/>
    <col min="1800" max="1800" width="11.5703125" style="176" customWidth="1"/>
    <col min="1801" max="2048" width="9.140625" style="176"/>
    <col min="2049" max="2049" width="6.140625" style="176" customWidth="1"/>
    <col min="2050" max="2050" width="14" style="176" bestFit="1" customWidth="1"/>
    <col min="2051" max="2051" width="12.85546875" style="176" customWidth="1"/>
    <col min="2052" max="2052" width="14.42578125" style="176" bestFit="1" customWidth="1"/>
    <col min="2053" max="2053" width="10.42578125" style="176" bestFit="1" customWidth="1"/>
    <col min="2054" max="2055" width="12" style="176" bestFit="1" customWidth="1"/>
    <col min="2056" max="2056" width="11.5703125" style="176" customWidth="1"/>
    <col min="2057" max="2304" width="9.140625" style="176"/>
    <col min="2305" max="2305" width="6.140625" style="176" customWidth="1"/>
    <col min="2306" max="2306" width="14" style="176" bestFit="1" customWidth="1"/>
    <col min="2307" max="2307" width="12.85546875" style="176" customWidth="1"/>
    <col min="2308" max="2308" width="14.42578125" style="176" bestFit="1" customWidth="1"/>
    <col min="2309" max="2309" width="10.42578125" style="176" bestFit="1" customWidth="1"/>
    <col min="2310" max="2311" width="12" style="176" bestFit="1" customWidth="1"/>
    <col min="2312" max="2312" width="11.5703125" style="176" customWidth="1"/>
    <col min="2313" max="2560" width="9.140625" style="176"/>
    <col min="2561" max="2561" width="6.140625" style="176" customWidth="1"/>
    <col min="2562" max="2562" width="14" style="176" bestFit="1" customWidth="1"/>
    <col min="2563" max="2563" width="12.85546875" style="176" customWidth="1"/>
    <col min="2564" max="2564" width="14.42578125" style="176" bestFit="1" customWidth="1"/>
    <col min="2565" max="2565" width="10.42578125" style="176" bestFit="1" customWidth="1"/>
    <col min="2566" max="2567" width="12" style="176" bestFit="1" customWidth="1"/>
    <col min="2568" max="2568" width="11.5703125" style="176" customWidth="1"/>
    <col min="2569" max="2816" width="9.140625" style="176"/>
    <col min="2817" max="2817" width="6.140625" style="176" customWidth="1"/>
    <col min="2818" max="2818" width="14" style="176" bestFit="1" customWidth="1"/>
    <col min="2819" max="2819" width="12.85546875" style="176" customWidth="1"/>
    <col min="2820" max="2820" width="14.42578125" style="176" bestFit="1" customWidth="1"/>
    <col min="2821" max="2821" width="10.42578125" style="176" bestFit="1" customWidth="1"/>
    <col min="2822" max="2823" width="12" style="176" bestFit="1" customWidth="1"/>
    <col min="2824" max="2824" width="11.5703125" style="176" customWidth="1"/>
    <col min="2825" max="3072" width="9.140625" style="176"/>
    <col min="3073" max="3073" width="6.140625" style="176" customWidth="1"/>
    <col min="3074" max="3074" width="14" style="176" bestFit="1" customWidth="1"/>
    <col min="3075" max="3075" width="12.85546875" style="176" customWidth="1"/>
    <col min="3076" max="3076" width="14.42578125" style="176" bestFit="1" customWidth="1"/>
    <col min="3077" max="3077" width="10.42578125" style="176" bestFit="1" customWidth="1"/>
    <col min="3078" max="3079" width="12" style="176" bestFit="1" customWidth="1"/>
    <col min="3080" max="3080" width="11.5703125" style="176" customWidth="1"/>
    <col min="3081" max="3328" width="9.140625" style="176"/>
    <col min="3329" max="3329" width="6.140625" style="176" customWidth="1"/>
    <col min="3330" max="3330" width="14" style="176" bestFit="1" customWidth="1"/>
    <col min="3331" max="3331" width="12.85546875" style="176" customWidth="1"/>
    <col min="3332" max="3332" width="14.42578125" style="176" bestFit="1" customWidth="1"/>
    <col min="3333" max="3333" width="10.42578125" style="176" bestFit="1" customWidth="1"/>
    <col min="3334" max="3335" width="12" style="176" bestFit="1" customWidth="1"/>
    <col min="3336" max="3336" width="11.5703125" style="176" customWidth="1"/>
    <col min="3337" max="3584" width="9.140625" style="176"/>
    <col min="3585" max="3585" width="6.140625" style="176" customWidth="1"/>
    <col min="3586" max="3586" width="14" style="176" bestFit="1" customWidth="1"/>
    <col min="3587" max="3587" width="12.85546875" style="176" customWidth="1"/>
    <col min="3588" max="3588" width="14.42578125" style="176" bestFit="1" customWidth="1"/>
    <col min="3589" max="3589" width="10.42578125" style="176" bestFit="1" customWidth="1"/>
    <col min="3590" max="3591" width="12" style="176" bestFit="1" customWidth="1"/>
    <col min="3592" max="3592" width="11.5703125" style="176" customWidth="1"/>
    <col min="3593" max="3840" width="9.140625" style="176"/>
    <col min="3841" max="3841" width="6.140625" style="176" customWidth="1"/>
    <col min="3842" max="3842" width="14" style="176" bestFit="1" customWidth="1"/>
    <col min="3843" max="3843" width="12.85546875" style="176" customWidth="1"/>
    <col min="3844" max="3844" width="14.42578125" style="176" bestFit="1" customWidth="1"/>
    <col min="3845" max="3845" width="10.42578125" style="176" bestFit="1" customWidth="1"/>
    <col min="3846" max="3847" width="12" style="176" bestFit="1" customWidth="1"/>
    <col min="3848" max="3848" width="11.5703125" style="176" customWidth="1"/>
    <col min="3849" max="4096" width="9.140625" style="176"/>
    <col min="4097" max="4097" width="6.140625" style="176" customWidth="1"/>
    <col min="4098" max="4098" width="14" style="176" bestFit="1" customWidth="1"/>
    <col min="4099" max="4099" width="12.85546875" style="176" customWidth="1"/>
    <col min="4100" max="4100" width="14.42578125" style="176" bestFit="1" customWidth="1"/>
    <col min="4101" max="4101" width="10.42578125" style="176" bestFit="1" customWidth="1"/>
    <col min="4102" max="4103" width="12" style="176" bestFit="1" customWidth="1"/>
    <col min="4104" max="4104" width="11.5703125" style="176" customWidth="1"/>
    <col min="4105" max="4352" width="9.140625" style="176"/>
    <col min="4353" max="4353" width="6.140625" style="176" customWidth="1"/>
    <col min="4354" max="4354" width="14" style="176" bestFit="1" customWidth="1"/>
    <col min="4355" max="4355" width="12.85546875" style="176" customWidth="1"/>
    <col min="4356" max="4356" width="14.42578125" style="176" bestFit="1" customWidth="1"/>
    <col min="4357" max="4357" width="10.42578125" style="176" bestFit="1" customWidth="1"/>
    <col min="4358" max="4359" width="12" style="176" bestFit="1" customWidth="1"/>
    <col min="4360" max="4360" width="11.5703125" style="176" customWidth="1"/>
    <col min="4361" max="4608" width="9.140625" style="176"/>
    <col min="4609" max="4609" width="6.140625" style="176" customWidth="1"/>
    <col min="4610" max="4610" width="14" style="176" bestFit="1" customWidth="1"/>
    <col min="4611" max="4611" width="12.85546875" style="176" customWidth="1"/>
    <col min="4612" max="4612" width="14.42578125" style="176" bestFit="1" customWidth="1"/>
    <col min="4613" max="4613" width="10.42578125" style="176" bestFit="1" customWidth="1"/>
    <col min="4614" max="4615" width="12" style="176" bestFit="1" customWidth="1"/>
    <col min="4616" max="4616" width="11.5703125" style="176" customWidth="1"/>
    <col min="4617" max="4864" width="9.140625" style="176"/>
    <col min="4865" max="4865" width="6.140625" style="176" customWidth="1"/>
    <col min="4866" max="4866" width="14" style="176" bestFit="1" customWidth="1"/>
    <col min="4867" max="4867" width="12.85546875" style="176" customWidth="1"/>
    <col min="4868" max="4868" width="14.42578125" style="176" bestFit="1" customWidth="1"/>
    <col min="4869" max="4869" width="10.42578125" style="176" bestFit="1" customWidth="1"/>
    <col min="4870" max="4871" width="12" style="176" bestFit="1" customWidth="1"/>
    <col min="4872" max="4872" width="11.5703125" style="176" customWidth="1"/>
    <col min="4873" max="5120" width="9.140625" style="176"/>
    <col min="5121" max="5121" width="6.140625" style="176" customWidth="1"/>
    <col min="5122" max="5122" width="14" style="176" bestFit="1" customWidth="1"/>
    <col min="5123" max="5123" width="12.85546875" style="176" customWidth="1"/>
    <col min="5124" max="5124" width="14.42578125" style="176" bestFit="1" customWidth="1"/>
    <col min="5125" max="5125" width="10.42578125" style="176" bestFit="1" customWidth="1"/>
    <col min="5126" max="5127" width="12" style="176" bestFit="1" customWidth="1"/>
    <col min="5128" max="5128" width="11.5703125" style="176" customWidth="1"/>
    <col min="5129" max="5376" width="9.140625" style="176"/>
    <col min="5377" max="5377" width="6.140625" style="176" customWidth="1"/>
    <col min="5378" max="5378" width="14" style="176" bestFit="1" customWidth="1"/>
    <col min="5379" max="5379" width="12.85546875" style="176" customWidth="1"/>
    <col min="5380" max="5380" width="14.42578125" style="176" bestFit="1" customWidth="1"/>
    <col min="5381" max="5381" width="10.42578125" style="176" bestFit="1" customWidth="1"/>
    <col min="5382" max="5383" width="12" style="176" bestFit="1" customWidth="1"/>
    <col min="5384" max="5384" width="11.5703125" style="176" customWidth="1"/>
    <col min="5385" max="5632" width="9.140625" style="176"/>
    <col min="5633" max="5633" width="6.140625" style="176" customWidth="1"/>
    <col min="5634" max="5634" width="14" style="176" bestFit="1" customWidth="1"/>
    <col min="5635" max="5635" width="12.85546875" style="176" customWidth="1"/>
    <col min="5636" max="5636" width="14.42578125" style="176" bestFit="1" customWidth="1"/>
    <col min="5637" max="5637" width="10.42578125" style="176" bestFit="1" customWidth="1"/>
    <col min="5638" max="5639" width="12" style="176" bestFit="1" customWidth="1"/>
    <col min="5640" max="5640" width="11.5703125" style="176" customWidth="1"/>
    <col min="5641" max="5888" width="9.140625" style="176"/>
    <col min="5889" max="5889" width="6.140625" style="176" customWidth="1"/>
    <col min="5890" max="5890" width="14" style="176" bestFit="1" customWidth="1"/>
    <col min="5891" max="5891" width="12.85546875" style="176" customWidth="1"/>
    <col min="5892" max="5892" width="14.42578125" style="176" bestFit="1" customWidth="1"/>
    <col min="5893" max="5893" width="10.42578125" style="176" bestFit="1" customWidth="1"/>
    <col min="5894" max="5895" width="12" style="176" bestFit="1" customWidth="1"/>
    <col min="5896" max="5896" width="11.5703125" style="176" customWidth="1"/>
    <col min="5897" max="6144" width="9.140625" style="176"/>
    <col min="6145" max="6145" width="6.140625" style="176" customWidth="1"/>
    <col min="6146" max="6146" width="14" style="176" bestFit="1" customWidth="1"/>
    <col min="6147" max="6147" width="12.85546875" style="176" customWidth="1"/>
    <col min="6148" max="6148" width="14.42578125" style="176" bestFit="1" customWidth="1"/>
    <col min="6149" max="6149" width="10.42578125" style="176" bestFit="1" customWidth="1"/>
    <col min="6150" max="6151" width="12" style="176" bestFit="1" customWidth="1"/>
    <col min="6152" max="6152" width="11.5703125" style="176" customWidth="1"/>
    <col min="6153" max="6400" width="9.140625" style="176"/>
    <col min="6401" max="6401" width="6.140625" style="176" customWidth="1"/>
    <col min="6402" max="6402" width="14" style="176" bestFit="1" customWidth="1"/>
    <col min="6403" max="6403" width="12.85546875" style="176" customWidth="1"/>
    <col min="6404" max="6404" width="14.42578125" style="176" bestFit="1" customWidth="1"/>
    <col min="6405" max="6405" width="10.42578125" style="176" bestFit="1" customWidth="1"/>
    <col min="6406" max="6407" width="12" style="176" bestFit="1" customWidth="1"/>
    <col min="6408" max="6408" width="11.5703125" style="176" customWidth="1"/>
    <col min="6409" max="6656" width="9.140625" style="176"/>
    <col min="6657" max="6657" width="6.140625" style="176" customWidth="1"/>
    <col min="6658" max="6658" width="14" style="176" bestFit="1" customWidth="1"/>
    <col min="6659" max="6659" width="12.85546875" style="176" customWidth="1"/>
    <col min="6660" max="6660" width="14.42578125" style="176" bestFit="1" customWidth="1"/>
    <col min="6661" max="6661" width="10.42578125" style="176" bestFit="1" customWidth="1"/>
    <col min="6662" max="6663" width="12" style="176" bestFit="1" customWidth="1"/>
    <col min="6664" max="6664" width="11.5703125" style="176" customWidth="1"/>
    <col min="6665" max="6912" width="9.140625" style="176"/>
    <col min="6913" max="6913" width="6.140625" style="176" customWidth="1"/>
    <col min="6914" max="6914" width="14" style="176" bestFit="1" customWidth="1"/>
    <col min="6915" max="6915" width="12.85546875" style="176" customWidth="1"/>
    <col min="6916" max="6916" width="14.42578125" style="176" bestFit="1" customWidth="1"/>
    <col min="6917" max="6917" width="10.42578125" style="176" bestFit="1" customWidth="1"/>
    <col min="6918" max="6919" width="12" style="176" bestFit="1" customWidth="1"/>
    <col min="6920" max="6920" width="11.5703125" style="176" customWidth="1"/>
    <col min="6921" max="7168" width="9.140625" style="176"/>
    <col min="7169" max="7169" width="6.140625" style="176" customWidth="1"/>
    <col min="7170" max="7170" width="14" style="176" bestFit="1" customWidth="1"/>
    <col min="7171" max="7171" width="12.85546875" style="176" customWidth="1"/>
    <col min="7172" max="7172" width="14.42578125" style="176" bestFit="1" customWidth="1"/>
    <col min="7173" max="7173" width="10.42578125" style="176" bestFit="1" customWidth="1"/>
    <col min="7174" max="7175" width="12" style="176" bestFit="1" customWidth="1"/>
    <col min="7176" max="7176" width="11.5703125" style="176" customWidth="1"/>
    <col min="7177" max="7424" width="9.140625" style="176"/>
    <col min="7425" max="7425" width="6.140625" style="176" customWidth="1"/>
    <col min="7426" max="7426" width="14" style="176" bestFit="1" customWidth="1"/>
    <col min="7427" max="7427" width="12.85546875" style="176" customWidth="1"/>
    <col min="7428" max="7428" width="14.42578125" style="176" bestFit="1" customWidth="1"/>
    <col min="7429" max="7429" width="10.42578125" style="176" bestFit="1" customWidth="1"/>
    <col min="7430" max="7431" width="12" style="176" bestFit="1" customWidth="1"/>
    <col min="7432" max="7432" width="11.5703125" style="176" customWidth="1"/>
    <col min="7433" max="7680" width="9.140625" style="176"/>
    <col min="7681" max="7681" width="6.140625" style="176" customWidth="1"/>
    <col min="7682" max="7682" width="14" style="176" bestFit="1" customWidth="1"/>
    <col min="7683" max="7683" width="12.85546875" style="176" customWidth="1"/>
    <col min="7684" max="7684" width="14.42578125" style="176" bestFit="1" customWidth="1"/>
    <col min="7685" max="7685" width="10.42578125" style="176" bestFit="1" customWidth="1"/>
    <col min="7686" max="7687" width="12" style="176" bestFit="1" customWidth="1"/>
    <col min="7688" max="7688" width="11.5703125" style="176" customWidth="1"/>
    <col min="7689" max="7936" width="9.140625" style="176"/>
    <col min="7937" max="7937" width="6.140625" style="176" customWidth="1"/>
    <col min="7938" max="7938" width="14" style="176" bestFit="1" customWidth="1"/>
    <col min="7939" max="7939" width="12.85546875" style="176" customWidth="1"/>
    <col min="7940" max="7940" width="14.42578125" style="176" bestFit="1" customWidth="1"/>
    <col min="7941" max="7941" width="10.42578125" style="176" bestFit="1" customWidth="1"/>
    <col min="7942" max="7943" width="12" style="176" bestFit="1" customWidth="1"/>
    <col min="7944" max="7944" width="11.5703125" style="176" customWidth="1"/>
    <col min="7945" max="8192" width="9.140625" style="176"/>
    <col min="8193" max="8193" width="6.140625" style="176" customWidth="1"/>
    <col min="8194" max="8194" width="14" style="176" bestFit="1" customWidth="1"/>
    <col min="8195" max="8195" width="12.85546875" style="176" customWidth="1"/>
    <col min="8196" max="8196" width="14.42578125" style="176" bestFit="1" customWidth="1"/>
    <col min="8197" max="8197" width="10.42578125" style="176" bestFit="1" customWidth="1"/>
    <col min="8198" max="8199" width="12" style="176" bestFit="1" customWidth="1"/>
    <col min="8200" max="8200" width="11.5703125" style="176" customWidth="1"/>
    <col min="8201" max="8448" width="9.140625" style="176"/>
    <col min="8449" max="8449" width="6.140625" style="176" customWidth="1"/>
    <col min="8450" max="8450" width="14" style="176" bestFit="1" customWidth="1"/>
    <col min="8451" max="8451" width="12.85546875" style="176" customWidth="1"/>
    <col min="8452" max="8452" width="14.42578125" style="176" bestFit="1" customWidth="1"/>
    <col min="8453" max="8453" width="10.42578125" style="176" bestFit="1" customWidth="1"/>
    <col min="8454" max="8455" width="12" style="176" bestFit="1" customWidth="1"/>
    <col min="8456" max="8456" width="11.5703125" style="176" customWidth="1"/>
    <col min="8457" max="8704" width="9.140625" style="176"/>
    <col min="8705" max="8705" width="6.140625" style="176" customWidth="1"/>
    <col min="8706" max="8706" width="14" style="176" bestFit="1" customWidth="1"/>
    <col min="8707" max="8707" width="12.85546875" style="176" customWidth="1"/>
    <col min="8708" max="8708" width="14.42578125" style="176" bestFit="1" customWidth="1"/>
    <col min="8709" max="8709" width="10.42578125" style="176" bestFit="1" customWidth="1"/>
    <col min="8710" max="8711" width="12" style="176" bestFit="1" customWidth="1"/>
    <col min="8712" max="8712" width="11.5703125" style="176" customWidth="1"/>
    <col min="8713" max="8960" width="9.140625" style="176"/>
    <col min="8961" max="8961" width="6.140625" style="176" customWidth="1"/>
    <col min="8962" max="8962" width="14" style="176" bestFit="1" customWidth="1"/>
    <col min="8963" max="8963" width="12.85546875" style="176" customWidth="1"/>
    <col min="8964" max="8964" width="14.42578125" style="176" bestFit="1" customWidth="1"/>
    <col min="8965" max="8965" width="10.42578125" style="176" bestFit="1" customWidth="1"/>
    <col min="8966" max="8967" width="12" style="176" bestFit="1" customWidth="1"/>
    <col min="8968" max="8968" width="11.5703125" style="176" customWidth="1"/>
    <col min="8969" max="9216" width="9.140625" style="176"/>
    <col min="9217" max="9217" width="6.140625" style="176" customWidth="1"/>
    <col min="9218" max="9218" width="14" style="176" bestFit="1" customWidth="1"/>
    <col min="9219" max="9219" width="12.85546875" style="176" customWidth="1"/>
    <col min="9220" max="9220" width="14.42578125" style="176" bestFit="1" customWidth="1"/>
    <col min="9221" max="9221" width="10.42578125" style="176" bestFit="1" customWidth="1"/>
    <col min="9222" max="9223" width="12" style="176" bestFit="1" customWidth="1"/>
    <col min="9224" max="9224" width="11.5703125" style="176" customWidth="1"/>
    <col min="9225" max="9472" width="9.140625" style="176"/>
    <col min="9473" max="9473" width="6.140625" style="176" customWidth="1"/>
    <col min="9474" max="9474" width="14" style="176" bestFit="1" customWidth="1"/>
    <col min="9475" max="9475" width="12.85546875" style="176" customWidth="1"/>
    <col min="9476" max="9476" width="14.42578125" style="176" bestFit="1" customWidth="1"/>
    <col min="9477" max="9477" width="10.42578125" style="176" bestFit="1" customWidth="1"/>
    <col min="9478" max="9479" width="12" style="176" bestFit="1" customWidth="1"/>
    <col min="9480" max="9480" width="11.5703125" style="176" customWidth="1"/>
    <col min="9481" max="9728" width="9.140625" style="176"/>
    <col min="9729" max="9729" width="6.140625" style="176" customWidth="1"/>
    <col min="9730" max="9730" width="14" style="176" bestFit="1" customWidth="1"/>
    <col min="9731" max="9731" width="12.85546875" style="176" customWidth="1"/>
    <col min="9732" max="9732" width="14.42578125" style="176" bestFit="1" customWidth="1"/>
    <col min="9733" max="9733" width="10.42578125" style="176" bestFit="1" customWidth="1"/>
    <col min="9734" max="9735" width="12" style="176" bestFit="1" customWidth="1"/>
    <col min="9736" max="9736" width="11.5703125" style="176" customWidth="1"/>
    <col min="9737" max="9984" width="9.140625" style="176"/>
    <col min="9985" max="9985" width="6.140625" style="176" customWidth="1"/>
    <col min="9986" max="9986" width="14" style="176" bestFit="1" customWidth="1"/>
    <col min="9987" max="9987" width="12.85546875" style="176" customWidth="1"/>
    <col min="9988" max="9988" width="14.42578125" style="176" bestFit="1" customWidth="1"/>
    <col min="9989" max="9989" width="10.42578125" style="176" bestFit="1" customWidth="1"/>
    <col min="9990" max="9991" width="12" style="176" bestFit="1" customWidth="1"/>
    <col min="9992" max="9992" width="11.5703125" style="176" customWidth="1"/>
    <col min="9993" max="10240" width="9.140625" style="176"/>
    <col min="10241" max="10241" width="6.140625" style="176" customWidth="1"/>
    <col min="10242" max="10242" width="14" style="176" bestFit="1" customWidth="1"/>
    <col min="10243" max="10243" width="12.85546875" style="176" customWidth="1"/>
    <col min="10244" max="10244" width="14.42578125" style="176" bestFit="1" customWidth="1"/>
    <col min="10245" max="10245" width="10.42578125" style="176" bestFit="1" customWidth="1"/>
    <col min="10246" max="10247" width="12" style="176" bestFit="1" customWidth="1"/>
    <col min="10248" max="10248" width="11.5703125" style="176" customWidth="1"/>
    <col min="10249" max="10496" width="9.140625" style="176"/>
    <col min="10497" max="10497" width="6.140625" style="176" customWidth="1"/>
    <col min="10498" max="10498" width="14" style="176" bestFit="1" customWidth="1"/>
    <col min="10499" max="10499" width="12.85546875" style="176" customWidth="1"/>
    <col min="10500" max="10500" width="14.42578125" style="176" bestFit="1" customWidth="1"/>
    <col min="10501" max="10501" width="10.42578125" style="176" bestFit="1" customWidth="1"/>
    <col min="10502" max="10503" width="12" style="176" bestFit="1" customWidth="1"/>
    <col min="10504" max="10504" width="11.5703125" style="176" customWidth="1"/>
    <col min="10505" max="10752" width="9.140625" style="176"/>
    <col min="10753" max="10753" width="6.140625" style="176" customWidth="1"/>
    <col min="10754" max="10754" width="14" style="176" bestFit="1" customWidth="1"/>
    <col min="10755" max="10755" width="12.85546875" style="176" customWidth="1"/>
    <col min="10756" max="10756" width="14.42578125" style="176" bestFit="1" customWidth="1"/>
    <col min="10757" max="10757" width="10.42578125" style="176" bestFit="1" customWidth="1"/>
    <col min="10758" max="10759" width="12" style="176" bestFit="1" customWidth="1"/>
    <col min="10760" max="10760" width="11.5703125" style="176" customWidth="1"/>
    <col min="10761" max="11008" width="9.140625" style="176"/>
    <col min="11009" max="11009" width="6.140625" style="176" customWidth="1"/>
    <col min="11010" max="11010" width="14" style="176" bestFit="1" customWidth="1"/>
    <col min="11011" max="11011" width="12.85546875" style="176" customWidth="1"/>
    <col min="11012" max="11012" width="14.42578125" style="176" bestFit="1" customWidth="1"/>
    <col min="11013" max="11013" width="10.42578125" style="176" bestFit="1" customWidth="1"/>
    <col min="11014" max="11015" width="12" style="176" bestFit="1" customWidth="1"/>
    <col min="11016" max="11016" width="11.5703125" style="176" customWidth="1"/>
    <col min="11017" max="11264" width="9.140625" style="176"/>
    <col min="11265" max="11265" width="6.140625" style="176" customWidth="1"/>
    <col min="11266" max="11266" width="14" style="176" bestFit="1" customWidth="1"/>
    <col min="11267" max="11267" width="12.85546875" style="176" customWidth="1"/>
    <col min="11268" max="11268" width="14.42578125" style="176" bestFit="1" customWidth="1"/>
    <col min="11269" max="11269" width="10.42578125" style="176" bestFit="1" customWidth="1"/>
    <col min="11270" max="11271" width="12" style="176" bestFit="1" customWidth="1"/>
    <col min="11272" max="11272" width="11.5703125" style="176" customWidth="1"/>
    <col min="11273" max="11520" width="9.140625" style="176"/>
    <col min="11521" max="11521" width="6.140625" style="176" customWidth="1"/>
    <col min="11522" max="11522" width="14" style="176" bestFit="1" customWidth="1"/>
    <col min="11523" max="11523" width="12.85546875" style="176" customWidth="1"/>
    <col min="11524" max="11524" width="14.42578125" style="176" bestFit="1" customWidth="1"/>
    <col min="11525" max="11525" width="10.42578125" style="176" bestFit="1" customWidth="1"/>
    <col min="11526" max="11527" width="12" style="176" bestFit="1" customWidth="1"/>
    <col min="11528" max="11528" width="11.5703125" style="176" customWidth="1"/>
    <col min="11529" max="11776" width="9.140625" style="176"/>
    <col min="11777" max="11777" width="6.140625" style="176" customWidth="1"/>
    <col min="11778" max="11778" width="14" style="176" bestFit="1" customWidth="1"/>
    <col min="11779" max="11779" width="12.85546875" style="176" customWidth="1"/>
    <col min="11780" max="11780" width="14.42578125" style="176" bestFit="1" customWidth="1"/>
    <col min="11781" max="11781" width="10.42578125" style="176" bestFit="1" customWidth="1"/>
    <col min="11782" max="11783" width="12" style="176" bestFit="1" customWidth="1"/>
    <col min="11784" max="11784" width="11.5703125" style="176" customWidth="1"/>
    <col min="11785" max="12032" width="9.140625" style="176"/>
    <col min="12033" max="12033" width="6.140625" style="176" customWidth="1"/>
    <col min="12034" max="12034" width="14" style="176" bestFit="1" customWidth="1"/>
    <col min="12035" max="12035" width="12.85546875" style="176" customWidth="1"/>
    <col min="12036" max="12036" width="14.42578125" style="176" bestFit="1" customWidth="1"/>
    <col min="12037" max="12037" width="10.42578125" style="176" bestFit="1" customWidth="1"/>
    <col min="12038" max="12039" width="12" style="176" bestFit="1" customWidth="1"/>
    <col min="12040" max="12040" width="11.5703125" style="176" customWidth="1"/>
    <col min="12041" max="12288" width="9.140625" style="176"/>
    <col min="12289" max="12289" width="6.140625" style="176" customWidth="1"/>
    <col min="12290" max="12290" width="14" style="176" bestFit="1" customWidth="1"/>
    <col min="12291" max="12291" width="12.85546875" style="176" customWidth="1"/>
    <col min="12292" max="12292" width="14.42578125" style="176" bestFit="1" customWidth="1"/>
    <col min="12293" max="12293" width="10.42578125" style="176" bestFit="1" customWidth="1"/>
    <col min="12294" max="12295" width="12" style="176" bestFit="1" customWidth="1"/>
    <col min="12296" max="12296" width="11.5703125" style="176" customWidth="1"/>
    <col min="12297" max="12544" width="9.140625" style="176"/>
    <col min="12545" max="12545" width="6.140625" style="176" customWidth="1"/>
    <col min="12546" max="12546" width="14" style="176" bestFit="1" customWidth="1"/>
    <col min="12547" max="12547" width="12.85546875" style="176" customWidth="1"/>
    <col min="12548" max="12548" width="14.42578125" style="176" bestFit="1" customWidth="1"/>
    <col min="12549" max="12549" width="10.42578125" style="176" bestFit="1" customWidth="1"/>
    <col min="12550" max="12551" width="12" style="176" bestFit="1" customWidth="1"/>
    <col min="12552" max="12552" width="11.5703125" style="176" customWidth="1"/>
    <col min="12553" max="12800" width="9.140625" style="176"/>
    <col min="12801" max="12801" width="6.140625" style="176" customWidth="1"/>
    <col min="12802" max="12802" width="14" style="176" bestFit="1" customWidth="1"/>
    <col min="12803" max="12803" width="12.85546875" style="176" customWidth="1"/>
    <col min="12804" max="12804" width="14.42578125" style="176" bestFit="1" customWidth="1"/>
    <col min="12805" max="12805" width="10.42578125" style="176" bestFit="1" customWidth="1"/>
    <col min="12806" max="12807" width="12" style="176" bestFit="1" customWidth="1"/>
    <col min="12808" max="12808" width="11.5703125" style="176" customWidth="1"/>
    <col min="12809" max="13056" width="9.140625" style="176"/>
    <col min="13057" max="13057" width="6.140625" style="176" customWidth="1"/>
    <col min="13058" max="13058" width="14" style="176" bestFit="1" customWidth="1"/>
    <col min="13059" max="13059" width="12.85546875" style="176" customWidth="1"/>
    <col min="13060" max="13060" width="14.42578125" style="176" bestFit="1" customWidth="1"/>
    <col min="13061" max="13061" width="10.42578125" style="176" bestFit="1" customWidth="1"/>
    <col min="13062" max="13063" width="12" style="176" bestFit="1" customWidth="1"/>
    <col min="13064" max="13064" width="11.5703125" style="176" customWidth="1"/>
    <col min="13065" max="13312" width="9.140625" style="176"/>
    <col min="13313" max="13313" width="6.140625" style="176" customWidth="1"/>
    <col min="13314" max="13314" width="14" style="176" bestFit="1" customWidth="1"/>
    <col min="13315" max="13315" width="12.85546875" style="176" customWidth="1"/>
    <col min="13316" max="13316" width="14.42578125" style="176" bestFit="1" customWidth="1"/>
    <col min="13317" max="13317" width="10.42578125" style="176" bestFit="1" customWidth="1"/>
    <col min="13318" max="13319" width="12" style="176" bestFit="1" customWidth="1"/>
    <col min="13320" max="13320" width="11.5703125" style="176" customWidth="1"/>
    <col min="13321" max="13568" width="9.140625" style="176"/>
    <col min="13569" max="13569" width="6.140625" style="176" customWidth="1"/>
    <col min="13570" max="13570" width="14" style="176" bestFit="1" customWidth="1"/>
    <col min="13571" max="13571" width="12.85546875" style="176" customWidth="1"/>
    <col min="13572" max="13572" width="14.42578125" style="176" bestFit="1" customWidth="1"/>
    <col min="13573" max="13573" width="10.42578125" style="176" bestFit="1" customWidth="1"/>
    <col min="13574" max="13575" width="12" style="176" bestFit="1" customWidth="1"/>
    <col min="13576" max="13576" width="11.5703125" style="176" customWidth="1"/>
    <col min="13577" max="13824" width="9.140625" style="176"/>
    <col min="13825" max="13825" width="6.140625" style="176" customWidth="1"/>
    <col min="13826" max="13826" width="14" style="176" bestFit="1" customWidth="1"/>
    <col min="13827" max="13827" width="12.85546875" style="176" customWidth="1"/>
    <col min="13828" max="13828" width="14.42578125" style="176" bestFit="1" customWidth="1"/>
    <col min="13829" max="13829" width="10.42578125" style="176" bestFit="1" customWidth="1"/>
    <col min="13830" max="13831" width="12" style="176" bestFit="1" customWidth="1"/>
    <col min="13832" max="13832" width="11.5703125" style="176" customWidth="1"/>
    <col min="13833" max="14080" width="9.140625" style="176"/>
    <col min="14081" max="14081" width="6.140625" style="176" customWidth="1"/>
    <col min="14082" max="14082" width="14" style="176" bestFit="1" customWidth="1"/>
    <col min="14083" max="14083" width="12.85546875" style="176" customWidth="1"/>
    <col min="14084" max="14084" width="14.42578125" style="176" bestFit="1" customWidth="1"/>
    <col min="14085" max="14085" width="10.42578125" style="176" bestFit="1" customWidth="1"/>
    <col min="14086" max="14087" width="12" style="176" bestFit="1" customWidth="1"/>
    <col min="14088" max="14088" width="11.5703125" style="176" customWidth="1"/>
    <col min="14089" max="14336" width="9.140625" style="176"/>
    <col min="14337" max="14337" width="6.140625" style="176" customWidth="1"/>
    <col min="14338" max="14338" width="14" style="176" bestFit="1" customWidth="1"/>
    <col min="14339" max="14339" width="12.85546875" style="176" customWidth="1"/>
    <col min="14340" max="14340" width="14.42578125" style="176" bestFit="1" customWidth="1"/>
    <col min="14341" max="14341" width="10.42578125" style="176" bestFit="1" customWidth="1"/>
    <col min="14342" max="14343" width="12" style="176" bestFit="1" customWidth="1"/>
    <col min="14344" max="14344" width="11.5703125" style="176" customWidth="1"/>
    <col min="14345" max="14592" width="9.140625" style="176"/>
    <col min="14593" max="14593" width="6.140625" style="176" customWidth="1"/>
    <col min="14594" max="14594" width="14" style="176" bestFit="1" customWidth="1"/>
    <col min="14595" max="14595" width="12.85546875" style="176" customWidth="1"/>
    <col min="14596" max="14596" width="14.42578125" style="176" bestFit="1" customWidth="1"/>
    <col min="14597" max="14597" width="10.42578125" style="176" bestFit="1" customWidth="1"/>
    <col min="14598" max="14599" width="12" style="176" bestFit="1" customWidth="1"/>
    <col min="14600" max="14600" width="11.5703125" style="176" customWidth="1"/>
    <col min="14601" max="14848" width="9.140625" style="176"/>
    <col min="14849" max="14849" width="6.140625" style="176" customWidth="1"/>
    <col min="14850" max="14850" width="14" style="176" bestFit="1" customWidth="1"/>
    <col min="14851" max="14851" width="12.85546875" style="176" customWidth="1"/>
    <col min="14852" max="14852" width="14.42578125" style="176" bestFit="1" customWidth="1"/>
    <col min="14853" max="14853" width="10.42578125" style="176" bestFit="1" customWidth="1"/>
    <col min="14854" max="14855" width="12" style="176" bestFit="1" customWidth="1"/>
    <col min="14856" max="14856" width="11.5703125" style="176" customWidth="1"/>
    <col min="14857" max="15104" width="9.140625" style="176"/>
    <col min="15105" max="15105" width="6.140625" style="176" customWidth="1"/>
    <col min="15106" max="15106" width="14" style="176" bestFit="1" customWidth="1"/>
    <col min="15107" max="15107" width="12.85546875" style="176" customWidth="1"/>
    <col min="15108" max="15108" width="14.42578125" style="176" bestFit="1" customWidth="1"/>
    <col min="15109" max="15109" width="10.42578125" style="176" bestFit="1" customWidth="1"/>
    <col min="15110" max="15111" width="12" style="176" bestFit="1" customWidth="1"/>
    <col min="15112" max="15112" width="11.5703125" style="176" customWidth="1"/>
    <col min="15113" max="15360" width="9.140625" style="176"/>
    <col min="15361" max="15361" width="6.140625" style="176" customWidth="1"/>
    <col min="15362" max="15362" width="14" style="176" bestFit="1" customWidth="1"/>
    <col min="15363" max="15363" width="12.85546875" style="176" customWidth="1"/>
    <col min="15364" max="15364" width="14.42578125" style="176" bestFit="1" customWidth="1"/>
    <col min="15365" max="15365" width="10.42578125" style="176" bestFit="1" customWidth="1"/>
    <col min="15366" max="15367" width="12" style="176" bestFit="1" customWidth="1"/>
    <col min="15368" max="15368" width="11.5703125" style="176" customWidth="1"/>
    <col min="15369" max="15616" width="9.140625" style="176"/>
    <col min="15617" max="15617" width="6.140625" style="176" customWidth="1"/>
    <col min="15618" max="15618" width="14" style="176" bestFit="1" customWidth="1"/>
    <col min="15619" max="15619" width="12.85546875" style="176" customWidth="1"/>
    <col min="15620" max="15620" width="14.42578125" style="176" bestFit="1" customWidth="1"/>
    <col min="15621" max="15621" width="10.42578125" style="176" bestFit="1" customWidth="1"/>
    <col min="15622" max="15623" width="12" style="176" bestFit="1" customWidth="1"/>
    <col min="15624" max="15624" width="11.5703125" style="176" customWidth="1"/>
    <col min="15625" max="15872" width="9.140625" style="176"/>
    <col min="15873" max="15873" width="6.140625" style="176" customWidth="1"/>
    <col min="15874" max="15874" width="14" style="176" bestFit="1" customWidth="1"/>
    <col min="15875" max="15875" width="12.85546875" style="176" customWidth="1"/>
    <col min="15876" max="15876" width="14.42578125" style="176" bestFit="1" customWidth="1"/>
    <col min="15877" max="15877" width="10.42578125" style="176" bestFit="1" customWidth="1"/>
    <col min="15878" max="15879" width="12" style="176" bestFit="1" customWidth="1"/>
    <col min="15880" max="15880" width="11.5703125" style="176" customWidth="1"/>
    <col min="15881" max="16128" width="9.140625" style="176"/>
    <col min="16129" max="16129" width="6.140625" style="176" customWidth="1"/>
    <col min="16130" max="16130" width="14" style="176" bestFit="1" customWidth="1"/>
    <col min="16131" max="16131" width="12.85546875" style="176" customWidth="1"/>
    <col min="16132" max="16132" width="14.42578125" style="176" bestFit="1" customWidth="1"/>
    <col min="16133" max="16133" width="10.42578125" style="176" bestFit="1" customWidth="1"/>
    <col min="16134" max="16135" width="12" style="176" bestFit="1" customWidth="1"/>
    <col min="16136" max="16136" width="11.5703125" style="176" customWidth="1"/>
    <col min="16137" max="16384" width="9.140625" style="176"/>
  </cols>
  <sheetData>
    <row r="1" spans="1:27" x14ac:dyDescent="0.25">
      <c r="A1" s="233" t="s">
        <v>21</v>
      </c>
      <c r="K1" s="178"/>
    </row>
    <row r="2" spans="1:27" x14ac:dyDescent="0.25">
      <c r="A2" s="233" t="s">
        <v>22</v>
      </c>
    </row>
    <row r="3" spans="1:27" x14ac:dyDescent="0.25">
      <c r="A3" s="233" t="s">
        <v>23</v>
      </c>
    </row>
    <row r="4" spans="1:27" x14ac:dyDescent="0.25">
      <c r="A4" s="237" t="s">
        <v>396</v>
      </c>
      <c r="Z4" s="572"/>
      <c r="AA4" s="573"/>
    </row>
    <row r="5" spans="1:27" x14ac:dyDescent="0.25">
      <c r="A5" s="237"/>
      <c r="Z5" s="572"/>
      <c r="AA5" s="574"/>
    </row>
    <row r="6" spans="1:27" x14ac:dyDescent="0.25">
      <c r="A6" s="596" t="s">
        <v>353</v>
      </c>
      <c r="B6" s="179"/>
      <c r="C6" s="179"/>
      <c r="D6" s="179"/>
      <c r="E6" s="179"/>
      <c r="F6" s="179"/>
      <c r="G6" s="179"/>
      <c r="H6" s="179"/>
      <c r="I6" s="180"/>
    </row>
    <row r="7" spans="1:27" x14ac:dyDescent="0.25">
      <c r="D7" s="181" t="s">
        <v>311</v>
      </c>
      <c r="G7" s="181" t="s">
        <v>312</v>
      </c>
    </row>
    <row r="8" spans="1:27" x14ac:dyDescent="0.25">
      <c r="D8" s="182" t="s">
        <v>313</v>
      </c>
      <c r="G8" s="182" t="s">
        <v>313</v>
      </c>
    </row>
    <row r="9" spans="1:27" x14ac:dyDescent="0.25">
      <c r="A9" s="180" t="s">
        <v>314</v>
      </c>
      <c r="D9" s="183">
        <v>12</v>
      </c>
      <c r="G9" s="183">
        <f>VLOOKUP(J9,'EXHIBIT JDT-3 RES'!D:N,7,FALSE)</f>
        <v>18</v>
      </c>
      <c r="J9" s="177" t="s">
        <v>99</v>
      </c>
    </row>
    <row r="10" spans="1:27" x14ac:dyDescent="0.25">
      <c r="A10" s="180" t="str">
        <f>"FIRST "&amp;FIXED(C10,0,TRUE)&amp;" CCF"</f>
        <v>FIRST 50 CCF</v>
      </c>
      <c r="C10" s="184">
        <v>50</v>
      </c>
      <c r="D10" s="185">
        <v>0.29145999999999994</v>
      </c>
      <c r="G10" s="183"/>
      <c r="J10" s="177" t="s">
        <v>101</v>
      </c>
    </row>
    <row r="11" spans="1:27" x14ac:dyDescent="0.25">
      <c r="A11" s="180" t="s">
        <v>315</v>
      </c>
      <c r="C11" s="184">
        <v>9999999999</v>
      </c>
      <c r="D11" s="185">
        <v>0.19995000000000002</v>
      </c>
      <c r="G11" s="183"/>
      <c r="J11" s="177" t="s">
        <v>102</v>
      </c>
    </row>
    <row r="12" spans="1:27" x14ac:dyDescent="0.25">
      <c r="A12" s="180" t="s">
        <v>315</v>
      </c>
      <c r="C12" s="184"/>
      <c r="D12" s="185"/>
      <c r="G12" s="185">
        <f>VLOOKUP(J12,'EXHIBIT JDT-3 RES'!D:N,7,FALSE)/10</f>
        <v>0.26959</v>
      </c>
      <c r="J12" s="177" t="s">
        <v>344</v>
      </c>
    </row>
    <row r="13" spans="1:27" x14ac:dyDescent="0.25">
      <c r="C13" s="184"/>
      <c r="E13" s="186"/>
      <c r="F13" s="186"/>
    </row>
    <row r="14" spans="1:27" s="588" customFormat="1" hidden="1" x14ac:dyDescent="0.25">
      <c r="A14" s="594" t="s">
        <v>316</v>
      </c>
      <c r="D14" s="589">
        <v>0</v>
      </c>
      <c r="E14" s="590"/>
      <c r="F14" s="590"/>
      <c r="G14" s="589">
        <f>D14</f>
        <v>0</v>
      </c>
      <c r="J14" s="591" t="s">
        <v>370</v>
      </c>
      <c r="Y14" s="592"/>
    </row>
    <row r="15" spans="1:27" s="588" customFormat="1" hidden="1" x14ac:dyDescent="0.25">
      <c r="A15" s="594" t="s">
        <v>317</v>
      </c>
      <c r="D15" s="589">
        <v>0</v>
      </c>
      <c r="E15" s="590"/>
      <c r="F15" s="590"/>
      <c r="G15" s="589">
        <f>D15</f>
        <v>0</v>
      </c>
      <c r="J15" s="591" t="s">
        <v>370</v>
      </c>
      <c r="Y15" s="592"/>
    </row>
    <row r="16" spans="1:27" s="588" customFormat="1" hidden="1" x14ac:dyDescent="0.25">
      <c r="A16" s="594" t="s">
        <v>318</v>
      </c>
      <c r="D16" s="589">
        <v>0</v>
      </c>
      <c r="E16" s="590"/>
      <c r="F16" s="590"/>
      <c r="G16" s="589">
        <f>D16</f>
        <v>0</v>
      </c>
      <c r="J16" s="591" t="s">
        <v>370</v>
      </c>
      <c r="Y16" s="592"/>
    </row>
    <row r="17" spans="1:25" s="588" customFormat="1" hidden="1" x14ac:dyDescent="0.25">
      <c r="A17" s="594" t="s">
        <v>319</v>
      </c>
      <c r="D17" s="589">
        <v>0</v>
      </c>
      <c r="E17" s="590"/>
      <c r="F17" s="590"/>
      <c r="G17" s="589">
        <f>D17</f>
        <v>0</v>
      </c>
      <c r="J17" s="591" t="s">
        <v>370</v>
      </c>
      <c r="Y17" s="592"/>
    </row>
    <row r="18" spans="1:25" x14ac:dyDescent="0.25">
      <c r="A18" s="180" t="s">
        <v>320</v>
      </c>
      <c r="D18" s="185">
        <v>1.9486836809999998E-2</v>
      </c>
      <c r="E18" s="186"/>
      <c r="F18" s="186"/>
      <c r="G18" s="185">
        <f>VLOOKUP(J18,'EXHIBIT JDT-3 RES'!D:N,7,FALSE)/10</f>
        <v>2.349E-2</v>
      </c>
      <c r="J18" s="187" t="s">
        <v>285</v>
      </c>
    </row>
    <row r="19" spans="1:25" x14ac:dyDescent="0.25">
      <c r="A19" s="180" t="s">
        <v>341</v>
      </c>
      <c r="D19" s="185">
        <v>1.0499999999999999E-2</v>
      </c>
      <c r="E19" s="186"/>
      <c r="F19" s="186"/>
      <c r="G19" s="185">
        <f>VLOOKUP(J19,'EXHIBIT JDT-3 RES'!D:N,7,FALSE)/10</f>
        <v>1.149E-2</v>
      </c>
      <c r="J19" s="187" t="s">
        <v>286</v>
      </c>
    </row>
    <row r="20" spans="1:25" s="588" customFormat="1" hidden="1" x14ac:dyDescent="0.25">
      <c r="A20" s="594" t="s">
        <v>342</v>
      </c>
      <c r="D20" s="589">
        <v>0</v>
      </c>
      <c r="E20" s="590"/>
      <c r="F20" s="590"/>
      <c r="G20" s="589">
        <v>0</v>
      </c>
      <c r="J20" s="593" t="s">
        <v>370</v>
      </c>
      <c r="Y20" s="592"/>
    </row>
    <row r="21" spans="1:25" s="588" customFormat="1" hidden="1" x14ac:dyDescent="0.25">
      <c r="A21" s="594" t="s">
        <v>343</v>
      </c>
      <c r="D21" s="589">
        <v>0</v>
      </c>
      <c r="E21" s="590"/>
      <c r="F21" s="590"/>
      <c r="G21" s="589">
        <v>0</v>
      </c>
      <c r="J21" s="593" t="s">
        <v>370</v>
      </c>
      <c r="Y21" s="592"/>
    </row>
    <row r="22" spans="1:25" s="588" customFormat="1" hidden="1" x14ac:dyDescent="0.25">
      <c r="A22" s="594"/>
      <c r="E22" s="590"/>
      <c r="F22" s="590"/>
      <c r="G22" s="590"/>
      <c r="J22" s="594"/>
      <c r="Y22" s="592"/>
    </row>
    <row r="23" spans="1:25" s="588" customFormat="1" hidden="1" x14ac:dyDescent="0.25">
      <c r="A23" s="594" t="s">
        <v>321</v>
      </c>
      <c r="D23" s="595">
        <v>0</v>
      </c>
      <c r="G23" s="595">
        <v>0</v>
      </c>
      <c r="J23" s="594"/>
      <c r="Y23" s="592"/>
    </row>
    <row r="24" spans="1:25" hidden="1" x14ac:dyDescent="0.25"/>
    <row r="26" spans="1:25" x14ac:dyDescent="0.25">
      <c r="G26" s="190" t="s">
        <v>322</v>
      </c>
      <c r="H26" s="190"/>
    </row>
    <row r="27" spans="1:25" s="584" customFormat="1" ht="31.5" x14ac:dyDescent="0.25">
      <c r="A27" s="597"/>
      <c r="B27" s="584" t="s">
        <v>323</v>
      </c>
      <c r="C27" s="585" t="s">
        <v>311</v>
      </c>
      <c r="D27" s="585" t="s">
        <v>312</v>
      </c>
      <c r="E27" s="585" t="s">
        <v>311</v>
      </c>
      <c r="F27" s="585" t="s">
        <v>312</v>
      </c>
      <c r="G27" s="585" t="s">
        <v>324</v>
      </c>
      <c r="H27" s="585" t="s">
        <v>325</v>
      </c>
      <c r="J27" s="586"/>
      <c r="Y27" s="587"/>
    </row>
    <row r="28" spans="1:25" x14ac:dyDescent="0.25">
      <c r="C28" s="192" t="s">
        <v>326</v>
      </c>
      <c r="D28" s="192" t="s">
        <v>327</v>
      </c>
      <c r="E28" s="181" t="s">
        <v>328</v>
      </c>
      <c r="F28" s="181" t="s">
        <v>328</v>
      </c>
      <c r="G28" s="192" t="s">
        <v>329</v>
      </c>
      <c r="J28" s="191"/>
    </row>
    <row r="29" spans="1:25" x14ac:dyDescent="0.25">
      <c r="B29" s="176" t="s">
        <v>330</v>
      </c>
      <c r="J29" s="191"/>
    </row>
    <row r="30" spans="1:25" x14ac:dyDescent="0.25">
      <c r="B30" s="176">
        <v>0</v>
      </c>
      <c r="C30" s="193">
        <f t="shared" ref="C30:C60" si="0">ROUND((D$9+MINA($B30,$C$10)*D$10+MAXA($B30-$C$10,0)*D$11+(D$14+D$15+D$16+D$17+D$18+D$19+D$20+D$21)*B30)*(1+D$23),2)</f>
        <v>12</v>
      </c>
      <c r="D30" s="193">
        <f>ROUND((G9+(SUM(G12:G21)*B30))*(1+G23),2)</f>
        <v>18</v>
      </c>
      <c r="E30" s="194"/>
      <c r="F30" s="194"/>
      <c r="G30" s="193">
        <f t="shared" ref="G30:G50" si="1">D30-C30</f>
        <v>6</v>
      </c>
      <c r="H30" s="195">
        <f t="shared" ref="H30:H50" si="2">ROUND(G30/C30,4)</f>
        <v>0.5</v>
      </c>
      <c r="J30" s="196"/>
      <c r="L30" s="197"/>
    </row>
    <row r="31" spans="1:25" x14ac:dyDescent="0.25">
      <c r="B31" s="176">
        <f>B30+10</f>
        <v>10</v>
      </c>
      <c r="C31" s="193">
        <f t="shared" si="0"/>
        <v>15.21</v>
      </c>
      <c r="D31" s="193">
        <f>ROUND((G9+(SUM(G12:G21)*B31))*(1+G23),2)</f>
        <v>21.05</v>
      </c>
      <c r="E31" s="194">
        <f t="shared" ref="E31:E50" si="3">+C31/B31</f>
        <v>1.5210000000000001</v>
      </c>
      <c r="F31" s="194">
        <f t="shared" ref="F31:F50" si="4">+D31/B31</f>
        <v>2.105</v>
      </c>
      <c r="G31" s="193">
        <f t="shared" si="1"/>
        <v>5.84</v>
      </c>
      <c r="H31" s="195">
        <f t="shared" si="2"/>
        <v>0.38400000000000001</v>
      </c>
      <c r="J31" s="196"/>
      <c r="L31" s="197"/>
    </row>
    <row r="32" spans="1:25" x14ac:dyDescent="0.25">
      <c r="B32" s="176">
        <f t="shared" ref="B32:B60" si="5">B31+10</f>
        <v>20</v>
      </c>
      <c r="C32" s="193">
        <f t="shared" si="0"/>
        <v>18.43</v>
      </c>
      <c r="D32" s="193">
        <f>ROUND((G9+(SUM(G12:G21)*B32))*(1+G23),2)</f>
        <v>24.09</v>
      </c>
      <c r="E32" s="194">
        <f t="shared" si="3"/>
        <v>0.92149999999999999</v>
      </c>
      <c r="F32" s="194">
        <f t="shared" si="4"/>
        <v>1.2044999999999999</v>
      </c>
      <c r="G32" s="193">
        <f t="shared" si="1"/>
        <v>5.66</v>
      </c>
      <c r="H32" s="195">
        <f t="shared" si="2"/>
        <v>0.30709999999999998</v>
      </c>
      <c r="J32" s="196"/>
      <c r="L32" s="197"/>
    </row>
    <row r="33" spans="2:13" x14ac:dyDescent="0.25">
      <c r="B33" s="176">
        <f t="shared" si="5"/>
        <v>30</v>
      </c>
      <c r="C33" s="193">
        <f t="shared" si="0"/>
        <v>21.64</v>
      </c>
      <c r="D33" s="193">
        <f>ROUND((G9+(SUM(G12:G21)*B33))*(1+G23),2)</f>
        <v>27.14</v>
      </c>
      <c r="E33" s="194">
        <f t="shared" si="3"/>
        <v>0.72133333333333338</v>
      </c>
      <c r="F33" s="194">
        <f t="shared" si="4"/>
        <v>0.90466666666666673</v>
      </c>
      <c r="G33" s="193">
        <f t="shared" si="1"/>
        <v>5.5</v>
      </c>
      <c r="H33" s="195">
        <f t="shared" si="2"/>
        <v>0.25419999999999998</v>
      </c>
      <c r="J33" s="196"/>
      <c r="L33" s="197"/>
    </row>
    <row r="34" spans="2:13" x14ac:dyDescent="0.25">
      <c r="B34" s="176">
        <f t="shared" si="5"/>
        <v>40</v>
      </c>
      <c r="C34" s="193">
        <f t="shared" si="0"/>
        <v>24.86</v>
      </c>
      <c r="D34" s="193">
        <f>ROUND((G9+(SUM(G12:G21)*B34))*(1+G23),2)</f>
        <v>30.18</v>
      </c>
      <c r="E34" s="194">
        <f t="shared" si="3"/>
        <v>0.62149999999999994</v>
      </c>
      <c r="F34" s="194">
        <f t="shared" si="4"/>
        <v>0.75449999999999995</v>
      </c>
      <c r="G34" s="193">
        <f t="shared" si="1"/>
        <v>5.32</v>
      </c>
      <c r="H34" s="195">
        <f t="shared" si="2"/>
        <v>0.214</v>
      </c>
      <c r="J34" s="196"/>
      <c r="L34" s="197"/>
    </row>
    <row r="35" spans="2:13" x14ac:dyDescent="0.25">
      <c r="B35" s="176">
        <f t="shared" si="5"/>
        <v>50</v>
      </c>
      <c r="C35" s="193">
        <f t="shared" si="0"/>
        <v>28.07</v>
      </c>
      <c r="D35" s="193">
        <f>ROUND((G9+(SUM(G12:G21)*B35))*(1+G23),2)</f>
        <v>33.229999999999997</v>
      </c>
      <c r="E35" s="194">
        <f t="shared" si="3"/>
        <v>0.56140000000000001</v>
      </c>
      <c r="F35" s="194">
        <f t="shared" si="4"/>
        <v>0.66459999999999997</v>
      </c>
      <c r="G35" s="193">
        <f t="shared" si="1"/>
        <v>5.1599999999999966</v>
      </c>
      <c r="H35" s="195">
        <f t="shared" si="2"/>
        <v>0.18379999999999999</v>
      </c>
      <c r="J35" s="196"/>
      <c r="L35" s="197"/>
    </row>
    <row r="36" spans="2:13" x14ac:dyDescent="0.25">
      <c r="B36" s="176">
        <f t="shared" si="5"/>
        <v>60</v>
      </c>
      <c r="C36" s="193">
        <f t="shared" si="0"/>
        <v>30.37</v>
      </c>
      <c r="D36" s="193">
        <f>ROUND((G9+(SUM(G12:G21)*B36))*(1+G23),2)</f>
        <v>36.270000000000003</v>
      </c>
      <c r="E36" s="194">
        <f t="shared" si="3"/>
        <v>0.50616666666666665</v>
      </c>
      <c r="F36" s="194">
        <f t="shared" si="4"/>
        <v>0.60450000000000004</v>
      </c>
      <c r="G36" s="193">
        <f t="shared" si="1"/>
        <v>5.9000000000000021</v>
      </c>
      <c r="H36" s="195">
        <f t="shared" si="2"/>
        <v>0.1943</v>
      </c>
      <c r="J36" s="196"/>
      <c r="L36" s="197"/>
    </row>
    <row r="37" spans="2:13" x14ac:dyDescent="0.25">
      <c r="B37" s="176">
        <f t="shared" si="5"/>
        <v>70</v>
      </c>
      <c r="C37" s="193">
        <f t="shared" si="0"/>
        <v>32.67</v>
      </c>
      <c r="D37" s="193">
        <f>ROUND((G9+(SUM(G12:G21)*B37))*(1+G23),2)</f>
        <v>39.32</v>
      </c>
      <c r="E37" s="194">
        <f t="shared" si="3"/>
        <v>0.46671428571428575</v>
      </c>
      <c r="F37" s="194">
        <f t="shared" si="4"/>
        <v>0.56171428571428572</v>
      </c>
      <c r="G37" s="193">
        <f t="shared" si="1"/>
        <v>6.6499999999999986</v>
      </c>
      <c r="H37" s="195">
        <f t="shared" si="2"/>
        <v>0.2036</v>
      </c>
      <c r="J37" s="196"/>
      <c r="L37" s="197"/>
    </row>
    <row r="38" spans="2:13" x14ac:dyDescent="0.25">
      <c r="B38" s="176">
        <f t="shared" si="5"/>
        <v>80</v>
      </c>
      <c r="C38" s="193">
        <f t="shared" si="0"/>
        <v>34.97</v>
      </c>
      <c r="D38" s="193">
        <f>ROUND((G9+(SUM(G12:G21)*B38))*(1+G23),2)</f>
        <v>42.37</v>
      </c>
      <c r="E38" s="194">
        <f t="shared" si="3"/>
        <v>0.43712499999999999</v>
      </c>
      <c r="F38" s="194">
        <f t="shared" si="4"/>
        <v>0.52962500000000001</v>
      </c>
      <c r="G38" s="193">
        <f t="shared" si="1"/>
        <v>7.3999999999999986</v>
      </c>
      <c r="H38" s="195">
        <f t="shared" si="2"/>
        <v>0.21160000000000001</v>
      </c>
      <c r="J38" s="196"/>
      <c r="L38" s="197"/>
    </row>
    <row r="39" spans="2:13" x14ac:dyDescent="0.25">
      <c r="B39" s="176">
        <f t="shared" si="5"/>
        <v>90</v>
      </c>
      <c r="C39" s="193">
        <f t="shared" si="0"/>
        <v>37.270000000000003</v>
      </c>
      <c r="D39" s="193">
        <f>ROUND((G9+(SUM(G12:G21)*B39))*(1+G23),2)</f>
        <v>45.41</v>
      </c>
      <c r="E39" s="194">
        <f t="shared" si="3"/>
        <v>0.41411111111111115</v>
      </c>
      <c r="F39" s="194">
        <f t="shared" si="4"/>
        <v>0.50455555555555553</v>
      </c>
      <c r="G39" s="193">
        <f t="shared" si="1"/>
        <v>8.1399999999999935</v>
      </c>
      <c r="H39" s="195">
        <f t="shared" si="2"/>
        <v>0.21840000000000001</v>
      </c>
      <c r="J39" s="196"/>
      <c r="L39" s="197"/>
    </row>
    <row r="40" spans="2:13" x14ac:dyDescent="0.25">
      <c r="B40" s="176">
        <f t="shared" si="5"/>
        <v>100</v>
      </c>
      <c r="C40" s="193">
        <f t="shared" si="0"/>
        <v>39.57</v>
      </c>
      <c r="D40" s="193">
        <f>ROUND((G9+(SUM(G12:G21)*B40))*(1+G23),2)</f>
        <v>48.46</v>
      </c>
      <c r="E40" s="194">
        <f t="shared" si="3"/>
        <v>0.3957</v>
      </c>
      <c r="F40" s="194">
        <f t="shared" si="4"/>
        <v>0.48460000000000003</v>
      </c>
      <c r="G40" s="193">
        <f t="shared" si="1"/>
        <v>8.89</v>
      </c>
      <c r="H40" s="195">
        <f>ROUND(G40/C40,4)</f>
        <v>0.22470000000000001</v>
      </c>
      <c r="J40" s="196"/>
      <c r="L40" s="197"/>
    </row>
    <row r="41" spans="2:13" x14ac:dyDescent="0.25">
      <c r="B41" s="176">
        <f t="shared" si="5"/>
        <v>110</v>
      </c>
      <c r="C41" s="193">
        <f t="shared" si="0"/>
        <v>41.87</v>
      </c>
      <c r="D41" s="193">
        <f>ROUND((G9+(SUM(G12:G21)*B41))*(1+G23),2)</f>
        <v>51.5</v>
      </c>
      <c r="E41" s="194">
        <f t="shared" si="3"/>
        <v>0.38063636363636361</v>
      </c>
      <c r="F41" s="194">
        <f t="shared" si="4"/>
        <v>0.4681818181818182</v>
      </c>
      <c r="G41" s="193">
        <f t="shared" si="1"/>
        <v>9.6300000000000026</v>
      </c>
      <c r="H41" s="195">
        <f t="shared" si="2"/>
        <v>0.23</v>
      </c>
      <c r="J41" s="196"/>
      <c r="L41" s="197"/>
    </row>
    <row r="42" spans="2:13" x14ac:dyDescent="0.25">
      <c r="B42" s="176">
        <f t="shared" si="5"/>
        <v>120</v>
      </c>
      <c r="C42" s="193">
        <f t="shared" si="0"/>
        <v>44.17</v>
      </c>
      <c r="D42" s="193">
        <f>ROUND((G9+(SUM(G12:G21)*B42))*(1+G23),2)</f>
        <v>54.55</v>
      </c>
      <c r="E42" s="194">
        <f t="shared" si="3"/>
        <v>0.36808333333333337</v>
      </c>
      <c r="F42" s="194">
        <f t="shared" si="4"/>
        <v>0.45458333333333328</v>
      </c>
      <c r="G42" s="193">
        <f t="shared" si="1"/>
        <v>10.379999999999995</v>
      </c>
      <c r="H42" s="195">
        <f t="shared" si="2"/>
        <v>0.23499999999999999</v>
      </c>
      <c r="J42" s="196"/>
      <c r="L42" s="197"/>
    </row>
    <row r="43" spans="2:13" x14ac:dyDescent="0.25">
      <c r="B43" s="176">
        <f t="shared" si="5"/>
        <v>130</v>
      </c>
      <c r="C43" s="193">
        <f t="shared" si="0"/>
        <v>46.47</v>
      </c>
      <c r="D43" s="193">
        <f>ROUND((G9+(SUM(G12:G21)*B43))*(1+G23),2)</f>
        <v>57.59</v>
      </c>
      <c r="E43" s="194">
        <f t="shared" si="3"/>
        <v>0.35746153846153844</v>
      </c>
      <c r="F43" s="194">
        <f t="shared" si="4"/>
        <v>0.443</v>
      </c>
      <c r="G43" s="193">
        <f t="shared" si="1"/>
        <v>11.120000000000005</v>
      </c>
      <c r="H43" s="195">
        <f t="shared" si="2"/>
        <v>0.23930000000000001</v>
      </c>
      <c r="J43" s="196"/>
      <c r="L43" s="197"/>
    </row>
    <row r="44" spans="2:13" x14ac:dyDescent="0.25">
      <c r="B44" s="176">
        <f t="shared" si="5"/>
        <v>140</v>
      </c>
      <c r="C44" s="193">
        <f t="shared" si="0"/>
        <v>48.77</v>
      </c>
      <c r="D44" s="193">
        <f>ROUND((G9+(SUM(G12:G21)*B44))*(1+G23),2)</f>
        <v>60.64</v>
      </c>
      <c r="E44" s="194">
        <f t="shared" si="3"/>
        <v>0.34835714285714287</v>
      </c>
      <c r="F44" s="194">
        <f t="shared" si="4"/>
        <v>0.43314285714285716</v>
      </c>
      <c r="G44" s="193">
        <f t="shared" si="1"/>
        <v>11.869999999999997</v>
      </c>
      <c r="H44" s="195">
        <f t="shared" si="2"/>
        <v>0.24340000000000001</v>
      </c>
      <c r="J44" s="196"/>
      <c r="L44" s="197"/>
    </row>
    <row r="45" spans="2:13" x14ac:dyDescent="0.25">
      <c r="B45" s="176">
        <f t="shared" si="5"/>
        <v>150</v>
      </c>
      <c r="C45" s="193">
        <f t="shared" si="0"/>
        <v>51.07</v>
      </c>
      <c r="D45" s="193">
        <f>ROUND((G9+(SUM(G12:G21)*B45))*(1+G23),2)</f>
        <v>63.69</v>
      </c>
      <c r="E45" s="194">
        <f t="shared" si="3"/>
        <v>0.3404666666666667</v>
      </c>
      <c r="F45" s="194">
        <f t="shared" si="4"/>
        <v>0.42459999999999998</v>
      </c>
      <c r="G45" s="193">
        <f t="shared" si="1"/>
        <v>12.619999999999997</v>
      </c>
      <c r="H45" s="195">
        <f t="shared" si="2"/>
        <v>0.24709999999999999</v>
      </c>
      <c r="J45" s="196"/>
      <c r="L45" s="197"/>
      <c r="M45" s="198"/>
    </row>
    <row r="46" spans="2:13" x14ac:dyDescent="0.25">
      <c r="B46" s="176">
        <f t="shared" si="5"/>
        <v>160</v>
      </c>
      <c r="C46" s="193">
        <f t="shared" si="0"/>
        <v>53.37</v>
      </c>
      <c r="D46" s="193">
        <f>ROUND((G9+(SUM(G12:G21)*B46))*(1+G23),2)</f>
        <v>66.73</v>
      </c>
      <c r="E46" s="194">
        <f t="shared" si="3"/>
        <v>0.33356249999999998</v>
      </c>
      <c r="F46" s="194">
        <f t="shared" si="4"/>
        <v>0.4170625</v>
      </c>
      <c r="G46" s="193">
        <f t="shared" si="1"/>
        <v>13.360000000000007</v>
      </c>
      <c r="H46" s="195">
        <f t="shared" si="2"/>
        <v>0.25030000000000002</v>
      </c>
      <c r="J46" s="196"/>
      <c r="L46" s="197"/>
    </row>
    <row r="47" spans="2:13" x14ac:dyDescent="0.25">
      <c r="B47" s="176">
        <f t="shared" si="5"/>
        <v>170</v>
      </c>
      <c r="C47" s="193">
        <f t="shared" si="0"/>
        <v>55.66</v>
      </c>
      <c r="D47" s="193">
        <f>ROUND((G9+(SUM(G12:G21)*B47))*(1+G23),2)</f>
        <v>69.78</v>
      </c>
      <c r="E47" s="194">
        <f t="shared" si="3"/>
        <v>0.32741176470588235</v>
      </c>
      <c r="F47" s="194">
        <f t="shared" si="4"/>
        <v>0.41047058823529414</v>
      </c>
      <c r="G47" s="193">
        <f t="shared" si="1"/>
        <v>14.120000000000005</v>
      </c>
      <c r="H47" s="195">
        <f t="shared" si="2"/>
        <v>0.25369999999999998</v>
      </c>
      <c r="J47" s="196"/>
      <c r="L47" s="197"/>
    </row>
    <row r="48" spans="2:13" x14ac:dyDescent="0.25">
      <c r="B48" s="176">
        <f t="shared" si="5"/>
        <v>180</v>
      </c>
      <c r="C48" s="193">
        <f t="shared" si="0"/>
        <v>57.96</v>
      </c>
      <c r="D48" s="193">
        <f>ROUND((G9+(SUM(G12:G21)*B48))*(1+G23),2)</f>
        <v>72.819999999999993</v>
      </c>
      <c r="E48" s="194">
        <f t="shared" si="3"/>
        <v>0.32200000000000001</v>
      </c>
      <c r="F48" s="194">
        <f t="shared" si="4"/>
        <v>0.4045555555555555</v>
      </c>
      <c r="G48" s="193">
        <f t="shared" si="1"/>
        <v>14.859999999999992</v>
      </c>
      <c r="H48" s="195">
        <f t="shared" si="2"/>
        <v>0.25640000000000002</v>
      </c>
      <c r="J48" s="196"/>
      <c r="L48" s="197"/>
    </row>
    <row r="49" spans="2:12" x14ac:dyDescent="0.25">
      <c r="B49" s="176">
        <f t="shared" si="5"/>
        <v>190</v>
      </c>
      <c r="C49" s="193">
        <f t="shared" si="0"/>
        <v>60.26</v>
      </c>
      <c r="D49" s="193">
        <f>ROUND((G9+(SUM(G12:G21)*B49))*(1+G23),2)</f>
        <v>75.87</v>
      </c>
      <c r="E49" s="194">
        <f t="shared" si="3"/>
        <v>0.31715789473684208</v>
      </c>
      <c r="F49" s="194">
        <f t="shared" si="4"/>
        <v>0.39931578947368424</v>
      </c>
      <c r="G49" s="193">
        <f t="shared" si="1"/>
        <v>15.610000000000007</v>
      </c>
      <c r="H49" s="195">
        <f t="shared" si="2"/>
        <v>0.25900000000000001</v>
      </c>
      <c r="J49" s="196"/>
      <c r="L49" s="197"/>
    </row>
    <row r="50" spans="2:12" x14ac:dyDescent="0.25">
      <c r="B50" s="176">
        <f t="shared" si="5"/>
        <v>200</v>
      </c>
      <c r="C50" s="193">
        <f t="shared" si="0"/>
        <v>62.56</v>
      </c>
      <c r="D50" s="193">
        <f t="shared" ref="D50:D60" si="6">ROUND(($G$9+(SUM($G$12:$G$21)*B50))*(1+$G$23),2)</f>
        <v>78.91</v>
      </c>
      <c r="E50" s="194">
        <f t="shared" si="3"/>
        <v>0.31280000000000002</v>
      </c>
      <c r="F50" s="194">
        <f t="shared" si="4"/>
        <v>0.39454999999999996</v>
      </c>
      <c r="G50" s="193">
        <f t="shared" si="1"/>
        <v>16.349999999999994</v>
      </c>
      <c r="H50" s="195">
        <f t="shared" si="2"/>
        <v>0.26129999999999998</v>
      </c>
      <c r="J50" s="196"/>
      <c r="L50" s="197"/>
    </row>
    <row r="51" spans="2:12" x14ac:dyDescent="0.25">
      <c r="B51" s="176">
        <f t="shared" si="5"/>
        <v>210</v>
      </c>
      <c r="C51" s="193">
        <f t="shared" si="0"/>
        <v>64.86</v>
      </c>
      <c r="D51" s="193">
        <f t="shared" si="6"/>
        <v>81.96</v>
      </c>
      <c r="E51" s="194">
        <f t="shared" ref="E51" si="7">+C51/B51</f>
        <v>0.30885714285714283</v>
      </c>
      <c r="F51" s="194">
        <f t="shared" ref="F51" si="8">+D51/B51</f>
        <v>0.39028571428571424</v>
      </c>
      <c r="G51" s="193">
        <f t="shared" ref="G51" si="9">D51-C51</f>
        <v>17.099999999999994</v>
      </c>
      <c r="H51" s="195">
        <f t="shared" ref="H51" si="10">ROUND(G51/C51,4)</f>
        <v>0.2636</v>
      </c>
      <c r="J51" s="196"/>
      <c r="L51" s="197"/>
    </row>
    <row r="52" spans="2:12" x14ac:dyDescent="0.25">
      <c r="B52" s="176">
        <f t="shared" si="5"/>
        <v>220</v>
      </c>
      <c r="C52" s="193">
        <f t="shared" si="0"/>
        <v>67.16</v>
      </c>
      <c r="D52" s="193">
        <f t="shared" si="6"/>
        <v>85.01</v>
      </c>
      <c r="E52" s="194">
        <f t="shared" ref="E52:E56" si="11">+C52/B52</f>
        <v>0.30527272727272725</v>
      </c>
      <c r="F52" s="194">
        <f t="shared" ref="F52:F56" si="12">+D52/B52</f>
        <v>0.38640909090909092</v>
      </c>
      <c r="G52" s="193">
        <f t="shared" ref="G52:G56" si="13">D52-C52</f>
        <v>17.850000000000009</v>
      </c>
      <c r="H52" s="195">
        <f t="shared" ref="H52:H56" si="14">ROUND(G52/C52,4)</f>
        <v>0.26579999999999998</v>
      </c>
      <c r="J52" s="196"/>
      <c r="L52" s="197"/>
    </row>
    <row r="53" spans="2:12" x14ac:dyDescent="0.25">
      <c r="B53" s="176">
        <f t="shared" si="5"/>
        <v>230</v>
      </c>
      <c r="C53" s="193">
        <f t="shared" si="0"/>
        <v>69.459999999999994</v>
      </c>
      <c r="D53" s="193">
        <f t="shared" si="6"/>
        <v>88.05</v>
      </c>
      <c r="E53" s="194">
        <f t="shared" si="11"/>
        <v>0.30199999999999999</v>
      </c>
      <c r="F53" s="194">
        <f t="shared" si="12"/>
        <v>0.38282608695652171</v>
      </c>
      <c r="G53" s="193">
        <f t="shared" si="13"/>
        <v>18.590000000000003</v>
      </c>
      <c r="H53" s="195">
        <f t="shared" si="14"/>
        <v>0.2676</v>
      </c>
      <c r="J53" s="196"/>
      <c r="L53" s="197"/>
    </row>
    <row r="54" spans="2:12" x14ac:dyDescent="0.25">
      <c r="B54" s="176">
        <f t="shared" si="5"/>
        <v>240</v>
      </c>
      <c r="C54" s="193">
        <f t="shared" si="0"/>
        <v>71.760000000000005</v>
      </c>
      <c r="D54" s="193">
        <f t="shared" si="6"/>
        <v>91.1</v>
      </c>
      <c r="E54" s="194">
        <f t="shared" si="11"/>
        <v>0.29900000000000004</v>
      </c>
      <c r="F54" s="194">
        <f t="shared" si="12"/>
        <v>0.37958333333333333</v>
      </c>
      <c r="G54" s="193">
        <f t="shared" si="13"/>
        <v>19.339999999999989</v>
      </c>
      <c r="H54" s="195">
        <f t="shared" si="14"/>
        <v>0.26950000000000002</v>
      </c>
      <c r="J54" s="196"/>
      <c r="L54" s="197"/>
    </row>
    <row r="55" spans="2:12" x14ac:dyDescent="0.25">
      <c r="B55" s="176">
        <f t="shared" si="5"/>
        <v>250</v>
      </c>
      <c r="C55" s="193">
        <f t="shared" si="0"/>
        <v>74.06</v>
      </c>
      <c r="D55" s="193">
        <f t="shared" si="6"/>
        <v>94.14</v>
      </c>
      <c r="E55" s="194">
        <f t="shared" si="11"/>
        <v>0.29624</v>
      </c>
      <c r="F55" s="194">
        <f t="shared" si="12"/>
        <v>0.37656000000000001</v>
      </c>
      <c r="G55" s="193">
        <f t="shared" si="13"/>
        <v>20.079999999999998</v>
      </c>
      <c r="H55" s="195">
        <f t="shared" si="14"/>
        <v>0.27110000000000001</v>
      </c>
      <c r="J55" s="196"/>
      <c r="L55" s="197"/>
    </row>
    <row r="56" spans="2:12" x14ac:dyDescent="0.25">
      <c r="B56" s="176">
        <f t="shared" si="5"/>
        <v>260</v>
      </c>
      <c r="C56" s="193">
        <f t="shared" si="0"/>
        <v>76.36</v>
      </c>
      <c r="D56" s="193">
        <f t="shared" si="6"/>
        <v>97.19</v>
      </c>
      <c r="E56" s="194">
        <f t="shared" si="11"/>
        <v>0.2936923076923077</v>
      </c>
      <c r="F56" s="194">
        <f t="shared" si="12"/>
        <v>0.37380769230769229</v>
      </c>
      <c r="G56" s="193">
        <f t="shared" si="13"/>
        <v>20.83</v>
      </c>
      <c r="H56" s="195">
        <f t="shared" si="14"/>
        <v>0.27279999999999999</v>
      </c>
      <c r="J56" s="196"/>
      <c r="L56" s="197"/>
    </row>
    <row r="57" spans="2:12" x14ac:dyDescent="0.25">
      <c r="B57" s="176">
        <f>B56+10</f>
        <v>270</v>
      </c>
      <c r="C57" s="193">
        <f t="shared" si="0"/>
        <v>78.66</v>
      </c>
      <c r="D57" s="193">
        <f t="shared" si="6"/>
        <v>100.23</v>
      </c>
      <c r="E57" s="194">
        <f t="shared" ref="E57:E60" si="15">+C57/B57</f>
        <v>0.29133333333333333</v>
      </c>
      <c r="F57" s="194">
        <f t="shared" ref="F57:F60" si="16">+D57/B57</f>
        <v>0.37122222222222223</v>
      </c>
      <c r="G57" s="193">
        <f t="shared" ref="G57:G60" si="17">D57-C57</f>
        <v>21.570000000000007</v>
      </c>
      <c r="H57" s="195">
        <f t="shared" ref="H57:H60" si="18">ROUND(G57/C57,4)</f>
        <v>0.2742</v>
      </c>
      <c r="J57" s="196"/>
      <c r="L57" s="197"/>
    </row>
    <row r="58" spans="2:12" x14ac:dyDescent="0.25">
      <c r="B58" s="176">
        <f t="shared" si="5"/>
        <v>280</v>
      </c>
      <c r="C58" s="193">
        <f t="shared" si="0"/>
        <v>80.959999999999994</v>
      </c>
      <c r="D58" s="193">
        <f t="shared" si="6"/>
        <v>103.28</v>
      </c>
      <c r="E58" s="194">
        <f t="shared" si="15"/>
        <v>0.28914285714285715</v>
      </c>
      <c r="F58" s="194">
        <f t="shared" si="16"/>
        <v>0.36885714285714288</v>
      </c>
      <c r="G58" s="193">
        <f t="shared" si="17"/>
        <v>22.320000000000007</v>
      </c>
      <c r="H58" s="195">
        <f t="shared" si="18"/>
        <v>0.2757</v>
      </c>
      <c r="J58" s="196"/>
      <c r="L58" s="197"/>
    </row>
    <row r="59" spans="2:12" x14ac:dyDescent="0.25">
      <c r="B59" s="176">
        <f t="shared" si="5"/>
        <v>290</v>
      </c>
      <c r="C59" s="193">
        <f t="shared" si="0"/>
        <v>83.26</v>
      </c>
      <c r="D59" s="193">
        <f t="shared" si="6"/>
        <v>106.33</v>
      </c>
      <c r="E59" s="194">
        <f t="shared" si="15"/>
        <v>0.28710344827586209</v>
      </c>
      <c r="F59" s="194">
        <f t="shared" si="16"/>
        <v>0.36665517241379308</v>
      </c>
      <c r="G59" s="193">
        <f t="shared" si="17"/>
        <v>23.069999999999993</v>
      </c>
      <c r="H59" s="195">
        <f t="shared" si="18"/>
        <v>0.27710000000000001</v>
      </c>
      <c r="J59" s="196"/>
      <c r="L59" s="197"/>
    </row>
    <row r="60" spans="2:12" x14ac:dyDescent="0.25">
      <c r="B60" s="176">
        <f t="shared" si="5"/>
        <v>300</v>
      </c>
      <c r="C60" s="193">
        <f t="shared" si="0"/>
        <v>85.56</v>
      </c>
      <c r="D60" s="193">
        <f t="shared" si="6"/>
        <v>109.37</v>
      </c>
      <c r="E60" s="194">
        <f t="shared" si="15"/>
        <v>0.28520000000000001</v>
      </c>
      <c r="F60" s="194">
        <f t="shared" si="16"/>
        <v>0.36456666666666671</v>
      </c>
      <c r="G60" s="193">
        <f t="shared" si="17"/>
        <v>23.810000000000002</v>
      </c>
      <c r="H60" s="195">
        <f t="shared" si="18"/>
        <v>0.27829999999999999</v>
      </c>
      <c r="J60" s="196"/>
      <c r="L60" s="197"/>
    </row>
    <row r="61" spans="2:12" x14ac:dyDescent="0.25">
      <c r="C61" s="193"/>
      <c r="D61" s="193"/>
      <c r="E61" s="194"/>
      <c r="F61" s="194"/>
      <c r="G61" s="193"/>
      <c r="H61" s="195"/>
      <c r="J61" s="196"/>
      <c r="L61" s="197"/>
    </row>
    <row r="62" spans="2:12" hidden="1" x14ac:dyDescent="0.25">
      <c r="C62" s="193"/>
      <c r="D62" s="193"/>
      <c r="E62" s="194"/>
      <c r="F62" s="194"/>
      <c r="G62" s="193"/>
      <c r="H62" s="195"/>
      <c r="J62" s="196"/>
      <c r="L62" s="197"/>
    </row>
    <row r="63" spans="2:12" hidden="1" x14ac:dyDescent="0.25">
      <c r="C63" s="193"/>
      <c r="D63" s="193"/>
      <c r="E63" s="194"/>
      <c r="F63" s="194"/>
      <c r="G63" s="193"/>
      <c r="H63" s="195"/>
      <c r="J63" s="196"/>
      <c r="L63" s="197"/>
    </row>
    <row r="64" spans="2:12" hidden="1" x14ac:dyDescent="0.25">
      <c r="C64" s="193"/>
      <c r="D64" s="193"/>
      <c r="E64" s="194"/>
      <c r="F64" s="194"/>
      <c r="G64" s="193"/>
      <c r="H64" s="195"/>
      <c r="J64" s="196"/>
      <c r="L64" s="197"/>
    </row>
    <row r="65" spans="1:19" hidden="1" x14ac:dyDescent="0.25">
      <c r="E65" s="194"/>
      <c r="L65" s="197"/>
    </row>
    <row r="66" spans="1:19" hidden="1" x14ac:dyDescent="0.25">
      <c r="E66" s="194"/>
    </row>
    <row r="67" spans="1:19" hidden="1" x14ac:dyDescent="0.25">
      <c r="A67" s="180" t="s">
        <v>21</v>
      </c>
      <c r="B67" s="179"/>
      <c r="C67" s="179"/>
      <c r="D67" s="179"/>
      <c r="E67" s="179"/>
      <c r="F67" s="179"/>
      <c r="G67" s="179"/>
      <c r="H67" s="179"/>
      <c r="I67" s="180"/>
    </row>
    <row r="68" spans="1:19" hidden="1" x14ac:dyDescent="0.25">
      <c r="A68" s="180" t="s">
        <v>22</v>
      </c>
      <c r="B68" s="179"/>
      <c r="C68" s="179"/>
      <c r="D68" s="179"/>
      <c r="E68" s="179"/>
      <c r="F68" s="179"/>
      <c r="G68" s="179"/>
      <c r="H68" s="179"/>
      <c r="I68" s="180"/>
    </row>
    <row r="69" spans="1:19" hidden="1" x14ac:dyDescent="0.25">
      <c r="A69" s="180" t="s">
        <v>310</v>
      </c>
      <c r="B69" s="179"/>
      <c r="C69" s="179"/>
      <c r="D69" s="179"/>
      <c r="E69" s="179"/>
      <c r="F69" s="179"/>
      <c r="G69" s="179"/>
      <c r="H69" s="179"/>
      <c r="I69" s="180"/>
    </row>
    <row r="70" spans="1:19" x14ac:dyDescent="0.25">
      <c r="A70" s="596" t="s">
        <v>331</v>
      </c>
      <c r="B70" s="179"/>
      <c r="C70" s="179"/>
      <c r="D70" s="179"/>
      <c r="E70" s="179"/>
      <c r="F70" s="179"/>
      <c r="G70" s="179"/>
      <c r="H70" s="179"/>
      <c r="I70" s="180"/>
    </row>
    <row r="71" spans="1:19" x14ac:dyDescent="0.25">
      <c r="C71" s="181"/>
      <c r="D71" s="181"/>
      <c r="E71" s="181"/>
      <c r="F71" s="181"/>
      <c r="G71" s="181"/>
      <c r="H71" s="181"/>
    </row>
    <row r="72" spans="1:19" x14ac:dyDescent="0.25">
      <c r="C72" s="180"/>
      <c r="D72" s="181" t="s">
        <v>311</v>
      </c>
      <c r="E72" s="180"/>
      <c r="F72" s="180"/>
      <c r="G72" s="181" t="s">
        <v>312</v>
      </c>
      <c r="H72" s="180"/>
    </row>
    <row r="73" spans="1:19" x14ac:dyDescent="0.25">
      <c r="C73" s="180"/>
      <c r="D73" s="181" t="s">
        <v>313</v>
      </c>
      <c r="E73" s="180"/>
      <c r="F73" s="180"/>
      <c r="G73" s="181" t="s">
        <v>313</v>
      </c>
      <c r="H73" s="180"/>
    </row>
    <row r="74" spans="1:19" x14ac:dyDescent="0.25">
      <c r="A74" s="180" t="s">
        <v>314</v>
      </c>
      <c r="C74" s="180"/>
      <c r="D74" s="183">
        <v>12</v>
      </c>
      <c r="E74" s="199"/>
      <c r="F74" s="199"/>
      <c r="G74" s="183">
        <f>VLOOKUP(J74,'EXHIBIT JDT-3 RES'!D:N,7,FALSE)</f>
        <v>18</v>
      </c>
      <c r="H74" s="180"/>
      <c r="J74" s="177" t="s">
        <v>99</v>
      </c>
      <c r="R74" s="185"/>
      <c r="S74" s="183"/>
    </row>
    <row r="75" spans="1:19" x14ac:dyDescent="0.25">
      <c r="A75" s="180" t="str">
        <f>"FIRST "&amp;FIXED(C75,0,TRUE)&amp;" CCF"</f>
        <v>FIRST 50 CCF</v>
      </c>
      <c r="C75" s="200">
        <v>50</v>
      </c>
      <c r="D75" s="185">
        <v>0.29145999999999994</v>
      </c>
      <c r="E75" s="201"/>
      <c r="F75" s="201"/>
      <c r="G75" s="183"/>
      <c r="H75" s="180"/>
      <c r="J75" s="177" t="s">
        <v>101</v>
      </c>
      <c r="S75" s="183"/>
    </row>
    <row r="76" spans="1:19" x14ac:dyDescent="0.25">
      <c r="A76" s="180" t="s">
        <v>315</v>
      </c>
      <c r="C76" s="200">
        <v>9999999999</v>
      </c>
      <c r="D76" s="185">
        <v>0.19995000000000002</v>
      </c>
      <c r="E76" s="201"/>
      <c r="F76" s="201"/>
      <c r="G76" s="183"/>
      <c r="H76" s="180"/>
      <c r="J76" s="177" t="s">
        <v>102</v>
      </c>
      <c r="S76" s="183"/>
    </row>
    <row r="77" spans="1:19" x14ac:dyDescent="0.25">
      <c r="A77" s="180" t="s">
        <v>315</v>
      </c>
      <c r="D77" s="185"/>
      <c r="G77" s="185">
        <f>VLOOKUP(J77,'EXHIBIT JDT-3 RES'!D:N,7,FALSE)/10</f>
        <v>0.26959</v>
      </c>
      <c r="J77" s="177" t="s">
        <v>344</v>
      </c>
      <c r="S77" s="183"/>
    </row>
    <row r="78" spans="1:19" x14ac:dyDescent="0.25">
      <c r="E78" s="183"/>
      <c r="J78" s="202"/>
    </row>
    <row r="79" spans="1:19" x14ac:dyDescent="0.25">
      <c r="A79" s="180" t="s">
        <v>332</v>
      </c>
      <c r="C79" s="180"/>
      <c r="D79" s="203">
        <v>-0.23</v>
      </c>
      <c r="E79" s="201"/>
      <c r="F79" s="201"/>
      <c r="G79" s="204">
        <f>D79</f>
        <v>-0.23</v>
      </c>
      <c r="H79" s="180"/>
      <c r="J79" s="187"/>
    </row>
    <row r="80" spans="1:19" hidden="1" x14ac:dyDescent="0.25">
      <c r="A80" s="180" t="s">
        <v>317</v>
      </c>
      <c r="C80" s="180"/>
      <c r="D80" s="185">
        <v>0</v>
      </c>
      <c r="E80" s="201"/>
      <c r="F80" s="201"/>
      <c r="G80" s="185">
        <f t="shared" ref="G80:G82" si="19">D80</f>
        <v>0</v>
      </c>
      <c r="H80" s="180"/>
      <c r="J80" s="187" t="s">
        <v>370</v>
      </c>
    </row>
    <row r="81" spans="1:10" hidden="1" x14ac:dyDescent="0.25">
      <c r="A81" s="180" t="s">
        <v>318</v>
      </c>
      <c r="C81" s="180"/>
      <c r="D81" s="185">
        <v>0</v>
      </c>
      <c r="E81" s="201"/>
      <c r="F81" s="201"/>
      <c r="G81" s="185">
        <f t="shared" si="19"/>
        <v>0</v>
      </c>
      <c r="H81" s="180"/>
      <c r="J81" s="187" t="s">
        <v>370</v>
      </c>
    </row>
    <row r="82" spans="1:10" hidden="1" x14ac:dyDescent="0.25">
      <c r="A82" s="180" t="s">
        <v>319</v>
      </c>
      <c r="C82" s="180"/>
      <c r="D82" s="185">
        <v>0</v>
      </c>
      <c r="E82" s="201"/>
      <c r="F82" s="201"/>
      <c r="G82" s="185">
        <f t="shared" si="19"/>
        <v>0</v>
      </c>
      <c r="H82" s="180"/>
      <c r="J82" s="187" t="s">
        <v>370</v>
      </c>
    </row>
    <row r="83" spans="1:10" x14ac:dyDescent="0.25">
      <c r="A83" s="180" t="s">
        <v>341</v>
      </c>
      <c r="C83" s="180"/>
      <c r="D83" s="185">
        <v>1.9486836809999998E-2</v>
      </c>
      <c r="E83" s="201"/>
      <c r="F83" s="201"/>
      <c r="G83" s="185">
        <f>VLOOKUP(J83,'EXHIBIT JDT-3 RES'!D:N,7,FALSE)/10</f>
        <v>2.349E-2</v>
      </c>
      <c r="H83" s="180"/>
      <c r="J83" s="187" t="s">
        <v>285</v>
      </c>
    </row>
    <row r="84" spans="1:10" x14ac:dyDescent="0.25">
      <c r="A84" s="180" t="s">
        <v>320</v>
      </c>
      <c r="C84" s="180"/>
      <c r="D84" s="185">
        <v>1.0499999999999999E-2</v>
      </c>
      <c r="E84" s="201"/>
      <c r="F84" s="201"/>
      <c r="G84" s="185">
        <f>VLOOKUP(J84,'EXHIBIT JDT-3 RES'!D:N,7,FALSE)/10</f>
        <v>1.149E-2</v>
      </c>
      <c r="H84" s="180"/>
      <c r="J84" s="187" t="s">
        <v>286</v>
      </c>
    </row>
    <row r="85" spans="1:10" hidden="1" x14ac:dyDescent="0.25">
      <c r="A85" s="180" t="s">
        <v>342</v>
      </c>
      <c r="C85" s="180"/>
      <c r="D85" s="185">
        <v>0</v>
      </c>
      <c r="E85" s="201"/>
      <c r="F85" s="201"/>
      <c r="G85" s="185">
        <v>0</v>
      </c>
      <c r="H85" s="180"/>
      <c r="J85" s="188" t="s">
        <v>370</v>
      </c>
    </row>
    <row r="86" spans="1:10" hidden="1" x14ac:dyDescent="0.25">
      <c r="A86" s="180" t="s">
        <v>343</v>
      </c>
      <c r="C86" s="180"/>
      <c r="D86" s="185">
        <v>0</v>
      </c>
      <c r="E86" s="201"/>
      <c r="F86" s="201"/>
      <c r="G86" s="185">
        <v>0</v>
      </c>
      <c r="H86" s="180"/>
      <c r="J86" s="188" t="s">
        <v>370</v>
      </c>
    </row>
    <row r="87" spans="1:10" hidden="1" x14ac:dyDescent="0.25">
      <c r="C87" s="180"/>
      <c r="D87" s="185"/>
      <c r="E87" s="180"/>
      <c r="F87" s="180"/>
      <c r="G87" s="180"/>
      <c r="H87" s="180"/>
      <c r="J87" s="187"/>
    </row>
    <row r="88" spans="1:10" hidden="1" x14ac:dyDescent="0.25">
      <c r="A88" s="180" t="s">
        <v>321</v>
      </c>
      <c r="C88" s="180"/>
      <c r="D88" s="205">
        <f>+D23</f>
        <v>0</v>
      </c>
      <c r="E88" s="206"/>
      <c r="F88" s="206"/>
      <c r="G88" s="205">
        <v>0</v>
      </c>
      <c r="H88" s="180"/>
      <c r="J88" s="187"/>
    </row>
    <row r="89" spans="1:10" hidden="1" x14ac:dyDescent="0.25"/>
    <row r="91" spans="1:10" x14ac:dyDescent="0.25">
      <c r="G91" s="190" t="s">
        <v>322</v>
      </c>
      <c r="H91" s="190"/>
    </row>
    <row r="92" spans="1:10" x14ac:dyDescent="0.25">
      <c r="B92" s="176" t="s">
        <v>323</v>
      </c>
      <c r="C92" s="181" t="s">
        <v>311</v>
      </c>
      <c r="D92" s="181" t="s">
        <v>312</v>
      </c>
      <c r="E92" s="181" t="s">
        <v>311</v>
      </c>
      <c r="F92" s="181" t="s">
        <v>312</v>
      </c>
      <c r="G92" s="181" t="s">
        <v>324</v>
      </c>
      <c r="H92" s="181" t="s">
        <v>325</v>
      </c>
      <c r="J92" s="191"/>
    </row>
    <row r="93" spans="1:10" x14ac:dyDescent="0.25">
      <c r="C93" s="192" t="s">
        <v>326</v>
      </c>
      <c r="D93" s="192" t="s">
        <v>327</v>
      </c>
      <c r="E93" s="181" t="s">
        <v>328</v>
      </c>
      <c r="F93" s="181" t="s">
        <v>328</v>
      </c>
      <c r="G93" s="192" t="s">
        <v>329</v>
      </c>
    </row>
    <row r="94" spans="1:10" x14ac:dyDescent="0.25">
      <c r="B94" s="176" t="s">
        <v>330</v>
      </c>
      <c r="E94" s="194"/>
    </row>
    <row r="95" spans="1:10" x14ac:dyDescent="0.25">
      <c r="B95" s="176">
        <f>B30</f>
        <v>0</v>
      </c>
      <c r="C95" s="193">
        <f>ROUND(((D74+MINA(B95,C75)*D75+MAXA(B95-C75,0)*D76+(+D80+D81+D82+D84+D83+D85+D86)*B95)*(1+D79))*(1+D88),2)</f>
        <v>9.24</v>
      </c>
      <c r="D95" s="193">
        <f>ROUND((($G$74+(($G$77+SUM($G$80:$G$86))*B95))*(1+$G$88))*(1+$G$79),2)</f>
        <v>13.86</v>
      </c>
      <c r="E95" s="194"/>
      <c r="F95" s="194"/>
      <c r="G95" s="193">
        <f t="shared" ref="G95:G116" si="20">D95-C95</f>
        <v>4.6199999999999992</v>
      </c>
      <c r="H95" s="195">
        <f t="shared" ref="H95:H116" si="21">ROUND(G95/C95,4)</f>
        <v>0.5</v>
      </c>
    </row>
    <row r="96" spans="1:10" x14ac:dyDescent="0.25">
      <c r="B96" s="176">
        <f t="shared" ref="B96:B125" si="22">B31</f>
        <v>10</v>
      </c>
      <c r="C96" s="193">
        <f>ROUND(((D74+MINA(B96,C75)*D75+MAXA(B96-C75,0)*D76+(+D80+D81+D82+D84+D83+D85+D86)*B96)*(1+D79))*(1+D88),2)</f>
        <v>11.72</v>
      </c>
      <c r="D96" s="193">
        <f t="shared" ref="D96:D120" si="23">ROUND((($G$74+(($G$77+SUM($G$80:$G$86))*B96))*(1+$G$88))*(1+$G$79),2)</f>
        <v>16.21</v>
      </c>
      <c r="E96" s="194">
        <f t="shared" ref="E96:E116" si="24">+C96/B96</f>
        <v>1.1720000000000002</v>
      </c>
      <c r="F96" s="194">
        <f t="shared" ref="F96:F116" si="25">+D96/B96</f>
        <v>1.621</v>
      </c>
      <c r="G96" s="193">
        <f t="shared" si="20"/>
        <v>4.49</v>
      </c>
      <c r="H96" s="195">
        <f t="shared" si="21"/>
        <v>0.3831</v>
      </c>
    </row>
    <row r="97" spans="2:8" x14ac:dyDescent="0.25">
      <c r="B97" s="176">
        <f t="shared" si="22"/>
        <v>20</v>
      </c>
      <c r="C97" s="193">
        <f>ROUND(((D74+MINA(B97,C75)*D75+MAXA(B97-C75,0)*D76+(+D80+D81+D82+D84+D83+D85+D86)*B97)*(1+D79))*(1+D88),2)</f>
        <v>14.19</v>
      </c>
      <c r="D97" s="193">
        <f t="shared" si="23"/>
        <v>18.55</v>
      </c>
      <c r="E97" s="194">
        <f t="shared" si="24"/>
        <v>0.70950000000000002</v>
      </c>
      <c r="F97" s="194">
        <f t="shared" si="25"/>
        <v>0.92749999999999999</v>
      </c>
      <c r="G97" s="193">
        <f t="shared" si="20"/>
        <v>4.3600000000000012</v>
      </c>
      <c r="H97" s="195">
        <f t="shared" si="21"/>
        <v>0.30730000000000002</v>
      </c>
    </row>
    <row r="98" spans="2:8" x14ac:dyDescent="0.25">
      <c r="B98" s="176">
        <f t="shared" si="22"/>
        <v>30</v>
      </c>
      <c r="C98" s="193">
        <f>ROUND(((D74+MINA(B98,C75)*D75+MAXA(B98-C75,0)*D76+(+D80+D81+D82+D84+D83+D85+D86)*B98)*(1+D79))*(1+D88),2)</f>
        <v>16.670000000000002</v>
      </c>
      <c r="D98" s="193">
        <f t="shared" si="23"/>
        <v>20.9</v>
      </c>
      <c r="E98" s="194">
        <f t="shared" si="24"/>
        <v>0.55566666666666675</v>
      </c>
      <c r="F98" s="194">
        <f t="shared" si="25"/>
        <v>0.69666666666666666</v>
      </c>
      <c r="G98" s="193">
        <f t="shared" si="20"/>
        <v>4.2299999999999969</v>
      </c>
      <c r="H98" s="195">
        <f t="shared" si="21"/>
        <v>0.25369999999999998</v>
      </c>
    </row>
    <row r="99" spans="2:8" x14ac:dyDescent="0.25">
      <c r="B99" s="176">
        <f t="shared" si="22"/>
        <v>40</v>
      </c>
      <c r="C99" s="193">
        <f>ROUND(((D74+MINA(B99,C75)*D75+MAXA(B99-C75,0)*D76+(+D80+D81+D82+D84+D83+D85+D86)*B99)*(1+D79))*(1+D88),2)</f>
        <v>19.14</v>
      </c>
      <c r="D99" s="193">
        <f t="shared" si="23"/>
        <v>23.24</v>
      </c>
      <c r="E99" s="194">
        <f t="shared" si="24"/>
        <v>0.47850000000000004</v>
      </c>
      <c r="F99" s="194">
        <f t="shared" si="25"/>
        <v>0.58099999999999996</v>
      </c>
      <c r="G99" s="193">
        <f t="shared" si="20"/>
        <v>4.0999999999999979</v>
      </c>
      <c r="H99" s="195">
        <f t="shared" si="21"/>
        <v>0.2142</v>
      </c>
    </row>
    <row r="100" spans="2:8" x14ac:dyDescent="0.25">
      <c r="B100" s="176">
        <f t="shared" si="22"/>
        <v>50</v>
      </c>
      <c r="C100" s="193">
        <f>ROUND(((D74+MINA(B100,C75)*D75+MAXA(B100-C75,0)*D76+(+D80+D81+D82+D84+D83+D85+D86)*B100)*(1+D79))*(1+D88),2)</f>
        <v>21.62</v>
      </c>
      <c r="D100" s="193">
        <f t="shared" si="23"/>
        <v>25.59</v>
      </c>
      <c r="E100" s="194">
        <f t="shared" si="24"/>
        <v>0.43240000000000001</v>
      </c>
      <c r="F100" s="194">
        <f t="shared" si="25"/>
        <v>0.51180000000000003</v>
      </c>
      <c r="G100" s="193">
        <f t="shared" si="20"/>
        <v>3.9699999999999989</v>
      </c>
      <c r="H100" s="195">
        <f t="shared" si="21"/>
        <v>0.18360000000000001</v>
      </c>
    </row>
    <row r="101" spans="2:8" x14ac:dyDescent="0.25">
      <c r="B101" s="176">
        <f t="shared" si="22"/>
        <v>60</v>
      </c>
      <c r="C101" s="193">
        <f>ROUND(((D74+MINA(B101,C75)*D75+MAXA(B101-C75,0)*D76+(+D80+D81+D82+D84+D83+D85+D86)*B101)*(1+D79))*(1+D88),2)</f>
        <v>23.39</v>
      </c>
      <c r="D101" s="193">
        <f t="shared" si="23"/>
        <v>27.93</v>
      </c>
      <c r="E101" s="194">
        <f t="shared" si="24"/>
        <v>0.38983333333333337</v>
      </c>
      <c r="F101" s="194">
        <f t="shared" si="25"/>
        <v>0.46549999999999997</v>
      </c>
      <c r="G101" s="193">
        <f t="shared" si="20"/>
        <v>4.5399999999999991</v>
      </c>
      <c r="H101" s="195">
        <f t="shared" si="21"/>
        <v>0.19409999999999999</v>
      </c>
    </row>
    <row r="102" spans="2:8" x14ac:dyDescent="0.25">
      <c r="B102" s="176">
        <f t="shared" si="22"/>
        <v>70</v>
      </c>
      <c r="C102" s="193">
        <f>ROUND(((D74+MINA(B102,C75)*D75+MAXA(B102-C75,0)*D76+(+D80+D81+D82+D84+D83+D85+D86)*B102)*(1+D79))*(1+D88),2)</f>
        <v>25.16</v>
      </c>
      <c r="D102" s="193">
        <f t="shared" si="23"/>
        <v>30.28</v>
      </c>
      <c r="E102" s="194">
        <f t="shared" si="24"/>
        <v>0.35942857142857143</v>
      </c>
      <c r="F102" s="194">
        <f t="shared" si="25"/>
        <v>0.43257142857142861</v>
      </c>
      <c r="G102" s="193">
        <f t="shared" si="20"/>
        <v>5.120000000000001</v>
      </c>
      <c r="H102" s="195">
        <f t="shared" si="21"/>
        <v>0.20349999999999999</v>
      </c>
    </row>
    <row r="103" spans="2:8" x14ac:dyDescent="0.25">
      <c r="B103" s="176">
        <f t="shared" si="22"/>
        <v>80</v>
      </c>
      <c r="C103" s="193">
        <f>ROUND(((D74+MINA(B103,C75)*D75+MAXA(B103-C75,0)*D76+(+D80+D81+D82+D84+D83+D85+D86)*B103)*(1+D79))*(1+D88),2)</f>
        <v>26.93</v>
      </c>
      <c r="D103" s="193">
        <f t="shared" si="23"/>
        <v>32.619999999999997</v>
      </c>
      <c r="E103" s="194">
        <f t="shared" si="24"/>
        <v>0.33662500000000001</v>
      </c>
      <c r="F103" s="194">
        <f t="shared" si="25"/>
        <v>0.40774999999999995</v>
      </c>
      <c r="G103" s="193">
        <f t="shared" si="20"/>
        <v>5.6899999999999977</v>
      </c>
      <c r="H103" s="195">
        <f t="shared" si="21"/>
        <v>0.21129999999999999</v>
      </c>
    </row>
    <row r="104" spans="2:8" x14ac:dyDescent="0.25">
      <c r="B104" s="176">
        <f t="shared" si="22"/>
        <v>90</v>
      </c>
      <c r="C104" s="193">
        <f>ROUND(((D74+MINA(B104,C75)*D75+MAXA(B104-C75,0)*D76+(+D80+D81+D82+D84+D83+D85+D86)*B104)*(1+D79))*(1+D88),2)</f>
        <v>28.7</v>
      </c>
      <c r="D104" s="193">
        <f t="shared" si="23"/>
        <v>34.97</v>
      </c>
      <c r="E104" s="194">
        <f t="shared" si="24"/>
        <v>0.31888888888888889</v>
      </c>
      <c r="F104" s="194">
        <f t="shared" si="25"/>
        <v>0.38855555555555554</v>
      </c>
      <c r="G104" s="193">
        <f t="shared" si="20"/>
        <v>6.27</v>
      </c>
      <c r="H104" s="195">
        <f t="shared" si="21"/>
        <v>0.2185</v>
      </c>
    </row>
    <row r="105" spans="2:8" x14ac:dyDescent="0.25">
      <c r="B105" s="176">
        <f t="shared" si="22"/>
        <v>100</v>
      </c>
      <c r="C105" s="193">
        <f>ROUND(((D74+MINA(B105,C75)*D75+MAXA(B105-C75,0)*D76+(+D80+D81+D82+D84+D83+D85+D86)*B105)*(1+D79))*(1+D88),2)</f>
        <v>30.47</v>
      </c>
      <c r="D105" s="193">
        <f t="shared" si="23"/>
        <v>37.31</v>
      </c>
      <c r="E105" s="194">
        <f t="shared" si="24"/>
        <v>0.30469999999999997</v>
      </c>
      <c r="F105" s="194">
        <f t="shared" si="25"/>
        <v>0.37310000000000004</v>
      </c>
      <c r="G105" s="193">
        <f t="shared" si="20"/>
        <v>6.8400000000000034</v>
      </c>
      <c r="H105" s="195">
        <f t="shared" si="21"/>
        <v>0.22450000000000001</v>
      </c>
    </row>
    <row r="106" spans="2:8" x14ac:dyDescent="0.25">
      <c r="B106" s="176">
        <f t="shared" si="22"/>
        <v>110</v>
      </c>
      <c r="C106" s="193">
        <f>ROUND(((D74+MINA(B106,C75)*D75+MAXA(B106-C75,0)*D76+(+D80+D81+D82+D84+D83+D85+D86)*B106)*(1+D79))*(1+D88),2)</f>
        <v>32.24</v>
      </c>
      <c r="D106" s="193">
        <f t="shared" si="23"/>
        <v>39.659999999999997</v>
      </c>
      <c r="E106" s="194">
        <f t="shared" si="24"/>
        <v>0.29309090909090912</v>
      </c>
      <c r="F106" s="194">
        <f t="shared" si="25"/>
        <v>0.3605454545454545</v>
      </c>
      <c r="G106" s="193">
        <f t="shared" si="20"/>
        <v>7.4199999999999946</v>
      </c>
      <c r="H106" s="195">
        <f t="shared" si="21"/>
        <v>0.2301</v>
      </c>
    </row>
    <row r="107" spans="2:8" x14ac:dyDescent="0.25">
      <c r="B107" s="176">
        <f t="shared" si="22"/>
        <v>120</v>
      </c>
      <c r="C107" s="193">
        <f>ROUND(((D74+MINA(B107,C75)*D75+MAXA(B107-C75,0)*D76+(+D80+D81+D82+D84+D83+D85+D86)*B107)*(1+D79))*(1+D88),2)</f>
        <v>34.01</v>
      </c>
      <c r="D107" s="193">
        <f t="shared" si="23"/>
        <v>42</v>
      </c>
      <c r="E107" s="194">
        <f t="shared" si="24"/>
        <v>0.28341666666666665</v>
      </c>
      <c r="F107" s="194">
        <f t="shared" si="25"/>
        <v>0.35</v>
      </c>
      <c r="G107" s="193">
        <f t="shared" si="20"/>
        <v>7.990000000000002</v>
      </c>
      <c r="H107" s="195">
        <f t="shared" si="21"/>
        <v>0.2349</v>
      </c>
    </row>
    <row r="108" spans="2:8" x14ac:dyDescent="0.25">
      <c r="B108" s="176">
        <f t="shared" si="22"/>
        <v>130</v>
      </c>
      <c r="C108" s="193">
        <f>ROUND(((D74+MINA(B108,C75)*D75+MAXA(B108-C75,0)*D76+(+D80+D81+D82+D84+D83+D85+D86)*B108)*(1+D79))*(1+D88),2)</f>
        <v>35.78</v>
      </c>
      <c r="D108" s="193">
        <f t="shared" si="23"/>
        <v>44.35</v>
      </c>
      <c r="E108" s="194">
        <f t="shared" si="24"/>
        <v>0.27523076923076922</v>
      </c>
      <c r="F108" s="194">
        <f t="shared" si="25"/>
        <v>0.34115384615384614</v>
      </c>
      <c r="G108" s="193">
        <f t="shared" si="20"/>
        <v>8.57</v>
      </c>
      <c r="H108" s="195">
        <f t="shared" si="21"/>
        <v>0.23949999999999999</v>
      </c>
    </row>
    <row r="109" spans="2:8" x14ac:dyDescent="0.25">
      <c r="B109" s="176">
        <f t="shared" si="22"/>
        <v>140</v>
      </c>
      <c r="C109" s="193">
        <f>ROUND(((D74+MINA(B109,C75)*D75+MAXA(B109-C75,0)*D76+(+D80+D81+D82+D84+D83+D85+D86)*B109)*(1+D79))*(1+D88),2)</f>
        <v>37.549999999999997</v>
      </c>
      <c r="D109" s="193">
        <f t="shared" si="23"/>
        <v>46.69</v>
      </c>
      <c r="E109" s="194">
        <f t="shared" si="24"/>
        <v>0.26821428571428568</v>
      </c>
      <c r="F109" s="194">
        <f t="shared" si="25"/>
        <v>0.33349999999999996</v>
      </c>
      <c r="G109" s="193">
        <f t="shared" si="20"/>
        <v>9.14</v>
      </c>
      <c r="H109" s="195">
        <f t="shared" si="21"/>
        <v>0.24340000000000001</v>
      </c>
    </row>
    <row r="110" spans="2:8" x14ac:dyDescent="0.25">
      <c r="B110" s="176">
        <f t="shared" si="22"/>
        <v>150</v>
      </c>
      <c r="C110" s="193">
        <f>ROUND(((D74+MINA(B110,C75)*D75+MAXA(B110-C75,0)*D76+(+D80+D81+D82+D84+D83+D85+D86)*B110)*(1+D79))*(1+D88),2)</f>
        <v>39.32</v>
      </c>
      <c r="D110" s="193">
        <f t="shared" si="23"/>
        <v>49.04</v>
      </c>
      <c r="E110" s="194">
        <f t="shared" si="24"/>
        <v>0.26213333333333333</v>
      </c>
      <c r="F110" s="194">
        <f t="shared" si="25"/>
        <v>0.32693333333333335</v>
      </c>
      <c r="G110" s="193">
        <f t="shared" si="20"/>
        <v>9.7199999999999989</v>
      </c>
      <c r="H110" s="195">
        <f t="shared" si="21"/>
        <v>0.2472</v>
      </c>
    </row>
    <row r="111" spans="2:8" x14ac:dyDescent="0.25">
      <c r="B111" s="176">
        <f t="shared" si="22"/>
        <v>160</v>
      </c>
      <c r="C111" s="193">
        <f>ROUND(((D74+MINA(B111,C75)*D75+MAXA(B111-C75,0)*D76+(+D80+D81+D82+D84+D83+D85+D86)*B111)*(1+D79))*(1+D88),2)</f>
        <v>41.09</v>
      </c>
      <c r="D111" s="193">
        <f t="shared" si="23"/>
        <v>51.38</v>
      </c>
      <c r="E111" s="194">
        <f t="shared" si="24"/>
        <v>0.2568125</v>
      </c>
      <c r="F111" s="194">
        <f t="shared" si="25"/>
        <v>0.32112499999999999</v>
      </c>
      <c r="G111" s="193">
        <f t="shared" si="20"/>
        <v>10.29</v>
      </c>
      <c r="H111" s="195">
        <f t="shared" si="21"/>
        <v>0.25040000000000001</v>
      </c>
    </row>
    <row r="112" spans="2:8" x14ac:dyDescent="0.25">
      <c r="B112" s="176">
        <f t="shared" si="22"/>
        <v>170</v>
      </c>
      <c r="C112" s="193">
        <f>ROUND(((D74+MINA(B112,C75)*D75+MAXA(B112-C75,0)*D76+(+D80+D81+D82+D84+D83+D85+D86)*B112)*(1+D79))*(1+D88),2)</f>
        <v>42.86</v>
      </c>
      <c r="D112" s="193">
        <f t="shared" si="23"/>
        <v>53.73</v>
      </c>
      <c r="E112" s="194">
        <f t="shared" si="24"/>
        <v>0.2521176470588235</v>
      </c>
      <c r="F112" s="194">
        <f t="shared" si="25"/>
        <v>0.31605882352941173</v>
      </c>
      <c r="G112" s="193">
        <f t="shared" si="20"/>
        <v>10.869999999999997</v>
      </c>
      <c r="H112" s="195">
        <f t="shared" si="21"/>
        <v>0.25359999999999999</v>
      </c>
    </row>
    <row r="113" spans="1:9" x14ac:dyDescent="0.25">
      <c r="B113" s="176">
        <f t="shared" si="22"/>
        <v>180</v>
      </c>
      <c r="C113" s="193">
        <f>ROUND(((D74+MINA(B113,C75)*D75+MAXA(B113-C75,0)*D76+(+D80+D81+D82+D84+D83+D85+D86)*B113)*(1+D79))*(1+D88),2)</f>
        <v>44.63</v>
      </c>
      <c r="D113" s="193">
        <f t="shared" si="23"/>
        <v>56.07</v>
      </c>
      <c r="E113" s="194">
        <f t="shared" si="24"/>
        <v>0.24794444444444447</v>
      </c>
      <c r="F113" s="194">
        <f t="shared" si="25"/>
        <v>0.3115</v>
      </c>
      <c r="G113" s="193">
        <f t="shared" si="20"/>
        <v>11.439999999999998</v>
      </c>
      <c r="H113" s="195">
        <f t="shared" si="21"/>
        <v>0.25629999999999997</v>
      </c>
    </row>
    <row r="114" spans="1:9" x14ac:dyDescent="0.25">
      <c r="B114" s="176">
        <f t="shared" si="22"/>
        <v>190</v>
      </c>
      <c r="C114" s="193">
        <f>ROUND((($D$74+MINA(B114,$C$75)*$D$75+MAXA(B114-$C$75,0)*$D$76+(+$D$80+$D$81+$D$82+$D$84+$D$83+$D$85+$D$86)*B114)*(1+$D$79))*(1+$D$88),2)</f>
        <v>46.4</v>
      </c>
      <c r="D114" s="193">
        <f t="shared" si="23"/>
        <v>58.42</v>
      </c>
      <c r="E114" s="194">
        <f t="shared" si="24"/>
        <v>0.24421052631578946</v>
      </c>
      <c r="F114" s="194">
        <f t="shared" si="25"/>
        <v>0.30747368421052634</v>
      </c>
      <c r="G114" s="193">
        <f t="shared" si="20"/>
        <v>12.020000000000003</v>
      </c>
      <c r="H114" s="195">
        <f t="shared" si="21"/>
        <v>0.2591</v>
      </c>
    </row>
    <row r="115" spans="1:9" x14ac:dyDescent="0.25">
      <c r="B115" s="176">
        <f t="shared" si="22"/>
        <v>200</v>
      </c>
      <c r="C115" s="193">
        <f>ROUND((($D$74+MINA(B115,$C$75)*$D$75+MAXA(B115-$C$75,0)*$D$76+(+$D$80+$D$81+$D$82+$D$84+$D$83+$D$85+$D$86)*B115)*(1+$D$79))*(1+$D$88),2)</f>
        <v>48.17</v>
      </c>
      <c r="D115" s="193">
        <f t="shared" si="23"/>
        <v>60.76</v>
      </c>
      <c r="E115" s="194">
        <f t="shared" si="24"/>
        <v>0.24085000000000001</v>
      </c>
      <c r="F115" s="194">
        <f t="shared" si="25"/>
        <v>0.30380000000000001</v>
      </c>
      <c r="G115" s="193">
        <f t="shared" si="20"/>
        <v>12.589999999999996</v>
      </c>
      <c r="H115" s="195">
        <f t="shared" si="21"/>
        <v>0.26140000000000002</v>
      </c>
    </row>
    <row r="116" spans="1:9" x14ac:dyDescent="0.25">
      <c r="B116" s="176">
        <f t="shared" si="22"/>
        <v>210</v>
      </c>
      <c r="C116" s="193">
        <f>ROUND((($D$74+MINA(B116,$C$75)*$D$75+MAXA(B116-$C$75,0)*$D$76+(+$D$80+$D$81+$D$82+$D$84+$D$83+$D$85+$D$86)*B116)*(1+$D$79))*(1+$D$88),2)</f>
        <v>49.94</v>
      </c>
      <c r="D116" s="193">
        <f t="shared" si="23"/>
        <v>63.11</v>
      </c>
      <c r="E116" s="194">
        <f t="shared" si="24"/>
        <v>0.2378095238095238</v>
      </c>
      <c r="F116" s="194">
        <f t="shared" si="25"/>
        <v>0.30052380952380953</v>
      </c>
      <c r="G116" s="193">
        <f t="shared" si="20"/>
        <v>13.170000000000002</v>
      </c>
      <c r="H116" s="195">
        <f t="shared" si="21"/>
        <v>0.26369999999999999</v>
      </c>
    </row>
    <row r="117" spans="1:9" x14ac:dyDescent="0.25">
      <c r="B117" s="176">
        <f t="shared" si="22"/>
        <v>220</v>
      </c>
      <c r="C117" s="193">
        <f t="shared" ref="C117:C125" si="26">ROUND((($D$74+MINA(B117,$C$75)*$D$75+MAXA(B117-$C$75,0)*$D$76+(+$D$80+$D$81+$D$82+$D$84+$D$83+$D$85+$D$86)*B117)*(1+$D$79))*(1+$D$88),2)</f>
        <v>51.71</v>
      </c>
      <c r="D117" s="193">
        <f t="shared" si="23"/>
        <v>65.45</v>
      </c>
      <c r="E117" s="194">
        <f t="shared" ref="E117:E120" si="27">+C117/B117</f>
        <v>0.23504545454545456</v>
      </c>
      <c r="F117" s="194">
        <f t="shared" ref="F117:F120" si="28">+D117/B117</f>
        <v>0.29749999999999999</v>
      </c>
      <c r="G117" s="193">
        <f t="shared" ref="G117:G120" si="29">D117-C117</f>
        <v>13.740000000000002</v>
      </c>
      <c r="H117" s="195">
        <f t="shared" ref="H117:H120" si="30">ROUND(G117/C117,4)</f>
        <v>0.26569999999999999</v>
      </c>
    </row>
    <row r="118" spans="1:9" x14ac:dyDescent="0.25">
      <c r="B118" s="176">
        <f t="shared" si="22"/>
        <v>230</v>
      </c>
      <c r="C118" s="193">
        <f t="shared" si="26"/>
        <v>53.48</v>
      </c>
      <c r="D118" s="193">
        <f t="shared" si="23"/>
        <v>67.8</v>
      </c>
      <c r="E118" s="194">
        <f t="shared" si="27"/>
        <v>0.23252173913043478</v>
      </c>
      <c r="F118" s="194">
        <f t="shared" si="28"/>
        <v>0.29478260869565215</v>
      </c>
      <c r="G118" s="193">
        <f t="shared" si="29"/>
        <v>14.32</v>
      </c>
      <c r="H118" s="195">
        <f t="shared" si="30"/>
        <v>0.26779999999999998</v>
      </c>
    </row>
    <row r="119" spans="1:9" x14ac:dyDescent="0.25">
      <c r="B119" s="176">
        <f t="shared" si="22"/>
        <v>240</v>
      </c>
      <c r="C119" s="193">
        <f t="shared" si="26"/>
        <v>55.26</v>
      </c>
      <c r="D119" s="193">
        <f t="shared" si="23"/>
        <v>70.14</v>
      </c>
      <c r="E119" s="194">
        <f t="shared" si="27"/>
        <v>0.23024999999999998</v>
      </c>
      <c r="F119" s="194">
        <f t="shared" si="28"/>
        <v>0.29225000000000001</v>
      </c>
      <c r="G119" s="193">
        <f t="shared" si="29"/>
        <v>14.880000000000003</v>
      </c>
      <c r="H119" s="195">
        <f t="shared" si="30"/>
        <v>0.26929999999999998</v>
      </c>
    </row>
    <row r="120" spans="1:9" x14ac:dyDescent="0.25">
      <c r="B120" s="176">
        <f t="shared" si="22"/>
        <v>250</v>
      </c>
      <c r="C120" s="193">
        <f t="shared" si="26"/>
        <v>57.03</v>
      </c>
      <c r="D120" s="193">
        <f t="shared" si="23"/>
        <v>72.489999999999995</v>
      </c>
      <c r="E120" s="194">
        <f t="shared" si="27"/>
        <v>0.22812000000000002</v>
      </c>
      <c r="F120" s="194">
        <f t="shared" si="28"/>
        <v>0.28996</v>
      </c>
      <c r="G120" s="193">
        <f t="shared" si="29"/>
        <v>15.459999999999994</v>
      </c>
      <c r="H120" s="195">
        <f t="shared" si="30"/>
        <v>0.27110000000000001</v>
      </c>
    </row>
    <row r="121" spans="1:9" x14ac:dyDescent="0.25">
      <c r="B121" s="176">
        <f t="shared" si="22"/>
        <v>260</v>
      </c>
      <c r="C121" s="193">
        <f t="shared" si="26"/>
        <v>58.8</v>
      </c>
      <c r="D121" s="193">
        <f t="shared" ref="D121:D125" si="31">ROUND((($G$74+(($G$77+SUM($G$80:$G$86))*B121))*(1+$G$88))*(1+$G$79),2)</f>
        <v>74.83</v>
      </c>
      <c r="E121" s="194">
        <f t="shared" ref="E121:E125" si="32">+C121/B121</f>
        <v>0.22615384615384615</v>
      </c>
      <c r="F121" s="194">
        <f t="shared" ref="F121:F125" si="33">+D121/B121</f>
        <v>0.28780769230769232</v>
      </c>
      <c r="G121" s="193">
        <f t="shared" ref="G121:G125" si="34">D121-C121</f>
        <v>16.03</v>
      </c>
      <c r="H121" s="195">
        <f t="shared" ref="H121:H125" si="35">ROUND(G121/C121,4)</f>
        <v>0.27260000000000001</v>
      </c>
    </row>
    <row r="122" spans="1:9" x14ac:dyDescent="0.25">
      <c r="B122" s="176">
        <f t="shared" si="22"/>
        <v>270</v>
      </c>
      <c r="C122" s="193">
        <f t="shared" si="26"/>
        <v>60.57</v>
      </c>
      <c r="D122" s="193">
        <f t="shared" si="31"/>
        <v>77.180000000000007</v>
      </c>
      <c r="E122" s="194">
        <f t="shared" si="32"/>
        <v>0.22433333333333333</v>
      </c>
      <c r="F122" s="194">
        <f t="shared" si="33"/>
        <v>0.28585185185185186</v>
      </c>
      <c r="G122" s="193">
        <f t="shared" si="34"/>
        <v>16.610000000000007</v>
      </c>
      <c r="H122" s="195">
        <f t="shared" si="35"/>
        <v>0.2742</v>
      </c>
    </row>
    <row r="123" spans="1:9" x14ac:dyDescent="0.25">
      <c r="B123" s="176">
        <f t="shared" si="22"/>
        <v>280</v>
      </c>
      <c r="C123" s="193">
        <f t="shared" si="26"/>
        <v>62.34</v>
      </c>
      <c r="D123" s="193">
        <f t="shared" si="31"/>
        <v>79.53</v>
      </c>
      <c r="E123" s="194">
        <f t="shared" si="32"/>
        <v>0.22264285714285714</v>
      </c>
      <c r="F123" s="194">
        <f t="shared" si="33"/>
        <v>0.28403571428571428</v>
      </c>
      <c r="G123" s="193">
        <f t="shared" si="34"/>
        <v>17.189999999999998</v>
      </c>
      <c r="H123" s="195">
        <f t="shared" si="35"/>
        <v>0.2757</v>
      </c>
    </row>
    <row r="124" spans="1:9" x14ac:dyDescent="0.25">
      <c r="B124" s="176">
        <f>B59</f>
        <v>290</v>
      </c>
      <c r="C124" s="193">
        <f t="shared" si="26"/>
        <v>64.11</v>
      </c>
      <c r="D124" s="193">
        <f t="shared" si="31"/>
        <v>81.87</v>
      </c>
      <c r="E124" s="194">
        <f t="shared" si="32"/>
        <v>0.22106896551724137</v>
      </c>
      <c r="F124" s="194">
        <f t="shared" si="33"/>
        <v>0.28231034482758621</v>
      </c>
      <c r="G124" s="193">
        <f t="shared" si="34"/>
        <v>17.760000000000005</v>
      </c>
      <c r="H124" s="195">
        <f t="shared" si="35"/>
        <v>0.27700000000000002</v>
      </c>
    </row>
    <row r="125" spans="1:9" x14ac:dyDescent="0.25">
      <c r="B125" s="176">
        <f t="shared" si="22"/>
        <v>300</v>
      </c>
      <c r="C125" s="193">
        <f t="shared" si="26"/>
        <v>65.88</v>
      </c>
      <c r="D125" s="193">
        <f t="shared" si="31"/>
        <v>84.22</v>
      </c>
      <c r="E125" s="194">
        <f t="shared" si="32"/>
        <v>0.21959999999999999</v>
      </c>
      <c r="F125" s="194">
        <f t="shared" si="33"/>
        <v>0.28073333333333333</v>
      </c>
      <c r="G125" s="193">
        <f t="shared" si="34"/>
        <v>18.340000000000003</v>
      </c>
      <c r="H125" s="195">
        <f t="shared" si="35"/>
        <v>0.27839999999999998</v>
      </c>
    </row>
    <row r="126" spans="1:9" x14ac:dyDescent="0.25">
      <c r="C126" s="193"/>
      <c r="D126" s="193"/>
      <c r="E126" s="194"/>
      <c r="F126" s="194"/>
      <c r="G126" s="193"/>
      <c r="H126" s="195"/>
    </row>
    <row r="127" spans="1:9" x14ac:dyDescent="0.25">
      <c r="A127" s="596" t="s">
        <v>351</v>
      </c>
      <c r="B127" s="179"/>
      <c r="C127" s="179"/>
      <c r="D127" s="179"/>
      <c r="E127" s="179"/>
      <c r="F127" s="179"/>
      <c r="G127" s="179"/>
      <c r="H127" s="179"/>
      <c r="I127" s="180"/>
    </row>
    <row r="129" spans="1:10" x14ac:dyDescent="0.25">
      <c r="D129" s="181" t="s">
        <v>311</v>
      </c>
      <c r="G129" s="181" t="s">
        <v>312</v>
      </c>
    </row>
    <row r="130" spans="1:10" x14ac:dyDescent="0.25">
      <c r="D130" s="182" t="s">
        <v>313</v>
      </c>
      <c r="G130" s="182" t="s">
        <v>313</v>
      </c>
    </row>
    <row r="131" spans="1:10" x14ac:dyDescent="0.25">
      <c r="A131" s="180" t="s">
        <v>314</v>
      </c>
      <c r="D131" s="183">
        <v>12</v>
      </c>
      <c r="G131" s="183">
        <f>VLOOKUP(J131,'EXHIBIT JDT-3 RES'!D:N,7,FALSE)</f>
        <v>18</v>
      </c>
      <c r="J131" s="177" t="s">
        <v>99</v>
      </c>
    </row>
    <row r="132" spans="1:10" x14ac:dyDescent="0.25">
      <c r="A132" s="180" t="str">
        <f>"FIRST "&amp;FIXED(C132,0,TRUE)&amp;" CCF"</f>
        <v>FIRST 50 CCF</v>
      </c>
      <c r="C132" s="184">
        <v>50</v>
      </c>
      <c r="D132" s="185">
        <v>0.29145999999999994</v>
      </c>
      <c r="G132" s="183"/>
      <c r="J132" s="177" t="s">
        <v>101</v>
      </c>
    </row>
    <row r="133" spans="1:10" x14ac:dyDescent="0.25">
      <c r="A133" s="180" t="s">
        <v>315</v>
      </c>
      <c r="C133" s="184">
        <v>9999999999</v>
      </c>
      <c r="D133" s="185">
        <v>0.19995000000000002</v>
      </c>
      <c r="G133" s="183"/>
      <c r="J133" s="177" t="s">
        <v>102</v>
      </c>
    </row>
    <row r="134" spans="1:10" x14ac:dyDescent="0.25">
      <c r="A134" s="180" t="s">
        <v>315</v>
      </c>
      <c r="C134" s="184"/>
      <c r="D134" s="185"/>
      <c r="G134" s="185">
        <f>VLOOKUP(J134,'EXHIBIT JDT-3 RES'!D:N,7,FALSE)/10</f>
        <v>0.26959</v>
      </c>
      <c r="J134" s="177" t="s">
        <v>344</v>
      </c>
    </row>
    <row r="135" spans="1:10" hidden="1" x14ac:dyDescent="0.25">
      <c r="C135" s="184"/>
      <c r="E135" s="186"/>
      <c r="F135" s="186"/>
    </row>
    <row r="136" spans="1:10" hidden="1" x14ac:dyDescent="0.25">
      <c r="A136" s="180" t="s">
        <v>316</v>
      </c>
      <c r="D136" s="185">
        <v>0</v>
      </c>
      <c r="E136" s="186"/>
      <c r="F136" s="186"/>
      <c r="G136" s="185">
        <f>D136</f>
        <v>0</v>
      </c>
      <c r="J136" s="187" t="s">
        <v>370</v>
      </c>
    </row>
    <row r="137" spans="1:10" hidden="1" x14ac:dyDescent="0.25">
      <c r="A137" s="180" t="s">
        <v>317</v>
      </c>
      <c r="D137" s="185">
        <v>0</v>
      </c>
      <c r="E137" s="186"/>
      <c r="F137" s="186"/>
      <c r="G137" s="185">
        <f t="shared" ref="G137:G139" si="36">D137</f>
        <v>0</v>
      </c>
      <c r="J137" s="187" t="s">
        <v>370</v>
      </c>
    </row>
    <row r="138" spans="1:10" hidden="1" x14ac:dyDescent="0.25">
      <c r="A138" s="180" t="s">
        <v>318</v>
      </c>
      <c r="D138" s="185">
        <v>0</v>
      </c>
      <c r="E138" s="186"/>
      <c r="F138" s="186"/>
      <c r="G138" s="185">
        <f t="shared" si="36"/>
        <v>0</v>
      </c>
      <c r="J138" s="187"/>
    </row>
    <row r="139" spans="1:10" hidden="1" x14ac:dyDescent="0.25">
      <c r="A139" s="180" t="s">
        <v>319</v>
      </c>
      <c r="D139" s="185">
        <v>0</v>
      </c>
      <c r="E139" s="186"/>
      <c r="F139" s="186"/>
      <c r="G139" s="185">
        <f t="shared" si="36"/>
        <v>0</v>
      </c>
      <c r="J139" s="187"/>
    </row>
    <row r="140" spans="1:10" hidden="1" x14ac:dyDescent="0.25">
      <c r="A140" s="180" t="s">
        <v>320</v>
      </c>
      <c r="D140" s="185">
        <v>0</v>
      </c>
      <c r="E140" s="186"/>
      <c r="F140" s="186"/>
      <c r="G140" s="185">
        <f>IFERROR(VLOOKUP(J140,'EXHIBIT JDT-3 RES'!D:N,7,FALSE)/10,0)</f>
        <v>0</v>
      </c>
      <c r="J140" s="187"/>
    </row>
    <row r="141" spans="1:10" hidden="1" x14ac:dyDescent="0.25">
      <c r="A141" s="180" t="s">
        <v>341</v>
      </c>
      <c r="D141" s="185">
        <v>0</v>
      </c>
      <c r="E141" s="186"/>
      <c r="F141" s="186"/>
      <c r="G141" s="185">
        <f>IFERROR(VLOOKUP(J141,'EXHIBIT JDT-3 RES'!D:N,7,FALSE)/10,0)</f>
        <v>0</v>
      </c>
      <c r="J141" s="187"/>
    </row>
    <row r="142" spans="1:10" hidden="1" x14ac:dyDescent="0.25">
      <c r="A142" s="180" t="s">
        <v>342</v>
      </c>
      <c r="D142" s="185">
        <v>0</v>
      </c>
      <c r="E142" s="186"/>
      <c r="F142" s="186"/>
      <c r="G142" s="185">
        <v>0</v>
      </c>
      <c r="J142" s="188" t="s">
        <v>370</v>
      </c>
    </row>
    <row r="143" spans="1:10" hidden="1" x14ac:dyDescent="0.25">
      <c r="A143" s="180" t="s">
        <v>343</v>
      </c>
      <c r="D143" s="185">
        <v>0</v>
      </c>
      <c r="E143" s="186"/>
      <c r="F143" s="186"/>
      <c r="G143" s="185">
        <v>0</v>
      </c>
      <c r="J143" s="188" t="s">
        <v>370</v>
      </c>
    </row>
    <row r="144" spans="1:10" hidden="1" x14ac:dyDescent="0.25">
      <c r="E144" s="186"/>
      <c r="F144" s="186"/>
      <c r="G144" s="186"/>
    </row>
    <row r="145" spans="1:12" hidden="1" x14ac:dyDescent="0.25">
      <c r="A145" s="180" t="s">
        <v>321</v>
      </c>
      <c r="D145" s="189">
        <v>0</v>
      </c>
      <c r="G145" s="189">
        <v>0</v>
      </c>
    </row>
    <row r="146" spans="1:12" hidden="1" x14ac:dyDescent="0.25"/>
    <row r="148" spans="1:12" x14ac:dyDescent="0.25">
      <c r="G148" s="190" t="s">
        <v>322</v>
      </c>
      <c r="H148" s="190"/>
    </row>
    <row r="149" spans="1:12" x14ac:dyDescent="0.25">
      <c r="B149" s="176" t="s">
        <v>323</v>
      </c>
      <c r="C149" s="181" t="s">
        <v>311</v>
      </c>
      <c r="D149" s="181" t="s">
        <v>312</v>
      </c>
      <c r="E149" s="181" t="s">
        <v>311</v>
      </c>
      <c r="F149" s="181" t="s">
        <v>312</v>
      </c>
      <c r="G149" s="181" t="s">
        <v>324</v>
      </c>
      <c r="H149" s="181" t="s">
        <v>325</v>
      </c>
      <c r="J149" s="191"/>
    </row>
    <row r="150" spans="1:12" x14ac:dyDescent="0.25">
      <c r="C150" s="192" t="s">
        <v>326</v>
      </c>
      <c r="D150" s="192" t="s">
        <v>327</v>
      </c>
      <c r="E150" s="181" t="s">
        <v>328</v>
      </c>
      <c r="F150" s="181" t="s">
        <v>328</v>
      </c>
      <c r="G150" s="192" t="s">
        <v>329</v>
      </c>
      <c r="J150" s="191"/>
    </row>
    <row r="151" spans="1:12" x14ac:dyDescent="0.25">
      <c r="B151" s="176" t="s">
        <v>330</v>
      </c>
      <c r="J151" s="191"/>
    </row>
    <row r="152" spans="1:12" x14ac:dyDescent="0.25">
      <c r="B152" s="176">
        <f t="shared" ref="B152:B182" si="37">B95</f>
        <v>0</v>
      </c>
      <c r="C152" s="193">
        <f>ROUND(((D131+MINA(B152,C132)*D132+MAXA(B152-C132,0)*D133+(+D137+D138+D139+D141+D140+D142+D143)*B152)*(1+D136))*(1+D145),2)</f>
        <v>12</v>
      </c>
      <c r="D152" s="193">
        <f>ROUND((G131+(SUM(G134:G143)*B152))*(1+G145),2)</f>
        <v>18</v>
      </c>
      <c r="E152" s="194"/>
      <c r="F152" s="194"/>
      <c r="G152" s="193">
        <f t="shared" ref="G152:G173" si="38">D152-C152</f>
        <v>6</v>
      </c>
      <c r="H152" s="195">
        <f t="shared" ref="H152:H173" si="39">ROUND(G152/C152,4)</f>
        <v>0.5</v>
      </c>
      <c r="J152" s="207"/>
      <c r="L152" s="197"/>
    </row>
    <row r="153" spans="1:12" x14ac:dyDescent="0.25">
      <c r="B153" s="176">
        <f t="shared" si="37"/>
        <v>10</v>
      </c>
      <c r="C153" s="193">
        <f>ROUND(((D131+MINA(B153,C132)*D132+MAXA(B153-C132,0)*D133+(+D137+D138+D139+D141+D140+D142+D143)*B153)*(1+D136))*(1+D145),2)</f>
        <v>14.91</v>
      </c>
      <c r="D153" s="193">
        <f>ROUND((G131+(SUM(G134:G143)*B153))*(1+G145),2)</f>
        <v>20.7</v>
      </c>
      <c r="E153" s="194">
        <f t="shared" ref="E153:E173" si="40">+C153/B153</f>
        <v>1.4910000000000001</v>
      </c>
      <c r="F153" s="194">
        <f t="shared" ref="F153:F173" si="41">+D153/B153</f>
        <v>2.0699999999999998</v>
      </c>
      <c r="G153" s="193">
        <f t="shared" si="38"/>
        <v>5.7899999999999991</v>
      </c>
      <c r="H153" s="195">
        <f t="shared" si="39"/>
        <v>0.38829999999999998</v>
      </c>
      <c r="J153" s="207"/>
      <c r="L153" s="197"/>
    </row>
    <row r="154" spans="1:12" x14ac:dyDescent="0.25">
      <c r="B154" s="176">
        <f t="shared" si="37"/>
        <v>20</v>
      </c>
      <c r="C154" s="193">
        <f>ROUND(((D131+MINA(B154,C132)*D132+MAXA(B154-C132,0)*D133+(+D137+D138+D139+D141+D140+D142+D143)*B154)*(1+D136))*(1+D145),2)</f>
        <v>17.829999999999998</v>
      </c>
      <c r="D154" s="193">
        <f>ROUND((G131+(SUM(G134:G143)*B154))*(1+G145),2)</f>
        <v>23.39</v>
      </c>
      <c r="E154" s="194">
        <f t="shared" si="40"/>
        <v>0.89149999999999996</v>
      </c>
      <c r="F154" s="194">
        <f t="shared" si="41"/>
        <v>1.1695</v>
      </c>
      <c r="G154" s="193">
        <f t="shared" si="38"/>
        <v>5.5600000000000023</v>
      </c>
      <c r="H154" s="195">
        <f t="shared" si="39"/>
        <v>0.31180000000000002</v>
      </c>
      <c r="J154" s="207"/>
      <c r="L154" s="197"/>
    </row>
    <row r="155" spans="1:12" x14ac:dyDescent="0.25">
      <c r="B155" s="176">
        <f t="shared" si="37"/>
        <v>30</v>
      </c>
      <c r="C155" s="193">
        <f>ROUND(((D131+MINA(B155,C132)*D132+MAXA(B155-C132,0)*D133+(+D137+D138+D139+D141+D140+D142+D143)*B155)*(1+D136))*(1+D145),2)</f>
        <v>20.74</v>
      </c>
      <c r="D155" s="193">
        <f>ROUND((G131+(SUM(G134:G143)*B155))*(1+G145),2)</f>
        <v>26.09</v>
      </c>
      <c r="E155" s="194">
        <f t="shared" si="40"/>
        <v>0.69133333333333324</v>
      </c>
      <c r="F155" s="194">
        <f t="shared" si="41"/>
        <v>0.8696666666666667</v>
      </c>
      <c r="G155" s="193">
        <f t="shared" si="38"/>
        <v>5.3500000000000014</v>
      </c>
      <c r="H155" s="195">
        <f t="shared" si="39"/>
        <v>0.25800000000000001</v>
      </c>
      <c r="J155" s="207"/>
      <c r="L155" s="197"/>
    </row>
    <row r="156" spans="1:12" x14ac:dyDescent="0.25">
      <c r="B156" s="176">
        <f t="shared" si="37"/>
        <v>40</v>
      </c>
      <c r="C156" s="193">
        <f>ROUND(((D131+MINA(B156,C132)*D132+MAXA(B156-C132,0)*D133+(+D137+D138+D139+D141+D140+D142+D143)*B156)*(1+D136))*(1+D145),2)</f>
        <v>23.66</v>
      </c>
      <c r="D156" s="193">
        <f>ROUND((G131+(SUM(G134:G143)*B156))*(1+G145),2)</f>
        <v>28.78</v>
      </c>
      <c r="E156" s="194">
        <f t="shared" si="40"/>
        <v>0.59150000000000003</v>
      </c>
      <c r="F156" s="194">
        <f t="shared" si="41"/>
        <v>0.71950000000000003</v>
      </c>
      <c r="G156" s="193">
        <f t="shared" si="38"/>
        <v>5.120000000000001</v>
      </c>
      <c r="H156" s="195">
        <f t="shared" si="39"/>
        <v>0.21640000000000001</v>
      </c>
      <c r="J156" s="207"/>
      <c r="L156" s="197"/>
    </row>
    <row r="157" spans="1:12" x14ac:dyDescent="0.25">
      <c r="B157" s="176">
        <f t="shared" si="37"/>
        <v>50</v>
      </c>
      <c r="C157" s="193">
        <f>ROUND(((D131+MINA(B157,C132)*D132+MAXA(B157-C132,0)*D133+(+D137+D138+D139+D141+D140+D142+D143)*B157)*(1+D136))*(1+D145),2)</f>
        <v>26.57</v>
      </c>
      <c r="D157" s="193">
        <f>ROUND((G131+(SUM(G134:G143)*B157))*(1+G145),2)</f>
        <v>31.48</v>
      </c>
      <c r="E157" s="194">
        <f t="shared" si="40"/>
        <v>0.53139999999999998</v>
      </c>
      <c r="F157" s="194">
        <f t="shared" si="41"/>
        <v>0.62960000000000005</v>
      </c>
      <c r="G157" s="193">
        <f t="shared" si="38"/>
        <v>4.91</v>
      </c>
      <c r="H157" s="195">
        <f t="shared" si="39"/>
        <v>0.18479999999999999</v>
      </c>
      <c r="J157" s="207"/>
      <c r="L157" s="197"/>
    </row>
    <row r="158" spans="1:12" x14ac:dyDescent="0.25">
      <c r="B158" s="176">
        <f t="shared" si="37"/>
        <v>60</v>
      </c>
      <c r="C158" s="193">
        <f>ROUND(((D131+MINA(B158,C132)*D132+MAXA(B158-C132,0)*D133+(+D137+D138+D139+D141+D140+D142+D143)*B158)*(1+D136))*(1+D145),2)</f>
        <v>28.57</v>
      </c>
      <c r="D158" s="193">
        <f>ROUND((G131+(SUM(G134:G143)*B158))*(1+G145),2)</f>
        <v>34.18</v>
      </c>
      <c r="E158" s="194">
        <f t="shared" si="40"/>
        <v>0.47616666666666668</v>
      </c>
      <c r="F158" s="194">
        <f t="shared" si="41"/>
        <v>0.56966666666666665</v>
      </c>
      <c r="G158" s="193">
        <f t="shared" si="38"/>
        <v>5.6099999999999994</v>
      </c>
      <c r="H158" s="195">
        <f t="shared" si="39"/>
        <v>0.19639999999999999</v>
      </c>
      <c r="J158" s="207"/>
      <c r="L158" s="197"/>
    </row>
    <row r="159" spans="1:12" x14ac:dyDescent="0.25">
      <c r="B159" s="176">
        <f t="shared" si="37"/>
        <v>70</v>
      </c>
      <c r="C159" s="193">
        <f>ROUND(((D131+MINA(B159,C132)*D132+MAXA(B159-C132,0)*D133+(+D137+D138+D139+D141+D140+D142+D143)*B159)*(1+D136))*(1+D145),2)</f>
        <v>30.57</v>
      </c>
      <c r="D159" s="193">
        <f>ROUND((G131+(SUM(G134:G143)*B159))*(1+G145),2)</f>
        <v>36.869999999999997</v>
      </c>
      <c r="E159" s="194">
        <f t="shared" si="40"/>
        <v>0.43671428571428572</v>
      </c>
      <c r="F159" s="194">
        <f t="shared" si="41"/>
        <v>0.52671428571428569</v>
      </c>
      <c r="G159" s="193">
        <f t="shared" si="38"/>
        <v>6.2999999999999972</v>
      </c>
      <c r="H159" s="195">
        <f t="shared" si="39"/>
        <v>0.20610000000000001</v>
      </c>
      <c r="J159" s="207"/>
      <c r="L159" s="197"/>
    </row>
    <row r="160" spans="1:12" x14ac:dyDescent="0.25">
      <c r="B160" s="176">
        <f t="shared" si="37"/>
        <v>80</v>
      </c>
      <c r="C160" s="193">
        <f>ROUND(((D131+MINA(B160,C132)*D132+MAXA(B160-C132,0)*D133+(+D137+D138+D139+D141+D140+D142+D143)*B160)*(1+D136))*(1+D145),2)</f>
        <v>32.57</v>
      </c>
      <c r="D160" s="193">
        <f>ROUND((G131+(SUM(G134:G143)*B160))*(1+G145),2)</f>
        <v>39.57</v>
      </c>
      <c r="E160" s="194">
        <f t="shared" si="40"/>
        <v>0.40712500000000001</v>
      </c>
      <c r="F160" s="194">
        <f t="shared" si="41"/>
        <v>0.49462499999999998</v>
      </c>
      <c r="G160" s="193">
        <f t="shared" si="38"/>
        <v>7</v>
      </c>
      <c r="H160" s="195">
        <f t="shared" si="39"/>
        <v>0.21490000000000001</v>
      </c>
      <c r="J160" s="207"/>
      <c r="L160" s="197"/>
    </row>
    <row r="161" spans="2:12" x14ac:dyDescent="0.25">
      <c r="B161" s="176">
        <f t="shared" si="37"/>
        <v>90</v>
      </c>
      <c r="C161" s="193">
        <f>ROUND(((D131+MINA(B161,C132)*D132+MAXA(B161-C132,0)*D133+(+D137+D138+D139+D141+D140+D142+D143)*B161)*(1+D136))*(1+D145),2)</f>
        <v>34.57</v>
      </c>
      <c r="D161" s="193">
        <f>ROUND((G131+(SUM(G134:G143)*B161))*(1+G145),2)</f>
        <v>42.26</v>
      </c>
      <c r="E161" s="194">
        <f t="shared" si="40"/>
        <v>0.38411111111111113</v>
      </c>
      <c r="F161" s="194">
        <f t="shared" si="41"/>
        <v>0.46955555555555556</v>
      </c>
      <c r="G161" s="193">
        <f t="shared" si="38"/>
        <v>7.6899999999999977</v>
      </c>
      <c r="H161" s="195">
        <f t="shared" si="39"/>
        <v>0.22239999999999999</v>
      </c>
      <c r="J161" s="207"/>
      <c r="L161" s="197"/>
    </row>
    <row r="162" spans="2:12" x14ac:dyDescent="0.25">
      <c r="B162" s="176">
        <f t="shared" si="37"/>
        <v>100</v>
      </c>
      <c r="C162" s="193">
        <f>ROUND(((D131+MINA(B162,C132)*D132+MAXA(B162-C132,0)*D133+(+D137+D138+D139+D141+D140+D142+D143)*B162)*(1+D136))*(1+D145),2)</f>
        <v>36.57</v>
      </c>
      <c r="D162" s="193">
        <f>ROUND((G131+(SUM(G134:G143)*B162))*(1+G145),2)</f>
        <v>44.96</v>
      </c>
      <c r="E162" s="194">
        <f t="shared" si="40"/>
        <v>0.36570000000000003</v>
      </c>
      <c r="F162" s="194">
        <f t="shared" si="41"/>
        <v>0.4496</v>
      </c>
      <c r="G162" s="193">
        <f t="shared" si="38"/>
        <v>8.39</v>
      </c>
      <c r="H162" s="195">
        <f t="shared" si="39"/>
        <v>0.22939999999999999</v>
      </c>
      <c r="J162" s="207"/>
      <c r="L162" s="197"/>
    </row>
    <row r="163" spans="2:12" x14ac:dyDescent="0.25">
      <c r="B163" s="176">
        <f t="shared" si="37"/>
        <v>110</v>
      </c>
      <c r="C163" s="193">
        <f>ROUND(((D131+MINA(B163,C132)*D132+MAXA(B163-C132,0)*D133+(+D137+D138+D139+D141+D140+D142+D143)*B163)*(1+D136))*(1+D145),2)</f>
        <v>38.57</v>
      </c>
      <c r="D163" s="193">
        <f>ROUND((G131+(SUM(G134:G143)*B163))*(1+G145),2)</f>
        <v>47.65</v>
      </c>
      <c r="E163" s="194">
        <f t="shared" si="40"/>
        <v>0.35063636363636363</v>
      </c>
      <c r="F163" s="194">
        <f t="shared" si="41"/>
        <v>0.43318181818181817</v>
      </c>
      <c r="G163" s="193">
        <f t="shared" si="38"/>
        <v>9.0799999999999983</v>
      </c>
      <c r="H163" s="195">
        <f t="shared" si="39"/>
        <v>0.2354</v>
      </c>
      <c r="J163" s="207"/>
      <c r="L163" s="197"/>
    </row>
    <row r="164" spans="2:12" x14ac:dyDescent="0.25">
      <c r="B164" s="176">
        <f t="shared" si="37"/>
        <v>120</v>
      </c>
      <c r="C164" s="193">
        <f>ROUND(((D131+MINA(B164,C132)*D132+MAXA(B164-C132,0)*D133+(+D137+D138+D139+D141+D140+D142+D143)*B164)*(1+D136))*(1+D145),2)</f>
        <v>40.57</v>
      </c>
      <c r="D164" s="193">
        <f>ROUND((G131+(SUM(G134:G143)*B164))*(1+G145),2)</f>
        <v>50.35</v>
      </c>
      <c r="E164" s="194">
        <f t="shared" si="40"/>
        <v>0.33808333333333335</v>
      </c>
      <c r="F164" s="194">
        <f t="shared" si="41"/>
        <v>0.41958333333333336</v>
      </c>
      <c r="G164" s="193">
        <f t="shared" si="38"/>
        <v>9.7800000000000011</v>
      </c>
      <c r="H164" s="195">
        <f t="shared" si="39"/>
        <v>0.24110000000000001</v>
      </c>
      <c r="J164" s="207"/>
      <c r="L164" s="197"/>
    </row>
    <row r="165" spans="2:12" x14ac:dyDescent="0.25">
      <c r="B165" s="176">
        <f t="shared" si="37"/>
        <v>130</v>
      </c>
      <c r="C165" s="193">
        <f>ROUND(((D131+MINA(B165,C132)*D132+MAXA(B165-C132,0)*D133+(+D137+D138+D139+D141+D140+D142+D143)*B165)*(1+D136))*(1+D145),2)</f>
        <v>42.57</v>
      </c>
      <c r="D165" s="193">
        <f>ROUND((G131+(SUM(G134:G143)*B165))*(1+G145),2)</f>
        <v>53.05</v>
      </c>
      <c r="E165" s="194">
        <f t="shared" si="40"/>
        <v>0.32746153846153847</v>
      </c>
      <c r="F165" s="194">
        <f t="shared" si="41"/>
        <v>0.40807692307692306</v>
      </c>
      <c r="G165" s="193">
        <f t="shared" si="38"/>
        <v>10.479999999999997</v>
      </c>
      <c r="H165" s="195">
        <f t="shared" si="39"/>
        <v>0.2462</v>
      </c>
      <c r="J165" s="207"/>
      <c r="L165" s="197"/>
    </row>
    <row r="166" spans="2:12" x14ac:dyDescent="0.25">
      <c r="B166" s="176">
        <f t="shared" si="37"/>
        <v>140</v>
      </c>
      <c r="C166" s="193">
        <f>ROUND(((D131+MINA(B166,C132)*D132+MAXA(B166-C132,0)*D133+(+D137+D138+D139+D141+D140+D142+D143)*B166)*(1+D136))*(1+D145),2)</f>
        <v>44.57</v>
      </c>
      <c r="D166" s="193">
        <f>ROUND((G131+(SUM(G134:G143)*B166))*(1+G145),2)</f>
        <v>55.74</v>
      </c>
      <c r="E166" s="194">
        <f t="shared" si="40"/>
        <v>0.31835714285714284</v>
      </c>
      <c r="F166" s="194">
        <f t="shared" si="41"/>
        <v>0.39814285714285713</v>
      </c>
      <c r="G166" s="193">
        <f t="shared" si="38"/>
        <v>11.170000000000002</v>
      </c>
      <c r="H166" s="195">
        <f t="shared" si="39"/>
        <v>0.25059999999999999</v>
      </c>
      <c r="J166" s="207"/>
      <c r="L166" s="197"/>
    </row>
    <row r="167" spans="2:12" x14ac:dyDescent="0.25">
      <c r="B167" s="176">
        <f t="shared" si="37"/>
        <v>150</v>
      </c>
      <c r="C167" s="193">
        <f>ROUND(((D131+MINA(B167,C132)*D132+MAXA(B167-C132,0)*D133+(+D137+D138+D139+D141+D140+D142+D143)*B167)*(1+D136))*(1+D145),2)</f>
        <v>46.57</v>
      </c>
      <c r="D167" s="193">
        <f>ROUND((G131+(SUM(G134:G143)*B167))*(1+G145),2)</f>
        <v>58.44</v>
      </c>
      <c r="E167" s="194">
        <f t="shared" si="40"/>
        <v>0.31046666666666667</v>
      </c>
      <c r="F167" s="194">
        <f t="shared" si="41"/>
        <v>0.3896</v>
      </c>
      <c r="G167" s="193">
        <f t="shared" si="38"/>
        <v>11.869999999999997</v>
      </c>
      <c r="H167" s="195">
        <f t="shared" si="39"/>
        <v>0.25490000000000002</v>
      </c>
      <c r="J167" s="207"/>
      <c r="L167" s="197"/>
    </row>
    <row r="168" spans="2:12" x14ac:dyDescent="0.25">
      <c r="B168" s="176">
        <f t="shared" si="37"/>
        <v>160</v>
      </c>
      <c r="C168" s="193">
        <f>ROUND(((D131+MINA(B168,C132)*D132+MAXA(B168-C132,0)*D133+(+D137+D138+D139+D141+D140+D142+D143)*B168)*(1+D136))*(1+D145),2)</f>
        <v>48.57</v>
      </c>
      <c r="D168" s="193">
        <f>ROUND((G131+(SUM(G134:G143)*B168))*(1+G145),2)</f>
        <v>61.13</v>
      </c>
      <c r="E168" s="194">
        <f t="shared" si="40"/>
        <v>0.30356250000000001</v>
      </c>
      <c r="F168" s="194">
        <f t="shared" si="41"/>
        <v>0.38206250000000003</v>
      </c>
      <c r="G168" s="193">
        <f t="shared" si="38"/>
        <v>12.560000000000002</v>
      </c>
      <c r="H168" s="195">
        <f t="shared" si="39"/>
        <v>0.2586</v>
      </c>
      <c r="J168" s="207"/>
      <c r="L168" s="197"/>
    </row>
    <row r="169" spans="2:12" x14ac:dyDescent="0.25">
      <c r="B169" s="176">
        <f t="shared" si="37"/>
        <v>170</v>
      </c>
      <c r="C169" s="193">
        <f>ROUND(((D131+MINA(B169,C132)*D132+MAXA(B169-C132,0)*D133+(+D137+D138+D139+D141+D140+D142+D143)*B169)*(1+D136))*(1+D145),2)</f>
        <v>50.57</v>
      </c>
      <c r="D169" s="193">
        <f>ROUND((G131+(SUM(G134:G143)*B169))*(1+G145),2)</f>
        <v>63.83</v>
      </c>
      <c r="E169" s="194">
        <f t="shared" si="40"/>
        <v>0.2974705882352941</v>
      </c>
      <c r="F169" s="194">
        <f t="shared" si="41"/>
        <v>0.37547058823529411</v>
      </c>
      <c r="G169" s="193">
        <f t="shared" si="38"/>
        <v>13.259999999999998</v>
      </c>
      <c r="H169" s="195">
        <f t="shared" si="39"/>
        <v>0.26219999999999999</v>
      </c>
      <c r="J169" s="207"/>
      <c r="L169" s="197"/>
    </row>
    <row r="170" spans="2:12" x14ac:dyDescent="0.25">
      <c r="B170" s="176">
        <f t="shared" si="37"/>
        <v>180</v>
      </c>
      <c r="C170" s="193">
        <f>ROUND(((D131+MINA(B170,C132)*D132+MAXA(B170-C132,0)*D133+(+D137+D138+D139+D141+D140+D142+D143)*B170)*(1+D136))*(1+D145),2)</f>
        <v>52.57</v>
      </c>
      <c r="D170" s="193">
        <f>ROUND((G131+(SUM(G134:G143)*B170))*(1+G145),2)</f>
        <v>66.53</v>
      </c>
      <c r="E170" s="194">
        <f t="shared" si="40"/>
        <v>0.29205555555555557</v>
      </c>
      <c r="F170" s="194">
        <f t="shared" si="41"/>
        <v>0.36961111111111111</v>
      </c>
      <c r="G170" s="193">
        <f t="shared" si="38"/>
        <v>13.96</v>
      </c>
      <c r="H170" s="195">
        <f t="shared" si="39"/>
        <v>0.2656</v>
      </c>
      <c r="J170" s="207"/>
      <c r="L170" s="197"/>
    </row>
    <row r="171" spans="2:12" x14ac:dyDescent="0.25">
      <c r="B171" s="176">
        <f t="shared" si="37"/>
        <v>190</v>
      </c>
      <c r="C171" s="193">
        <f>ROUND(((D131+MINA(B171,C132)*D132+MAXA(B171-C132,0)*D133+(+D137+D138+D139+D141+D140+D142+D143)*B171)*(1+D136))*(1+D145),2)</f>
        <v>54.57</v>
      </c>
      <c r="D171" s="193">
        <f>ROUND((G131+(SUM(G134:G143)*B171))*(1+G145),2)</f>
        <v>69.22</v>
      </c>
      <c r="E171" s="194">
        <f t="shared" si="40"/>
        <v>0.28721052631578947</v>
      </c>
      <c r="F171" s="194">
        <f t="shared" si="41"/>
        <v>0.3643157894736842</v>
      </c>
      <c r="G171" s="193">
        <f t="shared" si="38"/>
        <v>14.649999999999999</v>
      </c>
      <c r="H171" s="195">
        <f t="shared" si="39"/>
        <v>0.26850000000000002</v>
      </c>
      <c r="J171" s="207"/>
      <c r="L171" s="197"/>
    </row>
    <row r="172" spans="2:12" x14ac:dyDescent="0.25">
      <c r="B172" s="176">
        <f t="shared" si="37"/>
        <v>200</v>
      </c>
      <c r="C172" s="193">
        <f>ROUND((($D$131+MINA(B172,$C$132)*$D$132+MAXA(B172-$C$132,0)*$D$133+(+$D$137+$D$138+$D$139+$D$141+$D$140+$D$142+$D$143)*B172)*(1+$D$136))*(1+$D$145),2)</f>
        <v>56.57</v>
      </c>
      <c r="D172" s="193">
        <f>ROUND((G131+(SUM(G134:G143)*B172))*(1+G145),2)</f>
        <v>71.92</v>
      </c>
      <c r="E172" s="194">
        <f t="shared" si="40"/>
        <v>0.28284999999999999</v>
      </c>
      <c r="F172" s="194">
        <f t="shared" si="41"/>
        <v>0.35960000000000003</v>
      </c>
      <c r="G172" s="193">
        <f t="shared" si="38"/>
        <v>15.350000000000001</v>
      </c>
      <c r="H172" s="195">
        <f t="shared" si="39"/>
        <v>0.27129999999999999</v>
      </c>
      <c r="J172" s="207"/>
      <c r="L172" s="197"/>
    </row>
    <row r="173" spans="2:12" x14ac:dyDescent="0.25">
      <c r="B173" s="176">
        <f t="shared" si="37"/>
        <v>210</v>
      </c>
      <c r="C173" s="193">
        <f t="shared" ref="C173:C182" si="42">ROUND((($D$131+MINA(B173,$C$132)*$D$132+MAXA(B173-$C$132,0)*$D$133+(+$D$137+$D$138+$D$139+$D$141+$D$140+$D$142+$D$143)*B173)*(1+$D$136))*(1+$D$145),2)</f>
        <v>58.57</v>
      </c>
      <c r="D173" s="193">
        <f>ROUND(($G$131+(SUM($G$134:$G$143)*B173))*(1+$G$145),2)</f>
        <v>74.61</v>
      </c>
      <c r="E173" s="194">
        <f t="shared" si="40"/>
        <v>0.27890476190476193</v>
      </c>
      <c r="F173" s="194">
        <f t="shared" si="41"/>
        <v>0.35528571428571426</v>
      </c>
      <c r="G173" s="193">
        <f t="shared" si="38"/>
        <v>16.04</v>
      </c>
      <c r="H173" s="195">
        <f t="shared" si="39"/>
        <v>0.27389999999999998</v>
      </c>
      <c r="J173" s="207"/>
      <c r="L173" s="197"/>
    </row>
    <row r="174" spans="2:12" x14ac:dyDescent="0.25">
      <c r="B174" s="176">
        <f t="shared" si="37"/>
        <v>220</v>
      </c>
      <c r="C174" s="193">
        <f t="shared" si="42"/>
        <v>60.56</v>
      </c>
      <c r="D174" s="193">
        <f t="shared" ref="D174:D182" si="43">ROUND(($G$131+(SUM($G$134:$G$143)*B174))*(1+$G$145),2)</f>
        <v>77.31</v>
      </c>
      <c r="E174" s="194">
        <f t="shared" ref="E174:E182" si="44">+C174/B174</f>
        <v>0.27527272727272728</v>
      </c>
      <c r="F174" s="194">
        <f t="shared" ref="F174:F182" si="45">+D174/B174</f>
        <v>0.35140909090909089</v>
      </c>
      <c r="G174" s="193">
        <f t="shared" ref="G174:G182" si="46">D174-C174</f>
        <v>16.75</v>
      </c>
      <c r="H174" s="195">
        <f t="shared" ref="H174:H182" si="47">ROUND(G174/C174,4)</f>
        <v>0.27660000000000001</v>
      </c>
      <c r="J174" s="207"/>
      <c r="L174" s="197"/>
    </row>
    <row r="175" spans="2:12" x14ac:dyDescent="0.25">
      <c r="B175" s="176">
        <f t="shared" si="37"/>
        <v>230</v>
      </c>
      <c r="C175" s="193">
        <f t="shared" si="42"/>
        <v>62.56</v>
      </c>
      <c r="D175" s="193">
        <f t="shared" si="43"/>
        <v>80.010000000000005</v>
      </c>
      <c r="E175" s="194">
        <f t="shared" si="44"/>
        <v>0.27200000000000002</v>
      </c>
      <c r="F175" s="194">
        <f t="shared" si="45"/>
        <v>0.34786956521739132</v>
      </c>
      <c r="G175" s="193">
        <f t="shared" si="46"/>
        <v>17.450000000000003</v>
      </c>
      <c r="H175" s="195">
        <f t="shared" si="47"/>
        <v>0.27889999999999998</v>
      </c>
      <c r="J175" s="207"/>
      <c r="L175" s="197"/>
    </row>
    <row r="176" spans="2:12" x14ac:dyDescent="0.25">
      <c r="B176" s="176">
        <f t="shared" si="37"/>
        <v>240</v>
      </c>
      <c r="C176" s="193">
        <f t="shared" si="42"/>
        <v>64.56</v>
      </c>
      <c r="D176" s="193">
        <f t="shared" si="43"/>
        <v>82.7</v>
      </c>
      <c r="E176" s="194">
        <f t="shared" si="44"/>
        <v>0.26900000000000002</v>
      </c>
      <c r="F176" s="194">
        <f t="shared" si="45"/>
        <v>0.34458333333333335</v>
      </c>
      <c r="G176" s="193">
        <f t="shared" si="46"/>
        <v>18.14</v>
      </c>
      <c r="H176" s="195">
        <f t="shared" si="47"/>
        <v>0.28100000000000003</v>
      </c>
      <c r="J176" s="207"/>
      <c r="L176" s="197"/>
    </row>
    <row r="177" spans="1:12" x14ac:dyDescent="0.25">
      <c r="B177" s="176">
        <f t="shared" si="37"/>
        <v>250</v>
      </c>
      <c r="C177" s="193">
        <f t="shared" si="42"/>
        <v>66.56</v>
      </c>
      <c r="D177" s="193">
        <f t="shared" si="43"/>
        <v>85.4</v>
      </c>
      <c r="E177" s="194">
        <f t="shared" si="44"/>
        <v>0.26624000000000003</v>
      </c>
      <c r="F177" s="194">
        <f t="shared" si="45"/>
        <v>0.34160000000000001</v>
      </c>
      <c r="G177" s="193">
        <f t="shared" si="46"/>
        <v>18.840000000000003</v>
      </c>
      <c r="H177" s="195">
        <f t="shared" si="47"/>
        <v>0.28310000000000002</v>
      </c>
      <c r="J177" s="207"/>
      <c r="L177" s="197"/>
    </row>
    <row r="178" spans="1:12" x14ac:dyDescent="0.25">
      <c r="B178" s="176">
        <f t="shared" si="37"/>
        <v>260</v>
      </c>
      <c r="C178" s="193">
        <f t="shared" si="42"/>
        <v>68.56</v>
      </c>
      <c r="D178" s="193">
        <f t="shared" si="43"/>
        <v>88.09</v>
      </c>
      <c r="E178" s="194">
        <f t="shared" si="44"/>
        <v>0.26369230769230773</v>
      </c>
      <c r="F178" s="194">
        <f t="shared" si="45"/>
        <v>0.33880769230769231</v>
      </c>
      <c r="G178" s="193">
        <f t="shared" si="46"/>
        <v>19.53</v>
      </c>
      <c r="H178" s="195">
        <f t="shared" si="47"/>
        <v>0.28489999999999999</v>
      </c>
      <c r="J178" s="207"/>
      <c r="L178" s="197"/>
    </row>
    <row r="179" spans="1:12" x14ac:dyDescent="0.25">
      <c r="B179" s="176">
        <f t="shared" si="37"/>
        <v>270</v>
      </c>
      <c r="C179" s="193">
        <f t="shared" si="42"/>
        <v>70.56</v>
      </c>
      <c r="D179" s="193">
        <f t="shared" si="43"/>
        <v>90.79</v>
      </c>
      <c r="E179" s="194">
        <f t="shared" si="44"/>
        <v>0.26133333333333336</v>
      </c>
      <c r="F179" s="194">
        <f t="shared" si="45"/>
        <v>0.33625925925925926</v>
      </c>
      <c r="G179" s="193">
        <f t="shared" si="46"/>
        <v>20.230000000000004</v>
      </c>
      <c r="H179" s="195">
        <f t="shared" si="47"/>
        <v>0.28670000000000001</v>
      </c>
      <c r="J179" s="207"/>
      <c r="L179" s="197"/>
    </row>
    <row r="180" spans="1:12" x14ac:dyDescent="0.25">
      <c r="B180" s="176">
        <f t="shared" si="37"/>
        <v>280</v>
      </c>
      <c r="C180" s="193">
        <f t="shared" si="42"/>
        <v>72.56</v>
      </c>
      <c r="D180" s="193">
        <f t="shared" si="43"/>
        <v>93.49</v>
      </c>
      <c r="E180" s="194">
        <f t="shared" si="44"/>
        <v>0.25914285714285717</v>
      </c>
      <c r="F180" s="194">
        <f t="shared" si="45"/>
        <v>0.3338928571428571</v>
      </c>
      <c r="G180" s="193">
        <f t="shared" si="46"/>
        <v>20.929999999999993</v>
      </c>
      <c r="H180" s="195">
        <f t="shared" si="47"/>
        <v>0.28849999999999998</v>
      </c>
      <c r="J180" s="207"/>
      <c r="L180" s="197"/>
    </row>
    <row r="181" spans="1:12" x14ac:dyDescent="0.25">
      <c r="B181" s="176">
        <f t="shared" si="37"/>
        <v>290</v>
      </c>
      <c r="C181" s="193">
        <f t="shared" si="42"/>
        <v>74.56</v>
      </c>
      <c r="D181" s="193">
        <f t="shared" si="43"/>
        <v>96.18</v>
      </c>
      <c r="E181" s="194">
        <f t="shared" si="44"/>
        <v>0.25710344827586207</v>
      </c>
      <c r="F181" s="194">
        <f t="shared" si="45"/>
        <v>0.33165517241379311</v>
      </c>
      <c r="G181" s="193">
        <f t="shared" si="46"/>
        <v>21.620000000000005</v>
      </c>
      <c r="H181" s="195">
        <f t="shared" si="47"/>
        <v>0.28999999999999998</v>
      </c>
      <c r="J181" s="207"/>
      <c r="L181" s="197"/>
    </row>
    <row r="182" spans="1:12" x14ac:dyDescent="0.25">
      <c r="B182" s="176">
        <f t="shared" si="37"/>
        <v>300</v>
      </c>
      <c r="C182" s="193">
        <f t="shared" si="42"/>
        <v>76.56</v>
      </c>
      <c r="D182" s="193">
        <f t="shared" si="43"/>
        <v>98.88</v>
      </c>
      <c r="E182" s="194">
        <f t="shared" si="44"/>
        <v>0.25519999999999998</v>
      </c>
      <c r="F182" s="194">
        <f t="shared" si="45"/>
        <v>0.3296</v>
      </c>
      <c r="G182" s="193">
        <f t="shared" si="46"/>
        <v>22.319999999999993</v>
      </c>
      <c r="H182" s="195">
        <f t="shared" si="47"/>
        <v>0.29149999999999998</v>
      </c>
      <c r="J182" s="207"/>
      <c r="L182" s="197"/>
    </row>
    <row r="183" spans="1:12" x14ac:dyDescent="0.25">
      <c r="C183" s="193"/>
      <c r="D183" s="193"/>
      <c r="E183" s="194"/>
      <c r="F183" s="194"/>
      <c r="G183" s="193"/>
      <c r="H183" s="195"/>
      <c r="J183" s="207"/>
      <c r="L183" s="197"/>
    </row>
    <row r="184" spans="1:12" hidden="1" x14ac:dyDescent="0.25">
      <c r="C184" s="193"/>
      <c r="D184" s="193"/>
      <c r="E184" s="194"/>
      <c r="F184" s="194"/>
      <c r="G184" s="193"/>
      <c r="H184" s="195"/>
      <c r="J184" s="207"/>
      <c r="L184" s="197"/>
    </row>
    <row r="185" spans="1:12" hidden="1" x14ac:dyDescent="0.25">
      <c r="C185" s="193"/>
      <c r="D185" s="193"/>
      <c r="E185" s="194"/>
      <c r="F185" s="194"/>
      <c r="G185" s="193"/>
      <c r="H185" s="195"/>
      <c r="J185" s="207"/>
      <c r="L185" s="197"/>
    </row>
    <row r="186" spans="1:12" hidden="1" x14ac:dyDescent="0.25">
      <c r="C186" s="193"/>
      <c r="D186" s="193"/>
      <c r="E186" s="194"/>
      <c r="F186" s="194"/>
      <c r="G186" s="193"/>
      <c r="H186" s="195"/>
      <c r="J186" s="207"/>
      <c r="L186" s="197"/>
    </row>
    <row r="187" spans="1:12" hidden="1" x14ac:dyDescent="0.25">
      <c r="E187" s="194"/>
      <c r="L187" s="197"/>
    </row>
    <row r="188" spans="1:12" hidden="1" x14ac:dyDescent="0.25">
      <c r="E188" s="194"/>
      <c r="F188" s="194"/>
    </row>
    <row r="189" spans="1:12" hidden="1" x14ac:dyDescent="0.25">
      <c r="A189" s="180" t="s">
        <v>21</v>
      </c>
      <c r="B189" s="179"/>
      <c r="C189" s="179"/>
      <c r="D189" s="179"/>
      <c r="E189" s="179"/>
      <c r="F189" s="179"/>
      <c r="G189" s="179"/>
      <c r="H189" s="179"/>
      <c r="I189" s="180"/>
    </row>
    <row r="190" spans="1:12" hidden="1" x14ac:dyDescent="0.25">
      <c r="A190" s="180" t="s">
        <v>22</v>
      </c>
      <c r="B190" s="179"/>
      <c r="C190" s="179"/>
      <c r="D190" s="179"/>
      <c r="E190" s="179"/>
      <c r="F190" s="179"/>
      <c r="G190" s="179"/>
      <c r="H190" s="179"/>
      <c r="I190" s="180"/>
    </row>
    <row r="191" spans="1:12" hidden="1" x14ac:dyDescent="0.25">
      <c r="A191" s="180" t="s">
        <v>310</v>
      </c>
      <c r="B191" s="179"/>
      <c r="C191" s="179"/>
      <c r="D191" s="179"/>
      <c r="E191" s="179"/>
      <c r="F191" s="179"/>
      <c r="G191" s="179"/>
      <c r="H191" s="179"/>
      <c r="I191" s="180"/>
    </row>
    <row r="192" spans="1:12" x14ac:dyDescent="0.25">
      <c r="A192" s="596" t="s">
        <v>352</v>
      </c>
      <c r="B192" s="179"/>
      <c r="C192" s="179"/>
      <c r="D192" s="179"/>
      <c r="E192" s="179"/>
      <c r="F192" s="179"/>
      <c r="G192" s="179"/>
      <c r="H192" s="179"/>
      <c r="I192" s="180"/>
    </row>
    <row r="194" spans="1:10" hidden="1" x14ac:dyDescent="0.25"/>
    <row r="195" spans="1:10" x14ac:dyDescent="0.25">
      <c r="D195" s="181" t="s">
        <v>311</v>
      </c>
      <c r="G195" s="181" t="s">
        <v>312</v>
      </c>
    </row>
    <row r="196" spans="1:10" x14ac:dyDescent="0.25">
      <c r="D196" s="182" t="s">
        <v>313</v>
      </c>
      <c r="G196" s="182" t="s">
        <v>313</v>
      </c>
    </row>
    <row r="197" spans="1:10" x14ac:dyDescent="0.25">
      <c r="A197" s="180" t="s">
        <v>314</v>
      </c>
      <c r="D197" s="183">
        <v>12</v>
      </c>
      <c r="G197" s="183">
        <f>VLOOKUP(J197,'EXHIBIT JDT-3 RES'!D:N,7,FALSE)</f>
        <v>18</v>
      </c>
      <c r="J197" s="177" t="s">
        <v>99</v>
      </c>
    </row>
    <row r="198" spans="1:10" x14ac:dyDescent="0.25">
      <c r="A198" s="180" t="s">
        <v>315</v>
      </c>
      <c r="C198" s="184">
        <v>9999999999</v>
      </c>
      <c r="D198" s="185">
        <v>0.24757999999999999</v>
      </c>
      <c r="G198" s="185">
        <f>VLOOKUP(J198,'EXHIBIT JDT-3 RES'!D:N,7,FALSE)/10</f>
        <v>0.26959</v>
      </c>
      <c r="J198" s="177" t="s">
        <v>125</v>
      </c>
    </row>
    <row r="199" spans="1:10" x14ac:dyDescent="0.25">
      <c r="C199" s="184"/>
      <c r="D199" s="185"/>
      <c r="G199" s="185"/>
    </row>
    <row r="200" spans="1:10" hidden="1" x14ac:dyDescent="0.25">
      <c r="C200" s="184"/>
      <c r="D200" s="185"/>
      <c r="G200" s="185"/>
    </row>
    <row r="201" spans="1:10" hidden="1" x14ac:dyDescent="0.25">
      <c r="A201" s="180" t="s">
        <v>316</v>
      </c>
      <c r="D201" s="185">
        <v>0</v>
      </c>
      <c r="E201" s="186"/>
      <c r="F201" s="186"/>
      <c r="G201" s="185">
        <f>D201</f>
        <v>0</v>
      </c>
      <c r="J201" s="187" t="s">
        <v>370</v>
      </c>
    </row>
    <row r="202" spans="1:10" hidden="1" x14ac:dyDescent="0.25">
      <c r="A202" s="180" t="s">
        <v>152</v>
      </c>
      <c r="D202" s="185">
        <v>0</v>
      </c>
      <c r="E202" s="186"/>
      <c r="F202" s="186"/>
      <c r="G202" s="185">
        <f t="shared" ref="G202:G204" si="48">D202</f>
        <v>0</v>
      </c>
      <c r="J202" s="187" t="s">
        <v>370</v>
      </c>
    </row>
    <row r="203" spans="1:10" hidden="1" x14ac:dyDescent="0.25">
      <c r="A203" s="180" t="s">
        <v>318</v>
      </c>
      <c r="D203" s="185">
        <v>0</v>
      </c>
      <c r="E203" s="186"/>
      <c r="F203" s="186"/>
      <c r="G203" s="185">
        <f t="shared" si="48"/>
        <v>0</v>
      </c>
      <c r="J203" s="187"/>
    </row>
    <row r="204" spans="1:10" hidden="1" x14ac:dyDescent="0.25">
      <c r="A204" s="180" t="s">
        <v>319</v>
      </c>
      <c r="D204" s="185">
        <v>0</v>
      </c>
      <c r="E204" s="186"/>
      <c r="F204" s="186"/>
      <c r="G204" s="185">
        <f t="shared" si="48"/>
        <v>0</v>
      </c>
      <c r="J204" s="187"/>
    </row>
    <row r="205" spans="1:10" hidden="1" x14ac:dyDescent="0.25">
      <c r="A205" s="180" t="s">
        <v>320</v>
      </c>
      <c r="D205" s="185">
        <v>0</v>
      </c>
      <c r="E205" s="186"/>
      <c r="F205" s="186"/>
      <c r="G205" s="185">
        <f>IFERROR(VLOOKUP(J205,'EXHIBIT JDT-3 RES'!D:N,7,FALSE)/10,0)</f>
        <v>0</v>
      </c>
      <c r="J205" s="187"/>
    </row>
    <row r="206" spans="1:10" hidden="1" x14ac:dyDescent="0.25">
      <c r="A206" s="180" t="s">
        <v>341</v>
      </c>
      <c r="D206" s="185">
        <v>0</v>
      </c>
      <c r="E206" s="186"/>
      <c r="F206" s="186"/>
      <c r="G206" s="185">
        <f>IFERROR(VLOOKUP(J206,'EXHIBIT JDT-3 RES'!D:N,7,FALSE)/10,0)</f>
        <v>0</v>
      </c>
      <c r="J206" s="187"/>
    </row>
    <row r="207" spans="1:10" hidden="1" x14ac:dyDescent="0.25">
      <c r="A207" s="180" t="s">
        <v>342</v>
      </c>
      <c r="D207" s="185">
        <v>0</v>
      </c>
      <c r="E207" s="186"/>
      <c r="F207" s="186"/>
      <c r="G207" s="185">
        <v>0</v>
      </c>
      <c r="J207" s="188" t="s">
        <v>370</v>
      </c>
    </row>
    <row r="208" spans="1:10" hidden="1" x14ac:dyDescent="0.25">
      <c r="A208" s="180" t="s">
        <v>343</v>
      </c>
      <c r="D208" s="185">
        <v>0</v>
      </c>
      <c r="E208" s="186"/>
      <c r="F208" s="186"/>
      <c r="G208" s="185">
        <v>0</v>
      </c>
      <c r="J208" s="188" t="s">
        <v>370</v>
      </c>
    </row>
    <row r="209" spans="1:12" hidden="1" x14ac:dyDescent="0.25">
      <c r="E209" s="186"/>
      <c r="F209" s="186"/>
      <c r="G209" s="186"/>
    </row>
    <row r="210" spans="1:12" hidden="1" x14ac:dyDescent="0.25">
      <c r="A210" s="180" t="s">
        <v>321</v>
      </c>
      <c r="D210" s="189">
        <v>0</v>
      </c>
      <c r="G210" s="189">
        <v>0</v>
      </c>
    </row>
    <row r="211" spans="1:12" hidden="1" x14ac:dyDescent="0.25"/>
    <row r="212" spans="1:12" hidden="1" x14ac:dyDescent="0.25"/>
    <row r="213" spans="1:12" x14ac:dyDescent="0.25">
      <c r="G213" s="190" t="s">
        <v>322</v>
      </c>
      <c r="H213" s="190"/>
    </row>
    <row r="214" spans="1:12" x14ac:dyDescent="0.25">
      <c r="B214" s="176" t="s">
        <v>323</v>
      </c>
      <c r="C214" s="181" t="s">
        <v>311</v>
      </c>
      <c r="D214" s="181" t="s">
        <v>312</v>
      </c>
      <c r="E214" s="181" t="s">
        <v>311</v>
      </c>
      <c r="F214" s="181" t="s">
        <v>312</v>
      </c>
      <c r="G214" s="181" t="s">
        <v>324</v>
      </c>
      <c r="H214" s="181" t="s">
        <v>325</v>
      </c>
      <c r="J214" s="191"/>
    </row>
    <row r="215" spans="1:12" x14ac:dyDescent="0.25">
      <c r="C215" s="192" t="s">
        <v>326</v>
      </c>
      <c r="D215" s="192" t="s">
        <v>327</v>
      </c>
      <c r="E215" s="181" t="s">
        <v>328</v>
      </c>
      <c r="F215" s="181" t="s">
        <v>328</v>
      </c>
      <c r="G215" s="192" t="s">
        <v>329</v>
      </c>
      <c r="J215" s="191"/>
    </row>
    <row r="216" spans="1:12" x14ac:dyDescent="0.25">
      <c r="B216" s="176" t="s">
        <v>330</v>
      </c>
      <c r="J216" s="191"/>
    </row>
    <row r="217" spans="1:12" x14ac:dyDescent="0.25">
      <c r="B217" s="176">
        <v>0</v>
      </c>
      <c r="C217" s="193">
        <f>ROUND((D197+B217*D198+B217*(D201+D202+D203+D204+D205+D206+D207+D208))*(1+D210),2)</f>
        <v>12</v>
      </c>
      <c r="D217" s="193">
        <f>ROUND(($G$197+(SUM($G$198:$G$208)*B217))*(1+$G$210),2)</f>
        <v>18</v>
      </c>
      <c r="E217" s="194"/>
      <c r="F217" s="194"/>
      <c r="G217" s="193">
        <f t="shared" ref="G217:G242" si="49">D217-C217</f>
        <v>6</v>
      </c>
      <c r="H217" s="195">
        <f t="shared" ref="H217:H242" si="50">ROUND(G217/C217,4)</f>
        <v>0.5</v>
      </c>
      <c r="J217" s="207"/>
      <c r="L217" s="197"/>
    </row>
    <row r="218" spans="1:12" x14ac:dyDescent="0.25">
      <c r="A218" s="598"/>
      <c r="B218" s="176">
        <f>B217+30</f>
        <v>30</v>
      </c>
      <c r="C218" s="193">
        <f>ROUND((D197+B218*D198+B218*(D201+D202+D203+D204+D205+D206+D207+D208))*(1+D210),2)</f>
        <v>19.43</v>
      </c>
      <c r="D218" s="193">
        <f t="shared" ref="D218:D242" si="51">ROUND(($G$197+(SUM($G$198:$G$208)*B218))*(1+$G$210),2)</f>
        <v>26.09</v>
      </c>
      <c r="E218" s="194">
        <f t="shared" ref="E218:E242" si="52">+C218/B218</f>
        <v>0.64766666666666661</v>
      </c>
      <c r="F218" s="194">
        <f t="shared" ref="F218:F242" si="53">+D218/B218</f>
        <v>0.8696666666666667</v>
      </c>
      <c r="G218" s="193">
        <f t="shared" si="49"/>
        <v>6.66</v>
      </c>
      <c r="H218" s="195">
        <f t="shared" si="50"/>
        <v>0.34279999999999999</v>
      </c>
      <c r="J218" s="207"/>
      <c r="L218" s="197"/>
    </row>
    <row r="219" spans="1:12" x14ac:dyDescent="0.25">
      <c r="B219" s="176">
        <f t="shared" ref="B219:B247" si="54">B218+30</f>
        <v>60</v>
      </c>
      <c r="C219" s="193">
        <f>ROUND((D197+B219*D198+B219*(D201+D202+D203+D204+D205+D206+D207+D208))*(1+D210),2)</f>
        <v>26.85</v>
      </c>
      <c r="D219" s="193">
        <f t="shared" si="51"/>
        <v>34.18</v>
      </c>
      <c r="E219" s="194">
        <f t="shared" si="52"/>
        <v>0.44750000000000001</v>
      </c>
      <c r="F219" s="194">
        <f t="shared" si="53"/>
        <v>0.56966666666666665</v>
      </c>
      <c r="G219" s="193">
        <f t="shared" si="49"/>
        <v>7.3299999999999983</v>
      </c>
      <c r="H219" s="195">
        <f t="shared" si="50"/>
        <v>0.27300000000000002</v>
      </c>
      <c r="J219" s="207"/>
      <c r="L219" s="197"/>
    </row>
    <row r="220" spans="1:12" x14ac:dyDescent="0.25">
      <c r="B220" s="176">
        <f t="shared" si="54"/>
        <v>90</v>
      </c>
      <c r="C220" s="193">
        <f>ROUND((D197+B220*D198+B220*(D201+D202+D203+D204+D205+D206+D207+D208))*(1+D210),2)</f>
        <v>34.28</v>
      </c>
      <c r="D220" s="193">
        <f t="shared" si="51"/>
        <v>42.26</v>
      </c>
      <c r="E220" s="194">
        <f t="shared" si="52"/>
        <v>0.38088888888888889</v>
      </c>
      <c r="F220" s="194">
        <f t="shared" si="53"/>
        <v>0.46955555555555556</v>
      </c>
      <c r="G220" s="193">
        <f t="shared" si="49"/>
        <v>7.9799999999999969</v>
      </c>
      <c r="H220" s="195">
        <f t="shared" si="50"/>
        <v>0.23280000000000001</v>
      </c>
      <c r="J220" s="207"/>
      <c r="L220" s="197"/>
    </row>
    <row r="221" spans="1:12" x14ac:dyDescent="0.25">
      <c r="B221" s="176">
        <f t="shared" si="54"/>
        <v>120</v>
      </c>
      <c r="C221" s="193">
        <f>ROUND((D197+B221*D198+B221*(D201+D202+D203+D204+D205+D206+D207+D208))*(1+D210),2)</f>
        <v>41.71</v>
      </c>
      <c r="D221" s="193">
        <f t="shared" si="51"/>
        <v>50.35</v>
      </c>
      <c r="E221" s="194">
        <f t="shared" si="52"/>
        <v>0.34758333333333336</v>
      </c>
      <c r="F221" s="194">
        <f t="shared" si="53"/>
        <v>0.41958333333333336</v>
      </c>
      <c r="G221" s="193">
        <f t="shared" si="49"/>
        <v>8.64</v>
      </c>
      <c r="H221" s="195">
        <f t="shared" si="50"/>
        <v>0.20710000000000001</v>
      </c>
      <c r="J221" s="207"/>
      <c r="L221" s="197"/>
    </row>
    <row r="222" spans="1:12" x14ac:dyDescent="0.25">
      <c r="B222" s="176">
        <f t="shared" si="54"/>
        <v>150</v>
      </c>
      <c r="C222" s="193">
        <f>ROUND((D197+B222*D198+B222*(D201+D202+D203+D204+D205+D206+D207+D208))*(1+D210),2)</f>
        <v>49.14</v>
      </c>
      <c r="D222" s="193">
        <f t="shared" si="51"/>
        <v>58.44</v>
      </c>
      <c r="E222" s="194">
        <f t="shared" si="52"/>
        <v>0.3276</v>
      </c>
      <c r="F222" s="194">
        <f t="shared" si="53"/>
        <v>0.3896</v>
      </c>
      <c r="G222" s="193">
        <f t="shared" si="49"/>
        <v>9.2999999999999972</v>
      </c>
      <c r="H222" s="195">
        <f t="shared" si="50"/>
        <v>0.1893</v>
      </c>
      <c r="J222" s="207"/>
      <c r="L222" s="197"/>
    </row>
    <row r="223" spans="1:12" x14ac:dyDescent="0.25">
      <c r="B223" s="176">
        <f t="shared" si="54"/>
        <v>180</v>
      </c>
      <c r="C223" s="193">
        <f>ROUND((D197+B223*D198+B223*(D201+D202+D203+D204+D205+D206+D207+D208))*(1+D210),2)</f>
        <v>56.56</v>
      </c>
      <c r="D223" s="193">
        <f t="shared" si="51"/>
        <v>66.53</v>
      </c>
      <c r="E223" s="194">
        <f t="shared" si="52"/>
        <v>0.31422222222222224</v>
      </c>
      <c r="F223" s="194">
        <f t="shared" si="53"/>
        <v>0.36961111111111111</v>
      </c>
      <c r="G223" s="193">
        <f t="shared" si="49"/>
        <v>9.9699999999999989</v>
      </c>
      <c r="H223" s="195">
        <f t="shared" si="50"/>
        <v>0.17630000000000001</v>
      </c>
      <c r="J223" s="207"/>
      <c r="L223" s="197"/>
    </row>
    <row r="224" spans="1:12" x14ac:dyDescent="0.25">
      <c r="B224" s="176">
        <f t="shared" si="54"/>
        <v>210</v>
      </c>
      <c r="C224" s="193">
        <f>ROUND((D197+B224*D198+B224*(D201+D202+D203+D204+D205+D206+D207+D208))*(1+D210),2)</f>
        <v>63.99</v>
      </c>
      <c r="D224" s="193">
        <f t="shared" si="51"/>
        <v>74.61</v>
      </c>
      <c r="E224" s="194">
        <f t="shared" si="52"/>
        <v>0.30471428571428572</v>
      </c>
      <c r="F224" s="194">
        <f t="shared" si="53"/>
        <v>0.35528571428571426</v>
      </c>
      <c r="G224" s="193">
        <f t="shared" si="49"/>
        <v>10.619999999999997</v>
      </c>
      <c r="H224" s="195">
        <f t="shared" si="50"/>
        <v>0.16600000000000001</v>
      </c>
      <c r="J224" s="207"/>
      <c r="L224" s="197"/>
    </row>
    <row r="225" spans="2:12" x14ac:dyDescent="0.25">
      <c r="B225" s="176">
        <f t="shared" si="54"/>
        <v>240</v>
      </c>
      <c r="C225" s="193">
        <f>ROUND((D197+B225*D198+B225*(D201+D202+D203+D204+D205+D206+D207+D208))*(1+D210),2)</f>
        <v>71.42</v>
      </c>
      <c r="D225" s="193">
        <f t="shared" si="51"/>
        <v>82.7</v>
      </c>
      <c r="E225" s="194">
        <f t="shared" si="52"/>
        <v>0.29758333333333337</v>
      </c>
      <c r="F225" s="194">
        <f t="shared" si="53"/>
        <v>0.34458333333333335</v>
      </c>
      <c r="G225" s="193">
        <f t="shared" si="49"/>
        <v>11.280000000000001</v>
      </c>
      <c r="H225" s="195">
        <f t="shared" si="50"/>
        <v>0.15790000000000001</v>
      </c>
      <c r="J225" s="207"/>
      <c r="L225" s="197"/>
    </row>
    <row r="226" spans="2:12" x14ac:dyDescent="0.25">
      <c r="B226" s="176">
        <f t="shared" si="54"/>
        <v>270</v>
      </c>
      <c r="C226" s="193">
        <f>ROUND((D197+B226*D198+B226*(D201+D202+D203+D204+D205+D206+D207+D208))*(1+D210),2)</f>
        <v>78.849999999999994</v>
      </c>
      <c r="D226" s="193">
        <f t="shared" si="51"/>
        <v>90.79</v>
      </c>
      <c r="E226" s="194">
        <f t="shared" si="52"/>
        <v>0.29203703703703704</v>
      </c>
      <c r="F226" s="194">
        <f t="shared" si="53"/>
        <v>0.33625925925925926</v>
      </c>
      <c r="G226" s="193">
        <f t="shared" si="49"/>
        <v>11.940000000000012</v>
      </c>
      <c r="H226" s="195">
        <f t="shared" si="50"/>
        <v>0.15140000000000001</v>
      </c>
      <c r="J226" s="207"/>
      <c r="L226" s="197"/>
    </row>
    <row r="227" spans="2:12" x14ac:dyDescent="0.25">
      <c r="B227" s="176">
        <f t="shared" si="54"/>
        <v>300</v>
      </c>
      <c r="C227" s="193">
        <f>ROUND((D197+B227*D198+B227*(D201+D202+D203+D204+D205+D206+D207+D208))*(1+D210),2)</f>
        <v>86.27</v>
      </c>
      <c r="D227" s="193">
        <f t="shared" si="51"/>
        <v>98.88</v>
      </c>
      <c r="E227" s="194">
        <f t="shared" si="52"/>
        <v>0.28756666666666664</v>
      </c>
      <c r="F227" s="194">
        <f t="shared" si="53"/>
        <v>0.3296</v>
      </c>
      <c r="G227" s="193">
        <f t="shared" si="49"/>
        <v>12.61</v>
      </c>
      <c r="H227" s="195">
        <f t="shared" si="50"/>
        <v>0.1462</v>
      </c>
      <c r="J227" s="207"/>
      <c r="L227" s="197"/>
    </row>
    <row r="228" spans="2:12" x14ac:dyDescent="0.25">
      <c r="B228" s="176">
        <f t="shared" si="54"/>
        <v>330</v>
      </c>
      <c r="C228" s="193">
        <f>ROUND((D197+B228*D198+B228*(D201+D202+D203+D204+D205+D206+D207+D208))*(1+D210),2)</f>
        <v>93.7</v>
      </c>
      <c r="D228" s="193">
        <f t="shared" si="51"/>
        <v>106.96</v>
      </c>
      <c r="E228" s="194">
        <f t="shared" si="52"/>
        <v>0.28393939393939394</v>
      </c>
      <c r="F228" s="194">
        <f t="shared" si="53"/>
        <v>0.32412121212121209</v>
      </c>
      <c r="G228" s="193">
        <f t="shared" si="49"/>
        <v>13.259999999999991</v>
      </c>
      <c r="H228" s="195">
        <f t="shared" si="50"/>
        <v>0.14149999999999999</v>
      </c>
      <c r="J228" s="207"/>
      <c r="L228" s="197"/>
    </row>
    <row r="229" spans="2:12" x14ac:dyDescent="0.25">
      <c r="B229" s="176">
        <f t="shared" si="54"/>
        <v>360</v>
      </c>
      <c r="C229" s="193">
        <f>ROUND((D197+B229*D198+B229*(D201+D202+D203+D204+D205+D206+D207+D208))*(1+D210),2)</f>
        <v>101.13</v>
      </c>
      <c r="D229" s="193">
        <f t="shared" si="51"/>
        <v>115.05</v>
      </c>
      <c r="E229" s="194">
        <f t="shared" si="52"/>
        <v>0.28091666666666665</v>
      </c>
      <c r="F229" s="194">
        <f t="shared" si="53"/>
        <v>0.31958333333333333</v>
      </c>
      <c r="G229" s="193">
        <f t="shared" si="49"/>
        <v>13.920000000000002</v>
      </c>
      <c r="H229" s="195">
        <f t="shared" si="50"/>
        <v>0.1376</v>
      </c>
      <c r="J229" s="207"/>
      <c r="L229" s="197"/>
    </row>
    <row r="230" spans="2:12" x14ac:dyDescent="0.25">
      <c r="B230" s="176">
        <f t="shared" si="54"/>
        <v>390</v>
      </c>
      <c r="C230" s="193">
        <f>ROUND((D197+B230*D198+B230*(D201+D202+D203+D204+D205+D206+D207+D208))*(1+D210),2)</f>
        <v>108.56</v>
      </c>
      <c r="D230" s="193">
        <f t="shared" si="51"/>
        <v>123.14</v>
      </c>
      <c r="E230" s="194">
        <f t="shared" si="52"/>
        <v>0.27835897435897439</v>
      </c>
      <c r="F230" s="194">
        <f t="shared" si="53"/>
        <v>0.31574358974358974</v>
      </c>
      <c r="G230" s="193">
        <f t="shared" si="49"/>
        <v>14.579999999999998</v>
      </c>
      <c r="H230" s="195">
        <f t="shared" si="50"/>
        <v>0.1343</v>
      </c>
      <c r="J230" s="207"/>
      <c r="L230" s="197"/>
    </row>
    <row r="231" spans="2:12" x14ac:dyDescent="0.25">
      <c r="B231" s="176">
        <f t="shared" si="54"/>
        <v>420</v>
      </c>
      <c r="C231" s="193">
        <f>ROUND((D197+B231*D198+B231*(D201+D202+D203+D204+D205+D206+D207+D208))*(1+D210),2)</f>
        <v>115.98</v>
      </c>
      <c r="D231" s="193">
        <f t="shared" si="51"/>
        <v>131.22999999999999</v>
      </c>
      <c r="E231" s="194">
        <f t="shared" si="52"/>
        <v>0.27614285714285713</v>
      </c>
      <c r="F231" s="194">
        <f t="shared" si="53"/>
        <v>0.31245238095238093</v>
      </c>
      <c r="G231" s="193">
        <f t="shared" si="49"/>
        <v>15.249999999999986</v>
      </c>
      <c r="H231" s="195">
        <f>ROUND(G231/C231,4)</f>
        <v>0.13150000000000001</v>
      </c>
      <c r="J231" s="207"/>
      <c r="L231" s="197"/>
    </row>
    <row r="232" spans="2:12" x14ac:dyDescent="0.25">
      <c r="B232" s="176">
        <f t="shared" si="54"/>
        <v>450</v>
      </c>
      <c r="C232" s="193">
        <f>ROUND((D197+B232*D198+B232*(D201+D202+D203+D204+D205+D206+D207+D208))*(1+D210),2)</f>
        <v>123.41</v>
      </c>
      <c r="D232" s="193">
        <f t="shared" si="51"/>
        <v>139.32</v>
      </c>
      <c r="E232" s="194">
        <f t="shared" si="52"/>
        <v>0.27424444444444446</v>
      </c>
      <c r="F232" s="194">
        <f t="shared" si="53"/>
        <v>0.30959999999999999</v>
      </c>
      <c r="G232" s="193">
        <f t="shared" si="49"/>
        <v>15.909999999999997</v>
      </c>
      <c r="H232" s="195">
        <f t="shared" si="50"/>
        <v>0.12889999999999999</v>
      </c>
      <c r="J232" s="207"/>
      <c r="L232" s="197"/>
    </row>
    <row r="233" spans="2:12" x14ac:dyDescent="0.25">
      <c r="B233" s="176">
        <f t="shared" si="54"/>
        <v>480</v>
      </c>
      <c r="C233" s="193">
        <f>ROUND((D197+B233*D198+B233*(D201+D202+D203+D204+D205+D206+D207+D208))*(1+D210),2)</f>
        <v>130.84</v>
      </c>
      <c r="D233" s="193">
        <f t="shared" si="51"/>
        <v>147.4</v>
      </c>
      <c r="E233" s="194">
        <f t="shared" si="52"/>
        <v>0.27258333333333334</v>
      </c>
      <c r="F233" s="194">
        <f t="shared" si="53"/>
        <v>0.30708333333333332</v>
      </c>
      <c r="G233" s="193">
        <f t="shared" si="49"/>
        <v>16.560000000000002</v>
      </c>
      <c r="H233" s="195">
        <f t="shared" si="50"/>
        <v>0.12659999999999999</v>
      </c>
      <c r="J233" s="207"/>
      <c r="L233" s="197"/>
    </row>
    <row r="234" spans="2:12" x14ac:dyDescent="0.25">
      <c r="B234" s="176">
        <f t="shared" si="54"/>
        <v>510</v>
      </c>
      <c r="C234" s="193">
        <f>ROUND((D197+B234*D198+B234*(D201+D202+D203+D204+D205+D206+D207+D208))*(1+D210),2)</f>
        <v>138.27000000000001</v>
      </c>
      <c r="D234" s="193">
        <f t="shared" si="51"/>
        <v>155.49</v>
      </c>
      <c r="E234" s="194">
        <f t="shared" si="52"/>
        <v>0.27111764705882357</v>
      </c>
      <c r="F234" s="194">
        <f t="shared" si="53"/>
        <v>0.30488235294117649</v>
      </c>
      <c r="G234" s="193">
        <f t="shared" si="49"/>
        <v>17.22</v>
      </c>
      <c r="H234" s="195">
        <f t="shared" si="50"/>
        <v>0.1245</v>
      </c>
      <c r="J234" s="207"/>
      <c r="L234" s="197"/>
    </row>
    <row r="235" spans="2:12" x14ac:dyDescent="0.25">
      <c r="B235" s="176">
        <f t="shared" si="54"/>
        <v>540</v>
      </c>
      <c r="C235" s="193">
        <f>ROUND((D197+B235*D198+B235*(D201+D202+D203+D204+D205+D206+D207+D208))*(1+D210),2)</f>
        <v>145.69</v>
      </c>
      <c r="D235" s="193">
        <f t="shared" si="51"/>
        <v>163.58000000000001</v>
      </c>
      <c r="E235" s="194">
        <f t="shared" si="52"/>
        <v>0.26979629629629631</v>
      </c>
      <c r="F235" s="194">
        <f t="shared" si="53"/>
        <v>0.30292592592592593</v>
      </c>
      <c r="G235" s="193">
        <f t="shared" si="49"/>
        <v>17.890000000000015</v>
      </c>
      <c r="H235" s="195">
        <f t="shared" si="50"/>
        <v>0.12280000000000001</v>
      </c>
      <c r="J235" s="207"/>
      <c r="L235" s="197"/>
    </row>
    <row r="236" spans="2:12" x14ac:dyDescent="0.25">
      <c r="B236" s="176">
        <f t="shared" si="54"/>
        <v>570</v>
      </c>
      <c r="C236" s="193">
        <f>ROUND((D197+B236*D198+B236*(D201+D202+D203+D204+D205+D206+D207+D208))*(1+D210),2)</f>
        <v>153.12</v>
      </c>
      <c r="D236" s="193">
        <f t="shared" si="51"/>
        <v>171.67</v>
      </c>
      <c r="E236" s="194">
        <f t="shared" si="52"/>
        <v>0.26863157894736844</v>
      </c>
      <c r="F236" s="194">
        <f t="shared" si="53"/>
        <v>0.30117543859649121</v>
      </c>
      <c r="G236" s="193">
        <f t="shared" si="49"/>
        <v>18.549999999999983</v>
      </c>
      <c r="H236" s="195">
        <f t="shared" si="50"/>
        <v>0.1211</v>
      </c>
      <c r="J236" s="207"/>
      <c r="L236" s="197"/>
    </row>
    <row r="237" spans="2:12" x14ac:dyDescent="0.25">
      <c r="B237" s="176">
        <f t="shared" si="54"/>
        <v>600</v>
      </c>
      <c r="C237" s="193">
        <f>ROUND((D197+B237*D198+B237*(D201+D202+D203+D204+D205+D206+D207+D208))*(1+D210),2)</f>
        <v>160.55000000000001</v>
      </c>
      <c r="D237" s="193">
        <f t="shared" si="51"/>
        <v>179.75</v>
      </c>
      <c r="E237" s="194">
        <f t="shared" si="52"/>
        <v>0.26758333333333334</v>
      </c>
      <c r="F237" s="194">
        <f t="shared" si="53"/>
        <v>0.29958333333333331</v>
      </c>
      <c r="G237" s="193">
        <f t="shared" si="49"/>
        <v>19.199999999999989</v>
      </c>
      <c r="H237" s="195">
        <f t="shared" si="50"/>
        <v>0.1196</v>
      </c>
      <c r="J237" s="207"/>
      <c r="L237" s="197"/>
    </row>
    <row r="238" spans="2:12" x14ac:dyDescent="0.25">
      <c r="B238" s="176">
        <f t="shared" si="54"/>
        <v>630</v>
      </c>
      <c r="C238" s="193">
        <f>ROUND((D197+B238*D198+B238*(D201+D202+D203+D204+D205+D206+D207+D208))*(1+D210),2)</f>
        <v>167.98</v>
      </c>
      <c r="D238" s="193">
        <f t="shared" si="51"/>
        <v>187.84</v>
      </c>
      <c r="E238" s="194">
        <f t="shared" si="52"/>
        <v>0.26663492063492061</v>
      </c>
      <c r="F238" s="194">
        <f t="shared" si="53"/>
        <v>0.29815873015873018</v>
      </c>
      <c r="G238" s="193">
        <f t="shared" si="49"/>
        <v>19.860000000000014</v>
      </c>
      <c r="H238" s="195">
        <f t="shared" si="50"/>
        <v>0.1182</v>
      </c>
      <c r="J238" s="207"/>
      <c r="L238" s="197"/>
    </row>
    <row r="239" spans="2:12" x14ac:dyDescent="0.25">
      <c r="B239" s="176">
        <f t="shared" si="54"/>
        <v>660</v>
      </c>
      <c r="C239" s="193">
        <f>ROUND((D197+B239*D198+B239*(D201+D202+D203+D204+D205+D206+D207+D208))*(1+D210),2)</f>
        <v>175.4</v>
      </c>
      <c r="D239" s="193">
        <f t="shared" si="51"/>
        <v>195.93</v>
      </c>
      <c r="E239" s="194">
        <f t="shared" si="52"/>
        <v>0.26575757575757575</v>
      </c>
      <c r="F239" s="194">
        <f t="shared" si="53"/>
        <v>0.29686363636363639</v>
      </c>
      <c r="G239" s="193">
        <f t="shared" si="49"/>
        <v>20.53</v>
      </c>
      <c r="H239" s="195">
        <f t="shared" si="50"/>
        <v>0.11700000000000001</v>
      </c>
      <c r="J239" s="207"/>
      <c r="L239" s="197"/>
    </row>
    <row r="240" spans="2:12" x14ac:dyDescent="0.25">
      <c r="B240" s="176">
        <f t="shared" si="54"/>
        <v>690</v>
      </c>
      <c r="C240" s="193">
        <f>ROUND(($D$197+B240*$D$198+B240*($D$201+$D$202+$D$203+$D$204+$D$205+$D$206+$D$207+$D$208))*(1+$D$210),2)</f>
        <v>182.83</v>
      </c>
      <c r="D240" s="193">
        <f t="shared" si="51"/>
        <v>204.02</v>
      </c>
      <c r="E240" s="194">
        <f t="shared" si="52"/>
        <v>0.26497101449275362</v>
      </c>
      <c r="F240" s="194">
        <f t="shared" si="53"/>
        <v>0.29568115942028989</v>
      </c>
      <c r="G240" s="193">
        <f t="shared" si="49"/>
        <v>21.189999999999998</v>
      </c>
      <c r="H240" s="195">
        <f t="shared" si="50"/>
        <v>0.1159</v>
      </c>
      <c r="J240" s="207"/>
      <c r="L240" s="197"/>
    </row>
    <row r="241" spans="1:12" x14ac:dyDescent="0.25">
      <c r="B241" s="176">
        <f t="shared" si="54"/>
        <v>720</v>
      </c>
      <c r="C241" s="193">
        <f>ROUND(($D$197+B241*$D$198+B241*($D$201+$D$202+$D$203+$D$204+$D$205+$D$206+$D$207+$D$208))*(1+$D$210),2)</f>
        <v>190.26</v>
      </c>
      <c r="D241" s="193">
        <f t="shared" si="51"/>
        <v>212.1</v>
      </c>
      <c r="E241" s="194">
        <f t="shared" si="52"/>
        <v>0.26424999999999998</v>
      </c>
      <c r="F241" s="194">
        <f t="shared" si="53"/>
        <v>0.29458333333333331</v>
      </c>
      <c r="G241" s="193">
        <f t="shared" si="49"/>
        <v>21.840000000000003</v>
      </c>
      <c r="H241" s="195">
        <f t="shared" si="50"/>
        <v>0.1148</v>
      </c>
      <c r="J241" s="207"/>
      <c r="L241" s="197"/>
    </row>
    <row r="242" spans="1:12" x14ac:dyDescent="0.25">
      <c r="B242" s="176">
        <f t="shared" si="54"/>
        <v>750</v>
      </c>
      <c r="C242" s="193">
        <f>ROUND(($D$197+B242*$D$198+B242*($D$201+$D$202+$D$203+$D$204+$D$205+$D$206+$D$207+$D$208))*(1+$D$210),2)</f>
        <v>197.69</v>
      </c>
      <c r="D242" s="193">
        <f t="shared" si="51"/>
        <v>220.19</v>
      </c>
      <c r="E242" s="194">
        <f t="shared" si="52"/>
        <v>0.26358666666666669</v>
      </c>
      <c r="F242" s="194">
        <f t="shared" si="53"/>
        <v>0.29358666666666666</v>
      </c>
      <c r="G242" s="193">
        <f t="shared" si="49"/>
        <v>22.5</v>
      </c>
      <c r="H242" s="195">
        <f t="shared" si="50"/>
        <v>0.1138</v>
      </c>
      <c r="J242" s="207"/>
      <c r="L242" s="197"/>
    </row>
    <row r="243" spans="1:12" x14ac:dyDescent="0.25">
      <c r="B243" s="176">
        <f t="shared" si="54"/>
        <v>780</v>
      </c>
      <c r="C243" s="193">
        <f t="shared" ref="C243:C247" si="55">ROUND(($D$197+B243*$D$198+B243*($D$201+$D$202+$D$203+$D$204+$D$205+$D$206+$D$207+$D$208))*(1+$D$210),2)</f>
        <v>205.11</v>
      </c>
      <c r="D243" s="193">
        <f t="shared" ref="D243:D247" si="56">ROUND(($G$197+(SUM($G$198:$G$208)*B243))*(1+$G$210),2)</f>
        <v>228.28</v>
      </c>
      <c r="E243" s="194">
        <f>+C243/B243</f>
        <v>0.26296153846153847</v>
      </c>
      <c r="F243" s="194">
        <f t="shared" ref="F243:F247" si="57">+D243/B243</f>
        <v>0.29266666666666669</v>
      </c>
      <c r="G243" s="193">
        <f t="shared" ref="G243:G247" si="58">D243-C243</f>
        <v>23.169999999999987</v>
      </c>
      <c r="H243" s="195">
        <f t="shared" ref="H243:H247" si="59">ROUND(G243/C243,4)</f>
        <v>0.113</v>
      </c>
      <c r="J243" s="207"/>
      <c r="L243" s="197"/>
    </row>
    <row r="244" spans="1:12" x14ac:dyDescent="0.25">
      <c r="B244" s="176">
        <f t="shared" si="54"/>
        <v>810</v>
      </c>
      <c r="C244" s="193">
        <f t="shared" si="55"/>
        <v>212.54</v>
      </c>
      <c r="D244" s="193">
        <f t="shared" si="56"/>
        <v>236.37</v>
      </c>
      <c r="E244" s="194">
        <f t="shared" ref="E244:E247" si="60">+C244/B244</f>
        <v>0.26239506172839505</v>
      </c>
      <c r="F244" s="194">
        <f t="shared" si="57"/>
        <v>0.2918148148148148</v>
      </c>
      <c r="G244" s="193">
        <f t="shared" si="58"/>
        <v>23.830000000000013</v>
      </c>
      <c r="H244" s="195">
        <f t="shared" si="59"/>
        <v>0.11210000000000001</v>
      </c>
      <c r="J244" s="207"/>
      <c r="L244" s="197"/>
    </row>
    <row r="245" spans="1:12" x14ac:dyDescent="0.25">
      <c r="B245" s="176">
        <f t="shared" si="54"/>
        <v>840</v>
      </c>
      <c r="C245" s="193">
        <f t="shared" si="55"/>
        <v>219.97</v>
      </c>
      <c r="D245" s="193">
        <f t="shared" si="56"/>
        <v>244.46</v>
      </c>
      <c r="E245" s="194">
        <f t="shared" si="60"/>
        <v>0.26186904761904761</v>
      </c>
      <c r="F245" s="194">
        <f t="shared" si="57"/>
        <v>0.29102380952380952</v>
      </c>
      <c r="G245" s="193">
        <f t="shared" si="58"/>
        <v>24.490000000000009</v>
      </c>
      <c r="H245" s="195">
        <f t="shared" si="59"/>
        <v>0.1113</v>
      </c>
      <c r="J245" s="207"/>
      <c r="L245" s="197"/>
    </row>
    <row r="246" spans="1:12" x14ac:dyDescent="0.25">
      <c r="B246" s="176">
        <f t="shared" si="54"/>
        <v>870</v>
      </c>
      <c r="C246" s="193">
        <f t="shared" si="55"/>
        <v>227.39</v>
      </c>
      <c r="D246" s="193">
        <f t="shared" si="56"/>
        <v>252.54</v>
      </c>
      <c r="E246" s="194">
        <f t="shared" si="60"/>
        <v>0.26136781609195403</v>
      </c>
      <c r="F246" s="194">
        <f t="shared" si="57"/>
        <v>0.2902758620689655</v>
      </c>
      <c r="G246" s="193">
        <f t="shared" si="58"/>
        <v>25.150000000000006</v>
      </c>
      <c r="H246" s="195">
        <f>ROUND(G246/C246,4)</f>
        <v>0.1106</v>
      </c>
      <c r="J246" s="207"/>
      <c r="L246" s="197"/>
    </row>
    <row r="247" spans="1:12" x14ac:dyDescent="0.25">
      <c r="B247" s="176">
        <f t="shared" si="54"/>
        <v>900</v>
      </c>
      <c r="C247" s="193">
        <f t="shared" si="55"/>
        <v>234.82</v>
      </c>
      <c r="D247" s="193">
        <f t="shared" si="56"/>
        <v>260.63</v>
      </c>
      <c r="E247" s="194">
        <f t="shared" si="60"/>
        <v>0.26091111111111109</v>
      </c>
      <c r="F247" s="194">
        <f t="shared" si="57"/>
        <v>0.2895888888888889</v>
      </c>
      <c r="G247" s="193">
        <f t="shared" si="58"/>
        <v>25.810000000000002</v>
      </c>
      <c r="H247" s="195">
        <f t="shared" si="59"/>
        <v>0.1099</v>
      </c>
      <c r="J247" s="207"/>
      <c r="L247" s="197"/>
    </row>
    <row r="248" spans="1:12" x14ac:dyDescent="0.25">
      <c r="C248" s="193"/>
      <c r="D248" s="193"/>
      <c r="E248" s="194"/>
      <c r="F248" s="194"/>
      <c r="G248" s="193"/>
      <c r="H248" s="195"/>
      <c r="J248" s="207"/>
      <c r="L248" s="197"/>
    </row>
    <row r="249" spans="1:12" hidden="1" x14ac:dyDescent="0.25">
      <c r="C249" s="193"/>
      <c r="D249" s="193"/>
      <c r="E249" s="194"/>
      <c r="F249" s="194"/>
      <c r="G249" s="193"/>
      <c r="H249" s="195"/>
      <c r="J249" s="207"/>
      <c r="L249" s="197"/>
    </row>
    <row r="250" spans="1:12" hidden="1" x14ac:dyDescent="0.25">
      <c r="C250" s="193"/>
      <c r="D250" s="193"/>
      <c r="E250" s="194"/>
      <c r="F250" s="194"/>
      <c r="G250" s="193"/>
      <c r="H250" s="195"/>
      <c r="J250" s="207"/>
      <c r="L250" s="197"/>
    </row>
    <row r="251" spans="1:12" hidden="1" x14ac:dyDescent="0.25">
      <c r="C251" s="193"/>
      <c r="D251" s="193"/>
      <c r="E251" s="194"/>
      <c r="F251" s="194"/>
      <c r="G251" s="193"/>
      <c r="H251" s="195"/>
      <c r="J251" s="207"/>
      <c r="L251" s="197"/>
    </row>
    <row r="252" spans="1:12" hidden="1" x14ac:dyDescent="0.25">
      <c r="E252" s="194"/>
      <c r="L252" s="197"/>
    </row>
    <row r="253" spans="1:12" hidden="1" x14ac:dyDescent="0.25">
      <c r="E253" s="194"/>
      <c r="L253" s="197"/>
    </row>
    <row r="254" spans="1:12" hidden="1" x14ac:dyDescent="0.25">
      <c r="A254" s="180" t="s">
        <v>21</v>
      </c>
      <c r="B254" s="179"/>
      <c r="C254" s="179"/>
      <c r="D254" s="179"/>
      <c r="E254" s="179"/>
      <c r="F254" s="179"/>
      <c r="G254" s="179"/>
      <c r="H254" s="179"/>
      <c r="I254" s="180"/>
    </row>
    <row r="255" spans="1:12" hidden="1" x14ac:dyDescent="0.25">
      <c r="A255" s="180" t="s">
        <v>22</v>
      </c>
      <c r="B255" s="179"/>
      <c r="C255" s="179"/>
      <c r="D255" s="179"/>
      <c r="E255" s="179"/>
      <c r="F255" s="179"/>
      <c r="G255" s="179"/>
      <c r="H255" s="179"/>
      <c r="I255" s="180"/>
    </row>
    <row r="256" spans="1:12" hidden="1" x14ac:dyDescent="0.25">
      <c r="A256" s="180" t="s">
        <v>310</v>
      </c>
      <c r="B256" s="179"/>
      <c r="C256" s="179"/>
      <c r="D256" s="179"/>
      <c r="E256" s="179"/>
      <c r="F256" s="179"/>
      <c r="G256" s="179"/>
      <c r="H256" s="179"/>
      <c r="I256" s="180"/>
      <c r="J256" s="177" t="s">
        <v>390</v>
      </c>
    </row>
    <row r="257" spans="1:10" x14ac:dyDescent="0.25">
      <c r="A257" s="599" t="s">
        <v>385</v>
      </c>
      <c r="B257" s="179"/>
      <c r="C257" s="179"/>
      <c r="D257" s="179"/>
      <c r="E257" s="179"/>
      <c r="F257" s="179"/>
      <c r="G257" s="179"/>
      <c r="H257" s="179"/>
      <c r="I257" s="180"/>
      <c r="J257" s="230">
        <f>250*10</f>
        <v>2500</v>
      </c>
    </row>
    <row r="258" spans="1:10" x14ac:dyDescent="0.25">
      <c r="C258" s="193"/>
      <c r="D258" s="193"/>
      <c r="E258" s="194"/>
      <c r="F258" s="194"/>
      <c r="G258" s="193"/>
      <c r="H258" s="195"/>
    </row>
    <row r="259" spans="1:10" x14ac:dyDescent="0.25">
      <c r="D259" s="181" t="s">
        <v>311</v>
      </c>
      <c r="E259" s="194"/>
      <c r="F259" s="194"/>
      <c r="G259" s="181" t="s">
        <v>312</v>
      </c>
    </row>
    <row r="260" spans="1:10" x14ac:dyDescent="0.25">
      <c r="D260" s="182" t="s">
        <v>313</v>
      </c>
      <c r="E260" s="194"/>
      <c r="F260" s="194"/>
      <c r="G260" s="182" t="s">
        <v>313</v>
      </c>
    </row>
    <row r="261" spans="1:10" x14ac:dyDescent="0.25">
      <c r="A261" s="180" t="s">
        <v>314</v>
      </c>
      <c r="D261" s="183">
        <v>19.89</v>
      </c>
      <c r="E261" s="194"/>
      <c r="F261" s="194"/>
      <c r="G261" s="183">
        <f>VLOOKUP(J261,'EXHIBIT JDT-3 SCOM'!D:N,7,FALSE)</f>
        <v>30</v>
      </c>
      <c r="J261" s="208" t="s">
        <v>104</v>
      </c>
    </row>
    <row r="262" spans="1:10" x14ac:dyDescent="0.25">
      <c r="A262" s="180" t="str">
        <f>"FIRST "&amp;FIXED(C262,0,TRUE)&amp;" CCF"</f>
        <v>FIRST 50 CCF</v>
      </c>
      <c r="C262" s="184">
        <v>50</v>
      </c>
      <c r="D262" s="185">
        <v>0.24149000000000004</v>
      </c>
      <c r="E262" s="194"/>
      <c r="F262" s="194"/>
      <c r="G262" s="185"/>
      <c r="J262" s="208" t="s">
        <v>105</v>
      </c>
    </row>
    <row r="263" spans="1:10" x14ac:dyDescent="0.25">
      <c r="A263" s="180" t="s">
        <v>315</v>
      </c>
      <c r="C263" s="184">
        <v>9999999999</v>
      </c>
      <c r="D263" s="185">
        <v>0.21224999999999999</v>
      </c>
      <c r="E263" s="194"/>
      <c r="F263" s="194"/>
      <c r="G263" s="185"/>
      <c r="J263" s="208" t="s">
        <v>106</v>
      </c>
    </row>
    <row r="264" spans="1:10" x14ac:dyDescent="0.25">
      <c r="A264" s="180" t="s">
        <v>315</v>
      </c>
      <c r="C264" s="184"/>
      <c r="D264" s="185"/>
      <c r="E264" s="194"/>
      <c r="F264" s="194"/>
      <c r="G264" s="185">
        <f>VLOOKUP(J264,'EXHIBIT JDT-3 SCOM'!D:N,7,FALSE)/10</f>
        <v>0.22273999999999999</v>
      </c>
      <c r="J264" s="209" t="s">
        <v>345</v>
      </c>
    </row>
    <row r="265" spans="1:10" x14ac:dyDescent="0.25">
      <c r="E265" s="194"/>
      <c r="F265" s="194"/>
      <c r="G265" s="186"/>
      <c r="J265" s="209"/>
    </row>
    <row r="266" spans="1:10" hidden="1" x14ac:dyDescent="0.25">
      <c r="A266" s="180" t="s">
        <v>316</v>
      </c>
      <c r="D266" s="185">
        <v>0</v>
      </c>
      <c r="E266" s="194"/>
      <c r="F266" s="194"/>
      <c r="G266" s="185">
        <f>D266</f>
        <v>0</v>
      </c>
      <c r="J266" s="188" t="s">
        <v>370</v>
      </c>
    </row>
    <row r="267" spans="1:10" hidden="1" x14ac:dyDescent="0.25">
      <c r="A267" s="180" t="s">
        <v>317</v>
      </c>
      <c r="D267" s="210">
        <v>0</v>
      </c>
      <c r="E267" s="194"/>
      <c r="F267" s="194"/>
      <c r="G267" s="185">
        <f t="shared" ref="G267:G269" si="61">D267</f>
        <v>0</v>
      </c>
      <c r="J267" s="188" t="s">
        <v>370</v>
      </c>
    </row>
    <row r="268" spans="1:10" hidden="1" x14ac:dyDescent="0.25">
      <c r="A268" s="180" t="s">
        <v>318</v>
      </c>
      <c r="D268" s="210">
        <v>0</v>
      </c>
      <c r="E268" s="194"/>
      <c r="F268" s="194"/>
      <c r="G268" s="185">
        <f t="shared" si="61"/>
        <v>0</v>
      </c>
      <c r="J268" s="188" t="s">
        <v>370</v>
      </c>
    </row>
    <row r="269" spans="1:10" hidden="1" x14ac:dyDescent="0.25">
      <c r="A269" s="180" t="s">
        <v>319</v>
      </c>
      <c r="D269" s="210">
        <v>0</v>
      </c>
      <c r="E269" s="194"/>
      <c r="F269" s="194"/>
      <c r="G269" s="185">
        <f t="shared" si="61"/>
        <v>0</v>
      </c>
      <c r="J269" s="188" t="s">
        <v>370</v>
      </c>
    </row>
    <row r="270" spans="1:10" x14ac:dyDescent="0.25">
      <c r="A270" s="180" t="s">
        <v>320</v>
      </c>
      <c r="D270" s="210">
        <v>1.99665585E-3</v>
      </c>
      <c r="E270" s="194"/>
      <c r="F270" s="194"/>
      <c r="G270" s="185">
        <f>VLOOKUP(J270,'EXHIBIT JDT-3 SCOM'!D:N,7,FALSE)/10</f>
        <v>4.45E-3</v>
      </c>
      <c r="J270" s="188" t="s">
        <v>289</v>
      </c>
    </row>
    <row r="271" spans="1:10" x14ac:dyDescent="0.25">
      <c r="A271" s="180" t="s">
        <v>341</v>
      </c>
      <c r="D271" s="210">
        <v>1.0499999999999999E-2</v>
      </c>
      <c r="E271" s="194"/>
      <c r="F271" s="194"/>
      <c r="G271" s="185">
        <f>VLOOKUP(J271,'EXHIBIT JDT-3 SCOM'!D:N,7,FALSE)/10</f>
        <v>1.149E-2</v>
      </c>
      <c r="J271" s="188" t="s">
        <v>286</v>
      </c>
    </row>
    <row r="272" spans="1:10" hidden="1" x14ac:dyDescent="0.25">
      <c r="A272" s="180" t="s">
        <v>342</v>
      </c>
      <c r="D272" s="210">
        <v>0</v>
      </c>
      <c r="E272" s="194"/>
      <c r="F272" s="194"/>
      <c r="G272" s="185">
        <v>0</v>
      </c>
      <c r="J272" s="188" t="s">
        <v>370</v>
      </c>
    </row>
    <row r="273" spans="1:12" hidden="1" x14ac:dyDescent="0.25">
      <c r="A273" s="180" t="s">
        <v>343</v>
      </c>
      <c r="D273" s="210">
        <v>0</v>
      </c>
      <c r="E273" s="194"/>
      <c r="F273" s="194"/>
      <c r="G273" s="185">
        <v>0</v>
      </c>
      <c r="J273" s="188" t="s">
        <v>370</v>
      </c>
    </row>
    <row r="274" spans="1:12" hidden="1" x14ac:dyDescent="0.25">
      <c r="D274" s="185"/>
      <c r="E274" s="194"/>
      <c r="F274" s="194"/>
      <c r="G274" s="185"/>
    </row>
    <row r="275" spans="1:12" hidden="1" x14ac:dyDescent="0.25">
      <c r="E275" s="194"/>
      <c r="F275" s="194"/>
      <c r="G275" s="186"/>
    </row>
    <row r="276" spans="1:12" hidden="1" x14ac:dyDescent="0.25">
      <c r="A276" s="180" t="s">
        <v>321</v>
      </c>
      <c r="D276" s="189">
        <f>+D23</f>
        <v>0</v>
      </c>
      <c r="E276" s="194"/>
      <c r="F276" s="194"/>
      <c r="G276" s="189">
        <v>0</v>
      </c>
    </row>
    <row r="277" spans="1:12" hidden="1" x14ac:dyDescent="0.25">
      <c r="E277" s="194"/>
      <c r="F277" s="194"/>
    </row>
    <row r="278" spans="1:12" x14ac:dyDescent="0.25">
      <c r="E278" s="194"/>
      <c r="F278" s="194"/>
    </row>
    <row r="279" spans="1:12" x14ac:dyDescent="0.25">
      <c r="G279" s="190" t="s">
        <v>322</v>
      </c>
      <c r="H279" s="190"/>
    </row>
    <row r="280" spans="1:12" x14ac:dyDescent="0.25">
      <c r="B280" s="176" t="s">
        <v>323</v>
      </c>
      <c r="C280" s="181" t="s">
        <v>311</v>
      </c>
      <c r="D280" s="181" t="s">
        <v>312</v>
      </c>
      <c r="E280" s="181" t="s">
        <v>311</v>
      </c>
      <c r="F280" s="181" t="s">
        <v>312</v>
      </c>
      <c r="G280" s="181" t="s">
        <v>324</v>
      </c>
      <c r="H280" s="181" t="s">
        <v>325</v>
      </c>
      <c r="J280" s="191"/>
    </row>
    <row r="281" spans="1:12" x14ac:dyDescent="0.25">
      <c r="C281" s="192" t="s">
        <v>326</v>
      </c>
      <c r="D281" s="192" t="s">
        <v>327</v>
      </c>
      <c r="E281" s="181" t="s">
        <v>328</v>
      </c>
      <c r="F281" s="181" t="s">
        <v>328</v>
      </c>
      <c r="G281" s="192" t="s">
        <v>329</v>
      </c>
    </row>
    <row r="282" spans="1:12" x14ac:dyDescent="0.25">
      <c r="B282" s="176" t="s">
        <v>330</v>
      </c>
      <c r="E282" s="194"/>
      <c r="F282" s="194"/>
    </row>
    <row r="283" spans="1:12" x14ac:dyDescent="0.25">
      <c r="B283" s="176">
        <v>0</v>
      </c>
      <c r="C283" s="193">
        <f>ROUND((D$261+MINA($B283,$C$262)*D$262+MAXA($B283-$C$262,0)*D$263+(D$266+D$267+D$268+D$269+D$270+D$271+D$272+D$273)*B283)*(1+D$276),2)</f>
        <v>19.89</v>
      </c>
      <c r="D283" s="193">
        <f>ROUND((G261+(SUM(G264:G273)*B283))*(1+G276),2)</f>
        <v>30</v>
      </c>
      <c r="E283" s="194"/>
      <c r="F283" s="194"/>
      <c r="G283" s="193">
        <f t="shared" ref="G283:G305" si="62">D283-C283</f>
        <v>10.11</v>
      </c>
      <c r="H283" s="195">
        <f t="shared" ref="H283:H305" si="63">ROUND(G283/C283,4)</f>
        <v>0.50829999999999997</v>
      </c>
      <c r="J283" s="211"/>
      <c r="K283" s="203"/>
      <c r="L283" s="197"/>
    </row>
    <row r="284" spans="1:12" x14ac:dyDescent="0.25">
      <c r="A284" s="598"/>
      <c r="B284" s="176">
        <f>B283+20</f>
        <v>20</v>
      </c>
      <c r="C284" s="193">
        <f t="shared" ref="C284:C305" si="64">ROUND((D$261+MINA($B284,$C$262)*D$262+MAXA($B284-$C$262,0)*D$263+(D$266+D$267+D$268+D$269+D$270+D$271+D$272+D$273)*B284)*(1+D$276),2)</f>
        <v>24.97</v>
      </c>
      <c r="D284" s="193">
        <f>ROUND((G261+(SUM(G264:G273)*B284))*(1+G276),2)</f>
        <v>34.770000000000003</v>
      </c>
      <c r="E284" s="194">
        <f t="shared" ref="E284:E305" si="65">+C284/B284</f>
        <v>1.2484999999999999</v>
      </c>
      <c r="F284" s="194">
        <f t="shared" ref="F284:F305" si="66">+D284/B284</f>
        <v>1.7385000000000002</v>
      </c>
      <c r="G284" s="193">
        <f t="shared" si="62"/>
        <v>9.8000000000000043</v>
      </c>
      <c r="H284" s="195">
        <f t="shared" si="63"/>
        <v>0.39250000000000002</v>
      </c>
      <c r="J284" s="211"/>
      <c r="K284" s="203"/>
      <c r="L284" s="197"/>
    </row>
    <row r="285" spans="1:12" x14ac:dyDescent="0.25">
      <c r="B285" s="176">
        <f t="shared" ref="B285:B313" si="67">B284+20</f>
        <v>40</v>
      </c>
      <c r="C285" s="193">
        <f t="shared" si="64"/>
        <v>30.05</v>
      </c>
      <c r="D285" s="193">
        <f>ROUND((G261+(SUM(G264:G273)*B285))*(1+G276),2)</f>
        <v>39.549999999999997</v>
      </c>
      <c r="E285" s="194">
        <f t="shared" si="65"/>
        <v>0.75124999999999997</v>
      </c>
      <c r="F285" s="194">
        <f t="shared" si="66"/>
        <v>0.98874999999999991</v>
      </c>
      <c r="G285" s="193">
        <f t="shared" si="62"/>
        <v>9.4999999999999964</v>
      </c>
      <c r="H285" s="195">
        <f t="shared" si="63"/>
        <v>0.31609999999999999</v>
      </c>
      <c r="J285" s="211"/>
      <c r="K285" s="203"/>
      <c r="L285" s="197"/>
    </row>
    <row r="286" spans="1:12" x14ac:dyDescent="0.25">
      <c r="B286" s="176">
        <f t="shared" si="67"/>
        <v>60</v>
      </c>
      <c r="C286" s="193">
        <f t="shared" si="64"/>
        <v>34.840000000000003</v>
      </c>
      <c r="D286" s="193">
        <f>ROUND((G261+(SUM(G264:G273)*B286))*(1+G276),2)</f>
        <v>44.32</v>
      </c>
      <c r="E286" s="194">
        <f t="shared" si="65"/>
        <v>0.58066666666666678</v>
      </c>
      <c r="F286" s="194">
        <f t="shared" si="66"/>
        <v>0.73866666666666669</v>
      </c>
      <c r="G286" s="193">
        <f t="shared" si="62"/>
        <v>9.4799999999999969</v>
      </c>
      <c r="H286" s="195">
        <f t="shared" si="63"/>
        <v>0.27210000000000001</v>
      </c>
      <c r="J286" s="211"/>
      <c r="K286" s="203"/>
      <c r="L286" s="197"/>
    </row>
    <row r="287" spans="1:12" x14ac:dyDescent="0.25">
      <c r="B287" s="176">
        <f t="shared" si="67"/>
        <v>80</v>
      </c>
      <c r="C287" s="193">
        <f t="shared" si="64"/>
        <v>39.33</v>
      </c>
      <c r="D287" s="193">
        <f>ROUND((G261+(SUM(G264:G273)*B287))*(1+G276),2)</f>
        <v>49.09</v>
      </c>
      <c r="E287" s="194">
        <f t="shared" si="65"/>
        <v>0.49162499999999998</v>
      </c>
      <c r="F287" s="194">
        <f t="shared" si="66"/>
        <v>0.61362500000000009</v>
      </c>
      <c r="G287" s="193">
        <f t="shared" si="62"/>
        <v>9.7600000000000051</v>
      </c>
      <c r="H287" s="195">
        <f t="shared" si="63"/>
        <v>0.2482</v>
      </c>
      <c r="J287" s="211"/>
      <c r="K287" s="203"/>
      <c r="L287" s="197"/>
    </row>
    <row r="288" spans="1:12" x14ac:dyDescent="0.25">
      <c r="B288" s="176">
        <f t="shared" si="67"/>
        <v>100</v>
      </c>
      <c r="C288" s="193">
        <f t="shared" si="64"/>
        <v>43.83</v>
      </c>
      <c r="D288" s="193">
        <f>ROUND((G261+(SUM(G264:G273)*B288))*(1+G276),2)</f>
        <v>53.87</v>
      </c>
      <c r="E288" s="194">
        <f t="shared" si="65"/>
        <v>0.43829999999999997</v>
      </c>
      <c r="F288" s="194">
        <f t="shared" si="66"/>
        <v>0.53869999999999996</v>
      </c>
      <c r="G288" s="193">
        <f t="shared" si="62"/>
        <v>10.039999999999999</v>
      </c>
      <c r="H288" s="195">
        <f t="shared" si="63"/>
        <v>0.2291</v>
      </c>
      <c r="J288" s="211"/>
      <c r="K288" s="203"/>
      <c r="L288" s="197"/>
    </row>
    <row r="289" spans="2:12" x14ac:dyDescent="0.25">
      <c r="B289" s="176">
        <f t="shared" si="67"/>
        <v>120</v>
      </c>
      <c r="C289" s="193">
        <f t="shared" si="64"/>
        <v>48.32</v>
      </c>
      <c r="D289" s="193">
        <f>ROUND((G261+(SUM(G264:G273)*B289))*(1+G276),2)</f>
        <v>58.64</v>
      </c>
      <c r="E289" s="194">
        <f t="shared" si="65"/>
        <v>0.40266666666666667</v>
      </c>
      <c r="F289" s="194">
        <f t="shared" si="66"/>
        <v>0.48866666666666669</v>
      </c>
      <c r="G289" s="193">
        <f t="shared" si="62"/>
        <v>10.32</v>
      </c>
      <c r="H289" s="195">
        <f t="shared" si="63"/>
        <v>0.21360000000000001</v>
      </c>
      <c r="J289" s="211"/>
      <c r="K289" s="203"/>
      <c r="L289" s="197"/>
    </row>
    <row r="290" spans="2:12" x14ac:dyDescent="0.25">
      <c r="B290" s="176">
        <f t="shared" si="67"/>
        <v>140</v>
      </c>
      <c r="C290" s="193">
        <f t="shared" si="64"/>
        <v>52.82</v>
      </c>
      <c r="D290" s="193">
        <f>ROUND((G261+(SUM(G264:G273)*B290))*(1+G276),2)</f>
        <v>63.42</v>
      </c>
      <c r="E290" s="194">
        <f t="shared" si="65"/>
        <v>0.37728571428571428</v>
      </c>
      <c r="F290" s="194">
        <f t="shared" si="66"/>
        <v>0.45300000000000001</v>
      </c>
      <c r="G290" s="193">
        <f t="shared" si="62"/>
        <v>10.600000000000001</v>
      </c>
      <c r="H290" s="195">
        <f t="shared" si="63"/>
        <v>0.20069999999999999</v>
      </c>
      <c r="J290" s="211"/>
      <c r="K290" s="203"/>
      <c r="L290" s="197"/>
    </row>
    <row r="291" spans="2:12" x14ac:dyDescent="0.25">
      <c r="B291" s="176">
        <f t="shared" si="67"/>
        <v>160</v>
      </c>
      <c r="C291" s="193">
        <f t="shared" si="64"/>
        <v>57.31</v>
      </c>
      <c r="D291" s="193">
        <f>ROUND((G261+(SUM(G264:G273)*B291))*(1+G276),2)</f>
        <v>68.19</v>
      </c>
      <c r="E291" s="194">
        <f t="shared" si="65"/>
        <v>0.35818749999999999</v>
      </c>
      <c r="F291" s="194">
        <f t="shared" si="66"/>
        <v>0.4261875</v>
      </c>
      <c r="G291" s="193">
        <f t="shared" si="62"/>
        <v>10.879999999999995</v>
      </c>
      <c r="H291" s="195">
        <f t="shared" si="63"/>
        <v>0.1898</v>
      </c>
      <c r="J291" s="211"/>
      <c r="K291" s="203"/>
      <c r="L291" s="197"/>
    </row>
    <row r="292" spans="2:12" x14ac:dyDescent="0.25">
      <c r="B292" s="176">
        <f t="shared" si="67"/>
        <v>180</v>
      </c>
      <c r="C292" s="193">
        <f t="shared" si="64"/>
        <v>61.81</v>
      </c>
      <c r="D292" s="193">
        <f>ROUND((G261+(SUM(G264:G273)*B292))*(1+G276),2)</f>
        <v>72.959999999999994</v>
      </c>
      <c r="E292" s="194">
        <f t="shared" si="65"/>
        <v>0.34338888888888891</v>
      </c>
      <c r="F292" s="194">
        <f t="shared" si="66"/>
        <v>0.40533333333333332</v>
      </c>
      <c r="G292" s="193">
        <f t="shared" si="62"/>
        <v>11.149999999999991</v>
      </c>
      <c r="H292" s="195">
        <f t="shared" si="63"/>
        <v>0.1804</v>
      </c>
      <c r="J292" s="211"/>
      <c r="K292" s="203"/>
      <c r="L292" s="197"/>
    </row>
    <row r="293" spans="2:12" x14ac:dyDescent="0.25">
      <c r="B293" s="176">
        <f t="shared" si="67"/>
        <v>200</v>
      </c>
      <c r="C293" s="193">
        <f t="shared" si="64"/>
        <v>66.3</v>
      </c>
      <c r="D293" s="193">
        <f>ROUND((G261+(SUM(G264:G273)*B293))*(1+G276),2)</f>
        <v>77.739999999999995</v>
      </c>
      <c r="E293" s="194">
        <f t="shared" si="65"/>
        <v>0.33149999999999996</v>
      </c>
      <c r="F293" s="194">
        <f t="shared" si="66"/>
        <v>0.38869999999999999</v>
      </c>
      <c r="G293" s="193">
        <f t="shared" si="62"/>
        <v>11.439999999999998</v>
      </c>
      <c r="H293" s="195">
        <f t="shared" si="63"/>
        <v>0.17249999999999999</v>
      </c>
      <c r="J293" s="211"/>
      <c r="K293" s="203"/>
      <c r="L293" s="197"/>
    </row>
    <row r="294" spans="2:12" x14ac:dyDescent="0.25">
      <c r="B294" s="176">
        <f t="shared" si="67"/>
        <v>220</v>
      </c>
      <c r="C294" s="193">
        <f t="shared" si="64"/>
        <v>70.8</v>
      </c>
      <c r="D294" s="193">
        <f>ROUND((G261+(SUM(G264:G273)*B294))*(1+G276),2)</f>
        <v>82.51</v>
      </c>
      <c r="E294" s="194">
        <f t="shared" si="65"/>
        <v>0.32181818181818178</v>
      </c>
      <c r="F294" s="194">
        <f t="shared" si="66"/>
        <v>0.37504545454545457</v>
      </c>
      <c r="G294" s="193">
        <f t="shared" si="62"/>
        <v>11.710000000000008</v>
      </c>
      <c r="H294" s="195">
        <f t="shared" si="63"/>
        <v>0.16539999999999999</v>
      </c>
      <c r="J294" s="211"/>
      <c r="K294" s="203"/>
      <c r="L294" s="197"/>
    </row>
    <row r="295" spans="2:12" x14ac:dyDescent="0.25">
      <c r="B295" s="176">
        <f t="shared" si="67"/>
        <v>240</v>
      </c>
      <c r="C295" s="193">
        <f t="shared" si="64"/>
        <v>75.290000000000006</v>
      </c>
      <c r="D295" s="193">
        <f>ROUND((G261+(SUM(G264:G273)*B295))*(1+G276),2)</f>
        <v>87.28</v>
      </c>
      <c r="E295" s="194">
        <f t="shared" si="65"/>
        <v>0.31370833333333337</v>
      </c>
      <c r="F295" s="194">
        <f t="shared" si="66"/>
        <v>0.36366666666666669</v>
      </c>
      <c r="G295" s="193">
        <f t="shared" si="62"/>
        <v>11.989999999999995</v>
      </c>
      <c r="H295" s="195">
        <f t="shared" si="63"/>
        <v>0.1593</v>
      </c>
      <c r="J295" s="211"/>
      <c r="K295" s="203"/>
      <c r="L295" s="197"/>
    </row>
    <row r="296" spans="2:12" x14ac:dyDescent="0.25">
      <c r="B296" s="176">
        <f t="shared" si="67"/>
        <v>260</v>
      </c>
      <c r="C296" s="193">
        <f t="shared" si="64"/>
        <v>79.790000000000006</v>
      </c>
      <c r="D296" s="193">
        <f>ROUND((G261+(SUM(G264:G273)*B296))*(1+G276),2)</f>
        <v>92.06</v>
      </c>
      <c r="E296" s="194">
        <f t="shared" si="65"/>
        <v>0.30688461538461542</v>
      </c>
      <c r="F296" s="194">
        <f t="shared" si="66"/>
        <v>0.35407692307692307</v>
      </c>
      <c r="G296" s="193">
        <f t="shared" si="62"/>
        <v>12.269999999999996</v>
      </c>
      <c r="H296" s="195">
        <f t="shared" si="63"/>
        <v>0.15379999999999999</v>
      </c>
      <c r="J296" s="211"/>
      <c r="K296" s="203"/>
      <c r="L296" s="197"/>
    </row>
    <row r="297" spans="2:12" x14ac:dyDescent="0.25">
      <c r="B297" s="176">
        <f t="shared" si="67"/>
        <v>280</v>
      </c>
      <c r="C297" s="193">
        <f t="shared" si="64"/>
        <v>84.28</v>
      </c>
      <c r="D297" s="193">
        <f>ROUND((G261+(SUM(G264:G273)*B297))*(1+G276),2)</f>
        <v>96.83</v>
      </c>
      <c r="E297" s="194">
        <f t="shared" si="65"/>
        <v>0.30099999999999999</v>
      </c>
      <c r="F297" s="194">
        <f t="shared" si="66"/>
        <v>0.34582142857142856</v>
      </c>
      <c r="G297" s="193">
        <f t="shared" si="62"/>
        <v>12.549999999999997</v>
      </c>
      <c r="H297" s="195">
        <f t="shared" si="63"/>
        <v>0.1489</v>
      </c>
      <c r="J297" s="211"/>
      <c r="K297" s="203"/>
      <c r="L297" s="197"/>
    </row>
    <row r="298" spans="2:12" x14ac:dyDescent="0.25">
      <c r="B298" s="176">
        <f t="shared" si="67"/>
        <v>300</v>
      </c>
      <c r="C298" s="193">
        <f t="shared" si="64"/>
        <v>88.78</v>
      </c>
      <c r="D298" s="193">
        <f>ROUND((G261+(SUM(G264:G273)*B298))*(1+G276),2)</f>
        <v>101.6</v>
      </c>
      <c r="E298" s="194">
        <f t="shared" si="65"/>
        <v>0.29593333333333333</v>
      </c>
      <c r="F298" s="194">
        <f t="shared" si="66"/>
        <v>0.33866666666666667</v>
      </c>
      <c r="G298" s="193">
        <f t="shared" si="62"/>
        <v>12.819999999999993</v>
      </c>
      <c r="H298" s="195">
        <f t="shared" si="63"/>
        <v>0.1444</v>
      </c>
      <c r="J298" s="211"/>
      <c r="K298" s="203"/>
      <c r="L298" s="197"/>
    </row>
    <row r="299" spans="2:12" x14ac:dyDescent="0.25">
      <c r="B299" s="176">
        <f t="shared" si="67"/>
        <v>320</v>
      </c>
      <c r="C299" s="193">
        <f t="shared" si="64"/>
        <v>93.27</v>
      </c>
      <c r="D299" s="193">
        <f>ROUND((G261+(SUM(G264:G273)*B299))*(1+G276),2)</f>
        <v>106.38</v>
      </c>
      <c r="E299" s="194">
        <f t="shared" si="65"/>
        <v>0.29146875</v>
      </c>
      <c r="F299" s="194">
        <f t="shared" si="66"/>
        <v>0.3324375</v>
      </c>
      <c r="G299" s="193">
        <f t="shared" si="62"/>
        <v>13.11</v>
      </c>
      <c r="H299" s="195">
        <f t="shared" si="63"/>
        <v>0.1406</v>
      </c>
      <c r="J299" s="211"/>
      <c r="K299" s="203"/>
      <c r="L299" s="197"/>
    </row>
    <row r="300" spans="2:12" x14ac:dyDescent="0.25">
      <c r="B300" s="176">
        <f t="shared" si="67"/>
        <v>340</v>
      </c>
      <c r="C300" s="193">
        <f t="shared" si="64"/>
        <v>97.77</v>
      </c>
      <c r="D300" s="193">
        <f>ROUND((G261+(SUM(G264:G273)*B300))*(1+G276),2)</f>
        <v>111.15</v>
      </c>
      <c r="E300" s="194">
        <f t="shared" si="65"/>
        <v>0.28755882352941176</v>
      </c>
      <c r="F300" s="194">
        <f t="shared" si="66"/>
        <v>0.32691176470588235</v>
      </c>
      <c r="G300" s="193">
        <f t="shared" si="62"/>
        <v>13.38000000000001</v>
      </c>
      <c r="H300" s="195">
        <f t="shared" si="63"/>
        <v>0.13689999999999999</v>
      </c>
      <c r="J300" s="211"/>
      <c r="K300" s="203"/>
      <c r="L300" s="197"/>
    </row>
    <row r="301" spans="2:12" x14ac:dyDescent="0.25">
      <c r="B301" s="176">
        <f t="shared" si="67"/>
        <v>360</v>
      </c>
      <c r="C301" s="193">
        <f t="shared" si="64"/>
        <v>102.26</v>
      </c>
      <c r="D301" s="193">
        <f>ROUND((G261+(SUM(G264:G273)*B301))*(1+G276),2)</f>
        <v>115.92</v>
      </c>
      <c r="E301" s="194">
        <f t="shared" si="65"/>
        <v>0.28405555555555556</v>
      </c>
      <c r="F301" s="194">
        <f t="shared" si="66"/>
        <v>0.32200000000000001</v>
      </c>
      <c r="G301" s="193">
        <f t="shared" si="62"/>
        <v>13.659999999999997</v>
      </c>
      <c r="H301" s="195">
        <f t="shared" si="63"/>
        <v>0.1336</v>
      </c>
      <c r="J301" s="211"/>
      <c r="K301" s="203"/>
      <c r="L301" s="197"/>
    </row>
    <row r="302" spans="2:12" x14ac:dyDescent="0.25">
      <c r="B302" s="176">
        <f t="shared" si="67"/>
        <v>380</v>
      </c>
      <c r="C302" s="193">
        <f t="shared" si="64"/>
        <v>106.76</v>
      </c>
      <c r="D302" s="193">
        <f>ROUND((G261+(SUM(G264:G273)*B302))*(1+G276),2)</f>
        <v>120.7</v>
      </c>
      <c r="E302" s="194">
        <f t="shared" si="65"/>
        <v>0.28094736842105267</v>
      </c>
      <c r="F302" s="194">
        <f t="shared" si="66"/>
        <v>0.31763157894736843</v>
      </c>
      <c r="G302" s="193">
        <f t="shared" si="62"/>
        <v>13.939999999999998</v>
      </c>
      <c r="H302" s="195">
        <f t="shared" si="63"/>
        <v>0.13059999999999999</v>
      </c>
      <c r="J302" s="211"/>
      <c r="K302" s="203"/>
      <c r="L302" s="197"/>
    </row>
    <row r="303" spans="2:12" x14ac:dyDescent="0.25">
      <c r="B303" s="176">
        <f t="shared" si="67"/>
        <v>400</v>
      </c>
      <c r="C303" s="193">
        <f t="shared" si="64"/>
        <v>111.25</v>
      </c>
      <c r="D303" s="193">
        <f>ROUND((G261+(SUM(G264:G273)*B303))*(1+G276),2)</f>
        <v>125.47</v>
      </c>
      <c r="E303" s="194">
        <f t="shared" si="65"/>
        <v>0.27812500000000001</v>
      </c>
      <c r="F303" s="194">
        <f t="shared" si="66"/>
        <v>0.31367499999999998</v>
      </c>
      <c r="G303" s="193">
        <f t="shared" si="62"/>
        <v>14.219999999999999</v>
      </c>
      <c r="H303" s="195">
        <f t="shared" si="63"/>
        <v>0.1278</v>
      </c>
      <c r="J303" s="211"/>
      <c r="K303" s="203"/>
      <c r="L303" s="197"/>
    </row>
    <row r="304" spans="2:12" x14ac:dyDescent="0.25">
      <c r="B304" s="176">
        <f t="shared" si="67"/>
        <v>420</v>
      </c>
      <c r="C304" s="193">
        <f t="shared" si="64"/>
        <v>115.75</v>
      </c>
      <c r="D304" s="193">
        <f>ROUND((G261+(SUM(G264:G273)*B304))*(1+G276),2)</f>
        <v>130.25</v>
      </c>
      <c r="E304" s="194">
        <f t="shared" si="65"/>
        <v>0.27559523809523812</v>
      </c>
      <c r="F304" s="194">
        <f t="shared" si="66"/>
        <v>0.31011904761904763</v>
      </c>
      <c r="G304" s="193">
        <f t="shared" si="62"/>
        <v>14.5</v>
      </c>
      <c r="H304" s="195">
        <f t="shared" si="63"/>
        <v>0.12529999999999999</v>
      </c>
      <c r="J304" s="211"/>
      <c r="K304" s="203"/>
      <c r="L304" s="197"/>
    </row>
    <row r="305" spans="1:12" x14ac:dyDescent="0.25">
      <c r="B305" s="176">
        <f t="shared" si="67"/>
        <v>440</v>
      </c>
      <c r="C305" s="193">
        <f t="shared" si="64"/>
        <v>120.24</v>
      </c>
      <c r="D305" s="193">
        <f>ROUND(($G$261+(SUM($G$264:$G$273)*B305))*(1+$G$276),2)</f>
        <v>135.02000000000001</v>
      </c>
      <c r="E305" s="194">
        <f t="shared" si="65"/>
        <v>0.27327272727272728</v>
      </c>
      <c r="F305" s="194">
        <f t="shared" si="66"/>
        <v>0.30686363636363639</v>
      </c>
      <c r="G305" s="193">
        <f t="shared" si="62"/>
        <v>14.780000000000015</v>
      </c>
      <c r="H305" s="195">
        <f t="shared" si="63"/>
        <v>0.1229</v>
      </c>
      <c r="J305" s="211"/>
      <c r="K305" s="203"/>
      <c r="L305" s="197"/>
    </row>
    <row r="306" spans="1:12" x14ac:dyDescent="0.25">
      <c r="B306" s="176">
        <f t="shared" si="67"/>
        <v>460</v>
      </c>
      <c r="C306" s="193">
        <f t="shared" ref="C306:C313" si="68">ROUND((D$261+MINA($B306,$C$262)*D$262+MAXA($B306-$C$262,0)*D$263+(D$266+D$267+D$268+D$269+D$270+D$271+D$272+D$273)*B306)*(1+D$276),2)</f>
        <v>124.74</v>
      </c>
      <c r="D306" s="193">
        <f t="shared" ref="D306:D313" si="69">ROUND(($G$261+(SUM($G$264:$G$273)*B306))*(1+$G$276),2)</f>
        <v>139.79</v>
      </c>
      <c r="E306" s="194">
        <f t="shared" ref="E306:E313" si="70">+C306/B306</f>
        <v>0.27117391304347827</v>
      </c>
      <c r="F306" s="194">
        <f t="shared" ref="F306:F313" si="71">+D306/B306</f>
        <v>0.30389130434782607</v>
      </c>
      <c r="G306" s="193">
        <f t="shared" ref="G306:G313" si="72">D306-C306</f>
        <v>15.049999999999997</v>
      </c>
      <c r="H306" s="195">
        <f t="shared" ref="H306:H313" si="73">ROUND(G306/C306,4)</f>
        <v>0.1207</v>
      </c>
      <c r="J306" s="211"/>
      <c r="K306" s="203"/>
      <c r="L306" s="197"/>
    </row>
    <row r="307" spans="1:12" x14ac:dyDescent="0.25">
      <c r="B307" s="176">
        <f t="shared" si="67"/>
        <v>480</v>
      </c>
      <c r="C307" s="193">
        <f t="shared" si="68"/>
        <v>129.22999999999999</v>
      </c>
      <c r="D307" s="193">
        <f t="shared" si="69"/>
        <v>144.57</v>
      </c>
      <c r="E307" s="194">
        <f t="shared" si="70"/>
        <v>0.26922916666666663</v>
      </c>
      <c r="F307" s="194">
        <f t="shared" si="71"/>
        <v>0.3011875</v>
      </c>
      <c r="G307" s="193">
        <f t="shared" si="72"/>
        <v>15.340000000000003</v>
      </c>
      <c r="H307" s="195">
        <f t="shared" si="73"/>
        <v>0.1187</v>
      </c>
      <c r="J307" s="211"/>
      <c r="K307" s="203"/>
      <c r="L307" s="197"/>
    </row>
    <row r="308" spans="1:12" x14ac:dyDescent="0.25">
      <c r="B308" s="176">
        <f t="shared" si="67"/>
        <v>500</v>
      </c>
      <c r="C308" s="193">
        <f t="shared" si="68"/>
        <v>133.72999999999999</v>
      </c>
      <c r="D308" s="193">
        <f t="shared" si="69"/>
        <v>149.34</v>
      </c>
      <c r="E308" s="194">
        <f t="shared" si="70"/>
        <v>0.26745999999999998</v>
      </c>
      <c r="F308" s="194">
        <f t="shared" si="71"/>
        <v>0.29868</v>
      </c>
      <c r="G308" s="193">
        <f t="shared" si="72"/>
        <v>15.610000000000014</v>
      </c>
      <c r="H308" s="195">
        <f t="shared" si="73"/>
        <v>0.1167</v>
      </c>
      <c r="J308" s="211"/>
      <c r="K308" s="203"/>
      <c r="L308" s="197"/>
    </row>
    <row r="309" spans="1:12" x14ac:dyDescent="0.25">
      <c r="B309" s="176">
        <f t="shared" si="67"/>
        <v>520</v>
      </c>
      <c r="C309" s="193">
        <f t="shared" si="68"/>
        <v>138.22</v>
      </c>
      <c r="D309" s="193">
        <f t="shared" si="69"/>
        <v>154.11000000000001</v>
      </c>
      <c r="E309" s="194">
        <f t="shared" si="70"/>
        <v>0.2658076923076923</v>
      </c>
      <c r="F309" s="194">
        <f t="shared" si="71"/>
        <v>0.29636538461538464</v>
      </c>
      <c r="G309" s="193">
        <f t="shared" si="72"/>
        <v>15.890000000000015</v>
      </c>
      <c r="H309" s="195">
        <f t="shared" si="73"/>
        <v>0.115</v>
      </c>
      <c r="J309" s="211"/>
      <c r="K309" s="203"/>
      <c r="L309" s="197"/>
    </row>
    <row r="310" spans="1:12" x14ac:dyDescent="0.25">
      <c r="B310" s="176">
        <f t="shared" si="67"/>
        <v>540</v>
      </c>
      <c r="C310" s="193">
        <f t="shared" si="68"/>
        <v>142.72</v>
      </c>
      <c r="D310" s="193">
        <f t="shared" si="69"/>
        <v>158.88999999999999</v>
      </c>
      <c r="E310" s="194">
        <f t="shared" si="70"/>
        <v>0.26429629629629631</v>
      </c>
      <c r="F310" s="194">
        <f t="shared" si="71"/>
        <v>0.29424074074074069</v>
      </c>
      <c r="G310" s="193">
        <f t="shared" si="72"/>
        <v>16.169999999999987</v>
      </c>
      <c r="H310" s="195">
        <f t="shared" si="73"/>
        <v>0.1133</v>
      </c>
      <c r="J310" s="211"/>
      <c r="K310" s="203"/>
      <c r="L310" s="197"/>
    </row>
    <row r="311" spans="1:12" x14ac:dyDescent="0.25">
      <c r="B311" s="176">
        <f t="shared" si="67"/>
        <v>560</v>
      </c>
      <c r="C311" s="193">
        <f t="shared" si="68"/>
        <v>147.21</v>
      </c>
      <c r="D311" s="193">
        <f t="shared" si="69"/>
        <v>163.66</v>
      </c>
      <c r="E311" s="194">
        <f t="shared" si="70"/>
        <v>0.26287500000000003</v>
      </c>
      <c r="F311" s="194">
        <f t="shared" si="71"/>
        <v>0.29225000000000001</v>
      </c>
      <c r="G311" s="193">
        <f t="shared" si="72"/>
        <v>16.449999999999989</v>
      </c>
      <c r="H311" s="195">
        <f t="shared" si="73"/>
        <v>0.11169999999999999</v>
      </c>
      <c r="J311" s="211"/>
      <c r="K311" s="203"/>
      <c r="L311" s="197"/>
    </row>
    <row r="312" spans="1:12" x14ac:dyDescent="0.25">
      <c r="B312" s="176">
        <f t="shared" si="67"/>
        <v>580</v>
      </c>
      <c r="C312" s="193">
        <f t="shared" si="68"/>
        <v>151.71</v>
      </c>
      <c r="D312" s="193">
        <f t="shared" si="69"/>
        <v>168.43</v>
      </c>
      <c r="E312" s="194">
        <f t="shared" si="70"/>
        <v>0.2615689655172414</v>
      </c>
      <c r="F312" s="194">
        <f t="shared" si="71"/>
        <v>0.29039655172413792</v>
      </c>
      <c r="G312" s="193">
        <f t="shared" si="72"/>
        <v>16.72</v>
      </c>
      <c r="H312" s="195">
        <f t="shared" si="73"/>
        <v>0.11020000000000001</v>
      </c>
      <c r="J312" s="211"/>
      <c r="K312" s="203"/>
      <c r="L312" s="197"/>
    </row>
    <row r="313" spans="1:12" x14ac:dyDescent="0.25">
      <c r="B313" s="176">
        <f t="shared" si="67"/>
        <v>600</v>
      </c>
      <c r="C313" s="193">
        <f t="shared" si="68"/>
        <v>156.19999999999999</v>
      </c>
      <c r="D313" s="193">
        <f t="shared" si="69"/>
        <v>173.21</v>
      </c>
      <c r="E313" s="194">
        <f t="shared" si="70"/>
        <v>0.26033333333333331</v>
      </c>
      <c r="F313" s="194">
        <f t="shared" si="71"/>
        <v>0.28868333333333335</v>
      </c>
      <c r="G313" s="193">
        <f t="shared" si="72"/>
        <v>17.010000000000019</v>
      </c>
      <c r="H313" s="195">
        <f t="shared" si="73"/>
        <v>0.1089</v>
      </c>
      <c r="J313" s="211"/>
      <c r="K313" s="203"/>
      <c r="L313" s="197"/>
    </row>
    <row r="314" spans="1:12" x14ac:dyDescent="0.25">
      <c r="C314" s="193"/>
      <c r="D314" s="193"/>
      <c r="E314" s="194"/>
      <c r="F314" s="194"/>
      <c r="G314" s="193"/>
      <c r="H314" s="195"/>
      <c r="J314" s="211"/>
      <c r="K314" s="203"/>
      <c r="L314" s="197"/>
    </row>
    <row r="315" spans="1:12" hidden="1" x14ac:dyDescent="0.25">
      <c r="C315" s="193"/>
      <c r="D315" s="193"/>
      <c r="E315" s="194"/>
      <c r="F315" s="194"/>
      <c r="G315" s="193"/>
      <c r="H315" s="195"/>
      <c r="J315" s="211"/>
      <c r="K315" s="203"/>
      <c r="L315" s="197"/>
    </row>
    <row r="316" spans="1:12" hidden="1" x14ac:dyDescent="0.25">
      <c r="C316" s="193"/>
      <c r="D316" s="193"/>
      <c r="E316" s="194"/>
      <c r="F316" s="194"/>
      <c r="G316" s="193"/>
      <c r="H316" s="195"/>
      <c r="J316" s="211"/>
      <c r="K316" s="203"/>
      <c r="L316" s="197"/>
    </row>
    <row r="317" spans="1:12" ht="12.75" hidden="1" customHeight="1" x14ac:dyDescent="0.25">
      <c r="C317" s="193"/>
      <c r="D317" s="193"/>
      <c r="E317" s="194"/>
      <c r="F317" s="194"/>
      <c r="G317" s="193"/>
      <c r="H317" s="195"/>
      <c r="J317" s="212"/>
      <c r="K317" s="213"/>
      <c r="L317" s="214"/>
    </row>
    <row r="318" spans="1:12" ht="12.75" hidden="1" customHeight="1" x14ac:dyDescent="0.25">
      <c r="C318" s="193"/>
      <c r="D318" s="193"/>
      <c r="E318" s="194"/>
      <c r="F318" s="194"/>
      <c r="G318" s="193"/>
      <c r="H318" s="195"/>
      <c r="J318" s="211"/>
      <c r="K318" s="203"/>
      <c r="L318" s="197"/>
    </row>
    <row r="319" spans="1:12" ht="12.75" hidden="1" customHeight="1" x14ac:dyDescent="0.25">
      <c r="C319" s="193"/>
      <c r="D319" s="193"/>
      <c r="E319" s="194"/>
      <c r="F319" s="194"/>
      <c r="G319" s="193"/>
      <c r="H319" s="195"/>
      <c r="J319" s="211"/>
      <c r="K319" s="203"/>
      <c r="L319" s="197"/>
    </row>
    <row r="320" spans="1:12" hidden="1" x14ac:dyDescent="0.25">
      <c r="A320" s="180" t="s">
        <v>21</v>
      </c>
      <c r="B320" s="179"/>
      <c r="C320" s="179"/>
      <c r="D320" s="179"/>
      <c r="E320" s="179"/>
      <c r="F320" s="179"/>
      <c r="G320" s="179"/>
      <c r="H320" s="179"/>
      <c r="I320" s="180"/>
    </row>
    <row r="321" spans="1:10" hidden="1" x14ac:dyDescent="0.25">
      <c r="A321" s="180" t="s">
        <v>22</v>
      </c>
      <c r="B321" s="179"/>
      <c r="C321" s="179"/>
      <c r="D321" s="179"/>
      <c r="E321" s="179"/>
      <c r="F321" s="179"/>
      <c r="G321" s="179"/>
      <c r="H321" s="179"/>
      <c r="I321" s="180"/>
    </row>
    <row r="322" spans="1:10" hidden="1" x14ac:dyDescent="0.25">
      <c r="A322" s="180" t="s">
        <v>310</v>
      </c>
      <c r="B322" s="179"/>
      <c r="C322" s="179"/>
      <c r="D322" s="179"/>
      <c r="E322" s="179"/>
      <c r="F322" s="179"/>
      <c r="G322" s="179"/>
      <c r="H322" s="179"/>
      <c r="I322" s="180"/>
    </row>
    <row r="323" spans="1:10" x14ac:dyDescent="0.25">
      <c r="A323" s="599" t="s">
        <v>386</v>
      </c>
      <c r="B323" s="179"/>
      <c r="C323" s="179"/>
      <c r="D323" s="179"/>
      <c r="E323" s="179"/>
      <c r="F323" s="179"/>
      <c r="G323" s="179"/>
      <c r="H323" s="179"/>
      <c r="I323" s="180"/>
    </row>
    <row r="324" spans="1:10" hidden="1" x14ac:dyDescent="0.25"/>
    <row r="326" spans="1:10" x14ac:dyDescent="0.25">
      <c r="D326" s="181" t="s">
        <v>311</v>
      </c>
      <c r="G326" s="181" t="s">
        <v>312</v>
      </c>
    </row>
    <row r="327" spans="1:10" x14ac:dyDescent="0.25">
      <c r="D327" s="182" t="s">
        <v>313</v>
      </c>
      <c r="G327" s="182" t="s">
        <v>313</v>
      </c>
    </row>
    <row r="328" spans="1:10" x14ac:dyDescent="0.25">
      <c r="A328" s="180" t="s">
        <v>314</v>
      </c>
      <c r="D328" s="183">
        <v>19.89</v>
      </c>
      <c r="G328" s="183">
        <f>VLOOKUP(J328,'EXHIBIT JDT-3 SCOM'!D:N,7,FALSE)</f>
        <v>30</v>
      </c>
      <c r="J328" s="177" t="s">
        <v>104</v>
      </c>
    </row>
    <row r="329" spans="1:10" x14ac:dyDescent="0.25">
      <c r="A329" s="180" t="str">
        <f>"FIRST "&amp;FIXED(C329,0,TRUE)&amp;" CCF"</f>
        <v>FIRST 50 CCF</v>
      </c>
      <c r="C329" s="184">
        <v>50</v>
      </c>
      <c r="D329" s="185">
        <v>0.24149000000000004</v>
      </c>
      <c r="G329" s="185"/>
      <c r="J329" s="177" t="s">
        <v>105</v>
      </c>
    </row>
    <row r="330" spans="1:10" x14ac:dyDescent="0.25">
      <c r="A330" s="180" t="s">
        <v>315</v>
      </c>
      <c r="C330" s="184">
        <v>9999999999</v>
      </c>
      <c r="D330" s="185">
        <v>0.21224999999999999</v>
      </c>
      <c r="G330" s="185"/>
      <c r="J330" s="177" t="s">
        <v>106</v>
      </c>
    </row>
    <row r="331" spans="1:10" x14ac:dyDescent="0.25">
      <c r="C331" s="184"/>
      <c r="D331" s="185"/>
      <c r="G331" s="185">
        <f>VLOOKUP(J331,'EXHIBIT JDT-3 SCOM'!D:N,7,FALSE)/10</f>
        <v>0.22273999999999999</v>
      </c>
      <c r="J331" s="177" t="s">
        <v>345</v>
      </c>
    </row>
    <row r="332" spans="1:10" hidden="1" x14ac:dyDescent="0.25">
      <c r="C332" s="184"/>
      <c r="E332" s="186"/>
      <c r="F332" s="186"/>
    </row>
    <row r="333" spans="1:10" hidden="1" x14ac:dyDescent="0.25">
      <c r="A333" s="180" t="s">
        <v>316</v>
      </c>
      <c r="D333" s="185">
        <v>0</v>
      </c>
      <c r="E333" s="186"/>
      <c r="F333" s="186"/>
      <c r="G333" s="185">
        <f>D333</f>
        <v>0</v>
      </c>
      <c r="J333" s="187" t="s">
        <v>370</v>
      </c>
    </row>
    <row r="334" spans="1:10" hidden="1" x14ac:dyDescent="0.25">
      <c r="A334" s="180" t="s">
        <v>317</v>
      </c>
      <c r="D334" s="185">
        <v>0</v>
      </c>
      <c r="E334" s="186"/>
      <c r="F334" s="186"/>
      <c r="G334" s="185">
        <f t="shared" ref="G334:G336" si="74">D334</f>
        <v>0</v>
      </c>
      <c r="J334" s="187" t="s">
        <v>370</v>
      </c>
    </row>
    <row r="335" spans="1:10" hidden="1" x14ac:dyDescent="0.25">
      <c r="A335" s="180" t="s">
        <v>318</v>
      </c>
      <c r="D335" s="185">
        <v>0</v>
      </c>
      <c r="E335" s="186"/>
      <c r="F335" s="186"/>
      <c r="G335" s="185">
        <f t="shared" si="74"/>
        <v>0</v>
      </c>
      <c r="J335" s="187"/>
    </row>
    <row r="336" spans="1:10" hidden="1" x14ac:dyDescent="0.25">
      <c r="A336" s="180" t="s">
        <v>319</v>
      </c>
      <c r="D336" s="185">
        <v>0</v>
      </c>
      <c r="E336" s="186"/>
      <c r="F336" s="186"/>
      <c r="G336" s="185">
        <f t="shared" si="74"/>
        <v>0</v>
      </c>
      <c r="J336" s="187"/>
    </row>
    <row r="337" spans="1:12" hidden="1" x14ac:dyDescent="0.25">
      <c r="A337" s="180" t="s">
        <v>320</v>
      </c>
      <c r="D337" s="185">
        <v>0</v>
      </c>
      <c r="E337" s="186"/>
      <c r="F337" s="186"/>
      <c r="G337" s="185">
        <f>IFERROR(VLOOKUP(J337,'EXHIBIT JDT-3 SCOM'!D:N,7,FALSE)/10,0)</f>
        <v>0</v>
      </c>
      <c r="J337" s="187"/>
    </row>
    <row r="338" spans="1:12" hidden="1" x14ac:dyDescent="0.25">
      <c r="A338" s="180" t="s">
        <v>341</v>
      </c>
      <c r="D338" s="185">
        <v>0</v>
      </c>
      <c r="E338" s="186"/>
      <c r="F338" s="186"/>
      <c r="G338" s="185">
        <f>IFERROR(VLOOKUP(J338,'EXHIBIT JDT-3 SCOM'!D:N,7,FALSE)/10,0)</f>
        <v>0</v>
      </c>
      <c r="J338" s="187"/>
    </row>
    <row r="339" spans="1:12" hidden="1" x14ac:dyDescent="0.25">
      <c r="A339" s="180" t="s">
        <v>342</v>
      </c>
      <c r="D339" s="185">
        <v>0</v>
      </c>
      <c r="E339" s="186"/>
      <c r="F339" s="186"/>
      <c r="G339" s="185">
        <v>0</v>
      </c>
      <c r="J339" s="188" t="s">
        <v>370</v>
      </c>
    </row>
    <row r="340" spans="1:12" hidden="1" x14ac:dyDescent="0.25">
      <c r="A340" s="180" t="s">
        <v>343</v>
      </c>
      <c r="D340" s="185">
        <v>0</v>
      </c>
      <c r="E340" s="186"/>
      <c r="F340" s="186"/>
      <c r="G340" s="185">
        <v>0</v>
      </c>
      <c r="J340" s="188" t="s">
        <v>370</v>
      </c>
    </row>
    <row r="341" spans="1:12" hidden="1" x14ac:dyDescent="0.25">
      <c r="D341" s="185"/>
      <c r="E341" s="186"/>
      <c r="F341" s="186"/>
      <c r="G341" s="185"/>
      <c r="J341" s="187"/>
    </row>
    <row r="342" spans="1:12" hidden="1" x14ac:dyDescent="0.25">
      <c r="E342" s="186"/>
      <c r="F342" s="186"/>
      <c r="G342" s="186"/>
    </row>
    <row r="343" spans="1:12" hidden="1" x14ac:dyDescent="0.25">
      <c r="A343" s="180" t="s">
        <v>321</v>
      </c>
      <c r="D343" s="189">
        <v>0</v>
      </c>
      <c r="G343" s="189">
        <v>0</v>
      </c>
    </row>
    <row r="344" spans="1:12" hidden="1" x14ac:dyDescent="0.25"/>
    <row r="346" spans="1:12" x14ac:dyDescent="0.25">
      <c r="G346" s="190" t="s">
        <v>322</v>
      </c>
      <c r="H346" s="190"/>
    </row>
    <row r="347" spans="1:12" x14ac:dyDescent="0.25">
      <c r="B347" s="176" t="s">
        <v>323</v>
      </c>
      <c r="C347" s="181" t="s">
        <v>311</v>
      </c>
      <c r="D347" s="181" t="s">
        <v>312</v>
      </c>
      <c r="E347" s="181" t="s">
        <v>311</v>
      </c>
      <c r="F347" s="181" t="s">
        <v>312</v>
      </c>
      <c r="G347" s="181" t="s">
        <v>324</v>
      </c>
      <c r="H347" s="181" t="s">
        <v>325</v>
      </c>
      <c r="J347" s="191"/>
    </row>
    <row r="348" spans="1:12" x14ac:dyDescent="0.25">
      <c r="C348" s="192" t="s">
        <v>326</v>
      </c>
      <c r="D348" s="192" t="s">
        <v>327</v>
      </c>
      <c r="E348" s="181" t="s">
        <v>328</v>
      </c>
      <c r="F348" s="181" t="s">
        <v>328</v>
      </c>
      <c r="G348" s="192" t="s">
        <v>329</v>
      </c>
      <c r="J348" s="191"/>
    </row>
    <row r="349" spans="1:12" x14ac:dyDescent="0.25">
      <c r="B349" s="176" t="s">
        <v>330</v>
      </c>
      <c r="J349" s="191"/>
    </row>
    <row r="350" spans="1:12" x14ac:dyDescent="0.25">
      <c r="B350" s="176">
        <f>B283</f>
        <v>0</v>
      </c>
      <c r="C350" s="193">
        <f>ROUND(((D328+MINA(B350,C329)*D329+MAXA(B350-C329,0)*D330+(+D334+D335+D336+D338+D337+D339+D340)*B350)*(1+D333))*(1+D343),2)</f>
        <v>19.89</v>
      </c>
      <c r="D350" s="193">
        <f>ROUND((G328+(SUM(G331:G340)*B350))*(1+G343),2)</f>
        <v>30</v>
      </c>
      <c r="E350" s="194"/>
      <c r="F350" s="194"/>
      <c r="G350" s="193">
        <f t="shared" ref="G350:G380" si="75">D350-C350</f>
        <v>10.11</v>
      </c>
      <c r="H350" s="195">
        <f t="shared" ref="H350:H380" si="76">ROUND(G350/C350,4)</f>
        <v>0.50829999999999997</v>
      </c>
      <c r="J350" s="207"/>
      <c r="L350" s="197"/>
    </row>
    <row r="351" spans="1:12" x14ac:dyDescent="0.25">
      <c r="B351" s="176">
        <f t="shared" ref="B351:B380" si="77">B284</f>
        <v>20</v>
      </c>
      <c r="C351" s="193">
        <f>ROUND(((D328+MINA(B351,C329)*D329+MAXA(B351-C329,0)*D330+(+D334+D335+D336+D338+D337+D339+D340)*B351)*(1+D333))*(1+D343),2)</f>
        <v>24.72</v>
      </c>
      <c r="D351" s="193">
        <f>ROUND((G328+(SUM(G331:G340)*B351))*(1+G343),2)</f>
        <v>34.450000000000003</v>
      </c>
      <c r="E351" s="194">
        <f t="shared" ref="E351:E380" si="78">+C351/B351</f>
        <v>1.236</v>
      </c>
      <c r="F351" s="194">
        <f t="shared" ref="F351:F380" si="79">+D351/B351</f>
        <v>1.7225000000000001</v>
      </c>
      <c r="G351" s="193">
        <f t="shared" si="75"/>
        <v>9.730000000000004</v>
      </c>
      <c r="H351" s="195">
        <f t="shared" si="76"/>
        <v>0.39360000000000001</v>
      </c>
      <c r="J351" s="207"/>
      <c r="L351" s="197"/>
    </row>
    <row r="352" spans="1:12" x14ac:dyDescent="0.25">
      <c r="B352" s="176">
        <f t="shared" si="77"/>
        <v>40</v>
      </c>
      <c r="C352" s="193">
        <f>ROUND(((D328+MINA(B352,C329)*D329+MAXA(B352-C329,0)*D330+(+D334+D335+D336+D338+D337+D339+D340)*B352)*(1+D333))*(1+D343),2)</f>
        <v>29.55</v>
      </c>
      <c r="D352" s="193">
        <f>ROUND((G328+(SUM(G331:G340)*B352))*(1+G343),2)</f>
        <v>38.909999999999997</v>
      </c>
      <c r="E352" s="194">
        <f t="shared" si="78"/>
        <v>0.73875000000000002</v>
      </c>
      <c r="F352" s="194">
        <f t="shared" si="79"/>
        <v>0.97274999999999989</v>
      </c>
      <c r="G352" s="193">
        <f t="shared" si="75"/>
        <v>9.3599999999999959</v>
      </c>
      <c r="H352" s="195">
        <f t="shared" si="76"/>
        <v>0.31680000000000003</v>
      </c>
      <c r="J352" s="207"/>
      <c r="L352" s="197"/>
    </row>
    <row r="353" spans="2:12" x14ac:dyDescent="0.25">
      <c r="B353" s="176">
        <f t="shared" si="77"/>
        <v>60</v>
      </c>
      <c r="C353" s="193">
        <f>ROUND(((D328+MINA(B353,C329)*D329+MAXA(B353-C329,0)*D330+(+D334+D335+D336+D338+D337+D339+D340)*B353)*(1+D333))*(1+D343),2)</f>
        <v>34.090000000000003</v>
      </c>
      <c r="D353" s="193">
        <f>ROUND((G328+(SUM(G331:G340)*B353))*(1+G343),2)</f>
        <v>43.36</v>
      </c>
      <c r="E353" s="194">
        <f t="shared" si="78"/>
        <v>0.56816666666666671</v>
      </c>
      <c r="F353" s="194">
        <f t="shared" si="79"/>
        <v>0.72266666666666668</v>
      </c>
      <c r="G353" s="193">
        <f t="shared" si="75"/>
        <v>9.269999999999996</v>
      </c>
      <c r="H353" s="195">
        <f t="shared" si="76"/>
        <v>0.27189999999999998</v>
      </c>
      <c r="J353" s="207"/>
      <c r="L353" s="197"/>
    </row>
    <row r="354" spans="2:12" x14ac:dyDescent="0.25">
      <c r="B354" s="176">
        <f t="shared" si="77"/>
        <v>80</v>
      </c>
      <c r="C354" s="193">
        <f>ROUND(((D328+MINA(B354,C329)*D329+MAXA(B354-C329,0)*D330+(+D334+D335+D336+D338+D337+D339+D340)*B354)*(1+D333))*(1+D343),2)</f>
        <v>38.33</v>
      </c>
      <c r="D354" s="193">
        <f>ROUND((G328+(SUM(G331:G340)*B354))*(1+G343),2)</f>
        <v>47.82</v>
      </c>
      <c r="E354" s="194">
        <f t="shared" si="78"/>
        <v>0.47912499999999997</v>
      </c>
      <c r="F354" s="194">
        <f t="shared" si="79"/>
        <v>0.59775</v>
      </c>
      <c r="G354" s="193">
        <f t="shared" si="75"/>
        <v>9.490000000000002</v>
      </c>
      <c r="H354" s="195">
        <f t="shared" si="76"/>
        <v>0.24759999999999999</v>
      </c>
      <c r="J354" s="207"/>
      <c r="L354" s="197"/>
    </row>
    <row r="355" spans="2:12" x14ac:dyDescent="0.25">
      <c r="B355" s="176">
        <f t="shared" si="77"/>
        <v>100</v>
      </c>
      <c r="C355" s="193">
        <f>ROUND(((D328+MINA(B355,C329)*D329+MAXA(B355-C329,0)*D330+(+D334+D335+D336+D338+D337+D339+D340)*B355)*(1+D333))*(1+D343),2)</f>
        <v>42.58</v>
      </c>
      <c r="D355" s="193">
        <f>ROUND((G328+(SUM(G331:G340)*B355))*(1+G343),2)</f>
        <v>52.27</v>
      </c>
      <c r="E355" s="194">
        <f t="shared" si="78"/>
        <v>0.42579999999999996</v>
      </c>
      <c r="F355" s="194">
        <f t="shared" si="79"/>
        <v>0.52270000000000005</v>
      </c>
      <c r="G355" s="193">
        <f t="shared" si="75"/>
        <v>9.6900000000000048</v>
      </c>
      <c r="H355" s="195">
        <f t="shared" si="76"/>
        <v>0.2276</v>
      </c>
      <c r="J355" s="207"/>
      <c r="L355" s="197"/>
    </row>
    <row r="356" spans="2:12" x14ac:dyDescent="0.25">
      <c r="B356" s="176">
        <f t="shared" si="77"/>
        <v>120</v>
      </c>
      <c r="C356" s="193">
        <f>ROUND(((D328+MINA(B356,C329)*D329+MAXA(B356-C329,0)*D330+(+D334+D335+D336+D338+D337+D339+D340)*B356)*(1+D333))*(1+D343),2)</f>
        <v>46.82</v>
      </c>
      <c r="D356" s="193">
        <f>ROUND((G328+(SUM(G331:G340)*B356))*(1+G343),2)</f>
        <v>56.73</v>
      </c>
      <c r="E356" s="194">
        <f t="shared" si="78"/>
        <v>0.39016666666666666</v>
      </c>
      <c r="F356" s="194">
        <f t="shared" si="79"/>
        <v>0.47274999999999995</v>
      </c>
      <c r="G356" s="193">
        <f t="shared" si="75"/>
        <v>9.9099999999999966</v>
      </c>
      <c r="H356" s="195">
        <f t="shared" si="76"/>
        <v>0.2117</v>
      </c>
      <c r="J356" s="207"/>
      <c r="L356" s="197"/>
    </row>
    <row r="357" spans="2:12" x14ac:dyDescent="0.25">
      <c r="B357" s="176">
        <f t="shared" si="77"/>
        <v>140</v>
      </c>
      <c r="C357" s="193">
        <f>ROUND(((D328+MINA(B357,C329)*D329+MAXA(B357-C329,0)*D330+(+D334+D335+D336+D338+D337+D339+D340)*B357)*(1+D333))*(1+D343),2)</f>
        <v>51.07</v>
      </c>
      <c r="D357" s="193">
        <f>ROUND((G328+(SUM(G331:G340)*B357))*(1+G343),2)</f>
        <v>61.18</v>
      </c>
      <c r="E357" s="194">
        <f t="shared" si="78"/>
        <v>0.36478571428571427</v>
      </c>
      <c r="F357" s="194">
        <f t="shared" si="79"/>
        <v>0.437</v>
      </c>
      <c r="G357" s="193">
        <f t="shared" si="75"/>
        <v>10.11</v>
      </c>
      <c r="H357" s="195">
        <f t="shared" si="76"/>
        <v>0.19800000000000001</v>
      </c>
      <c r="J357" s="207"/>
      <c r="L357" s="197"/>
    </row>
    <row r="358" spans="2:12" x14ac:dyDescent="0.25">
      <c r="B358" s="176">
        <f t="shared" si="77"/>
        <v>160</v>
      </c>
      <c r="C358" s="193">
        <f>ROUND(((D328+MINA(B358,C329)*D329+MAXA(B358-C329,0)*D330+(+D334+D335+D336+D338+D337+D339+D340)*B358)*(1+D333))*(1+D343),2)</f>
        <v>55.31</v>
      </c>
      <c r="D358" s="193">
        <f>ROUND((G328+(SUM(G331:G340)*B358))*(1+G343),2)</f>
        <v>65.64</v>
      </c>
      <c r="E358" s="194">
        <f t="shared" si="78"/>
        <v>0.34568750000000004</v>
      </c>
      <c r="F358" s="194">
        <f t="shared" si="79"/>
        <v>0.41025</v>
      </c>
      <c r="G358" s="193">
        <f t="shared" si="75"/>
        <v>10.329999999999998</v>
      </c>
      <c r="H358" s="195">
        <f t="shared" si="76"/>
        <v>0.18679999999999999</v>
      </c>
      <c r="J358" s="207"/>
      <c r="L358" s="197"/>
    </row>
    <row r="359" spans="2:12" x14ac:dyDescent="0.25">
      <c r="B359" s="176">
        <f t="shared" si="77"/>
        <v>180</v>
      </c>
      <c r="C359" s="193">
        <f>ROUND(((D328+MINA(B359,C329)*D329+MAXA(B359-C329,0)*D330+(+D334+D335+D336+D338+D337+D339+D340)*B359)*(1+D333))*(1+D343),2)</f>
        <v>59.56</v>
      </c>
      <c r="D359" s="193">
        <f>ROUND((G328+(SUM(G331:G340)*B359))*(1+G343),2)</f>
        <v>70.09</v>
      </c>
      <c r="E359" s="194">
        <f t="shared" si="78"/>
        <v>0.3308888888888889</v>
      </c>
      <c r="F359" s="194">
        <f t="shared" si="79"/>
        <v>0.3893888888888889</v>
      </c>
      <c r="G359" s="193">
        <f t="shared" si="75"/>
        <v>10.530000000000001</v>
      </c>
      <c r="H359" s="195">
        <f t="shared" si="76"/>
        <v>0.17680000000000001</v>
      </c>
      <c r="J359" s="207"/>
      <c r="L359" s="197"/>
    </row>
    <row r="360" spans="2:12" x14ac:dyDescent="0.25">
      <c r="B360" s="176">
        <f t="shared" si="77"/>
        <v>200</v>
      </c>
      <c r="C360" s="193">
        <f>ROUND(((D328+MINA(B360,C329)*D329+MAXA(B360-C329,0)*D330+(+D334+D335+D336+D338+D337+D339+D340)*B360)*(1+D333))*(1+D343),2)</f>
        <v>63.8</v>
      </c>
      <c r="D360" s="193">
        <f>ROUND((G328+(SUM(G331:G340)*B360))*(1+G343),2)</f>
        <v>74.55</v>
      </c>
      <c r="E360" s="194">
        <f t="shared" si="78"/>
        <v>0.31900000000000001</v>
      </c>
      <c r="F360" s="194">
        <f t="shared" si="79"/>
        <v>0.37274999999999997</v>
      </c>
      <c r="G360" s="193">
        <f t="shared" si="75"/>
        <v>10.75</v>
      </c>
      <c r="H360" s="195">
        <f t="shared" si="76"/>
        <v>0.16850000000000001</v>
      </c>
      <c r="J360" s="207"/>
      <c r="L360" s="197"/>
    </row>
    <row r="361" spans="2:12" x14ac:dyDescent="0.25">
      <c r="B361" s="176">
        <f t="shared" si="77"/>
        <v>220</v>
      </c>
      <c r="C361" s="193">
        <f>ROUND(((D328+MINA(B361,C329)*D329+MAXA(B361-C329,0)*D330+(+D334+D335+D336+D338+D337+D339+D340)*B361)*(1+D333))*(1+D343),2)</f>
        <v>68.05</v>
      </c>
      <c r="D361" s="193">
        <f>ROUND((G328+(SUM(G331:G340)*B361))*(1+G343),2)</f>
        <v>79</v>
      </c>
      <c r="E361" s="194">
        <f t="shared" si="78"/>
        <v>0.30931818181818183</v>
      </c>
      <c r="F361" s="194">
        <f t="shared" si="79"/>
        <v>0.35909090909090907</v>
      </c>
      <c r="G361" s="193">
        <f t="shared" si="75"/>
        <v>10.950000000000003</v>
      </c>
      <c r="H361" s="195">
        <f t="shared" si="76"/>
        <v>0.16089999999999999</v>
      </c>
      <c r="J361" s="207"/>
      <c r="L361" s="197"/>
    </row>
    <row r="362" spans="2:12" x14ac:dyDescent="0.25">
      <c r="B362" s="176">
        <f t="shared" si="77"/>
        <v>240</v>
      </c>
      <c r="C362" s="193">
        <f>ROUND(((D328+MINA(B362,C329)*D329+MAXA(B362-C329,0)*D330+(+D334+D335+D336+D338+D337+D339+D340)*B362)*(1+D333))*(1+D343),2)</f>
        <v>72.290000000000006</v>
      </c>
      <c r="D362" s="193">
        <f>ROUND((G328+(SUM(G331:G340)*B362))*(1+G343),2)</f>
        <v>83.46</v>
      </c>
      <c r="E362" s="194">
        <f t="shared" si="78"/>
        <v>0.30120833333333336</v>
      </c>
      <c r="F362" s="194">
        <f t="shared" si="79"/>
        <v>0.34774999999999995</v>
      </c>
      <c r="G362" s="193">
        <f t="shared" si="75"/>
        <v>11.169999999999987</v>
      </c>
      <c r="H362" s="195">
        <f t="shared" si="76"/>
        <v>0.1545</v>
      </c>
      <c r="J362" s="207"/>
      <c r="L362" s="197"/>
    </row>
    <row r="363" spans="2:12" x14ac:dyDescent="0.25">
      <c r="B363" s="176">
        <f t="shared" si="77"/>
        <v>260</v>
      </c>
      <c r="C363" s="193">
        <f>ROUND(((D328+MINA(B363,C329)*D329+MAXA(B363-C329,0)*D330+(+D334+D335+D336+D338+D337+D339+D340)*B363)*(1+D333))*(1+D343),2)</f>
        <v>76.540000000000006</v>
      </c>
      <c r="D363" s="193">
        <f>ROUND((G328+(SUM(G331:G340)*B363))*(1+G343),2)</f>
        <v>87.91</v>
      </c>
      <c r="E363" s="194">
        <f t="shared" si="78"/>
        <v>0.29438461538461541</v>
      </c>
      <c r="F363" s="194">
        <f t="shared" si="79"/>
        <v>0.3381153846153846</v>
      </c>
      <c r="G363" s="193">
        <f t="shared" si="75"/>
        <v>11.36999999999999</v>
      </c>
      <c r="H363" s="195">
        <f t="shared" si="76"/>
        <v>0.14849999999999999</v>
      </c>
      <c r="J363" s="207"/>
      <c r="L363" s="197"/>
    </row>
    <row r="364" spans="2:12" x14ac:dyDescent="0.25">
      <c r="B364" s="176">
        <f t="shared" si="77"/>
        <v>280</v>
      </c>
      <c r="C364" s="193">
        <f>ROUND(((D328+MINA(B364,C329)*D329+MAXA(B364-C329,0)*D330+(+D334+D335+D336+D338+D337+D339+D340)*B364)*(1+D333))*(1+D343),2)</f>
        <v>80.78</v>
      </c>
      <c r="D364" s="193">
        <f>ROUND((G328+(SUM(G331:G340)*B364))*(1+G343),2)</f>
        <v>92.37</v>
      </c>
      <c r="E364" s="194">
        <f t="shared" si="78"/>
        <v>0.28849999999999998</v>
      </c>
      <c r="F364" s="194">
        <f t="shared" si="79"/>
        <v>0.32989285714285715</v>
      </c>
      <c r="G364" s="193">
        <f t="shared" si="75"/>
        <v>11.590000000000003</v>
      </c>
      <c r="H364" s="195">
        <f t="shared" si="76"/>
        <v>0.14349999999999999</v>
      </c>
      <c r="J364" s="207"/>
      <c r="L364" s="197"/>
    </row>
    <row r="365" spans="2:12" x14ac:dyDescent="0.25">
      <c r="B365" s="176">
        <f t="shared" si="77"/>
        <v>300</v>
      </c>
      <c r="C365" s="193">
        <f>ROUND(((D328+MINA(B365,C329)*D329+MAXA(B365-C329,0)*D330+(+D334+D335+D336+D338+D337+D339+D340)*B365)*(1+D333))*(1+D343),2)</f>
        <v>85.03</v>
      </c>
      <c r="D365" s="193">
        <f>ROUND((G328+(SUM(G331:G340)*B365))*(1+G343),2)</f>
        <v>96.82</v>
      </c>
      <c r="E365" s="194">
        <f t="shared" si="78"/>
        <v>0.28343333333333331</v>
      </c>
      <c r="F365" s="194">
        <f t="shared" si="79"/>
        <v>0.32273333333333332</v>
      </c>
      <c r="G365" s="193">
        <f t="shared" si="75"/>
        <v>11.789999999999992</v>
      </c>
      <c r="H365" s="195">
        <f t="shared" si="76"/>
        <v>0.13869999999999999</v>
      </c>
      <c r="J365" s="207"/>
      <c r="L365" s="197"/>
    </row>
    <row r="366" spans="2:12" x14ac:dyDescent="0.25">
      <c r="B366" s="176">
        <f t="shared" si="77"/>
        <v>320</v>
      </c>
      <c r="C366" s="193">
        <f>ROUND(((D328+MINA(B366,C329)*D329+MAXA(B366-C329,0)*D330+(+D334+D335+D336+D338+D337+D339+D340)*B366)*(1+D333))*(1+D343),2)</f>
        <v>89.27</v>
      </c>
      <c r="D366" s="193">
        <f>ROUND((G328+(SUM(G331:G340)*B366))*(1+G343),2)</f>
        <v>101.28</v>
      </c>
      <c r="E366" s="194">
        <f t="shared" si="78"/>
        <v>0.27896874999999999</v>
      </c>
      <c r="F366" s="194">
        <f t="shared" si="79"/>
        <v>0.3165</v>
      </c>
      <c r="G366" s="193">
        <f t="shared" si="75"/>
        <v>12.010000000000005</v>
      </c>
      <c r="H366" s="195">
        <f t="shared" si="76"/>
        <v>0.13450000000000001</v>
      </c>
      <c r="J366" s="207"/>
      <c r="L366" s="197"/>
    </row>
    <row r="367" spans="2:12" x14ac:dyDescent="0.25">
      <c r="B367" s="176">
        <f t="shared" si="77"/>
        <v>340</v>
      </c>
      <c r="C367" s="193">
        <f>ROUND(((D328+MINA(B367,C329)*D329+MAXA(B367-C329,0)*D330+(+D334+D335+D336+D338+D337+D339+D340)*B367)*(1+D333))*(1+D343),2)</f>
        <v>93.52</v>
      </c>
      <c r="D367" s="193">
        <f>ROUND((G328+(SUM(G331:G340)*B367))*(1+G343),2)</f>
        <v>105.73</v>
      </c>
      <c r="E367" s="194">
        <f t="shared" si="78"/>
        <v>0.27505882352941174</v>
      </c>
      <c r="F367" s="194">
        <f t="shared" si="79"/>
        <v>0.31097058823529411</v>
      </c>
      <c r="G367" s="193">
        <f t="shared" si="75"/>
        <v>12.210000000000008</v>
      </c>
      <c r="H367" s="195">
        <f t="shared" si="76"/>
        <v>0.13059999999999999</v>
      </c>
      <c r="J367" s="207"/>
      <c r="L367" s="197"/>
    </row>
    <row r="368" spans="2:12" x14ac:dyDescent="0.25">
      <c r="B368" s="176">
        <f t="shared" si="77"/>
        <v>360</v>
      </c>
      <c r="C368" s="193">
        <f>ROUND(((D328+MINA(B368,C329)*D329+MAXA(B368-C329,0)*D330+(+D334+D335+D336+D338+D337+D339+D340)*B368)*(1+D333))*(1+D343),2)</f>
        <v>97.76</v>
      </c>
      <c r="D368" s="193">
        <f>ROUND((G328+(SUM(G331:G340)*B368))*(1+G343),2)</f>
        <v>110.19</v>
      </c>
      <c r="E368" s="194">
        <f t="shared" si="78"/>
        <v>0.27155555555555555</v>
      </c>
      <c r="F368" s="194">
        <f t="shared" si="79"/>
        <v>0.30608333333333332</v>
      </c>
      <c r="G368" s="193">
        <f t="shared" si="75"/>
        <v>12.429999999999993</v>
      </c>
      <c r="H368" s="195">
        <f t="shared" si="76"/>
        <v>0.12709999999999999</v>
      </c>
      <c r="J368" s="207"/>
      <c r="L368" s="197"/>
    </row>
    <row r="369" spans="2:12" x14ac:dyDescent="0.25">
      <c r="B369" s="176">
        <f t="shared" si="77"/>
        <v>380</v>
      </c>
      <c r="C369" s="193">
        <f>ROUND(((D328+MINA(B369,C329)*D329+MAXA(B369-C329,0)*D330+(+D334+D335+D336+D338+D337+D339+D340)*B369)*(1+D333))*(1+D343),2)</f>
        <v>102.01</v>
      </c>
      <c r="D369" s="193">
        <f>ROUND((G328+(SUM(G331:G340)*B369))*(1+G343),2)</f>
        <v>114.64</v>
      </c>
      <c r="E369" s="194">
        <f t="shared" si="78"/>
        <v>0.26844736842105266</v>
      </c>
      <c r="F369" s="194">
        <f t="shared" si="79"/>
        <v>0.30168421052631578</v>
      </c>
      <c r="G369" s="193">
        <f t="shared" si="75"/>
        <v>12.629999999999995</v>
      </c>
      <c r="H369" s="195">
        <f t="shared" si="76"/>
        <v>0.12379999999999999</v>
      </c>
      <c r="J369" s="207"/>
      <c r="L369" s="197"/>
    </row>
    <row r="370" spans="2:12" x14ac:dyDescent="0.25">
      <c r="B370" s="176">
        <f t="shared" si="77"/>
        <v>400</v>
      </c>
      <c r="C370" s="193">
        <f>ROUND(((D328+MINA(B370,C329)*D329+MAXA(B370-C329,0)*D330+(+D334+D335+D336+D338+D337+D339+D340)*B370)*(1+D333))*(1+D343),2)</f>
        <v>106.25</v>
      </c>
      <c r="D370" s="193">
        <f>ROUND((G328+(SUM(G331:G340)*B370))*(1+G343),2)</f>
        <v>119.1</v>
      </c>
      <c r="E370" s="194">
        <f t="shared" si="78"/>
        <v>0.265625</v>
      </c>
      <c r="F370" s="194">
        <f t="shared" si="79"/>
        <v>0.29774999999999996</v>
      </c>
      <c r="G370" s="193">
        <f t="shared" si="75"/>
        <v>12.849999999999994</v>
      </c>
      <c r="H370" s="195">
        <f t="shared" si="76"/>
        <v>0.12089999999999999</v>
      </c>
      <c r="J370" s="207"/>
      <c r="L370" s="197"/>
    </row>
    <row r="371" spans="2:12" x14ac:dyDescent="0.25">
      <c r="B371" s="176">
        <f t="shared" si="77"/>
        <v>420</v>
      </c>
      <c r="C371" s="193">
        <f>ROUND(((D328+MINA(B371,C329)*D329+MAXA(B371-C329,0)*D330+(+D334+D335+D336+D338+D337+D339+D340)*B371)*(1+D333))*(1+D343),2)</f>
        <v>110.5</v>
      </c>
      <c r="D371" s="193">
        <f>ROUND((G328+(SUM(G331:G340)*B371))*(1+G343),2)</f>
        <v>123.55</v>
      </c>
      <c r="E371" s="194">
        <f t="shared" si="78"/>
        <v>0.2630952380952381</v>
      </c>
      <c r="F371" s="194">
        <f t="shared" si="79"/>
        <v>0.29416666666666669</v>
      </c>
      <c r="G371" s="193">
        <f t="shared" si="75"/>
        <v>13.049999999999997</v>
      </c>
      <c r="H371" s="195">
        <f t="shared" si="76"/>
        <v>0.1181</v>
      </c>
      <c r="J371" s="207"/>
      <c r="L371" s="197"/>
    </row>
    <row r="372" spans="2:12" x14ac:dyDescent="0.25">
      <c r="B372" s="176">
        <f t="shared" si="77"/>
        <v>440</v>
      </c>
      <c r="C372" s="193">
        <f>ROUND(((D328+MINA(B372,C329)*D329+MAXA(B372-C329,0)*D330+(+D334+D335+D336+D338+D337+D339+D340)*B372)*(1+D333))*(1+D343),2)</f>
        <v>114.74</v>
      </c>
      <c r="D372" s="193">
        <f>ROUND((G328+(SUM(G331:G340)*B372))*(1+G343),2)</f>
        <v>128.01</v>
      </c>
      <c r="E372" s="194">
        <f t="shared" si="78"/>
        <v>0.26077272727272727</v>
      </c>
      <c r="F372" s="194">
        <f t="shared" si="79"/>
        <v>0.29093181818181818</v>
      </c>
      <c r="G372" s="193">
        <f t="shared" si="75"/>
        <v>13.269999999999996</v>
      </c>
      <c r="H372" s="195">
        <f t="shared" si="76"/>
        <v>0.1157</v>
      </c>
      <c r="J372" s="207"/>
      <c r="L372" s="197"/>
    </row>
    <row r="373" spans="2:12" x14ac:dyDescent="0.25">
      <c r="B373" s="176">
        <f t="shared" si="77"/>
        <v>460</v>
      </c>
      <c r="C373" s="193">
        <f>ROUND(((D328+MINA(B373,C329)*D329+MAXA(B373-C329,0)*D330+(+D334+D335+D336+D338+D337+D339+D340)*B373)*(1+D333))*(1+D343),2)</f>
        <v>118.99</v>
      </c>
      <c r="D373" s="193">
        <f>ROUND((G328+(SUM(G331:G340)*B373))*(1+G343),2)</f>
        <v>132.46</v>
      </c>
      <c r="E373" s="194">
        <f t="shared" si="78"/>
        <v>0.25867391304347825</v>
      </c>
      <c r="F373" s="194">
        <f t="shared" si="79"/>
        <v>0.28795652173913044</v>
      </c>
      <c r="G373" s="193">
        <f t="shared" si="75"/>
        <v>13.470000000000013</v>
      </c>
      <c r="H373" s="195">
        <f t="shared" si="76"/>
        <v>0.1132</v>
      </c>
      <c r="J373" s="207"/>
      <c r="L373" s="197"/>
    </row>
    <row r="374" spans="2:12" x14ac:dyDescent="0.25">
      <c r="B374" s="176">
        <f t="shared" si="77"/>
        <v>480</v>
      </c>
      <c r="C374" s="193">
        <f>ROUND(((D328+MINA(B374,C329)*D329+MAXA(B374-C329,0)*D330+(+D334+D335+D336+D338+D337+D339+D340)*B374)*(1+D333))*(1+D343),2)</f>
        <v>123.23</v>
      </c>
      <c r="D374" s="193">
        <f>ROUND((G328+(SUM(G331:G340)*B374))*(1+G343),2)</f>
        <v>136.91999999999999</v>
      </c>
      <c r="E374" s="194">
        <f t="shared" si="78"/>
        <v>0.25672916666666667</v>
      </c>
      <c r="F374" s="194">
        <f t="shared" si="79"/>
        <v>0.28524999999999995</v>
      </c>
      <c r="G374" s="193">
        <f t="shared" si="75"/>
        <v>13.689999999999984</v>
      </c>
      <c r="H374" s="195">
        <f t="shared" si="76"/>
        <v>0.1111</v>
      </c>
      <c r="J374" s="207"/>
      <c r="L374" s="197"/>
    </row>
    <row r="375" spans="2:12" x14ac:dyDescent="0.25">
      <c r="B375" s="176">
        <f t="shared" si="77"/>
        <v>500</v>
      </c>
      <c r="C375" s="193">
        <f>ROUND(((D328+MINA(B375,C329)*D329+MAXA(B375-C329,0)*D330+(+D334+D335+D336+D338+D337+D339+D340)*B375)*(1+D333))*(1+D343),2)</f>
        <v>127.48</v>
      </c>
      <c r="D375" s="193">
        <f>ROUND((G328+(SUM(G331:G340)*B375))*(1+G343),2)</f>
        <v>141.37</v>
      </c>
      <c r="E375" s="194">
        <f t="shared" si="78"/>
        <v>0.25496000000000002</v>
      </c>
      <c r="F375" s="194">
        <f t="shared" si="79"/>
        <v>0.28273999999999999</v>
      </c>
      <c r="G375" s="193">
        <f t="shared" si="75"/>
        <v>13.89</v>
      </c>
      <c r="H375" s="195">
        <f t="shared" si="76"/>
        <v>0.109</v>
      </c>
      <c r="J375" s="207"/>
      <c r="L375" s="197"/>
    </row>
    <row r="376" spans="2:12" x14ac:dyDescent="0.25">
      <c r="B376" s="176">
        <f t="shared" si="77"/>
        <v>520</v>
      </c>
      <c r="C376" s="193">
        <f>ROUND(((D328+MINA(B376,C329)*D329+MAXA(B376-C329,0)*D330+(+D334+D335+D336+D338+D337+D339+D340)*B376)*(1+D333))*(1+D343),2)</f>
        <v>131.72</v>
      </c>
      <c r="D376" s="193">
        <f>ROUND((G328+(SUM(G331:G340)*B376))*(1+G343),2)</f>
        <v>145.82</v>
      </c>
      <c r="E376" s="194">
        <f t="shared" si="78"/>
        <v>0.25330769230769229</v>
      </c>
      <c r="F376" s="194">
        <f t="shared" si="79"/>
        <v>0.28042307692307689</v>
      </c>
      <c r="G376" s="193">
        <f t="shared" si="75"/>
        <v>14.099999999999994</v>
      </c>
      <c r="H376" s="195">
        <f t="shared" si="76"/>
        <v>0.107</v>
      </c>
      <c r="J376" s="207"/>
      <c r="L376" s="197"/>
    </row>
    <row r="377" spans="2:12" x14ac:dyDescent="0.25">
      <c r="B377" s="176">
        <f t="shared" si="77"/>
        <v>540</v>
      </c>
      <c r="C377" s="193">
        <f>ROUND(((D328+MINA(B377,C329)*D329+MAXA(B377-C329,0)*D330+(+D334+D335+D336+D338+D337+D339+D340)*B377)*(1+D333))*(1+D343),2)</f>
        <v>135.97</v>
      </c>
      <c r="D377" s="193">
        <f>ROUND((G328+(SUM(G331:G340)*B377))*(1+G343),2)</f>
        <v>150.28</v>
      </c>
      <c r="E377" s="194">
        <f t="shared" si="78"/>
        <v>0.2517962962962963</v>
      </c>
      <c r="F377" s="194">
        <f t="shared" si="79"/>
        <v>0.27829629629629632</v>
      </c>
      <c r="G377" s="193">
        <f t="shared" si="75"/>
        <v>14.310000000000002</v>
      </c>
      <c r="H377" s="195">
        <f t="shared" si="76"/>
        <v>0.1052</v>
      </c>
      <c r="J377" s="207"/>
      <c r="L377" s="197"/>
    </row>
    <row r="378" spans="2:12" x14ac:dyDescent="0.25">
      <c r="B378" s="176">
        <f t="shared" si="77"/>
        <v>560</v>
      </c>
      <c r="C378" s="193">
        <f>ROUND(((D328+MINA(B378,C329)*D329+MAXA(B378-C329,0)*D330+(+D334+D335+D336+D338+D337+D339+D340)*B378)*(1+D333))*(1+D343),2)</f>
        <v>140.21</v>
      </c>
      <c r="D378" s="193">
        <f>ROUND((G328+(SUM(G331:G340)*B378))*(1+G343),2)</f>
        <v>154.72999999999999</v>
      </c>
      <c r="E378" s="194">
        <f t="shared" si="78"/>
        <v>0.25037500000000001</v>
      </c>
      <c r="F378" s="194">
        <f t="shared" si="79"/>
        <v>0.27630357142857143</v>
      </c>
      <c r="G378" s="193">
        <f t="shared" si="75"/>
        <v>14.519999999999982</v>
      </c>
      <c r="H378" s="195">
        <f t="shared" si="76"/>
        <v>0.1036</v>
      </c>
      <c r="J378" s="207"/>
      <c r="L378" s="197"/>
    </row>
    <row r="379" spans="2:12" x14ac:dyDescent="0.25">
      <c r="B379" s="176">
        <f t="shared" si="77"/>
        <v>580</v>
      </c>
      <c r="C379" s="193">
        <f>ROUND(((D328+MINA(B379,C329)*D329+MAXA(B379-C329,0)*D330+(+D334+D335+D336+D338+D337+D339+D340)*B379)*(1+D333))*(1+D343),2)</f>
        <v>144.46</v>
      </c>
      <c r="D379" s="193">
        <f>ROUND((G328+(SUM(G331:G340)*B379))*(1+G343),2)</f>
        <v>159.19</v>
      </c>
      <c r="E379" s="194">
        <f t="shared" si="78"/>
        <v>0.24906896551724139</v>
      </c>
      <c r="F379" s="194">
        <f t="shared" si="79"/>
        <v>0.2744655172413793</v>
      </c>
      <c r="G379" s="193">
        <f t="shared" si="75"/>
        <v>14.72999999999999</v>
      </c>
      <c r="H379" s="195">
        <f t="shared" si="76"/>
        <v>0.10199999999999999</v>
      </c>
      <c r="J379" s="207"/>
      <c r="L379" s="197"/>
    </row>
    <row r="380" spans="2:12" x14ac:dyDescent="0.25">
      <c r="B380" s="176">
        <f t="shared" si="77"/>
        <v>600</v>
      </c>
      <c r="C380" s="193">
        <f>ROUND(((D328+MINA(B380,C329)*D329+MAXA(B380-C329,0)*D330+(+D334+D335+D336+D338+D337+D339+D340)*B380)*(1+D333))*(1+D343),2)</f>
        <v>148.69999999999999</v>
      </c>
      <c r="D380" s="193">
        <f>ROUND((G328+(SUM(G331:G340)*B380))*(1+G343),2)</f>
        <v>163.63999999999999</v>
      </c>
      <c r="E380" s="194">
        <f t="shared" si="78"/>
        <v>0.24783333333333332</v>
      </c>
      <c r="F380" s="194">
        <f t="shared" si="79"/>
        <v>0.27273333333333333</v>
      </c>
      <c r="G380" s="193">
        <f t="shared" si="75"/>
        <v>14.939999999999998</v>
      </c>
      <c r="H380" s="195">
        <f t="shared" si="76"/>
        <v>0.10050000000000001</v>
      </c>
      <c r="J380" s="207"/>
      <c r="L380" s="197"/>
    </row>
    <row r="381" spans="2:12" x14ac:dyDescent="0.25">
      <c r="C381" s="193"/>
      <c r="D381" s="193"/>
      <c r="E381" s="194"/>
      <c r="F381" s="194"/>
      <c r="G381" s="193"/>
      <c r="H381" s="195"/>
      <c r="J381" s="207"/>
      <c r="L381" s="197"/>
    </row>
    <row r="382" spans="2:12" hidden="1" x14ac:dyDescent="0.25">
      <c r="C382" s="193"/>
      <c r="D382" s="193"/>
      <c r="E382" s="194"/>
      <c r="F382" s="194"/>
      <c r="G382" s="193"/>
      <c r="H382" s="195"/>
      <c r="J382" s="207"/>
      <c r="L382" s="197"/>
    </row>
    <row r="383" spans="2:12" hidden="1" x14ac:dyDescent="0.25">
      <c r="C383" s="193"/>
      <c r="D383" s="193"/>
      <c r="E383" s="194"/>
      <c r="F383" s="194"/>
      <c r="G383" s="193"/>
      <c r="H383" s="195"/>
      <c r="J383" s="207"/>
      <c r="L383" s="197"/>
    </row>
    <row r="384" spans="2:12" hidden="1" x14ac:dyDescent="0.25">
      <c r="C384" s="193"/>
      <c r="D384" s="193"/>
      <c r="E384" s="194"/>
      <c r="F384" s="194"/>
      <c r="G384" s="193"/>
      <c r="H384" s="195"/>
      <c r="J384" s="207"/>
      <c r="L384" s="197"/>
    </row>
    <row r="385" spans="1:12" hidden="1" x14ac:dyDescent="0.25">
      <c r="E385" s="194"/>
      <c r="L385" s="197"/>
    </row>
    <row r="386" spans="1:12" hidden="1" x14ac:dyDescent="0.25">
      <c r="E386" s="194"/>
      <c r="F386" s="194"/>
    </row>
    <row r="387" spans="1:12" ht="12.75" hidden="1" customHeight="1" x14ac:dyDescent="0.25">
      <c r="C387" s="193"/>
      <c r="D387" s="193"/>
      <c r="E387" s="194"/>
      <c r="F387" s="194"/>
      <c r="G387" s="193"/>
      <c r="H387" s="195"/>
      <c r="K387" s="203"/>
    </row>
    <row r="388" spans="1:12" hidden="1" x14ac:dyDescent="0.25">
      <c r="E388" s="194"/>
      <c r="F388" s="194"/>
    </row>
    <row r="389" spans="1:12" hidden="1" x14ac:dyDescent="0.25">
      <c r="A389" s="180" t="s">
        <v>21</v>
      </c>
      <c r="B389" s="179"/>
      <c r="C389" s="179"/>
      <c r="D389" s="179"/>
      <c r="E389" s="179"/>
      <c r="F389" s="179"/>
      <c r="G389" s="179"/>
      <c r="H389" s="179"/>
      <c r="I389" s="180"/>
    </row>
    <row r="390" spans="1:12" hidden="1" x14ac:dyDescent="0.25">
      <c r="A390" s="180" t="s">
        <v>22</v>
      </c>
      <c r="B390" s="179"/>
      <c r="C390" s="179"/>
      <c r="D390" s="179"/>
      <c r="E390" s="179"/>
      <c r="F390" s="179"/>
      <c r="G390" s="179"/>
      <c r="H390" s="179"/>
      <c r="I390" s="180"/>
    </row>
    <row r="391" spans="1:12" hidden="1" x14ac:dyDescent="0.25">
      <c r="A391" s="180" t="s">
        <v>310</v>
      </c>
      <c r="B391" s="179"/>
      <c r="C391" s="179"/>
      <c r="D391" s="179"/>
      <c r="E391" s="179"/>
      <c r="F391" s="179"/>
      <c r="G391" s="179"/>
      <c r="H391" s="179"/>
      <c r="I391" s="180"/>
    </row>
    <row r="392" spans="1:12" x14ac:dyDescent="0.25">
      <c r="A392" s="599" t="s">
        <v>387</v>
      </c>
      <c r="B392" s="179"/>
      <c r="C392" s="179"/>
      <c r="D392" s="179"/>
      <c r="E392" s="179"/>
      <c r="F392" s="179"/>
      <c r="G392" s="179"/>
      <c r="H392" s="179"/>
      <c r="I392" s="180"/>
    </row>
    <row r="394" spans="1:12" hidden="1" x14ac:dyDescent="0.25"/>
    <row r="395" spans="1:12" x14ac:dyDescent="0.25">
      <c r="D395" s="181" t="s">
        <v>311</v>
      </c>
      <c r="G395" s="181" t="s">
        <v>312</v>
      </c>
    </row>
    <row r="396" spans="1:12" x14ac:dyDescent="0.25">
      <c r="D396" s="182" t="s">
        <v>313</v>
      </c>
      <c r="G396" s="182" t="s">
        <v>313</v>
      </c>
    </row>
    <row r="397" spans="1:12" x14ac:dyDescent="0.25">
      <c r="A397" s="180" t="s">
        <v>314</v>
      </c>
      <c r="D397" s="183">
        <v>19.89</v>
      </c>
      <c r="G397" s="183">
        <f>VLOOKUP(J397,'EXHIBIT JDT-3 SCOM'!D:N,7,FALSE)</f>
        <v>30</v>
      </c>
      <c r="J397" s="177" t="s">
        <v>104</v>
      </c>
    </row>
    <row r="398" spans="1:12" x14ac:dyDescent="0.25">
      <c r="A398" s="180" t="s">
        <v>315</v>
      </c>
      <c r="C398" s="184">
        <v>9999999999</v>
      </c>
      <c r="D398" s="185">
        <v>0.23856000000000002</v>
      </c>
      <c r="G398" s="185">
        <f>VLOOKUP(J398,'EXHIBIT JDT-3 SCOM'!D:N,7,FALSE)/10</f>
        <v>0.22273999999999999</v>
      </c>
      <c r="J398" s="177" t="s">
        <v>126</v>
      </c>
    </row>
    <row r="399" spans="1:12" hidden="1" x14ac:dyDescent="0.25">
      <c r="C399" s="184"/>
      <c r="D399" s="185"/>
      <c r="G399" s="185"/>
    </row>
    <row r="400" spans="1:12" hidden="1" x14ac:dyDescent="0.25">
      <c r="C400" s="184"/>
      <c r="D400" s="185"/>
      <c r="G400" s="185"/>
    </row>
    <row r="401" spans="1:10" hidden="1" x14ac:dyDescent="0.25">
      <c r="A401" s="180" t="s">
        <v>316</v>
      </c>
      <c r="D401" s="185">
        <v>0</v>
      </c>
      <c r="E401" s="186"/>
      <c r="F401" s="186"/>
      <c r="G401" s="185">
        <f>D401</f>
        <v>0</v>
      </c>
      <c r="J401" s="187" t="s">
        <v>370</v>
      </c>
    </row>
    <row r="402" spans="1:10" hidden="1" x14ac:dyDescent="0.25">
      <c r="A402" s="180" t="s">
        <v>152</v>
      </c>
      <c r="D402" s="185">
        <v>0</v>
      </c>
      <c r="E402" s="186"/>
      <c r="F402" s="186"/>
      <c r="G402" s="185">
        <f t="shared" ref="G402:G404" si="80">D402</f>
        <v>0</v>
      </c>
      <c r="J402" s="187" t="s">
        <v>370</v>
      </c>
    </row>
    <row r="403" spans="1:10" hidden="1" x14ac:dyDescent="0.25">
      <c r="A403" s="180" t="s">
        <v>318</v>
      </c>
      <c r="D403" s="185">
        <v>0</v>
      </c>
      <c r="E403" s="186"/>
      <c r="F403" s="186"/>
      <c r="G403" s="185">
        <f t="shared" si="80"/>
        <v>0</v>
      </c>
      <c r="J403" s="187"/>
    </row>
    <row r="404" spans="1:10" hidden="1" x14ac:dyDescent="0.25">
      <c r="A404" s="180" t="s">
        <v>319</v>
      </c>
      <c r="D404" s="185">
        <v>0</v>
      </c>
      <c r="E404" s="186"/>
      <c r="F404" s="186"/>
      <c r="G404" s="185">
        <f t="shared" si="80"/>
        <v>0</v>
      </c>
      <c r="J404" s="187"/>
    </row>
    <row r="405" spans="1:10" hidden="1" x14ac:dyDescent="0.25">
      <c r="A405" s="180" t="s">
        <v>320</v>
      </c>
      <c r="D405" s="185">
        <v>0</v>
      </c>
      <c r="E405" s="186"/>
      <c r="F405" s="186"/>
      <c r="G405" s="185">
        <f>IFERROR(VLOOKUP(J405,'EXHIBIT JDT-3 SCOM'!D:N,7,FALSE)/10,0)</f>
        <v>0</v>
      </c>
      <c r="J405" s="187"/>
    </row>
    <row r="406" spans="1:10" hidden="1" x14ac:dyDescent="0.25">
      <c r="A406" s="180" t="s">
        <v>341</v>
      </c>
      <c r="D406" s="185">
        <v>0</v>
      </c>
      <c r="E406" s="186"/>
      <c r="F406" s="186"/>
      <c r="G406" s="185">
        <f>IFERROR(VLOOKUP(J406,'EXHIBIT JDT-3 SCOM'!D:N,7,FALSE)/10,0)</f>
        <v>0</v>
      </c>
      <c r="J406" s="187"/>
    </row>
    <row r="407" spans="1:10" hidden="1" x14ac:dyDescent="0.25">
      <c r="A407" s="180" t="s">
        <v>342</v>
      </c>
      <c r="D407" s="185">
        <v>0</v>
      </c>
      <c r="E407" s="186"/>
      <c r="F407" s="186"/>
      <c r="G407" s="185">
        <v>0</v>
      </c>
      <c r="J407" s="188" t="s">
        <v>370</v>
      </c>
    </row>
    <row r="408" spans="1:10" hidden="1" x14ac:dyDescent="0.25">
      <c r="A408" s="180" t="s">
        <v>343</v>
      </c>
      <c r="D408" s="185">
        <v>0</v>
      </c>
      <c r="E408" s="186"/>
      <c r="F408" s="186"/>
      <c r="G408" s="185">
        <v>0</v>
      </c>
      <c r="J408" s="188" t="s">
        <v>370</v>
      </c>
    </row>
    <row r="409" spans="1:10" hidden="1" x14ac:dyDescent="0.25">
      <c r="E409" s="186"/>
      <c r="F409" s="186"/>
      <c r="G409" s="186"/>
    </row>
    <row r="410" spans="1:10" hidden="1" x14ac:dyDescent="0.25">
      <c r="A410" s="180" t="s">
        <v>321</v>
      </c>
      <c r="D410" s="189">
        <v>0</v>
      </c>
      <c r="G410" s="189">
        <v>0</v>
      </c>
    </row>
    <row r="411" spans="1:10" hidden="1" x14ac:dyDescent="0.25"/>
    <row r="413" spans="1:10" x14ac:dyDescent="0.25">
      <c r="G413" s="190" t="s">
        <v>322</v>
      </c>
      <c r="H413" s="190"/>
    </row>
    <row r="414" spans="1:10" x14ac:dyDescent="0.25">
      <c r="B414" s="176" t="s">
        <v>323</v>
      </c>
      <c r="C414" s="181" t="s">
        <v>311</v>
      </c>
      <c r="D414" s="181" t="s">
        <v>312</v>
      </c>
      <c r="E414" s="181" t="s">
        <v>311</v>
      </c>
      <c r="F414" s="181" t="s">
        <v>312</v>
      </c>
      <c r="G414" s="181" t="s">
        <v>324</v>
      </c>
      <c r="H414" s="181" t="s">
        <v>325</v>
      </c>
      <c r="J414" s="191"/>
    </row>
    <row r="415" spans="1:10" x14ac:dyDescent="0.25">
      <c r="C415" s="192" t="s">
        <v>326</v>
      </c>
      <c r="D415" s="192" t="s">
        <v>327</v>
      </c>
      <c r="E415" s="181" t="s">
        <v>328</v>
      </c>
      <c r="F415" s="181" t="s">
        <v>328</v>
      </c>
      <c r="G415" s="192" t="s">
        <v>329</v>
      </c>
      <c r="J415" s="191"/>
    </row>
    <row r="416" spans="1:10" x14ac:dyDescent="0.25">
      <c r="B416" s="176" t="s">
        <v>330</v>
      </c>
      <c r="J416" s="191"/>
    </row>
    <row r="417" spans="2:12" x14ac:dyDescent="0.25">
      <c r="B417" s="176">
        <f>B350</f>
        <v>0</v>
      </c>
      <c r="C417" s="193">
        <f>ROUND((D397+B417*D398+B417*(D401+D402+D403+D404+D405+D406+D407+D408))*(1+D410),2)</f>
        <v>19.89</v>
      </c>
      <c r="D417" s="193">
        <f>ROUND(($G$397+(SUM($G$398:$G$408)*B417))*(1+$G$410),2)</f>
        <v>30</v>
      </c>
      <c r="E417" s="194"/>
      <c r="F417" s="194"/>
      <c r="G417" s="193">
        <f t="shared" ref="G417:G447" si="81">D417-C417</f>
        <v>10.11</v>
      </c>
      <c r="H417" s="195">
        <f t="shared" ref="H417:H447" si="82">ROUND(G417/C417,4)</f>
        <v>0.50829999999999997</v>
      </c>
      <c r="J417" s="207"/>
      <c r="K417" s="185"/>
      <c r="L417" s="197"/>
    </row>
    <row r="418" spans="2:12" x14ac:dyDescent="0.25">
      <c r="B418" s="176">
        <f t="shared" ref="B418:B447" si="83">B351</f>
        <v>20</v>
      </c>
      <c r="C418" s="193">
        <f>ROUND((D397+B418*D398+B418*(D401+D402+D403+D404+D405+D406+D407+D408))*(1+D410),2)</f>
        <v>24.66</v>
      </c>
      <c r="D418" s="193">
        <f t="shared" ref="D418:D447" si="84">ROUND(($G$397+(SUM($G$398:$G$408)*B418))*(1+$G$410),2)</f>
        <v>34.450000000000003</v>
      </c>
      <c r="E418" s="194">
        <f t="shared" ref="E418:E447" si="85">+C418/B418</f>
        <v>1.2330000000000001</v>
      </c>
      <c r="F418" s="194">
        <f t="shared" ref="F418:F447" si="86">+D418/B418</f>
        <v>1.7225000000000001</v>
      </c>
      <c r="G418" s="193">
        <f t="shared" si="81"/>
        <v>9.7900000000000027</v>
      </c>
      <c r="H418" s="195">
        <f t="shared" si="82"/>
        <v>0.39700000000000002</v>
      </c>
      <c r="J418" s="207"/>
      <c r="K418" s="185"/>
      <c r="L418" s="197"/>
    </row>
    <row r="419" spans="2:12" x14ac:dyDescent="0.25">
      <c r="B419" s="176">
        <f t="shared" si="83"/>
        <v>40</v>
      </c>
      <c r="C419" s="193">
        <f>ROUND((D397+B419*D398+B419*(D401+D402+D403+D404+D405+D406+D407+D408))*(1+D410),2)</f>
        <v>29.43</v>
      </c>
      <c r="D419" s="193">
        <f t="shared" si="84"/>
        <v>38.909999999999997</v>
      </c>
      <c r="E419" s="194">
        <f t="shared" si="85"/>
        <v>0.73575000000000002</v>
      </c>
      <c r="F419" s="194">
        <f t="shared" si="86"/>
        <v>0.97274999999999989</v>
      </c>
      <c r="G419" s="193">
        <f t="shared" si="81"/>
        <v>9.4799999999999969</v>
      </c>
      <c r="H419" s="195">
        <f t="shared" si="82"/>
        <v>0.3221</v>
      </c>
      <c r="J419" s="207"/>
      <c r="K419" s="185"/>
      <c r="L419" s="197"/>
    </row>
    <row r="420" spans="2:12" x14ac:dyDescent="0.25">
      <c r="B420" s="176">
        <f t="shared" si="83"/>
        <v>60</v>
      </c>
      <c r="C420" s="193">
        <f>ROUND((D397+B420*D398+B420*(D401+D402+D403+D404+D405+D406+D407+D408))*(1+D410),2)</f>
        <v>34.200000000000003</v>
      </c>
      <c r="D420" s="193">
        <f t="shared" si="84"/>
        <v>43.36</v>
      </c>
      <c r="E420" s="194">
        <f t="shared" si="85"/>
        <v>0.57000000000000006</v>
      </c>
      <c r="F420" s="194">
        <f t="shared" si="86"/>
        <v>0.72266666666666668</v>
      </c>
      <c r="G420" s="193">
        <f t="shared" si="81"/>
        <v>9.1599999999999966</v>
      </c>
      <c r="H420" s="195">
        <f t="shared" si="82"/>
        <v>0.26779999999999998</v>
      </c>
      <c r="J420" s="207"/>
      <c r="K420" s="185"/>
      <c r="L420" s="197"/>
    </row>
    <row r="421" spans="2:12" x14ac:dyDescent="0.25">
      <c r="B421" s="176">
        <f t="shared" si="83"/>
        <v>80</v>
      </c>
      <c r="C421" s="193">
        <f>ROUND((D397+B421*D398+B421*(D401+D402+D403+D404+D405+D406+D407+D408))*(1+D410),2)</f>
        <v>38.97</v>
      </c>
      <c r="D421" s="193">
        <f t="shared" si="84"/>
        <v>47.82</v>
      </c>
      <c r="E421" s="194">
        <f t="shared" si="85"/>
        <v>0.48712499999999997</v>
      </c>
      <c r="F421" s="194">
        <f t="shared" si="86"/>
        <v>0.59775</v>
      </c>
      <c r="G421" s="193">
        <f t="shared" si="81"/>
        <v>8.8500000000000014</v>
      </c>
      <c r="H421" s="195">
        <f t="shared" si="82"/>
        <v>0.2271</v>
      </c>
      <c r="J421" s="207"/>
      <c r="K421" s="185"/>
      <c r="L421" s="197"/>
    </row>
    <row r="422" spans="2:12" x14ac:dyDescent="0.25">
      <c r="B422" s="176">
        <f t="shared" si="83"/>
        <v>100</v>
      </c>
      <c r="C422" s="193">
        <f>ROUND((D397+B422*D398+B422*(D401+D402+D403+D404+D405+D406+D407+D408))*(1+D410),2)</f>
        <v>43.75</v>
      </c>
      <c r="D422" s="193">
        <f t="shared" si="84"/>
        <v>52.27</v>
      </c>
      <c r="E422" s="194">
        <f t="shared" si="85"/>
        <v>0.4375</v>
      </c>
      <c r="F422" s="194">
        <f t="shared" si="86"/>
        <v>0.52270000000000005</v>
      </c>
      <c r="G422" s="193">
        <f t="shared" si="81"/>
        <v>8.5200000000000031</v>
      </c>
      <c r="H422" s="195">
        <f t="shared" si="82"/>
        <v>0.19470000000000001</v>
      </c>
      <c r="J422" s="207"/>
      <c r="K422" s="185"/>
      <c r="L422" s="197"/>
    </row>
    <row r="423" spans="2:12" x14ac:dyDescent="0.25">
      <c r="B423" s="176">
        <f t="shared" si="83"/>
        <v>120</v>
      </c>
      <c r="C423" s="193">
        <f>ROUND((D397+B423*D398+B423*(D401+D402+D403+D404+D405+D406+D407+D408))*(1+D410),2)</f>
        <v>48.52</v>
      </c>
      <c r="D423" s="193">
        <f t="shared" si="84"/>
        <v>56.73</v>
      </c>
      <c r="E423" s="194">
        <f t="shared" si="85"/>
        <v>0.40433333333333338</v>
      </c>
      <c r="F423" s="194">
        <f t="shared" si="86"/>
        <v>0.47274999999999995</v>
      </c>
      <c r="G423" s="193">
        <f t="shared" si="81"/>
        <v>8.2099999999999937</v>
      </c>
      <c r="H423" s="195">
        <f t="shared" si="82"/>
        <v>0.16919999999999999</v>
      </c>
      <c r="J423" s="207"/>
      <c r="K423" s="185"/>
      <c r="L423" s="197"/>
    </row>
    <row r="424" spans="2:12" x14ac:dyDescent="0.25">
      <c r="B424" s="176">
        <f t="shared" si="83"/>
        <v>140</v>
      </c>
      <c r="C424" s="193">
        <f>ROUND((D397+B424*D398+B424*(D401+D402+D403+D404+D405+D406+D407+D408))*(1+D410),2)</f>
        <v>53.29</v>
      </c>
      <c r="D424" s="193">
        <f t="shared" si="84"/>
        <v>61.18</v>
      </c>
      <c r="E424" s="194">
        <f t="shared" si="85"/>
        <v>0.38064285714285712</v>
      </c>
      <c r="F424" s="194">
        <f t="shared" si="86"/>
        <v>0.437</v>
      </c>
      <c r="G424" s="193">
        <f t="shared" si="81"/>
        <v>7.8900000000000006</v>
      </c>
      <c r="H424" s="195">
        <f t="shared" si="82"/>
        <v>0.14810000000000001</v>
      </c>
      <c r="J424" s="207"/>
      <c r="K424" s="185"/>
      <c r="L424" s="197"/>
    </row>
    <row r="425" spans="2:12" x14ac:dyDescent="0.25">
      <c r="B425" s="176">
        <f t="shared" si="83"/>
        <v>160</v>
      </c>
      <c r="C425" s="193">
        <f>ROUND((D397+B425*D398+B425*(D401+D402+D403+D404+D405+D406+D407+D408))*(1+D410),2)</f>
        <v>58.06</v>
      </c>
      <c r="D425" s="193">
        <f t="shared" si="84"/>
        <v>65.64</v>
      </c>
      <c r="E425" s="194">
        <f t="shared" si="85"/>
        <v>0.362875</v>
      </c>
      <c r="F425" s="194">
        <f t="shared" si="86"/>
        <v>0.41025</v>
      </c>
      <c r="G425" s="193">
        <f t="shared" si="81"/>
        <v>7.5799999999999983</v>
      </c>
      <c r="H425" s="195">
        <f t="shared" si="82"/>
        <v>0.13059999999999999</v>
      </c>
      <c r="J425" s="207"/>
      <c r="K425" s="185"/>
      <c r="L425" s="197"/>
    </row>
    <row r="426" spans="2:12" x14ac:dyDescent="0.25">
      <c r="B426" s="176">
        <f t="shared" si="83"/>
        <v>180</v>
      </c>
      <c r="C426" s="193">
        <f>ROUND((D397+B426*D398+B426*(D401+D402+D403+D404+D405+D406+D407+D408))*(1+D410),2)</f>
        <v>62.83</v>
      </c>
      <c r="D426" s="193">
        <f t="shared" si="84"/>
        <v>70.09</v>
      </c>
      <c r="E426" s="194">
        <f t="shared" si="85"/>
        <v>0.34905555555555556</v>
      </c>
      <c r="F426" s="194">
        <f t="shared" si="86"/>
        <v>0.3893888888888889</v>
      </c>
      <c r="G426" s="193">
        <f t="shared" si="81"/>
        <v>7.2600000000000051</v>
      </c>
      <c r="H426" s="195">
        <f t="shared" si="82"/>
        <v>0.11550000000000001</v>
      </c>
      <c r="J426" s="207"/>
      <c r="K426" s="185"/>
      <c r="L426" s="197"/>
    </row>
    <row r="427" spans="2:12" x14ac:dyDescent="0.25">
      <c r="B427" s="176">
        <f t="shared" si="83"/>
        <v>200</v>
      </c>
      <c r="C427" s="193">
        <f>ROUND((D397+B427*D398+B427*(D401+D402+D403+D404+D405+D406+D407+D408))*(1+D410),2)</f>
        <v>67.599999999999994</v>
      </c>
      <c r="D427" s="193">
        <f t="shared" si="84"/>
        <v>74.55</v>
      </c>
      <c r="E427" s="194">
        <f t="shared" si="85"/>
        <v>0.33799999999999997</v>
      </c>
      <c r="F427" s="194">
        <f t="shared" si="86"/>
        <v>0.37274999999999997</v>
      </c>
      <c r="G427" s="193">
        <f t="shared" si="81"/>
        <v>6.9500000000000028</v>
      </c>
      <c r="H427" s="195">
        <f t="shared" si="82"/>
        <v>0.1028</v>
      </c>
      <c r="J427" s="207"/>
      <c r="K427" s="185"/>
      <c r="L427" s="197"/>
    </row>
    <row r="428" spans="2:12" x14ac:dyDescent="0.25">
      <c r="B428" s="176">
        <f t="shared" si="83"/>
        <v>220</v>
      </c>
      <c r="C428" s="193">
        <f>ROUND((D397+B428*D398+B428*(D401+D402+D403+D404+D405+D406+D407+D408))*(1+D410),2)</f>
        <v>72.37</v>
      </c>
      <c r="D428" s="193">
        <f t="shared" si="84"/>
        <v>79</v>
      </c>
      <c r="E428" s="194">
        <f t="shared" si="85"/>
        <v>0.3289545454545455</v>
      </c>
      <c r="F428" s="194">
        <f t="shared" si="86"/>
        <v>0.35909090909090907</v>
      </c>
      <c r="G428" s="193">
        <f t="shared" si="81"/>
        <v>6.6299999999999955</v>
      </c>
      <c r="H428" s="195">
        <f t="shared" si="82"/>
        <v>9.1600000000000001E-2</v>
      </c>
      <c r="J428" s="207"/>
      <c r="K428" s="185"/>
      <c r="L428" s="197"/>
    </row>
    <row r="429" spans="2:12" x14ac:dyDescent="0.25">
      <c r="B429" s="176">
        <f t="shared" si="83"/>
        <v>240</v>
      </c>
      <c r="C429" s="193">
        <f>ROUND((D397+B429*D398+B429*(D401+D402+D403+D404+D405+D406+D407+D408))*(1+D410),2)</f>
        <v>77.14</v>
      </c>
      <c r="D429" s="193">
        <f t="shared" si="84"/>
        <v>83.46</v>
      </c>
      <c r="E429" s="194">
        <f t="shared" si="85"/>
        <v>0.32141666666666668</v>
      </c>
      <c r="F429" s="194">
        <f t="shared" si="86"/>
        <v>0.34774999999999995</v>
      </c>
      <c r="G429" s="193">
        <f t="shared" si="81"/>
        <v>6.3199999999999932</v>
      </c>
      <c r="H429" s="195">
        <f t="shared" si="82"/>
        <v>8.1900000000000001E-2</v>
      </c>
      <c r="J429" s="207"/>
      <c r="K429" s="185"/>
      <c r="L429" s="197"/>
    </row>
    <row r="430" spans="2:12" x14ac:dyDescent="0.25">
      <c r="B430" s="176">
        <f t="shared" si="83"/>
        <v>260</v>
      </c>
      <c r="C430" s="193">
        <f>ROUND((D397+B430*D398+B430*(D401+D402+D403+D404+D405+D406+D407+D408))*(1+D410),2)</f>
        <v>81.92</v>
      </c>
      <c r="D430" s="193">
        <f t="shared" si="84"/>
        <v>87.91</v>
      </c>
      <c r="E430" s="194">
        <f t="shared" si="85"/>
        <v>0.31507692307692309</v>
      </c>
      <c r="F430" s="194">
        <f t="shared" si="86"/>
        <v>0.3381153846153846</v>
      </c>
      <c r="G430" s="193">
        <f t="shared" si="81"/>
        <v>5.9899999999999949</v>
      </c>
      <c r="H430" s="195">
        <f t="shared" si="82"/>
        <v>7.3099999999999998E-2</v>
      </c>
      <c r="J430" s="207"/>
      <c r="K430" s="185"/>
      <c r="L430" s="197"/>
    </row>
    <row r="431" spans="2:12" x14ac:dyDescent="0.25">
      <c r="B431" s="176">
        <f t="shared" si="83"/>
        <v>280</v>
      </c>
      <c r="C431" s="193">
        <f>ROUND((D397+B431*D398+B431*(D401+D402+D403+D404+D405+D406+D407+D408))*(1+D410),2)</f>
        <v>86.69</v>
      </c>
      <c r="D431" s="193">
        <f t="shared" si="84"/>
        <v>92.37</v>
      </c>
      <c r="E431" s="194">
        <f t="shared" si="85"/>
        <v>0.30960714285714286</v>
      </c>
      <c r="F431" s="194">
        <f t="shared" si="86"/>
        <v>0.32989285714285715</v>
      </c>
      <c r="G431" s="193">
        <f t="shared" si="81"/>
        <v>5.6800000000000068</v>
      </c>
      <c r="H431" s="195">
        <f t="shared" si="82"/>
        <v>6.5500000000000003E-2</v>
      </c>
      <c r="J431" s="207"/>
      <c r="K431" s="185"/>
      <c r="L431" s="197"/>
    </row>
    <row r="432" spans="2:12" x14ac:dyDescent="0.25">
      <c r="B432" s="176">
        <f t="shared" si="83"/>
        <v>300</v>
      </c>
      <c r="C432" s="193">
        <f>ROUND((D397+B432*D398+B432*(D401+D402+D403+D404+D405+D406+D407+D408))*(1+D410),2)</f>
        <v>91.46</v>
      </c>
      <c r="D432" s="193">
        <f t="shared" si="84"/>
        <v>96.82</v>
      </c>
      <c r="E432" s="194">
        <f t="shared" si="85"/>
        <v>0.30486666666666662</v>
      </c>
      <c r="F432" s="194">
        <f t="shared" si="86"/>
        <v>0.32273333333333332</v>
      </c>
      <c r="G432" s="193">
        <f t="shared" si="81"/>
        <v>5.3599999999999994</v>
      </c>
      <c r="H432" s="195">
        <f t="shared" si="82"/>
        <v>5.8599999999999999E-2</v>
      </c>
      <c r="J432" s="207"/>
      <c r="K432" s="185"/>
      <c r="L432" s="197"/>
    </row>
    <row r="433" spans="2:12" x14ac:dyDescent="0.25">
      <c r="B433" s="176">
        <f t="shared" si="83"/>
        <v>320</v>
      </c>
      <c r="C433" s="193">
        <f>ROUND((D397+B433*D398+B433*(D401+D402+D403+D404+D405+D406+D407+D408))*(1+D410),2)</f>
        <v>96.23</v>
      </c>
      <c r="D433" s="193">
        <f t="shared" si="84"/>
        <v>101.28</v>
      </c>
      <c r="E433" s="194">
        <f t="shared" si="85"/>
        <v>0.30071875000000003</v>
      </c>
      <c r="F433" s="194">
        <f t="shared" si="86"/>
        <v>0.3165</v>
      </c>
      <c r="G433" s="193">
        <f t="shared" si="81"/>
        <v>5.0499999999999972</v>
      </c>
      <c r="H433" s="195">
        <f t="shared" si="82"/>
        <v>5.2499999999999998E-2</v>
      </c>
      <c r="J433" s="207"/>
      <c r="K433" s="185"/>
      <c r="L433" s="197"/>
    </row>
    <row r="434" spans="2:12" x14ac:dyDescent="0.25">
      <c r="B434" s="176">
        <f t="shared" si="83"/>
        <v>340</v>
      </c>
      <c r="C434" s="193">
        <f>ROUND((D397+B434*D398+B434*(D401+D402+D403+D404+D405+D406+D407+D408))*(1+D410),2)</f>
        <v>101</v>
      </c>
      <c r="D434" s="193">
        <f t="shared" si="84"/>
        <v>105.73</v>
      </c>
      <c r="E434" s="194">
        <f t="shared" si="85"/>
        <v>0.29705882352941176</v>
      </c>
      <c r="F434" s="194">
        <f t="shared" si="86"/>
        <v>0.31097058823529411</v>
      </c>
      <c r="G434" s="193">
        <f t="shared" si="81"/>
        <v>4.730000000000004</v>
      </c>
      <c r="H434" s="195">
        <f t="shared" si="82"/>
        <v>4.6800000000000001E-2</v>
      </c>
      <c r="J434" s="207"/>
      <c r="K434" s="185"/>
      <c r="L434" s="197"/>
    </row>
    <row r="435" spans="2:12" x14ac:dyDescent="0.25">
      <c r="B435" s="176">
        <f t="shared" si="83"/>
        <v>360</v>
      </c>
      <c r="C435" s="193">
        <f>ROUND((D397+B435*D398+B435*(D401+D402+D403+D404+D405+D406+D407+D408))*(1+D410),2)</f>
        <v>105.77</v>
      </c>
      <c r="D435" s="193">
        <f t="shared" si="84"/>
        <v>110.19</v>
      </c>
      <c r="E435" s="194">
        <f t="shared" si="85"/>
        <v>0.29380555555555554</v>
      </c>
      <c r="F435" s="194">
        <f t="shared" si="86"/>
        <v>0.30608333333333332</v>
      </c>
      <c r="G435" s="193">
        <f t="shared" si="81"/>
        <v>4.4200000000000017</v>
      </c>
      <c r="H435" s="195">
        <f t="shared" si="82"/>
        <v>4.1799999999999997E-2</v>
      </c>
      <c r="J435" s="207"/>
      <c r="K435" s="185"/>
      <c r="L435" s="197"/>
    </row>
    <row r="436" spans="2:12" x14ac:dyDescent="0.25">
      <c r="B436" s="176">
        <f t="shared" si="83"/>
        <v>380</v>
      </c>
      <c r="C436" s="193">
        <f>ROUND((D397+B436*D398+B436*(D401+D402+D403+D404+D405+D406+D407+D408))*(1+D410),2)</f>
        <v>110.54</v>
      </c>
      <c r="D436" s="193">
        <f t="shared" si="84"/>
        <v>114.64</v>
      </c>
      <c r="E436" s="194">
        <f t="shared" si="85"/>
        <v>0.29089473684210526</v>
      </c>
      <c r="F436" s="194">
        <f t="shared" si="86"/>
        <v>0.30168421052631578</v>
      </c>
      <c r="G436" s="193">
        <f t="shared" si="81"/>
        <v>4.0999999999999943</v>
      </c>
      <c r="H436" s="195">
        <f t="shared" si="82"/>
        <v>3.7100000000000001E-2</v>
      </c>
      <c r="J436" s="207"/>
      <c r="K436" s="185"/>
      <c r="L436" s="197"/>
    </row>
    <row r="437" spans="2:12" x14ac:dyDescent="0.25">
      <c r="B437" s="176">
        <f t="shared" si="83"/>
        <v>400</v>
      </c>
      <c r="C437" s="193">
        <f>ROUND((D397+B437*D398+B437*(D401+D402+D403+D404+D405+D406+D407+D408))*(1+D410),2)</f>
        <v>115.31</v>
      </c>
      <c r="D437" s="193">
        <f t="shared" si="84"/>
        <v>119.1</v>
      </c>
      <c r="E437" s="194">
        <f t="shared" si="85"/>
        <v>0.288275</v>
      </c>
      <c r="F437" s="194">
        <f t="shared" si="86"/>
        <v>0.29774999999999996</v>
      </c>
      <c r="G437" s="193">
        <f t="shared" si="81"/>
        <v>3.789999999999992</v>
      </c>
      <c r="H437" s="195">
        <f t="shared" si="82"/>
        <v>3.2899999999999999E-2</v>
      </c>
      <c r="J437" s="207"/>
      <c r="K437" s="185"/>
      <c r="L437" s="197"/>
    </row>
    <row r="438" spans="2:12" x14ac:dyDescent="0.25">
      <c r="B438" s="176">
        <f t="shared" si="83"/>
        <v>420</v>
      </c>
      <c r="C438" s="193">
        <f>ROUND((D397+B438*D398+B438*(D401+D402+D403+D404+D405+D406+D407+D408))*(1+D410),2)</f>
        <v>120.09</v>
      </c>
      <c r="D438" s="193">
        <f t="shared" si="84"/>
        <v>123.55</v>
      </c>
      <c r="E438" s="194">
        <f t="shared" si="85"/>
        <v>0.28592857142857142</v>
      </c>
      <c r="F438" s="194">
        <f t="shared" si="86"/>
        <v>0.29416666666666669</v>
      </c>
      <c r="G438" s="193">
        <f t="shared" si="81"/>
        <v>3.4599999999999937</v>
      </c>
      <c r="H438" s="195">
        <f t="shared" si="82"/>
        <v>2.8799999999999999E-2</v>
      </c>
      <c r="J438" s="207"/>
      <c r="K438" s="185"/>
      <c r="L438" s="197"/>
    </row>
    <row r="439" spans="2:12" x14ac:dyDescent="0.25">
      <c r="B439" s="176">
        <f t="shared" si="83"/>
        <v>440</v>
      </c>
      <c r="C439" s="193">
        <f>ROUND((D397+B439*D398+B439*(D401+D402+D403+D404+D405+D406+D407+D408))*(1+D410),2)</f>
        <v>124.86</v>
      </c>
      <c r="D439" s="193">
        <f t="shared" si="84"/>
        <v>128.01</v>
      </c>
      <c r="E439" s="194">
        <f t="shared" si="85"/>
        <v>0.28377272727272729</v>
      </c>
      <c r="F439" s="194">
        <f t="shared" si="86"/>
        <v>0.29093181818181818</v>
      </c>
      <c r="G439" s="193">
        <f t="shared" si="81"/>
        <v>3.1499999999999915</v>
      </c>
      <c r="H439" s="195">
        <f t="shared" si="82"/>
        <v>2.52E-2</v>
      </c>
      <c r="J439" s="207"/>
      <c r="K439" s="185"/>
      <c r="L439" s="197"/>
    </row>
    <row r="440" spans="2:12" x14ac:dyDescent="0.25">
      <c r="B440" s="176">
        <f t="shared" si="83"/>
        <v>460</v>
      </c>
      <c r="C440" s="193">
        <f>ROUND((D397+B440*D398+B440*(D401+D402+D403+D404+D405+D406+D407+D408))*(1+D410),2)</f>
        <v>129.63</v>
      </c>
      <c r="D440" s="193">
        <f t="shared" si="84"/>
        <v>132.46</v>
      </c>
      <c r="E440" s="194">
        <f t="shared" si="85"/>
        <v>0.28180434782608693</v>
      </c>
      <c r="F440" s="194">
        <f t="shared" si="86"/>
        <v>0.28795652173913044</v>
      </c>
      <c r="G440" s="193">
        <f t="shared" si="81"/>
        <v>2.8300000000000125</v>
      </c>
      <c r="H440" s="195">
        <f t="shared" si="82"/>
        <v>2.18E-2</v>
      </c>
      <c r="J440" s="207"/>
      <c r="K440" s="185"/>
      <c r="L440" s="197"/>
    </row>
    <row r="441" spans="2:12" x14ac:dyDescent="0.25">
      <c r="B441" s="176">
        <f t="shared" si="83"/>
        <v>480</v>
      </c>
      <c r="C441" s="193">
        <f>ROUND((D397+B441*D398+B441*(D401+D402+D403+D404+D405+D406+D407+D408))*(1+D410),2)</f>
        <v>134.4</v>
      </c>
      <c r="D441" s="193">
        <f t="shared" si="84"/>
        <v>136.91999999999999</v>
      </c>
      <c r="E441" s="194">
        <f t="shared" si="85"/>
        <v>0.28000000000000003</v>
      </c>
      <c r="F441" s="194">
        <f t="shared" si="86"/>
        <v>0.28524999999999995</v>
      </c>
      <c r="G441" s="193">
        <f t="shared" si="81"/>
        <v>2.5199999999999818</v>
      </c>
      <c r="H441" s="195">
        <f t="shared" si="82"/>
        <v>1.8700000000000001E-2</v>
      </c>
      <c r="J441" s="207"/>
      <c r="K441" s="185"/>
      <c r="L441" s="197"/>
    </row>
    <row r="442" spans="2:12" x14ac:dyDescent="0.25">
      <c r="B442" s="176">
        <f t="shared" si="83"/>
        <v>500</v>
      </c>
      <c r="C442" s="193">
        <f>ROUND((D397+B442*D398+B442*(D401+D402+D403+D404+D405+D406+D407+D408))*(1+D410),2)</f>
        <v>139.16999999999999</v>
      </c>
      <c r="D442" s="193">
        <f t="shared" si="84"/>
        <v>141.37</v>
      </c>
      <c r="E442" s="194">
        <f t="shared" si="85"/>
        <v>0.27833999999999998</v>
      </c>
      <c r="F442" s="194">
        <f t="shared" si="86"/>
        <v>0.28273999999999999</v>
      </c>
      <c r="G442" s="193">
        <f t="shared" si="81"/>
        <v>2.2000000000000171</v>
      </c>
      <c r="H442" s="195">
        <f t="shared" si="82"/>
        <v>1.5800000000000002E-2</v>
      </c>
      <c r="J442" s="207"/>
      <c r="K442" s="185"/>
      <c r="L442" s="197"/>
    </row>
    <row r="443" spans="2:12" x14ac:dyDescent="0.25">
      <c r="B443" s="176">
        <f t="shared" si="83"/>
        <v>520</v>
      </c>
      <c r="C443" s="193">
        <f>ROUND((D397+B443*D398+B443*(D401+D402+D403+D404+D405+D406+D407+D408))*(1+D410),2)</f>
        <v>143.94</v>
      </c>
      <c r="D443" s="193">
        <f t="shared" si="84"/>
        <v>145.82</v>
      </c>
      <c r="E443" s="194">
        <f t="shared" si="85"/>
        <v>0.27680769230769231</v>
      </c>
      <c r="F443" s="194">
        <f t="shared" si="86"/>
        <v>0.28042307692307689</v>
      </c>
      <c r="G443" s="193">
        <f t="shared" si="81"/>
        <v>1.8799999999999955</v>
      </c>
      <c r="H443" s="195">
        <f t="shared" si="82"/>
        <v>1.3100000000000001E-2</v>
      </c>
      <c r="J443" s="207"/>
      <c r="K443" s="185"/>
      <c r="L443" s="197"/>
    </row>
    <row r="444" spans="2:12" x14ac:dyDescent="0.25">
      <c r="B444" s="176">
        <f t="shared" si="83"/>
        <v>540</v>
      </c>
      <c r="C444" s="193">
        <f>ROUND((D397+B444*D398+B444*(D401+D402+D403+D404+D405+D406+D407+D408))*(1+D410),2)</f>
        <v>148.71</v>
      </c>
      <c r="D444" s="193">
        <f t="shared" si="84"/>
        <v>150.28</v>
      </c>
      <c r="E444" s="194">
        <f t="shared" si="85"/>
        <v>0.27538888888888891</v>
      </c>
      <c r="F444" s="194">
        <f t="shared" si="86"/>
        <v>0.27829629629629632</v>
      </c>
      <c r="G444" s="193">
        <f t="shared" si="81"/>
        <v>1.5699999999999932</v>
      </c>
      <c r="H444" s="195">
        <f t="shared" si="82"/>
        <v>1.06E-2</v>
      </c>
      <c r="J444" s="207"/>
      <c r="K444" s="185"/>
      <c r="L444" s="197"/>
    </row>
    <row r="445" spans="2:12" x14ac:dyDescent="0.25">
      <c r="B445" s="176">
        <f t="shared" si="83"/>
        <v>560</v>
      </c>
      <c r="C445" s="193">
        <f>ROUND((D397+B445*D398+B445*(D401+D402+D403+D404+D405+D406+D407+D408))*(1+D410),2)</f>
        <v>153.47999999999999</v>
      </c>
      <c r="D445" s="193">
        <f t="shared" si="84"/>
        <v>154.72999999999999</v>
      </c>
      <c r="E445" s="194">
        <f t="shared" si="85"/>
        <v>0.27407142857142858</v>
      </c>
      <c r="F445" s="194">
        <f t="shared" si="86"/>
        <v>0.27630357142857143</v>
      </c>
      <c r="G445" s="193">
        <f t="shared" si="81"/>
        <v>1.25</v>
      </c>
      <c r="H445" s="195">
        <f t="shared" si="82"/>
        <v>8.0999999999999996E-3</v>
      </c>
      <c r="J445" s="207"/>
      <c r="K445" s="185"/>
      <c r="L445" s="197"/>
    </row>
    <row r="446" spans="2:12" x14ac:dyDescent="0.25">
      <c r="B446" s="176">
        <f t="shared" si="83"/>
        <v>580</v>
      </c>
      <c r="C446" s="193">
        <f>ROUND((D397+B446*D398+B446*(D401+D402+D403+D404+D405+D406+D407+D408))*(1+D410),2)</f>
        <v>158.25</v>
      </c>
      <c r="D446" s="193">
        <f t="shared" si="84"/>
        <v>159.19</v>
      </c>
      <c r="E446" s="194">
        <f t="shared" si="85"/>
        <v>0.27284482758620687</v>
      </c>
      <c r="F446" s="194">
        <f t="shared" si="86"/>
        <v>0.2744655172413793</v>
      </c>
      <c r="G446" s="193">
        <f t="shared" si="81"/>
        <v>0.93999999999999773</v>
      </c>
      <c r="H446" s="195">
        <f t="shared" si="82"/>
        <v>5.8999999999999999E-3</v>
      </c>
      <c r="J446" s="207"/>
      <c r="K446" s="185"/>
      <c r="L446" s="197"/>
    </row>
    <row r="447" spans="2:12" x14ac:dyDescent="0.25">
      <c r="B447" s="176">
        <f t="shared" si="83"/>
        <v>600</v>
      </c>
      <c r="C447" s="193">
        <f>ROUND((D397+B447*D398+B447*(D401+D402+D403+D404+D405+D406+D407+D408))*(1+D410),2)</f>
        <v>163.03</v>
      </c>
      <c r="D447" s="193">
        <f t="shared" si="84"/>
        <v>163.63999999999999</v>
      </c>
      <c r="E447" s="194">
        <f t="shared" si="85"/>
        <v>0.27171666666666666</v>
      </c>
      <c r="F447" s="194">
        <f t="shared" si="86"/>
        <v>0.27273333333333333</v>
      </c>
      <c r="G447" s="193">
        <f t="shared" si="81"/>
        <v>0.60999999999998522</v>
      </c>
      <c r="H447" s="195">
        <f t="shared" si="82"/>
        <v>3.7000000000000002E-3</v>
      </c>
      <c r="J447" s="207"/>
      <c r="K447" s="185"/>
      <c r="L447" s="197"/>
    </row>
    <row r="448" spans="2:12" x14ac:dyDescent="0.25">
      <c r="C448" s="193"/>
      <c r="D448" s="193"/>
      <c r="E448" s="194"/>
      <c r="F448" s="194"/>
      <c r="G448" s="193"/>
      <c r="H448" s="195"/>
      <c r="J448" s="207"/>
      <c r="K448" s="185"/>
      <c r="L448" s="197"/>
    </row>
    <row r="449" spans="1:12" hidden="1" x14ac:dyDescent="0.25">
      <c r="C449" s="193"/>
      <c r="D449" s="193"/>
      <c r="E449" s="194"/>
      <c r="F449" s="194"/>
      <c r="G449" s="193"/>
      <c r="H449" s="195"/>
      <c r="J449" s="207"/>
      <c r="K449" s="185"/>
      <c r="L449" s="197"/>
    </row>
    <row r="450" spans="1:12" hidden="1" x14ac:dyDescent="0.25">
      <c r="C450" s="193"/>
      <c r="D450" s="193"/>
      <c r="E450" s="194"/>
      <c r="F450" s="194"/>
      <c r="G450" s="193"/>
      <c r="H450" s="195"/>
      <c r="J450" s="207"/>
      <c r="K450" s="185"/>
      <c r="L450" s="197"/>
    </row>
    <row r="451" spans="1:12" hidden="1" x14ac:dyDescent="0.25">
      <c r="C451" s="193"/>
      <c r="D451" s="193"/>
      <c r="E451" s="194"/>
      <c r="F451" s="194"/>
      <c r="G451" s="193"/>
      <c r="H451" s="195"/>
      <c r="J451" s="207"/>
      <c r="K451" s="185"/>
      <c r="L451" s="197"/>
    </row>
    <row r="452" spans="1:12" hidden="1" x14ac:dyDescent="0.25">
      <c r="C452" s="193"/>
      <c r="D452" s="193"/>
      <c r="E452" s="194"/>
      <c r="F452" s="194"/>
      <c r="G452" s="193"/>
      <c r="H452" s="195"/>
    </row>
    <row r="453" spans="1:12" hidden="1" x14ac:dyDescent="0.25">
      <c r="E453" s="194"/>
      <c r="F453" s="194"/>
    </row>
    <row r="454" spans="1:12" hidden="1" x14ac:dyDescent="0.25">
      <c r="A454" s="180" t="s">
        <v>21</v>
      </c>
      <c r="B454" s="179"/>
      <c r="C454" s="179"/>
      <c r="D454" s="179"/>
      <c r="E454" s="179"/>
      <c r="F454" s="179"/>
      <c r="G454" s="179"/>
      <c r="H454" s="179"/>
      <c r="I454" s="180"/>
    </row>
    <row r="455" spans="1:12" hidden="1" x14ac:dyDescent="0.25">
      <c r="A455" s="180" t="s">
        <v>22</v>
      </c>
      <c r="B455" s="179"/>
      <c r="C455" s="179"/>
      <c r="D455" s="179"/>
      <c r="E455" s="179"/>
      <c r="F455" s="179"/>
      <c r="G455" s="179"/>
      <c r="H455" s="179"/>
      <c r="I455" s="180"/>
    </row>
    <row r="456" spans="1:12" hidden="1" x14ac:dyDescent="0.25">
      <c r="A456" s="180" t="s">
        <v>310</v>
      </c>
      <c r="B456" s="179"/>
      <c r="C456" s="179"/>
      <c r="D456" s="179"/>
      <c r="E456" s="179"/>
      <c r="F456" s="179"/>
      <c r="G456" s="179"/>
      <c r="H456" s="179"/>
      <c r="I456" s="180"/>
    </row>
    <row r="457" spans="1:12" x14ac:dyDescent="0.25">
      <c r="A457" s="599" t="s">
        <v>354</v>
      </c>
      <c r="B457" s="179"/>
      <c r="C457" s="179"/>
      <c r="D457" s="179"/>
      <c r="E457" s="179"/>
      <c r="F457" s="179"/>
      <c r="G457" s="179"/>
      <c r="H457" s="179"/>
      <c r="I457" s="180"/>
    </row>
    <row r="458" spans="1:12" x14ac:dyDescent="0.25">
      <c r="E458" s="194"/>
      <c r="F458" s="194"/>
    </row>
    <row r="459" spans="1:12" hidden="1" x14ac:dyDescent="0.25">
      <c r="E459" s="194"/>
      <c r="F459" s="194"/>
    </row>
    <row r="460" spans="1:12" x14ac:dyDescent="0.25">
      <c r="D460" s="181" t="s">
        <v>311</v>
      </c>
      <c r="E460" s="194"/>
      <c r="F460" s="194"/>
      <c r="G460" s="181" t="s">
        <v>312</v>
      </c>
    </row>
    <row r="461" spans="1:12" x14ac:dyDescent="0.25">
      <c r="D461" s="182" t="s">
        <v>313</v>
      </c>
      <c r="E461" s="194"/>
      <c r="F461" s="194"/>
      <c r="G461" s="182" t="s">
        <v>313</v>
      </c>
    </row>
    <row r="462" spans="1:12" x14ac:dyDescent="0.25">
      <c r="A462" s="180" t="s">
        <v>314</v>
      </c>
      <c r="D462" s="183">
        <v>27.53</v>
      </c>
      <c r="E462" s="194"/>
      <c r="F462" s="194"/>
      <c r="G462" s="183">
        <f>VLOOKUP(J462,'EXHIBIT JDT-3 SCOM'!D:N,7,FALSE)</f>
        <v>41.5</v>
      </c>
      <c r="J462" s="215" t="s">
        <v>107</v>
      </c>
      <c r="L462" s="216"/>
    </row>
    <row r="463" spans="1:12" x14ac:dyDescent="0.25">
      <c r="A463" s="180" t="s">
        <v>335</v>
      </c>
      <c r="C463" s="184">
        <v>200</v>
      </c>
      <c r="D463" s="185">
        <v>0.18343999999999999</v>
      </c>
      <c r="E463" s="194"/>
      <c r="F463" s="194"/>
      <c r="G463" s="185"/>
      <c r="J463" s="215" t="s">
        <v>108</v>
      </c>
      <c r="L463" s="216"/>
    </row>
    <row r="464" spans="1:12" x14ac:dyDescent="0.25">
      <c r="A464" s="180" t="s">
        <v>315</v>
      </c>
      <c r="C464" s="184">
        <v>9999999999</v>
      </c>
      <c r="D464" s="185">
        <v>0.17055999999999999</v>
      </c>
      <c r="E464" s="194"/>
      <c r="F464" s="194"/>
      <c r="G464" s="185"/>
      <c r="J464" s="215" t="s">
        <v>109</v>
      </c>
      <c r="L464" s="216"/>
    </row>
    <row r="465" spans="1:12" x14ac:dyDescent="0.25">
      <c r="C465" s="184"/>
      <c r="D465" s="185"/>
      <c r="E465" s="194"/>
      <c r="F465" s="194"/>
      <c r="G465" s="185">
        <f>VLOOKUP(J465,'EXHIBIT JDT-3 SCOM'!D:N,7,FALSE)/10</f>
        <v>0.19850000000000001</v>
      </c>
      <c r="J465" s="215" t="s">
        <v>346</v>
      </c>
      <c r="L465" s="216"/>
    </row>
    <row r="466" spans="1:12" x14ac:dyDescent="0.25">
      <c r="C466" s="184"/>
      <c r="D466" s="185"/>
      <c r="E466" s="194"/>
      <c r="F466" s="194"/>
      <c r="G466" s="185"/>
      <c r="L466" s="180"/>
    </row>
    <row r="467" spans="1:12" hidden="1" x14ac:dyDescent="0.25">
      <c r="A467" s="180" t="s">
        <v>316</v>
      </c>
      <c r="D467" s="185">
        <v>0</v>
      </c>
      <c r="E467" s="194"/>
      <c r="F467" s="194"/>
      <c r="G467" s="185">
        <f>D467</f>
        <v>0</v>
      </c>
      <c r="J467" s="217" t="s">
        <v>370</v>
      </c>
      <c r="L467" s="218"/>
    </row>
    <row r="468" spans="1:12" hidden="1" x14ac:dyDescent="0.25">
      <c r="A468" s="180" t="s">
        <v>317</v>
      </c>
      <c r="D468" s="185">
        <v>0</v>
      </c>
      <c r="E468" s="219"/>
      <c r="F468" s="219"/>
      <c r="G468" s="185">
        <f t="shared" ref="G468:G470" si="87">D468</f>
        <v>0</v>
      </c>
      <c r="J468" s="217" t="s">
        <v>370</v>
      </c>
      <c r="L468" s="218"/>
    </row>
    <row r="469" spans="1:12" hidden="1" x14ac:dyDescent="0.25">
      <c r="A469" s="180" t="s">
        <v>318</v>
      </c>
      <c r="D469" s="185">
        <v>0</v>
      </c>
      <c r="E469" s="219"/>
      <c r="F469" s="219"/>
      <c r="G469" s="185">
        <f t="shared" si="87"/>
        <v>0</v>
      </c>
      <c r="J469" s="217" t="s">
        <v>370</v>
      </c>
      <c r="L469" s="218"/>
    </row>
    <row r="470" spans="1:12" hidden="1" x14ac:dyDescent="0.25">
      <c r="A470" s="180" t="s">
        <v>319</v>
      </c>
      <c r="D470" s="185">
        <v>0</v>
      </c>
      <c r="E470" s="219"/>
      <c r="F470" s="219"/>
      <c r="G470" s="185">
        <f t="shared" si="87"/>
        <v>0</v>
      </c>
      <c r="J470" s="217" t="s">
        <v>370</v>
      </c>
      <c r="L470" s="218"/>
    </row>
    <row r="471" spans="1:12" x14ac:dyDescent="0.25">
      <c r="A471" s="180" t="s">
        <v>320</v>
      </c>
      <c r="D471" s="185">
        <v>1.99665585E-3</v>
      </c>
      <c r="E471" s="219"/>
      <c r="F471" s="219"/>
      <c r="G471" s="185">
        <f>VLOOKUP(J471,'EXHIBIT JDT-3 SCOM'!D:N,7,FALSE)/10</f>
        <v>4.45E-3</v>
      </c>
      <c r="J471" s="217" t="s">
        <v>289</v>
      </c>
      <c r="L471" s="218"/>
    </row>
    <row r="472" spans="1:12" x14ac:dyDescent="0.25">
      <c r="A472" s="180" t="s">
        <v>341</v>
      </c>
      <c r="D472" s="185">
        <v>1.0499999999999999E-2</v>
      </c>
      <c r="E472" s="219"/>
      <c r="F472" s="219"/>
      <c r="G472" s="185">
        <f>VLOOKUP(J472,'EXHIBIT JDT-3 SCOM'!D:N,7,FALSE)/10</f>
        <v>1.149E-2</v>
      </c>
      <c r="J472" s="217" t="s">
        <v>286</v>
      </c>
      <c r="L472" s="218"/>
    </row>
    <row r="473" spans="1:12" hidden="1" x14ac:dyDescent="0.25">
      <c r="A473" s="180" t="s">
        <v>342</v>
      </c>
      <c r="D473" s="185">
        <v>0</v>
      </c>
      <c r="E473" s="219"/>
      <c r="F473" s="219"/>
      <c r="G473" s="185">
        <v>0</v>
      </c>
      <c r="J473" s="188" t="s">
        <v>370</v>
      </c>
      <c r="L473" s="218"/>
    </row>
    <row r="474" spans="1:12" hidden="1" x14ac:dyDescent="0.25">
      <c r="A474" s="180" t="s">
        <v>343</v>
      </c>
      <c r="D474" s="185">
        <v>0</v>
      </c>
      <c r="E474" s="219"/>
      <c r="F474" s="219"/>
      <c r="G474" s="185">
        <v>0</v>
      </c>
      <c r="J474" s="188" t="s">
        <v>370</v>
      </c>
      <c r="L474" s="218"/>
    </row>
    <row r="475" spans="1:12" hidden="1" x14ac:dyDescent="0.25">
      <c r="E475" s="194"/>
      <c r="F475" s="194"/>
    </row>
    <row r="476" spans="1:12" hidden="1" x14ac:dyDescent="0.25">
      <c r="A476" s="180" t="s">
        <v>321</v>
      </c>
      <c r="D476" s="195">
        <f>$D$23</f>
        <v>0</v>
      </c>
      <c r="E476" s="194"/>
      <c r="F476" s="194"/>
      <c r="G476" s="195">
        <v>0</v>
      </c>
    </row>
    <row r="477" spans="1:12" hidden="1" x14ac:dyDescent="0.25">
      <c r="E477" s="194"/>
      <c r="F477" s="194"/>
    </row>
    <row r="478" spans="1:12" x14ac:dyDescent="0.25">
      <c r="E478" s="194"/>
      <c r="F478" s="194"/>
    </row>
    <row r="479" spans="1:12" x14ac:dyDescent="0.25">
      <c r="G479" s="190" t="s">
        <v>322</v>
      </c>
      <c r="H479" s="190"/>
    </row>
    <row r="480" spans="1:12" x14ac:dyDescent="0.25">
      <c r="B480" s="176" t="s">
        <v>323</v>
      </c>
      <c r="C480" s="181" t="s">
        <v>311</v>
      </c>
      <c r="D480" s="181" t="s">
        <v>312</v>
      </c>
      <c r="E480" s="181" t="s">
        <v>311</v>
      </c>
      <c r="F480" s="181" t="s">
        <v>312</v>
      </c>
      <c r="G480" s="181" t="s">
        <v>324</v>
      </c>
      <c r="H480" s="181" t="s">
        <v>325</v>
      </c>
      <c r="J480" s="191"/>
    </row>
    <row r="481" spans="1:25" x14ac:dyDescent="0.25">
      <c r="C481" s="192" t="s">
        <v>326</v>
      </c>
      <c r="D481" s="192" t="s">
        <v>327</v>
      </c>
      <c r="E481" s="181" t="s">
        <v>328</v>
      </c>
      <c r="F481" s="181" t="s">
        <v>328</v>
      </c>
      <c r="G481" s="192" t="s">
        <v>329</v>
      </c>
    </row>
    <row r="482" spans="1:25" x14ac:dyDescent="0.25">
      <c r="E482" s="194"/>
      <c r="F482" s="194"/>
    </row>
    <row r="483" spans="1:25" s="220" customFormat="1" x14ac:dyDescent="0.25">
      <c r="A483" s="180"/>
      <c r="B483" s="176">
        <v>0</v>
      </c>
      <c r="C483" s="193">
        <f>ROUND((D$462+MINA($B483,$C$463)*D$463+MAXA($B483-$C$463,0)*D$464+$B483*(D$467+D$468+D$469+D$470+D$471+D$472+D$473+D$474))*(1+D$476),2)</f>
        <v>27.53</v>
      </c>
      <c r="D483" s="193">
        <f>ROUND(($G$462+(SUM(G$465:G$474)*B483))*(1+$G$476),2)</f>
        <v>41.5</v>
      </c>
      <c r="E483" s="194"/>
      <c r="F483" s="194"/>
      <c r="G483" s="193">
        <f t="shared" ref="G483:G513" si="88">D483-C483</f>
        <v>13.969999999999999</v>
      </c>
      <c r="H483" s="195">
        <f t="shared" ref="H483:H513" si="89">ROUND(G483/C483,4)</f>
        <v>0.50739999999999996</v>
      </c>
      <c r="J483" s="177"/>
      <c r="Y483" s="570"/>
    </row>
    <row r="484" spans="1:25" s="220" customFormat="1" x14ac:dyDescent="0.25">
      <c r="A484" s="180"/>
      <c r="B484" s="176">
        <f>B483+50</f>
        <v>50</v>
      </c>
      <c r="C484" s="193">
        <f t="shared" ref="C484:C513" si="90">ROUND((D$462+MINA($B484,$C$463)*D$463+MAXA($B484-$C$463,0)*D$464+$B484*(D$467+D$468+D$469+D$470+D$471+D$472+D$473+D$474))*(1+D$476),2)</f>
        <v>37.33</v>
      </c>
      <c r="D484" s="193">
        <f t="shared" ref="D484:D513" si="91">ROUND(($G$462+(SUM(G$465:G$474)*B484))*(1+$G$476),2)</f>
        <v>52.22</v>
      </c>
      <c r="E484" s="194">
        <f t="shared" ref="E484:E513" si="92">+C484/B484</f>
        <v>0.74659999999999993</v>
      </c>
      <c r="F484" s="194">
        <f t="shared" ref="F484:F513" si="93">+D484/B484</f>
        <v>1.0444</v>
      </c>
      <c r="G484" s="193">
        <f t="shared" si="88"/>
        <v>14.89</v>
      </c>
      <c r="H484" s="195">
        <f t="shared" si="89"/>
        <v>0.39889999999999998</v>
      </c>
      <c r="J484" s="177"/>
      <c r="Y484" s="570"/>
    </row>
    <row r="485" spans="1:25" s="220" customFormat="1" x14ac:dyDescent="0.25">
      <c r="A485" s="180"/>
      <c r="B485" s="176">
        <f t="shared" ref="B485:B513" si="94">B484+50</f>
        <v>100</v>
      </c>
      <c r="C485" s="193">
        <f t="shared" si="90"/>
        <v>47.12</v>
      </c>
      <c r="D485" s="193">
        <f t="shared" si="91"/>
        <v>62.94</v>
      </c>
      <c r="E485" s="194">
        <f t="shared" si="92"/>
        <v>0.47119999999999995</v>
      </c>
      <c r="F485" s="194">
        <f t="shared" si="93"/>
        <v>0.62939999999999996</v>
      </c>
      <c r="G485" s="193">
        <f t="shared" si="88"/>
        <v>15.82</v>
      </c>
      <c r="H485" s="195">
        <f t="shared" si="89"/>
        <v>0.3357</v>
      </c>
      <c r="J485" s="177"/>
      <c r="Y485" s="570"/>
    </row>
    <row r="486" spans="1:25" s="220" customFormat="1" x14ac:dyDescent="0.25">
      <c r="A486" s="180"/>
      <c r="B486" s="176">
        <f t="shared" si="94"/>
        <v>150</v>
      </c>
      <c r="C486" s="193">
        <f t="shared" si="90"/>
        <v>56.92</v>
      </c>
      <c r="D486" s="193">
        <f t="shared" si="91"/>
        <v>73.67</v>
      </c>
      <c r="E486" s="194">
        <f t="shared" si="92"/>
        <v>0.37946666666666667</v>
      </c>
      <c r="F486" s="194">
        <f t="shared" si="93"/>
        <v>0.49113333333333337</v>
      </c>
      <c r="G486" s="193">
        <f t="shared" si="88"/>
        <v>16.75</v>
      </c>
      <c r="H486" s="195">
        <f t="shared" si="89"/>
        <v>0.29430000000000001</v>
      </c>
      <c r="J486" s="177"/>
      <c r="Y486" s="570"/>
    </row>
    <row r="487" spans="1:25" s="220" customFormat="1" x14ac:dyDescent="0.25">
      <c r="A487" s="180"/>
      <c r="B487" s="176">
        <f t="shared" si="94"/>
        <v>200</v>
      </c>
      <c r="C487" s="193">
        <f t="shared" si="90"/>
        <v>66.72</v>
      </c>
      <c r="D487" s="193">
        <f t="shared" si="91"/>
        <v>84.39</v>
      </c>
      <c r="E487" s="194">
        <f t="shared" si="92"/>
        <v>0.33360000000000001</v>
      </c>
      <c r="F487" s="194">
        <f t="shared" si="93"/>
        <v>0.42194999999999999</v>
      </c>
      <c r="G487" s="193">
        <f t="shared" si="88"/>
        <v>17.670000000000002</v>
      </c>
      <c r="H487" s="195">
        <f t="shared" si="89"/>
        <v>0.26479999999999998</v>
      </c>
      <c r="J487" s="177"/>
      <c r="Y487" s="570"/>
    </row>
    <row r="488" spans="1:25" s="220" customFormat="1" x14ac:dyDescent="0.25">
      <c r="A488" s="180"/>
      <c r="B488" s="176">
        <f t="shared" si="94"/>
        <v>250</v>
      </c>
      <c r="C488" s="193">
        <f t="shared" si="90"/>
        <v>75.87</v>
      </c>
      <c r="D488" s="193">
        <f t="shared" si="91"/>
        <v>95.11</v>
      </c>
      <c r="E488" s="194">
        <f t="shared" si="92"/>
        <v>0.30348000000000003</v>
      </c>
      <c r="F488" s="194">
        <f t="shared" si="93"/>
        <v>0.38044</v>
      </c>
      <c r="G488" s="193">
        <f t="shared" si="88"/>
        <v>19.239999999999995</v>
      </c>
      <c r="H488" s="195">
        <f t="shared" si="89"/>
        <v>0.25359999999999999</v>
      </c>
      <c r="J488" s="177"/>
      <c r="Y488" s="570"/>
    </row>
    <row r="489" spans="1:25" s="220" customFormat="1" x14ac:dyDescent="0.25">
      <c r="A489" s="180"/>
      <c r="B489" s="176">
        <f t="shared" si="94"/>
        <v>300</v>
      </c>
      <c r="C489" s="193">
        <f t="shared" si="90"/>
        <v>85.02</v>
      </c>
      <c r="D489" s="193">
        <f t="shared" si="91"/>
        <v>105.83</v>
      </c>
      <c r="E489" s="194">
        <f t="shared" si="92"/>
        <v>0.28339999999999999</v>
      </c>
      <c r="F489" s="194">
        <f t="shared" si="93"/>
        <v>0.35276666666666667</v>
      </c>
      <c r="G489" s="193">
        <f t="shared" si="88"/>
        <v>20.810000000000002</v>
      </c>
      <c r="H489" s="195">
        <f t="shared" si="89"/>
        <v>0.24479999999999999</v>
      </c>
      <c r="J489" s="177"/>
      <c r="Y489" s="570"/>
    </row>
    <row r="490" spans="1:25" s="220" customFormat="1" x14ac:dyDescent="0.25">
      <c r="A490" s="180"/>
      <c r="B490" s="176">
        <f t="shared" si="94"/>
        <v>350</v>
      </c>
      <c r="C490" s="193">
        <f t="shared" si="90"/>
        <v>94.18</v>
      </c>
      <c r="D490" s="193">
        <f t="shared" si="91"/>
        <v>116.55</v>
      </c>
      <c r="E490" s="194">
        <f t="shared" si="92"/>
        <v>0.26908571428571432</v>
      </c>
      <c r="F490" s="194">
        <f t="shared" si="93"/>
        <v>0.33300000000000002</v>
      </c>
      <c r="G490" s="193">
        <f t="shared" si="88"/>
        <v>22.36999999999999</v>
      </c>
      <c r="H490" s="195">
        <f t="shared" si="89"/>
        <v>0.23749999999999999</v>
      </c>
      <c r="J490" s="177"/>
      <c r="Y490" s="570"/>
    </row>
    <row r="491" spans="1:25" x14ac:dyDescent="0.25">
      <c r="B491" s="176">
        <f t="shared" si="94"/>
        <v>400</v>
      </c>
      <c r="C491" s="193">
        <f t="shared" si="90"/>
        <v>103.33</v>
      </c>
      <c r="D491" s="193">
        <f t="shared" si="91"/>
        <v>127.28</v>
      </c>
      <c r="E491" s="194">
        <f t="shared" si="92"/>
        <v>0.25832499999999997</v>
      </c>
      <c r="F491" s="194">
        <f t="shared" si="93"/>
        <v>0.31819999999999998</v>
      </c>
      <c r="G491" s="193">
        <f t="shared" si="88"/>
        <v>23.950000000000003</v>
      </c>
      <c r="H491" s="195">
        <f t="shared" si="89"/>
        <v>0.23180000000000001</v>
      </c>
    </row>
    <row r="492" spans="1:25" x14ac:dyDescent="0.25">
      <c r="B492" s="176">
        <f t="shared" si="94"/>
        <v>450</v>
      </c>
      <c r="C492" s="193">
        <f t="shared" si="90"/>
        <v>112.48</v>
      </c>
      <c r="D492" s="193">
        <f t="shared" si="91"/>
        <v>138</v>
      </c>
      <c r="E492" s="194">
        <f t="shared" si="92"/>
        <v>0.24995555555555557</v>
      </c>
      <c r="F492" s="194">
        <f t="shared" si="93"/>
        <v>0.30666666666666664</v>
      </c>
      <c r="G492" s="193">
        <f t="shared" si="88"/>
        <v>25.519999999999996</v>
      </c>
      <c r="H492" s="195">
        <f t="shared" si="89"/>
        <v>0.22689999999999999</v>
      </c>
    </row>
    <row r="493" spans="1:25" x14ac:dyDescent="0.25">
      <c r="B493" s="176">
        <f t="shared" si="94"/>
        <v>500</v>
      </c>
      <c r="C493" s="193">
        <f t="shared" si="90"/>
        <v>121.63</v>
      </c>
      <c r="D493" s="193">
        <f t="shared" si="91"/>
        <v>148.72</v>
      </c>
      <c r="E493" s="194">
        <f t="shared" si="92"/>
        <v>0.24326</v>
      </c>
      <c r="F493" s="194">
        <f t="shared" si="93"/>
        <v>0.29743999999999998</v>
      </c>
      <c r="G493" s="193">
        <f t="shared" si="88"/>
        <v>27.090000000000003</v>
      </c>
      <c r="H493" s="195">
        <f t="shared" si="89"/>
        <v>0.22270000000000001</v>
      </c>
    </row>
    <row r="494" spans="1:25" x14ac:dyDescent="0.25">
      <c r="B494" s="176">
        <f t="shared" si="94"/>
        <v>550</v>
      </c>
      <c r="C494" s="193">
        <f t="shared" si="90"/>
        <v>130.79</v>
      </c>
      <c r="D494" s="193">
        <f t="shared" si="91"/>
        <v>159.44</v>
      </c>
      <c r="E494" s="194">
        <f t="shared" si="92"/>
        <v>0.23779999999999998</v>
      </c>
      <c r="F494" s="194">
        <f t="shared" si="93"/>
        <v>0.28989090909090909</v>
      </c>
      <c r="G494" s="193">
        <f t="shared" si="88"/>
        <v>28.650000000000006</v>
      </c>
      <c r="H494" s="195">
        <f t="shared" si="89"/>
        <v>0.21909999999999999</v>
      </c>
    </row>
    <row r="495" spans="1:25" x14ac:dyDescent="0.25">
      <c r="B495" s="176">
        <f t="shared" si="94"/>
        <v>600</v>
      </c>
      <c r="C495" s="193">
        <f t="shared" si="90"/>
        <v>139.94</v>
      </c>
      <c r="D495" s="193">
        <f t="shared" si="91"/>
        <v>170.16</v>
      </c>
      <c r="E495" s="194">
        <f t="shared" si="92"/>
        <v>0.23323333333333332</v>
      </c>
      <c r="F495" s="194">
        <f t="shared" si="93"/>
        <v>0.28360000000000002</v>
      </c>
      <c r="G495" s="193">
        <f t="shared" si="88"/>
        <v>30.22</v>
      </c>
      <c r="H495" s="195">
        <f t="shared" si="89"/>
        <v>0.21590000000000001</v>
      </c>
    </row>
    <row r="496" spans="1:25" x14ac:dyDescent="0.25">
      <c r="B496" s="176">
        <f t="shared" si="94"/>
        <v>650</v>
      </c>
      <c r="C496" s="193">
        <f t="shared" si="90"/>
        <v>149.09</v>
      </c>
      <c r="D496" s="193">
        <f t="shared" si="91"/>
        <v>180.89</v>
      </c>
      <c r="E496" s="194">
        <f t="shared" si="92"/>
        <v>0.22936923076923077</v>
      </c>
      <c r="F496" s="194">
        <f t="shared" si="93"/>
        <v>0.27829230769230767</v>
      </c>
      <c r="G496" s="193">
        <f t="shared" si="88"/>
        <v>31.799999999999983</v>
      </c>
      <c r="H496" s="195">
        <f t="shared" si="89"/>
        <v>0.21329999999999999</v>
      </c>
    </row>
    <row r="497" spans="2:8" x14ac:dyDescent="0.25">
      <c r="B497" s="176">
        <f t="shared" si="94"/>
        <v>700</v>
      </c>
      <c r="C497" s="193">
        <f t="shared" si="90"/>
        <v>158.25</v>
      </c>
      <c r="D497" s="193">
        <f t="shared" si="91"/>
        <v>191.61</v>
      </c>
      <c r="E497" s="194">
        <f t="shared" si="92"/>
        <v>0.22607142857142856</v>
      </c>
      <c r="F497" s="194">
        <f t="shared" si="93"/>
        <v>0.27372857142857143</v>
      </c>
      <c r="G497" s="193">
        <f t="shared" si="88"/>
        <v>33.360000000000014</v>
      </c>
      <c r="H497" s="195">
        <f t="shared" si="89"/>
        <v>0.21079999999999999</v>
      </c>
    </row>
    <row r="498" spans="2:8" x14ac:dyDescent="0.25">
      <c r="B498" s="176">
        <f t="shared" si="94"/>
        <v>750</v>
      </c>
      <c r="C498" s="193">
        <f t="shared" si="90"/>
        <v>167.4</v>
      </c>
      <c r="D498" s="193">
        <f t="shared" si="91"/>
        <v>202.33</v>
      </c>
      <c r="E498" s="194">
        <f t="shared" si="92"/>
        <v>0.22320000000000001</v>
      </c>
      <c r="F498" s="194">
        <f t="shared" si="93"/>
        <v>0.26977333333333336</v>
      </c>
      <c r="G498" s="193">
        <f t="shared" si="88"/>
        <v>34.930000000000007</v>
      </c>
      <c r="H498" s="195">
        <f t="shared" si="89"/>
        <v>0.2087</v>
      </c>
    </row>
    <row r="499" spans="2:8" x14ac:dyDescent="0.25">
      <c r="B499" s="176">
        <f t="shared" si="94"/>
        <v>800</v>
      </c>
      <c r="C499" s="193">
        <f t="shared" si="90"/>
        <v>176.55</v>
      </c>
      <c r="D499" s="193">
        <f t="shared" si="91"/>
        <v>213.05</v>
      </c>
      <c r="E499" s="194">
        <f t="shared" si="92"/>
        <v>0.22068750000000001</v>
      </c>
      <c r="F499" s="194">
        <f t="shared" si="93"/>
        <v>0.26631250000000001</v>
      </c>
      <c r="G499" s="193">
        <f t="shared" si="88"/>
        <v>36.5</v>
      </c>
      <c r="H499" s="195">
        <f t="shared" si="89"/>
        <v>0.20669999999999999</v>
      </c>
    </row>
    <row r="500" spans="2:8" x14ac:dyDescent="0.25">
      <c r="B500" s="176">
        <f t="shared" si="94"/>
        <v>850</v>
      </c>
      <c r="C500" s="193">
        <f t="shared" si="90"/>
        <v>185.7</v>
      </c>
      <c r="D500" s="193">
        <f t="shared" si="91"/>
        <v>223.77</v>
      </c>
      <c r="E500" s="194">
        <f t="shared" si="92"/>
        <v>0.21847058823529411</v>
      </c>
      <c r="F500" s="194">
        <f t="shared" si="93"/>
        <v>0.26325882352941177</v>
      </c>
      <c r="G500" s="193">
        <f t="shared" si="88"/>
        <v>38.070000000000022</v>
      </c>
      <c r="H500" s="195">
        <f t="shared" si="89"/>
        <v>0.20499999999999999</v>
      </c>
    </row>
    <row r="501" spans="2:8" x14ac:dyDescent="0.25">
      <c r="B501" s="176">
        <f t="shared" si="94"/>
        <v>900</v>
      </c>
      <c r="C501" s="193">
        <f t="shared" si="90"/>
        <v>194.86</v>
      </c>
      <c r="D501" s="193">
        <f t="shared" si="91"/>
        <v>234.5</v>
      </c>
      <c r="E501" s="194">
        <f t="shared" si="92"/>
        <v>0.21651111111111113</v>
      </c>
      <c r="F501" s="194">
        <f t="shared" si="93"/>
        <v>0.26055555555555554</v>
      </c>
      <c r="G501" s="193">
        <f t="shared" si="88"/>
        <v>39.639999999999986</v>
      </c>
      <c r="H501" s="195">
        <f t="shared" si="89"/>
        <v>0.2034</v>
      </c>
    </row>
    <row r="502" spans="2:8" x14ac:dyDescent="0.25">
      <c r="B502" s="176">
        <f t="shared" si="94"/>
        <v>950</v>
      </c>
      <c r="C502" s="193">
        <f t="shared" si="90"/>
        <v>204.01</v>
      </c>
      <c r="D502" s="193">
        <f t="shared" si="91"/>
        <v>245.22</v>
      </c>
      <c r="E502" s="194">
        <f t="shared" si="92"/>
        <v>0.21474736842105263</v>
      </c>
      <c r="F502" s="194">
        <f t="shared" si="93"/>
        <v>0.2581263157894737</v>
      </c>
      <c r="G502" s="193">
        <f t="shared" si="88"/>
        <v>41.210000000000008</v>
      </c>
      <c r="H502" s="195">
        <f t="shared" si="89"/>
        <v>0.20200000000000001</v>
      </c>
    </row>
    <row r="503" spans="2:8" x14ac:dyDescent="0.25">
      <c r="B503" s="176">
        <f t="shared" si="94"/>
        <v>1000</v>
      </c>
      <c r="C503" s="193">
        <f t="shared" si="90"/>
        <v>213.16</v>
      </c>
      <c r="D503" s="193">
        <f t="shared" si="91"/>
        <v>255.94</v>
      </c>
      <c r="E503" s="194">
        <f t="shared" si="92"/>
        <v>0.21315999999999999</v>
      </c>
      <c r="F503" s="194">
        <f t="shared" si="93"/>
        <v>0.25594</v>
      </c>
      <c r="G503" s="193">
        <f t="shared" si="88"/>
        <v>42.78</v>
      </c>
      <c r="H503" s="195">
        <f t="shared" si="89"/>
        <v>0.20069999999999999</v>
      </c>
    </row>
    <row r="504" spans="2:8" x14ac:dyDescent="0.25">
      <c r="B504" s="176">
        <f t="shared" si="94"/>
        <v>1050</v>
      </c>
      <c r="C504" s="193">
        <f t="shared" si="90"/>
        <v>222.32</v>
      </c>
      <c r="D504" s="193">
        <f t="shared" si="91"/>
        <v>266.66000000000003</v>
      </c>
      <c r="E504" s="194">
        <f t="shared" si="92"/>
        <v>0.21173333333333333</v>
      </c>
      <c r="F504" s="194">
        <f t="shared" si="93"/>
        <v>0.25396190476190478</v>
      </c>
      <c r="G504" s="193">
        <f t="shared" si="88"/>
        <v>44.340000000000032</v>
      </c>
      <c r="H504" s="195">
        <f t="shared" si="89"/>
        <v>0.19939999999999999</v>
      </c>
    </row>
    <row r="505" spans="2:8" x14ac:dyDescent="0.25">
      <c r="B505" s="176">
        <f t="shared" si="94"/>
        <v>1100</v>
      </c>
      <c r="C505" s="193">
        <f t="shared" si="90"/>
        <v>231.47</v>
      </c>
      <c r="D505" s="193">
        <f t="shared" si="91"/>
        <v>277.38</v>
      </c>
      <c r="E505" s="194">
        <f t="shared" si="92"/>
        <v>0.21042727272727271</v>
      </c>
      <c r="F505" s="194">
        <f t="shared" si="93"/>
        <v>0.25216363636363637</v>
      </c>
      <c r="G505" s="193">
        <f t="shared" si="88"/>
        <v>45.91</v>
      </c>
      <c r="H505" s="195">
        <f t="shared" si="89"/>
        <v>0.1983</v>
      </c>
    </row>
    <row r="506" spans="2:8" x14ac:dyDescent="0.25">
      <c r="B506" s="176">
        <f t="shared" si="94"/>
        <v>1150</v>
      </c>
      <c r="C506" s="193">
        <f t="shared" si="90"/>
        <v>240.62</v>
      </c>
      <c r="D506" s="193">
        <f t="shared" si="91"/>
        <v>288.11</v>
      </c>
      <c r="E506" s="194">
        <f t="shared" si="92"/>
        <v>0.20923478260869566</v>
      </c>
      <c r="F506" s="194">
        <f t="shared" si="93"/>
        <v>0.25053043478260872</v>
      </c>
      <c r="G506" s="193">
        <f t="shared" si="88"/>
        <v>47.490000000000009</v>
      </c>
      <c r="H506" s="195">
        <f t="shared" si="89"/>
        <v>0.19739999999999999</v>
      </c>
    </row>
    <row r="507" spans="2:8" x14ac:dyDescent="0.25">
      <c r="B507" s="176">
        <f t="shared" si="94"/>
        <v>1200</v>
      </c>
      <c r="C507" s="193">
        <f t="shared" si="90"/>
        <v>249.77</v>
      </c>
      <c r="D507" s="193">
        <f t="shared" si="91"/>
        <v>298.83</v>
      </c>
      <c r="E507" s="194">
        <f t="shared" si="92"/>
        <v>0.20814166666666667</v>
      </c>
      <c r="F507" s="194">
        <f t="shared" si="93"/>
        <v>0.249025</v>
      </c>
      <c r="G507" s="193">
        <f t="shared" si="88"/>
        <v>49.059999999999974</v>
      </c>
      <c r="H507" s="195">
        <f t="shared" si="89"/>
        <v>0.19639999999999999</v>
      </c>
    </row>
    <row r="508" spans="2:8" x14ac:dyDescent="0.25">
      <c r="B508" s="176">
        <f t="shared" si="94"/>
        <v>1250</v>
      </c>
      <c r="C508" s="193">
        <f t="shared" si="90"/>
        <v>258.93</v>
      </c>
      <c r="D508" s="193">
        <f t="shared" si="91"/>
        <v>309.55</v>
      </c>
      <c r="E508" s="194">
        <f t="shared" si="92"/>
        <v>0.20714399999999999</v>
      </c>
      <c r="F508" s="194">
        <f t="shared" si="93"/>
        <v>0.24764</v>
      </c>
      <c r="G508" s="193">
        <f t="shared" si="88"/>
        <v>50.620000000000005</v>
      </c>
      <c r="H508" s="195">
        <f t="shared" si="89"/>
        <v>0.19550000000000001</v>
      </c>
    </row>
    <row r="509" spans="2:8" x14ac:dyDescent="0.25">
      <c r="B509" s="176">
        <f t="shared" si="94"/>
        <v>1300</v>
      </c>
      <c r="C509" s="193">
        <f t="shared" si="90"/>
        <v>268.08</v>
      </c>
      <c r="D509" s="193">
        <f t="shared" si="91"/>
        <v>320.27</v>
      </c>
      <c r="E509" s="194">
        <f t="shared" si="92"/>
        <v>0.20621538461538461</v>
      </c>
      <c r="F509" s="194">
        <f t="shared" si="93"/>
        <v>0.24636153846153844</v>
      </c>
      <c r="G509" s="193">
        <f t="shared" si="88"/>
        <v>52.19</v>
      </c>
      <c r="H509" s="195">
        <f t="shared" si="89"/>
        <v>0.19470000000000001</v>
      </c>
    </row>
    <row r="510" spans="2:8" x14ac:dyDescent="0.25">
      <c r="B510" s="176">
        <f t="shared" si="94"/>
        <v>1350</v>
      </c>
      <c r="C510" s="193">
        <f t="shared" si="90"/>
        <v>277.23</v>
      </c>
      <c r="D510" s="193">
        <f t="shared" si="91"/>
        <v>330.99</v>
      </c>
      <c r="E510" s="194">
        <f t="shared" si="92"/>
        <v>0.20535555555555557</v>
      </c>
      <c r="F510" s="194">
        <f t="shared" si="93"/>
        <v>0.24517777777777777</v>
      </c>
      <c r="G510" s="193">
        <f t="shared" si="88"/>
        <v>53.759999999999991</v>
      </c>
      <c r="H510" s="195">
        <f t="shared" si="89"/>
        <v>0.19389999999999999</v>
      </c>
    </row>
    <row r="511" spans="2:8" x14ac:dyDescent="0.25">
      <c r="B511" s="176">
        <f t="shared" si="94"/>
        <v>1400</v>
      </c>
      <c r="C511" s="193">
        <f t="shared" si="90"/>
        <v>286.39</v>
      </c>
      <c r="D511" s="193">
        <f t="shared" si="91"/>
        <v>341.72</v>
      </c>
      <c r="E511" s="194">
        <f t="shared" si="92"/>
        <v>0.2045642857142857</v>
      </c>
      <c r="F511" s="194">
        <f t="shared" si="93"/>
        <v>0.24408571428571429</v>
      </c>
      <c r="G511" s="193">
        <f t="shared" si="88"/>
        <v>55.330000000000041</v>
      </c>
      <c r="H511" s="195">
        <f t="shared" si="89"/>
        <v>0.19320000000000001</v>
      </c>
    </row>
    <row r="512" spans="2:8" x14ac:dyDescent="0.25">
      <c r="B512" s="176">
        <f t="shared" si="94"/>
        <v>1450</v>
      </c>
      <c r="C512" s="193">
        <f t="shared" si="90"/>
        <v>295.54000000000002</v>
      </c>
      <c r="D512" s="193">
        <f t="shared" si="91"/>
        <v>352.44</v>
      </c>
      <c r="E512" s="194">
        <f t="shared" si="92"/>
        <v>0.20382068965517242</v>
      </c>
      <c r="F512" s="194">
        <f t="shared" si="93"/>
        <v>0.24306206896551724</v>
      </c>
      <c r="G512" s="193">
        <f t="shared" si="88"/>
        <v>56.899999999999977</v>
      </c>
      <c r="H512" s="195">
        <f t="shared" si="89"/>
        <v>0.1925</v>
      </c>
    </row>
    <row r="513" spans="1:12" x14ac:dyDescent="0.25">
      <c r="B513" s="176">
        <f t="shared" si="94"/>
        <v>1500</v>
      </c>
      <c r="C513" s="193">
        <f t="shared" si="90"/>
        <v>304.69</v>
      </c>
      <c r="D513" s="193">
        <f t="shared" si="91"/>
        <v>363.16</v>
      </c>
      <c r="E513" s="194">
        <f t="shared" si="92"/>
        <v>0.20312666666666668</v>
      </c>
      <c r="F513" s="194">
        <f t="shared" si="93"/>
        <v>0.24210666666666669</v>
      </c>
      <c r="G513" s="193">
        <f t="shared" si="88"/>
        <v>58.470000000000027</v>
      </c>
      <c r="H513" s="195">
        <f t="shared" si="89"/>
        <v>0.19189999999999999</v>
      </c>
    </row>
    <row r="514" spans="1:12" x14ac:dyDescent="0.25">
      <c r="C514" s="193"/>
      <c r="D514" s="193"/>
      <c r="E514" s="194"/>
      <c r="F514" s="194"/>
      <c r="G514" s="193"/>
      <c r="H514" s="195"/>
    </row>
    <row r="515" spans="1:12" hidden="1" x14ac:dyDescent="0.25">
      <c r="C515" s="193"/>
      <c r="D515" s="193"/>
      <c r="E515" s="194"/>
      <c r="F515" s="194"/>
      <c r="G515" s="193"/>
      <c r="H515" s="195"/>
    </row>
    <row r="516" spans="1:12" hidden="1" x14ac:dyDescent="0.25">
      <c r="C516" s="193"/>
      <c r="D516" s="193"/>
      <c r="E516" s="194"/>
      <c r="F516" s="194"/>
      <c r="G516" s="193"/>
      <c r="H516" s="195"/>
    </row>
    <row r="517" spans="1:12" hidden="1" x14ac:dyDescent="0.25">
      <c r="C517" s="193"/>
      <c r="D517" s="193"/>
      <c r="E517" s="194"/>
      <c r="F517" s="194"/>
      <c r="G517" s="193"/>
      <c r="H517" s="195"/>
      <c r="J517" s="221"/>
      <c r="K517" s="193"/>
      <c r="L517" s="222"/>
    </row>
    <row r="518" spans="1:12" hidden="1" x14ac:dyDescent="0.25">
      <c r="C518" s="193"/>
      <c r="D518" s="193"/>
      <c r="E518" s="194"/>
      <c r="F518" s="194"/>
      <c r="G518" s="193"/>
      <c r="H518" s="195"/>
    </row>
    <row r="519" spans="1:12" hidden="1" x14ac:dyDescent="0.25">
      <c r="E519" s="194"/>
      <c r="F519" s="194"/>
    </row>
    <row r="520" spans="1:12" hidden="1" x14ac:dyDescent="0.25">
      <c r="A520" s="180" t="s">
        <v>21</v>
      </c>
      <c r="B520" s="179"/>
      <c r="C520" s="179"/>
      <c r="D520" s="179"/>
      <c r="E520" s="179"/>
      <c r="F520" s="179"/>
      <c r="G520" s="179"/>
      <c r="H520" s="179"/>
      <c r="I520" s="180"/>
    </row>
    <row r="521" spans="1:12" hidden="1" x14ac:dyDescent="0.25">
      <c r="A521" s="180" t="s">
        <v>22</v>
      </c>
      <c r="B521" s="179"/>
      <c r="C521" s="179"/>
      <c r="D521" s="179"/>
      <c r="E521" s="179"/>
      <c r="F521" s="179"/>
      <c r="G521" s="179"/>
      <c r="H521" s="179"/>
      <c r="I521" s="180"/>
    </row>
    <row r="522" spans="1:12" hidden="1" x14ac:dyDescent="0.25">
      <c r="A522" s="180" t="s">
        <v>310</v>
      </c>
      <c r="B522" s="179"/>
      <c r="C522" s="179"/>
      <c r="D522" s="179"/>
      <c r="E522" s="179"/>
      <c r="F522" s="179"/>
      <c r="G522" s="179"/>
      <c r="H522" s="179"/>
      <c r="I522" s="180"/>
    </row>
    <row r="523" spans="1:12" x14ac:dyDescent="0.25">
      <c r="A523" s="599" t="s">
        <v>388</v>
      </c>
      <c r="B523" s="179"/>
      <c r="C523" s="179"/>
      <c r="D523" s="179"/>
      <c r="E523" s="179"/>
      <c r="F523" s="179"/>
      <c r="G523" s="179"/>
      <c r="H523" s="179"/>
      <c r="I523" s="180"/>
    </row>
    <row r="525" spans="1:12" hidden="1" x14ac:dyDescent="0.25"/>
    <row r="526" spans="1:12" x14ac:dyDescent="0.25">
      <c r="D526" s="181" t="s">
        <v>311</v>
      </c>
      <c r="G526" s="181" t="s">
        <v>312</v>
      </c>
    </row>
    <row r="527" spans="1:12" x14ac:dyDescent="0.25">
      <c r="D527" s="182" t="s">
        <v>313</v>
      </c>
      <c r="G527" s="182" t="s">
        <v>313</v>
      </c>
    </row>
    <row r="528" spans="1:12" x14ac:dyDescent="0.25">
      <c r="A528" s="180" t="s">
        <v>314</v>
      </c>
      <c r="D528" s="183">
        <v>27.53</v>
      </c>
      <c r="G528" s="183">
        <f>VLOOKUP(J528,'EXHIBIT JDT-3 SCOM'!D:N,7,FALSE)</f>
        <v>41.5</v>
      </c>
      <c r="J528" s="177" t="s">
        <v>107</v>
      </c>
    </row>
    <row r="529" spans="1:10" x14ac:dyDescent="0.25">
      <c r="A529" s="180" t="str">
        <f>"FIRST "&amp;FIXED(C529,0,TRUE)&amp;" CCF"</f>
        <v>FIRST 50 CCF</v>
      </c>
      <c r="C529" s="184">
        <v>50</v>
      </c>
      <c r="D529" s="185">
        <v>0.18343999999999999</v>
      </c>
      <c r="G529" s="185"/>
      <c r="J529" s="177" t="s">
        <v>108</v>
      </c>
    </row>
    <row r="530" spans="1:10" x14ac:dyDescent="0.25">
      <c r="A530" s="180" t="s">
        <v>315</v>
      </c>
      <c r="C530" s="184">
        <v>9999999999</v>
      </c>
      <c r="D530" s="185">
        <v>0.17055999999999999</v>
      </c>
      <c r="G530" s="185"/>
      <c r="J530" s="177" t="s">
        <v>109</v>
      </c>
    </row>
    <row r="531" spans="1:10" x14ac:dyDescent="0.25">
      <c r="C531" s="184"/>
      <c r="D531" s="185"/>
      <c r="G531" s="185">
        <f>VLOOKUP(J531,'EXHIBIT JDT-3 SCOM'!D:N,7,FALSE)/10</f>
        <v>0.19850000000000001</v>
      </c>
      <c r="J531" s="177" t="s">
        <v>346</v>
      </c>
    </row>
    <row r="532" spans="1:10" hidden="1" x14ac:dyDescent="0.25">
      <c r="C532" s="184"/>
      <c r="E532" s="186"/>
      <c r="F532" s="186"/>
    </row>
    <row r="533" spans="1:10" hidden="1" x14ac:dyDescent="0.25">
      <c r="A533" s="180" t="s">
        <v>316</v>
      </c>
      <c r="D533" s="185">
        <v>0</v>
      </c>
      <c r="E533" s="186"/>
      <c r="F533" s="186"/>
      <c r="G533" s="185">
        <f>D533</f>
        <v>0</v>
      </c>
      <c r="J533" s="187" t="s">
        <v>370</v>
      </c>
    </row>
    <row r="534" spans="1:10" hidden="1" x14ac:dyDescent="0.25">
      <c r="A534" s="180" t="s">
        <v>317</v>
      </c>
      <c r="D534" s="185">
        <v>0</v>
      </c>
      <c r="E534" s="186"/>
      <c r="F534" s="186"/>
      <c r="G534" s="185">
        <f t="shared" ref="G534:G536" si="95">D534</f>
        <v>0</v>
      </c>
      <c r="J534" s="187" t="s">
        <v>370</v>
      </c>
    </row>
    <row r="535" spans="1:10" hidden="1" x14ac:dyDescent="0.25">
      <c r="A535" s="180" t="s">
        <v>318</v>
      </c>
      <c r="D535" s="185">
        <v>0</v>
      </c>
      <c r="E535" s="186"/>
      <c r="F535" s="186"/>
      <c r="G535" s="185">
        <f t="shared" si="95"/>
        <v>0</v>
      </c>
      <c r="J535" s="187"/>
    </row>
    <row r="536" spans="1:10" hidden="1" x14ac:dyDescent="0.25">
      <c r="A536" s="180" t="s">
        <v>319</v>
      </c>
      <c r="D536" s="185">
        <v>0</v>
      </c>
      <c r="E536" s="186"/>
      <c r="F536" s="186"/>
      <c r="G536" s="185">
        <f t="shared" si="95"/>
        <v>0</v>
      </c>
      <c r="J536" s="187"/>
    </row>
    <row r="537" spans="1:10" hidden="1" x14ac:dyDescent="0.25">
      <c r="A537" s="180" t="s">
        <v>320</v>
      </c>
      <c r="D537" s="185">
        <v>0</v>
      </c>
      <c r="E537" s="186"/>
      <c r="F537" s="186"/>
      <c r="G537" s="185">
        <f>IFERROR(VLOOKUP(J537,'EXHIBIT JDT-3 SCOM'!D:N,7,FALSE)/10,0)</f>
        <v>0</v>
      </c>
      <c r="J537" s="187"/>
    </row>
    <row r="538" spans="1:10" hidden="1" x14ac:dyDescent="0.25">
      <c r="A538" s="180" t="s">
        <v>341</v>
      </c>
      <c r="D538" s="185">
        <v>0</v>
      </c>
      <c r="E538" s="186"/>
      <c r="F538" s="186"/>
      <c r="G538" s="185">
        <f>IFERROR(VLOOKUP(J538,'EXHIBIT JDT-3 SCOM'!D:N,7,FALSE)/10,0)</f>
        <v>0</v>
      </c>
      <c r="J538" s="187"/>
    </row>
    <row r="539" spans="1:10" hidden="1" x14ac:dyDescent="0.25">
      <c r="A539" s="180" t="s">
        <v>342</v>
      </c>
      <c r="D539" s="185">
        <v>0</v>
      </c>
      <c r="E539" s="186"/>
      <c r="F539" s="186"/>
      <c r="G539" s="185">
        <v>0</v>
      </c>
      <c r="J539" s="188" t="s">
        <v>370</v>
      </c>
    </row>
    <row r="540" spans="1:10" hidden="1" x14ac:dyDescent="0.25">
      <c r="A540" s="180" t="s">
        <v>343</v>
      </c>
      <c r="D540" s="185">
        <v>0</v>
      </c>
      <c r="E540" s="186"/>
      <c r="F540" s="186"/>
      <c r="G540" s="185">
        <v>0</v>
      </c>
      <c r="J540" s="188" t="s">
        <v>370</v>
      </c>
    </row>
    <row r="541" spans="1:10" hidden="1" x14ac:dyDescent="0.25">
      <c r="E541" s="186"/>
      <c r="F541" s="186"/>
      <c r="G541" s="186"/>
    </row>
    <row r="542" spans="1:10" hidden="1" x14ac:dyDescent="0.25">
      <c r="A542" s="180" t="s">
        <v>321</v>
      </c>
      <c r="D542" s="189">
        <v>0</v>
      </c>
      <c r="G542" s="189">
        <v>0</v>
      </c>
    </row>
    <row r="543" spans="1:10" hidden="1" x14ac:dyDescent="0.25"/>
    <row r="545" spans="1:25" x14ac:dyDescent="0.25">
      <c r="G545" s="190" t="s">
        <v>322</v>
      </c>
      <c r="H545" s="190"/>
    </row>
    <row r="546" spans="1:25" x14ac:dyDescent="0.25">
      <c r="B546" s="176" t="s">
        <v>323</v>
      </c>
      <c r="C546" s="181" t="s">
        <v>311</v>
      </c>
      <c r="D546" s="181" t="s">
        <v>312</v>
      </c>
      <c r="E546" s="181" t="s">
        <v>311</v>
      </c>
      <c r="F546" s="181" t="s">
        <v>312</v>
      </c>
      <c r="G546" s="181" t="s">
        <v>324</v>
      </c>
      <c r="H546" s="181" t="s">
        <v>325</v>
      </c>
      <c r="J546" s="191"/>
    </row>
    <row r="547" spans="1:25" x14ac:dyDescent="0.25">
      <c r="C547" s="192" t="s">
        <v>326</v>
      </c>
      <c r="D547" s="192" t="s">
        <v>327</v>
      </c>
      <c r="E547" s="181" t="s">
        <v>328</v>
      </c>
      <c r="F547" s="181" t="s">
        <v>328</v>
      </c>
      <c r="G547" s="192" t="s">
        <v>329</v>
      </c>
      <c r="J547" s="191"/>
    </row>
    <row r="548" spans="1:25" x14ac:dyDescent="0.25">
      <c r="B548" s="176" t="s">
        <v>330</v>
      </c>
      <c r="J548" s="191"/>
    </row>
    <row r="549" spans="1:25" s="220" customFormat="1" x14ac:dyDescent="0.25">
      <c r="A549" s="180"/>
      <c r="B549" s="176">
        <f>B483</f>
        <v>0</v>
      </c>
      <c r="C549" s="193">
        <f>ROUND(((D528+MINA(B549,C529)*D529+MAXA(B549-C529,0)*D530+(+D534+D535+D536+D538+D537+D539+D540)*B549)*(1+D533))*(1+D542),2)</f>
        <v>27.53</v>
      </c>
      <c r="D549" s="193">
        <f>ROUND(($G$528+(SUM($G$531:$G$540)*B549))*(1+$G$542),2)</f>
        <v>41.5</v>
      </c>
      <c r="E549" s="194"/>
      <c r="F549" s="194"/>
      <c r="G549" s="193">
        <f t="shared" ref="G549:G579" si="96">D549-C549</f>
        <v>13.969999999999999</v>
      </c>
      <c r="H549" s="195">
        <f t="shared" ref="H549:H579" si="97">ROUND(G549/C549,4)</f>
        <v>0.50739999999999996</v>
      </c>
      <c r="J549" s="207"/>
      <c r="L549" s="229"/>
      <c r="Y549" s="570"/>
    </row>
    <row r="550" spans="1:25" s="220" customFormat="1" x14ac:dyDescent="0.25">
      <c r="A550" s="180"/>
      <c r="B550" s="176">
        <f t="shared" ref="B550:B578" si="98">B484</f>
        <v>50</v>
      </c>
      <c r="C550" s="193">
        <f>ROUND(((D528+MINA(B550,C529)*D529+MAXA(B550-C529,0)*D530+(+D534+D535+D536+D538+D537+D539+D540)*B550)*(1+D533))*(1+D542),2)</f>
        <v>36.700000000000003</v>
      </c>
      <c r="D550" s="193">
        <f t="shared" ref="D550:D579" si="99">ROUND(($G$528+(SUM($G$531:$G$540)*B550))*(1+$G$542),2)</f>
        <v>51.43</v>
      </c>
      <c r="E550" s="194">
        <f t="shared" ref="E550:E579" si="100">+C550/B550</f>
        <v>0.7340000000000001</v>
      </c>
      <c r="F550" s="194">
        <f t="shared" ref="F550:F579" si="101">+D550/B550</f>
        <v>1.0286</v>
      </c>
      <c r="G550" s="193">
        <f t="shared" si="96"/>
        <v>14.729999999999997</v>
      </c>
      <c r="H550" s="195">
        <f t="shared" si="97"/>
        <v>0.40139999999999998</v>
      </c>
      <c r="J550" s="207"/>
      <c r="L550" s="229"/>
      <c r="Y550" s="570"/>
    </row>
    <row r="551" spans="1:25" s="220" customFormat="1" x14ac:dyDescent="0.25">
      <c r="A551" s="180"/>
      <c r="B551" s="176">
        <f t="shared" si="98"/>
        <v>100</v>
      </c>
      <c r="C551" s="193">
        <f>ROUND(((D528+MINA(B551,C529)*D529+MAXA(B551-C529,0)*D530+(+D534+D535+D536+D538+D537+D539+D540)*B551)*(1+D533))*(1+D542),2)</f>
        <v>45.23</v>
      </c>
      <c r="D551" s="193">
        <f t="shared" si="99"/>
        <v>61.35</v>
      </c>
      <c r="E551" s="194">
        <f t="shared" si="100"/>
        <v>0.45229999999999998</v>
      </c>
      <c r="F551" s="194">
        <f t="shared" si="101"/>
        <v>0.61350000000000005</v>
      </c>
      <c r="G551" s="193">
        <f t="shared" si="96"/>
        <v>16.120000000000005</v>
      </c>
      <c r="H551" s="195">
        <f t="shared" si="97"/>
        <v>0.35639999999999999</v>
      </c>
      <c r="J551" s="207"/>
      <c r="L551" s="229"/>
      <c r="Y551" s="570"/>
    </row>
    <row r="552" spans="1:25" s="220" customFormat="1" x14ac:dyDescent="0.25">
      <c r="A552" s="180"/>
      <c r="B552" s="176">
        <f t="shared" si="98"/>
        <v>150</v>
      </c>
      <c r="C552" s="193">
        <f>ROUND(((D528+MINA(B552,C529)*D529+MAXA(B552-C529,0)*D530+(+D534+D535+D536+D538+D537+D539+D540)*B552)*(1+D533))*(1+D542),2)</f>
        <v>53.76</v>
      </c>
      <c r="D552" s="193">
        <f t="shared" si="99"/>
        <v>71.28</v>
      </c>
      <c r="E552" s="194">
        <f t="shared" si="100"/>
        <v>0.3584</v>
      </c>
      <c r="F552" s="194">
        <f t="shared" si="101"/>
        <v>0.47520000000000001</v>
      </c>
      <c r="G552" s="193">
        <f t="shared" si="96"/>
        <v>17.520000000000003</v>
      </c>
      <c r="H552" s="195">
        <f t="shared" si="97"/>
        <v>0.32590000000000002</v>
      </c>
      <c r="J552" s="207"/>
      <c r="L552" s="229"/>
      <c r="Y552" s="570"/>
    </row>
    <row r="553" spans="1:25" s="220" customFormat="1" x14ac:dyDescent="0.25">
      <c r="A553" s="180"/>
      <c r="B553" s="176">
        <f t="shared" si="98"/>
        <v>200</v>
      </c>
      <c r="C553" s="193">
        <f>ROUND(((D528+MINA(B553,C529)*D529+MAXA(B553-C529,0)*D530+(+D534+D535+D536+D538+D537+D539+D540)*B553)*(1+D533))*(1+D542),2)</f>
        <v>62.29</v>
      </c>
      <c r="D553" s="193">
        <f t="shared" si="99"/>
        <v>81.2</v>
      </c>
      <c r="E553" s="194">
        <f t="shared" si="100"/>
        <v>0.31145</v>
      </c>
      <c r="F553" s="194">
        <f t="shared" si="101"/>
        <v>0.40600000000000003</v>
      </c>
      <c r="G553" s="193">
        <f t="shared" si="96"/>
        <v>18.910000000000004</v>
      </c>
      <c r="H553" s="195">
        <f t="shared" si="97"/>
        <v>0.30359999999999998</v>
      </c>
      <c r="J553" s="207"/>
      <c r="L553" s="229"/>
      <c r="Y553" s="570"/>
    </row>
    <row r="554" spans="1:25" s="220" customFormat="1" x14ac:dyDescent="0.25">
      <c r="A554" s="180"/>
      <c r="B554" s="176">
        <f t="shared" si="98"/>
        <v>250</v>
      </c>
      <c r="C554" s="193">
        <f>ROUND(((D528+MINA(B554,C529)*D529+MAXA(B554-C529,0)*D530+(+D534+D535+D536+D538+D537+D539+D540)*B554)*(1+D533))*(1+D542),2)</f>
        <v>70.81</v>
      </c>
      <c r="D554" s="193">
        <f t="shared" si="99"/>
        <v>91.13</v>
      </c>
      <c r="E554" s="194">
        <f t="shared" si="100"/>
        <v>0.28323999999999999</v>
      </c>
      <c r="F554" s="194">
        <f t="shared" si="101"/>
        <v>0.36451999999999996</v>
      </c>
      <c r="G554" s="193">
        <f t="shared" si="96"/>
        <v>20.319999999999993</v>
      </c>
      <c r="H554" s="195">
        <f t="shared" si="97"/>
        <v>0.28699999999999998</v>
      </c>
      <c r="J554" s="207"/>
      <c r="L554" s="229"/>
      <c r="Y554" s="570"/>
    </row>
    <row r="555" spans="1:25" s="220" customFormat="1" x14ac:dyDescent="0.25">
      <c r="A555" s="180"/>
      <c r="B555" s="176">
        <f t="shared" si="98"/>
        <v>300</v>
      </c>
      <c r="C555" s="193">
        <f>ROUND(((D528+MINA(B555,C529)*D529+MAXA(B555-C529,0)*D530+(+D534+D535+D536+D538+D537+D539+D540)*B555)*(1+D533))*(1+D542),2)</f>
        <v>79.34</v>
      </c>
      <c r="D555" s="193">
        <f t="shared" si="99"/>
        <v>101.05</v>
      </c>
      <c r="E555" s="194">
        <f t="shared" si="100"/>
        <v>0.26446666666666668</v>
      </c>
      <c r="F555" s="194">
        <f t="shared" si="101"/>
        <v>0.33683333333333332</v>
      </c>
      <c r="G555" s="193">
        <f t="shared" si="96"/>
        <v>21.709999999999994</v>
      </c>
      <c r="H555" s="195">
        <f t="shared" si="97"/>
        <v>0.27360000000000001</v>
      </c>
      <c r="J555" s="207"/>
      <c r="L555" s="229"/>
      <c r="Y555" s="570"/>
    </row>
    <row r="556" spans="1:25" s="220" customFormat="1" x14ac:dyDescent="0.25">
      <c r="A556" s="180"/>
      <c r="B556" s="176">
        <f t="shared" si="98"/>
        <v>350</v>
      </c>
      <c r="C556" s="193">
        <f>ROUND(((D528+MINA(B556,C529)*D529+MAXA(B556-C529,0)*D530+(+D534+D535+D536+D538+D537+D539+D540)*B556)*(1+D533))*(1+D542),2)</f>
        <v>87.87</v>
      </c>
      <c r="D556" s="193">
        <f t="shared" si="99"/>
        <v>110.98</v>
      </c>
      <c r="E556" s="194">
        <f t="shared" si="100"/>
        <v>0.25105714285714287</v>
      </c>
      <c r="F556" s="194">
        <f t="shared" si="101"/>
        <v>0.3170857142857143</v>
      </c>
      <c r="G556" s="193">
        <f t="shared" si="96"/>
        <v>23.11</v>
      </c>
      <c r="H556" s="195">
        <f t="shared" si="97"/>
        <v>0.26300000000000001</v>
      </c>
      <c r="J556" s="207"/>
      <c r="L556" s="229"/>
      <c r="Y556" s="570"/>
    </row>
    <row r="557" spans="1:25" x14ac:dyDescent="0.25">
      <c r="B557" s="176">
        <f t="shared" si="98"/>
        <v>400</v>
      </c>
      <c r="C557" s="193">
        <f>ROUND(((D528+MINA(B557,C529)*D529+MAXA(B557-C529,0)*D530+(+D534+D535+D536+D538+D537+D539+D540)*B557)*(1+D533))*(1+D542),2)</f>
        <v>96.4</v>
      </c>
      <c r="D557" s="193">
        <f t="shared" si="99"/>
        <v>120.9</v>
      </c>
      <c r="E557" s="194">
        <f t="shared" si="100"/>
        <v>0.24100000000000002</v>
      </c>
      <c r="F557" s="194">
        <f t="shared" si="101"/>
        <v>0.30225000000000002</v>
      </c>
      <c r="G557" s="193">
        <f t="shared" si="96"/>
        <v>24.5</v>
      </c>
      <c r="H557" s="195">
        <f t="shared" si="97"/>
        <v>0.25409999999999999</v>
      </c>
      <c r="J557" s="207"/>
      <c r="L557" s="197"/>
    </row>
    <row r="558" spans="1:25" x14ac:dyDescent="0.25">
      <c r="B558" s="176">
        <f t="shared" si="98"/>
        <v>450</v>
      </c>
      <c r="C558" s="193">
        <f>ROUND(((D528+MINA(B558,C529)*D529+MAXA(B558-C529,0)*D530+(+D534+D535+D536+D538+D537+D539+D540)*B558)*(1+D533))*(1+D542),2)</f>
        <v>104.93</v>
      </c>
      <c r="D558" s="193">
        <f t="shared" si="99"/>
        <v>130.83000000000001</v>
      </c>
      <c r="E558" s="194">
        <f t="shared" si="100"/>
        <v>0.23317777777777779</v>
      </c>
      <c r="F558" s="194">
        <f t="shared" si="101"/>
        <v>0.29073333333333334</v>
      </c>
      <c r="G558" s="193">
        <f t="shared" si="96"/>
        <v>25.900000000000006</v>
      </c>
      <c r="H558" s="195">
        <f t="shared" si="97"/>
        <v>0.24679999999999999</v>
      </c>
      <c r="J558" s="207"/>
      <c r="L558" s="197"/>
    </row>
    <row r="559" spans="1:25" x14ac:dyDescent="0.25">
      <c r="B559" s="176">
        <f t="shared" si="98"/>
        <v>500</v>
      </c>
      <c r="C559" s="193">
        <f>ROUND(((D528+MINA(B559,C529)*D529+MAXA(B559-C529,0)*D530+(+D534+D535+D536+D538+D537+D539+D540)*B559)*(1+D533))*(1+D542),2)</f>
        <v>113.45</v>
      </c>
      <c r="D559" s="193">
        <f t="shared" si="99"/>
        <v>140.75</v>
      </c>
      <c r="E559" s="194">
        <f t="shared" si="100"/>
        <v>0.22690000000000002</v>
      </c>
      <c r="F559" s="194">
        <f t="shared" si="101"/>
        <v>0.28149999999999997</v>
      </c>
      <c r="G559" s="193">
        <f t="shared" si="96"/>
        <v>27.299999999999997</v>
      </c>
      <c r="H559" s="195">
        <f t="shared" si="97"/>
        <v>0.24060000000000001</v>
      </c>
      <c r="J559" s="207"/>
      <c r="L559" s="197"/>
    </row>
    <row r="560" spans="1:25" x14ac:dyDescent="0.25">
      <c r="B560" s="176">
        <f t="shared" si="98"/>
        <v>550</v>
      </c>
      <c r="C560" s="193">
        <f>ROUND(((D528+MINA(B560,C529)*D529+MAXA(B560-C529,0)*D530+(+D534+D535+D536+D538+D537+D539+D540)*B560)*(1+D533))*(1+D542),2)</f>
        <v>121.98</v>
      </c>
      <c r="D560" s="193">
        <f t="shared" si="99"/>
        <v>150.68</v>
      </c>
      <c r="E560" s="194">
        <f t="shared" si="100"/>
        <v>0.22178181818181819</v>
      </c>
      <c r="F560" s="194">
        <f t="shared" si="101"/>
        <v>0.27396363636363635</v>
      </c>
      <c r="G560" s="193">
        <f t="shared" si="96"/>
        <v>28.700000000000003</v>
      </c>
      <c r="H560" s="195">
        <f t="shared" si="97"/>
        <v>0.23530000000000001</v>
      </c>
      <c r="J560" s="207"/>
      <c r="L560" s="197"/>
    </row>
    <row r="561" spans="2:12" x14ac:dyDescent="0.25">
      <c r="B561" s="176">
        <f t="shared" si="98"/>
        <v>600</v>
      </c>
      <c r="C561" s="193">
        <f>ROUND(((D528+MINA(B561,C529)*D529+MAXA(B561-C529,0)*D530+(+D534+D535+D536+D538+D537+D539+D540)*B561)*(1+D533))*(1+D542),2)</f>
        <v>130.51</v>
      </c>
      <c r="D561" s="193">
        <f t="shared" si="99"/>
        <v>160.6</v>
      </c>
      <c r="E561" s="194">
        <f t="shared" si="100"/>
        <v>0.21751666666666666</v>
      </c>
      <c r="F561" s="194">
        <f t="shared" si="101"/>
        <v>0.26766666666666666</v>
      </c>
      <c r="G561" s="193">
        <f t="shared" si="96"/>
        <v>30.090000000000003</v>
      </c>
      <c r="H561" s="195">
        <f t="shared" si="97"/>
        <v>0.2306</v>
      </c>
      <c r="J561" s="207"/>
      <c r="L561" s="197"/>
    </row>
    <row r="562" spans="2:12" x14ac:dyDescent="0.25">
      <c r="B562" s="176">
        <f t="shared" si="98"/>
        <v>650</v>
      </c>
      <c r="C562" s="193">
        <f>ROUND(((D528+MINA(B562,C529)*D529+MAXA(B562-C529,0)*D530+(+D534+D535+D536+D538+D537+D539+D540)*B562)*(1+D533))*(1+D542),2)</f>
        <v>139.04</v>
      </c>
      <c r="D562" s="193">
        <f t="shared" si="99"/>
        <v>170.53</v>
      </c>
      <c r="E562" s="194">
        <f t="shared" si="100"/>
        <v>0.2139076923076923</v>
      </c>
      <c r="F562" s="194">
        <f t="shared" si="101"/>
        <v>0.26235384615384616</v>
      </c>
      <c r="G562" s="193">
        <f t="shared" si="96"/>
        <v>31.490000000000009</v>
      </c>
      <c r="H562" s="195">
        <f t="shared" si="97"/>
        <v>0.22650000000000001</v>
      </c>
      <c r="J562" s="207"/>
      <c r="L562" s="197"/>
    </row>
    <row r="563" spans="2:12" x14ac:dyDescent="0.25">
      <c r="B563" s="176">
        <f t="shared" si="98"/>
        <v>700</v>
      </c>
      <c r="C563" s="193">
        <f>ROUND(((D528+MINA(B563,C529)*D529+MAXA(B563-C529,0)*D530+(+D534+D535+D536+D538+D537+D539+D540)*B563)*(1+D533))*(1+D542),2)</f>
        <v>147.57</v>
      </c>
      <c r="D563" s="193">
        <f t="shared" si="99"/>
        <v>180.45</v>
      </c>
      <c r="E563" s="194">
        <f t="shared" si="100"/>
        <v>0.2108142857142857</v>
      </c>
      <c r="F563" s="194">
        <f t="shared" si="101"/>
        <v>0.25778571428571428</v>
      </c>
      <c r="G563" s="193">
        <f t="shared" si="96"/>
        <v>32.879999999999995</v>
      </c>
      <c r="H563" s="195">
        <f t="shared" si="97"/>
        <v>0.2228</v>
      </c>
      <c r="J563" s="207"/>
      <c r="L563" s="197"/>
    </row>
    <row r="564" spans="2:12" x14ac:dyDescent="0.25">
      <c r="B564" s="176">
        <f t="shared" si="98"/>
        <v>750</v>
      </c>
      <c r="C564" s="193">
        <f>ROUND(((D528+MINA(B564,C529)*D529+MAXA(B564-C529,0)*D530+(+D534+D535+D536+D538+D537+D539+D540)*B564)*(1+D533))*(1+D542),2)</f>
        <v>156.09</v>
      </c>
      <c r="D564" s="193">
        <f t="shared" si="99"/>
        <v>190.38</v>
      </c>
      <c r="E564" s="194">
        <f t="shared" si="100"/>
        <v>0.20812</v>
      </c>
      <c r="F564" s="194">
        <f t="shared" si="101"/>
        <v>0.25384000000000001</v>
      </c>
      <c r="G564" s="193">
        <f t="shared" si="96"/>
        <v>34.289999999999992</v>
      </c>
      <c r="H564" s="195">
        <f t="shared" si="97"/>
        <v>0.21970000000000001</v>
      </c>
      <c r="J564" s="207"/>
      <c r="L564" s="197"/>
    </row>
    <row r="565" spans="2:12" x14ac:dyDescent="0.25">
      <c r="B565" s="176">
        <f t="shared" si="98"/>
        <v>800</v>
      </c>
      <c r="C565" s="193">
        <f>ROUND(((D528+MINA(B565,C529)*D529+MAXA(B565-C529,0)*D530+(+D534+D535+D536+D538+D537+D539+D540)*B565)*(1+D533))*(1+D542),2)</f>
        <v>164.62</v>
      </c>
      <c r="D565" s="193">
        <f t="shared" si="99"/>
        <v>200.3</v>
      </c>
      <c r="E565" s="194">
        <f t="shared" si="100"/>
        <v>0.20577500000000001</v>
      </c>
      <c r="F565" s="194">
        <f t="shared" si="101"/>
        <v>0.25037500000000001</v>
      </c>
      <c r="G565" s="193">
        <f t="shared" si="96"/>
        <v>35.680000000000007</v>
      </c>
      <c r="H565" s="195">
        <f t="shared" si="97"/>
        <v>0.2167</v>
      </c>
      <c r="J565" s="207"/>
      <c r="L565" s="197"/>
    </row>
    <row r="566" spans="2:12" x14ac:dyDescent="0.25">
      <c r="B566" s="176">
        <f t="shared" si="98"/>
        <v>850</v>
      </c>
      <c r="C566" s="193">
        <f>ROUND(((D528+MINA(B566,C529)*D529+MAXA(B566-C529,0)*D530+(+D534+D535+D536+D538+D537+D539+D540)*B566)*(1+D533))*(1+D542),2)</f>
        <v>173.15</v>
      </c>
      <c r="D566" s="193">
        <f t="shared" si="99"/>
        <v>210.23</v>
      </c>
      <c r="E566" s="194">
        <f t="shared" si="100"/>
        <v>0.20370588235294118</v>
      </c>
      <c r="F566" s="194">
        <f t="shared" si="101"/>
        <v>0.24732941176470588</v>
      </c>
      <c r="G566" s="193">
        <f t="shared" si="96"/>
        <v>37.079999999999984</v>
      </c>
      <c r="H566" s="195">
        <f t="shared" si="97"/>
        <v>0.21410000000000001</v>
      </c>
      <c r="J566" s="207"/>
      <c r="L566" s="197"/>
    </row>
    <row r="567" spans="2:12" x14ac:dyDescent="0.25">
      <c r="B567" s="176">
        <f t="shared" si="98"/>
        <v>900</v>
      </c>
      <c r="C567" s="193">
        <f>ROUND(((D528+MINA(B567,C529)*D529+MAXA(B567-C529,0)*D530+(+D534+D535+D536+D538+D537+D539+D540)*B567)*(1+D533))*(1+D542),2)</f>
        <v>181.68</v>
      </c>
      <c r="D567" s="193">
        <f t="shared" si="99"/>
        <v>220.15</v>
      </c>
      <c r="E567" s="194">
        <f t="shared" si="100"/>
        <v>0.20186666666666667</v>
      </c>
      <c r="F567" s="194">
        <f t="shared" si="101"/>
        <v>0.24461111111111111</v>
      </c>
      <c r="G567" s="193">
        <f t="shared" si="96"/>
        <v>38.47</v>
      </c>
      <c r="H567" s="195">
        <f t="shared" si="97"/>
        <v>0.2117</v>
      </c>
      <c r="J567" s="207"/>
      <c r="L567" s="197"/>
    </row>
    <row r="568" spans="2:12" x14ac:dyDescent="0.25">
      <c r="B568" s="176">
        <f t="shared" si="98"/>
        <v>950</v>
      </c>
      <c r="C568" s="193">
        <f>ROUND(((D528+MINA(B568,C529)*D529+MAXA(B568-C529,0)*D530+(+D534+D535+D536+D538+D537+D539+D540)*B568)*(1+D533))*(1+D542),2)</f>
        <v>190.21</v>
      </c>
      <c r="D568" s="193">
        <f t="shared" si="99"/>
        <v>230.08</v>
      </c>
      <c r="E568" s="194">
        <f t="shared" si="100"/>
        <v>0.20022105263157897</v>
      </c>
      <c r="F568" s="194">
        <f t="shared" si="101"/>
        <v>0.24218947368421054</v>
      </c>
      <c r="G568" s="193">
        <f t="shared" si="96"/>
        <v>39.870000000000005</v>
      </c>
      <c r="H568" s="195">
        <f t="shared" si="97"/>
        <v>0.20960000000000001</v>
      </c>
      <c r="J568" s="207"/>
      <c r="L568" s="197"/>
    </row>
    <row r="569" spans="2:12" x14ac:dyDescent="0.25">
      <c r="B569" s="176">
        <f t="shared" si="98"/>
        <v>1000</v>
      </c>
      <c r="C569" s="193">
        <f>ROUND(((D528+MINA(B569,C529)*D529+MAXA(B569-C529,0)*D530+(+D534+D535+D536+D538+D537+D539+D540)*B569)*(1+D533))*(1+D542),2)</f>
        <v>198.73</v>
      </c>
      <c r="D569" s="193">
        <f t="shared" si="99"/>
        <v>240</v>
      </c>
      <c r="E569" s="194">
        <f t="shared" si="100"/>
        <v>0.19872999999999999</v>
      </c>
      <c r="F569" s="194">
        <f t="shared" si="101"/>
        <v>0.24</v>
      </c>
      <c r="G569" s="193">
        <f t="shared" si="96"/>
        <v>41.27000000000001</v>
      </c>
      <c r="H569" s="195">
        <f t="shared" si="97"/>
        <v>0.2077</v>
      </c>
      <c r="J569" s="207"/>
      <c r="L569" s="197"/>
    </row>
    <row r="570" spans="2:12" x14ac:dyDescent="0.25">
      <c r="B570" s="176">
        <f t="shared" si="98"/>
        <v>1050</v>
      </c>
      <c r="C570" s="193">
        <f>ROUND(((D528+MINA(B570,C529)*D529+MAXA(B570-C529,0)*D530+(+D534+D535+D536+D538+D537+D539+D540)*B570)*(1+D533))*(1+D542),2)</f>
        <v>207.26</v>
      </c>
      <c r="D570" s="193">
        <f t="shared" si="99"/>
        <v>249.93</v>
      </c>
      <c r="E570" s="194">
        <f t="shared" si="100"/>
        <v>0.19739047619047617</v>
      </c>
      <c r="F570" s="194">
        <f t="shared" si="101"/>
        <v>0.23802857142857142</v>
      </c>
      <c r="G570" s="193">
        <f t="shared" si="96"/>
        <v>42.670000000000016</v>
      </c>
      <c r="H570" s="195">
        <f t="shared" si="97"/>
        <v>0.2059</v>
      </c>
      <c r="J570" s="207"/>
      <c r="L570" s="197"/>
    </row>
    <row r="571" spans="2:12" x14ac:dyDescent="0.25">
      <c r="B571" s="176">
        <f t="shared" si="98"/>
        <v>1100</v>
      </c>
      <c r="C571" s="193">
        <f>ROUND(((D528+MINA(B571,C529)*D529+MAXA(B571-C529,0)*D530+(+D534+D535+D536+D538+D537+D539+D540)*B571)*(1+D533))*(1+D542),2)</f>
        <v>215.79</v>
      </c>
      <c r="D571" s="193">
        <f t="shared" si="99"/>
        <v>259.85000000000002</v>
      </c>
      <c r="E571" s="194">
        <f t="shared" si="100"/>
        <v>0.19617272727272728</v>
      </c>
      <c r="F571" s="194">
        <f t="shared" si="101"/>
        <v>0.23622727272727276</v>
      </c>
      <c r="G571" s="193">
        <f t="shared" si="96"/>
        <v>44.060000000000031</v>
      </c>
      <c r="H571" s="195">
        <f t="shared" si="97"/>
        <v>0.20419999999999999</v>
      </c>
      <c r="J571" s="207"/>
      <c r="L571" s="197"/>
    </row>
    <row r="572" spans="2:12" x14ac:dyDescent="0.25">
      <c r="B572" s="176">
        <f t="shared" si="98"/>
        <v>1150</v>
      </c>
      <c r="C572" s="193">
        <f>ROUND(((D528+MINA(B572,C529)*D529+MAXA(B572-C529,0)*D530+(+D534+D535+D536+D538+D537+D539+D540)*B572)*(1+D533))*(1+D542),2)</f>
        <v>224.32</v>
      </c>
      <c r="D572" s="193">
        <f t="shared" si="99"/>
        <v>269.77999999999997</v>
      </c>
      <c r="E572" s="194">
        <f t="shared" si="100"/>
        <v>0.1950608695652174</v>
      </c>
      <c r="F572" s="194">
        <f t="shared" si="101"/>
        <v>0.23459130434782607</v>
      </c>
      <c r="G572" s="193">
        <f t="shared" si="96"/>
        <v>45.45999999999998</v>
      </c>
      <c r="H572" s="195">
        <f t="shared" si="97"/>
        <v>0.20269999999999999</v>
      </c>
      <c r="J572" s="207"/>
      <c r="L572" s="197"/>
    </row>
    <row r="573" spans="2:12" x14ac:dyDescent="0.25">
      <c r="B573" s="176">
        <f t="shared" si="98"/>
        <v>1200</v>
      </c>
      <c r="C573" s="193">
        <f>ROUND(((D528+MINA(B573,C529)*D529+MAXA(B573-C529,0)*D530+(+D534+D535+D536+D538+D537+D539+D540)*B573)*(1+D533))*(1+D542),2)</f>
        <v>232.85</v>
      </c>
      <c r="D573" s="193">
        <f t="shared" si="99"/>
        <v>279.7</v>
      </c>
      <c r="E573" s="194">
        <f t="shared" si="100"/>
        <v>0.19404166666666667</v>
      </c>
      <c r="F573" s="194">
        <f t="shared" si="101"/>
        <v>0.23308333333333334</v>
      </c>
      <c r="G573" s="193">
        <f t="shared" si="96"/>
        <v>46.849999999999994</v>
      </c>
      <c r="H573" s="195">
        <f t="shared" si="97"/>
        <v>0.20119999999999999</v>
      </c>
      <c r="J573" s="207"/>
      <c r="L573" s="197"/>
    </row>
    <row r="574" spans="2:12" x14ac:dyDescent="0.25">
      <c r="B574" s="176">
        <f t="shared" si="98"/>
        <v>1250</v>
      </c>
      <c r="C574" s="193">
        <f>ROUND(((D528+MINA(B574,C529)*D529+MAXA(B574-C529,0)*D530+(+D534+D535+D536+D538+D537+D539+D540)*B574)*(1+D533))*(1+D542),2)</f>
        <v>241.37</v>
      </c>
      <c r="D574" s="193">
        <f>ROUND(($G$528+(SUM($G$531:$G$540)*B574))*(1+$G$542),2)</f>
        <v>289.63</v>
      </c>
      <c r="E574" s="194">
        <f t="shared" si="100"/>
        <v>0.19309599999999999</v>
      </c>
      <c r="F574" s="194">
        <f t="shared" si="101"/>
        <v>0.23170399999999999</v>
      </c>
      <c r="G574" s="193">
        <f t="shared" si="96"/>
        <v>48.259999999999991</v>
      </c>
      <c r="H574" s="195">
        <f t="shared" si="97"/>
        <v>0.19989999999999999</v>
      </c>
      <c r="J574" s="207"/>
      <c r="L574" s="197"/>
    </row>
    <row r="575" spans="2:12" x14ac:dyDescent="0.25">
      <c r="B575" s="176">
        <f t="shared" si="98"/>
        <v>1300</v>
      </c>
      <c r="C575" s="193">
        <f>ROUND(((D528+MINA(B575,C529)*D529+MAXA(B575-C529,0)*D530+(+D534+D535+D536+D538+D537+D539+D540)*B575)*(1+D533))*(1+D542),2)</f>
        <v>249.9</v>
      </c>
      <c r="D575" s="193">
        <f t="shared" si="99"/>
        <v>299.55</v>
      </c>
      <c r="E575" s="194">
        <f t="shared" si="100"/>
        <v>0.19223076923076923</v>
      </c>
      <c r="F575" s="194">
        <f t="shared" si="101"/>
        <v>0.23042307692307692</v>
      </c>
      <c r="G575" s="193">
        <f t="shared" si="96"/>
        <v>49.650000000000006</v>
      </c>
      <c r="H575" s="195">
        <f t="shared" si="97"/>
        <v>0.19869999999999999</v>
      </c>
      <c r="J575" s="207"/>
      <c r="L575" s="197"/>
    </row>
    <row r="576" spans="2:12" x14ac:dyDescent="0.25">
      <c r="B576" s="176">
        <f t="shared" si="98"/>
        <v>1350</v>
      </c>
      <c r="C576" s="193">
        <f>ROUND(((D528+MINA(B576,C529)*D529+MAXA(B576-C529,0)*D530+(+D534+D535+D536+D538+D537+D539+D540)*B576)*(1+D533))*(1+D542),2)</f>
        <v>258.43</v>
      </c>
      <c r="D576" s="193">
        <f t="shared" si="99"/>
        <v>309.48</v>
      </c>
      <c r="E576" s="194">
        <f t="shared" si="100"/>
        <v>0.19142962962962964</v>
      </c>
      <c r="F576" s="194">
        <f t="shared" si="101"/>
        <v>0.22924444444444445</v>
      </c>
      <c r="G576" s="193">
        <f t="shared" si="96"/>
        <v>51.050000000000011</v>
      </c>
      <c r="H576" s="195">
        <f t="shared" si="97"/>
        <v>0.19750000000000001</v>
      </c>
      <c r="J576" s="207"/>
      <c r="L576" s="197"/>
    </row>
    <row r="577" spans="1:12" x14ac:dyDescent="0.25">
      <c r="B577" s="176">
        <f t="shared" si="98"/>
        <v>1400</v>
      </c>
      <c r="C577" s="193">
        <f>ROUND(((D528+MINA(B577,C529)*D529+MAXA(B577-C529,0)*D530+(+D534+D535+D536+D538+D537+D539+D540)*B577)*(1+D533))*(1+D542),2)</f>
        <v>266.95999999999998</v>
      </c>
      <c r="D577" s="193">
        <f t="shared" si="99"/>
        <v>319.39999999999998</v>
      </c>
      <c r="E577" s="194">
        <f t="shared" si="100"/>
        <v>0.19068571428571426</v>
      </c>
      <c r="F577" s="194">
        <f t="shared" si="101"/>
        <v>0.22814285714285712</v>
      </c>
      <c r="G577" s="193">
        <f t="shared" si="96"/>
        <v>52.44</v>
      </c>
      <c r="H577" s="195">
        <f t="shared" si="97"/>
        <v>0.19639999999999999</v>
      </c>
      <c r="J577" s="207"/>
      <c r="L577" s="197"/>
    </row>
    <row r="578" spans="1:12" x14ac:dyDescent="0.25">
      <c r="B578" s="176">
        <f t="shared" si="98"/>
        <v>1450</v>
      </c>
      <c r="C578" s="193">
        <f>ROUND(((D528+MINA(B578,C529)*D529+MAXA(B578-C529,0)*D530+(+D534+D535+D536+D538+D537+D539+D540)*B578)*(1+D533))*(1+D542),2)</f>
        <v>275.49</v>
      </c>
      <c r="D578" s="193">
        <f t="shared" si="99"/>
        <v>329.33</v>
      </c>
      <c r="E578" s="194">
        <f t="shared" si="100"/>
        <v>0.18999310344827586</v>
      </c>
      <c r="F578" s="194">
        <f t="shared" si="101"/>
        <v>0.22712413793103448</v>
      </c>
      <c r="G578" s="193">
        <f t="shared" si="96"/>
        <v>53.839999999999975</v>
      </c>
      <c r="H578" s="195">
        <f t="shared" si="97"/>
        <v>0.19539999999999999</v>
      </c>
      <c r="J578" s="207"/>
      <c r="L578" s="197"/>
    </row>
    <row r="579" spans="1:12" x14ac:dyDescent="0.25">
      <c r="B579" s="176">
        <f>B513</f>
        <v>1500</v>
      </c>
      <c r="C579" s="193">
        <f>ROUND(((D528+MINA(B579,C529)*D529+MAXA(B579-C529,0)*D530+(+D534+D535+D536+D538+D537+D539+D540)*B579)*(1+D533))*(1+D542),2)</f>
        <v>284.01</v>
      </c>
      <c r="D579" s="193">
        <f t="shared" si="99"/>
        <v>339.25</v>
      </c>
      <c r="E579" s="194">
        <f t="shared" si="100"/>
        <v>0.18933999999999998</v>
      </c>
      <c r="F579" s="194">
        <f t="shared" si="101"/>
        <v>0.22616666666666665</v>
      </c>
      <c r="G579" s="193">
        <f t="shared" si="96"/>
        <v>55.240000000000009</v>
      </c>
      <c r="H579" s="195">
        <f t="shared" si="97"/>
        <v>0.19450000000000001</v>
      </c>
      <c r="J579" s="207"/>
      <c r="L579" s="197"/>
    </row>
    <row r="580" spans="1:12" x14ac:dyDescent="0.25">
      <c r="C580" s="193"/>
      <c r="D580" s="193"/>
      <c r="E580" s="194"/>
      <c r="F580" s="194"/>
      <c r="G580" s="193"/>
      <c r="H580" s="195"/>
      <c r="J580" s="207"/>
      <c r="L580" s="197"/>
    </row>
    <row r="581" spans="1:12" hidden="1" x14ac:dyDescent="0.25">
      <c r="C581" s="193"/>
      <c r="D581" s="193"/>
      <c r="E581" s="194"/>
      <c r="F581" s="194"/>
      <c r="G581" s="193"/>
      <c r="H581" s="195"/>
      <c r="J581" s="207"/>
      <c r="L581" s="197"/>
    </row>
    <row r="582" spans="1:12" hidden="1" x14ac:dyDescent="0.25">
      <c r="C582" s="193"/>
      <c r="D582" s="193"/>
      <c r="E582" s="194"/>
      <c r="F582" s="194"/>
      <c r="G582" s="193"/>
      <c r="H582" s="195"/>
      <c r="J582" s="207"/>
      <c r="L582" s="197"/>
    </row>
    <row r="583" spans="1:12" hidden="1" x14ac:dyDescent="0.25">
      <c r="C583" s="193"/>
      <c r="D583" s="193"/>
      <c r="E583" s="194"/>
      <c r="F583" s="194"/>
      <c r="G583" s="193"/>
      <c r="H583" s="195"/>
      <c r="J583" s="207"/>
      <c r="L583" s="197"/>
    </row>
    <row r="584" spans="1:12" hidden="1" x14ac:dyDescent="0.25">
      <c r="E584" s="194"/>
      <c r="L584" s="197"/>
    </row>
    <row r="585" spans="1:12" ht="12.75" hidden="1" customHeight="1" x14ac:dyDescent="0.25">
      <c r="C585" s="193"/>
      <c r="D585" s="193"/>
      <c r="E585" s="194"/>
      <c r="F585" s="194"/>
      <c r="G585" s="193"/>
      <c r="H585" s="195"/>
      <c r="K585" s="203"/>
    </row>
    <row r="586" spans="1:12" hidden="1" x14ac:dyDescent="0.25">
      <c r="E586" s="194"/>
      <c r="F586" s="194"/>
    </row>
    <row r="587" spans="1:12" hidden="1" x14ac:dyDescent="0.25">
      <c r="A587" s="180" t="s">
        <v>21</v>
      </c>
      <c r="B587" s="179"/>
      <c r="C587" s="179"/>
      <c r="D587" s="179"/>
      <c r="E587" s="179"/>
      <c r="F587" s="179"/>
      <c r="G587" s="179"/>
      <c r="H587" s="179"/>
      <c r="I587" s="180"/>
    </row>
    <row r="588" spans="1:12" hidden="1" x14ac:dyDescent="0.25">
      <c r="A588" s="180" t="s">
        <v>22</v>
      </c>
      <c r="B588" s="179"/>
      <c r="C588" s="179"/>
      <c r="D588" s="179"/>
      <c r="E588" s="179"/>
      <c r="F588" s="179"/>
      <c r="G588" s="179"/>
      <c r="H588" s="179"/>
      <c r="I588" s="180"/>
    </row>
    <row r="589" spans="1:12" hidden="1" x14ac:dyDescent="0.25">
      <c r="A589" s="180" t="s">
        <v>310</v>
      </c>
      <c r="B589" s="179"/>
      <c r="C589" s="179"/>
      <c r="D589" s="179"/>
      <c r="E589" s="179"/>
      <c r="F589" s="179"/>
      <c r="G589" s="179"/>
      <c r="H589" s="179"/>
      <c r="I589" s="180"/>
    </row>
    <row r="590" spans="1:12" x14ac:dyDescent="0.25">
      <c r="A590" s="599" t="s">
        <v>389</v>
      </c>
      <c r="B590" s="179"/>
      <c r="C590" s="179"/>
      <c r="D590" s="179"/>
      <c r="E590" s="179"/>
      <c r="F590" s="179"/>
      <c r="G590" s="179"/>
      <c r="H590" s="179"/>
      <c r="I590" s="180"/>
    </row>
    <row r="592" spans="1:12" hidden="1" x14ac:dyDescent="0.25"/>
    <row r="593" spans="1:10" x14ac:dyDescent="0.25">
      <c r="D593" s="181" t="s">
        <v>311</v>
      </c>
      <c r="G593" s="181" t="s">
        <v>312</v>
      </c>
    </row>
    <row r="594" spans="1:10" x14ac:dyDescent="0.25">
      <c r="D594" s="182" t="s">
        <v>313</v>
      </c>
      <c r="G594" s="182" t="s">
        <v>313</v>
      </c>
    </row>
    <row r="595" spans="1:10" x14ac:dyDescent="0.25">
      <c r="A595" s="180" t="s">
        <v>314</v>
      </c>
      <c r="D595" s="183">
        <v>27.53</v>
      </c>
      <c r="G595" s="183">
        <f>VLOOKUP(J595,'EXHIBIT JDT-3 SCOM'!D:N,7,FALSE)</f>
        <v>41.5</v>
      </c>
      <c r="J595" s="177" t="s">
        <v>107</v>
      </c>
    </row>
    <row r="596" spans="1:10" x14ac:dyDescent="0.25">
      <c r="A596" s="180" t="s">
        <v>315</v>
      </c>
      <c r="C596" s="184">
        <v>9999999999</v>
      </c>
      <c r="D596" s="185">
        <v>0.18845000000000001</v>
      </c>
      <c r="G596" s="185">
        <f>VLOOKUP(J596,'EXHIBIT JDT-3 SCOM'!D:N,7,FALSE)/10</f>
        <v>0.19850000000000001</v>
      </c>
      <c r="J596" s="177" t="s">
        <v>127</v>
      </c>
    </row>
    <row r="597" spans="1:10" hidden="1" x14ac:dyDescent="0.25">
      <c r="C597" s="184"/>
      <c r="D597" s="185"/>
      <c r="G597" s="185"/>
    </row>
    <row r="598" spans="1:10" hidden="1" x14ac:dyDescent="0.25">
      <c r="C598" s="184"/>
      <c r="D598" s="185"/>
      <c r="G598" s="185"/>
    </row>
    <row r="599" spans="1:10" hidden="1" x14ac:dyDescent="0.25">
      <c r="A599" s="180" t="s">
        <v>316</v>
      </c>
      <c r="D599" s="185">
        <v>0</v>
      </c>
      <c r="E599" s="186"/>
      <c r="F599" s="186"/>
      <c r="G599" s="185">
        <f>D599</f>
        <v>0</v>
      </c>
      <c r="J599" s="187" t="s">
        <v>370</v>
      </c>
    </row>
    <row r="600" spans="1:10" hidden="1" x14ac:dyDescent="0.25">
      <c r="A600" s="180" t="s">
        <v>152</v>
      </c>
      <c r="D600" s="185">
        <v>0</v>
      </c>
      <c r="E600" s="186"/>
      <c r="F600" s="186"/>
      <c r="G600" s="185">
        <f t="shared" ref="G600:G602" si="102">D600</f>
        <v>0</v>
      </c>
      <c r="J600" s="187" t="s">
        <v>370</v>
      </c>
    </row>
    <row r="601" spans="1:10" hidden="1" x14ac:dyDescent="0.25">
      <c r="A601" s="180" t="s">
        <v>318</v>
      </c>
      <c r="D601" s="185">
        <v>0</v>
      </c>
      <c r="E601" s="186"/>
      <c r="F601" s="186"/>
      <c r="G601" s="185">
        <f t="shared" si="102"/>
        <v>0</v>
      </c>
      <c r="J601" s="187"/>
    </row>
    <row r="602" spans="1:10" hidden="1" x14ac:dyDescent="0.25">
      <c r="A602" s="180" t="s">
        <v>319</v>
      </c>
      <c r="D602" s="185">
        <v>0</v>
      </c>
      <c r="E602" s="186"/>
      <c r="F602" s="186"/>
      <c r="G602" s="185">
        <f t="shared" si="102"/>
        <v>0</v>
      </c>
      <c r="J602" s="187"/>
    </row>
    <row r="603" spans="1:10" hidden="1" x14ac:dyDescent="0.25">
      <c r="A603" s="180" t="s">
        <v>320</v>
      </c>
      <c r="D603" s="185">
        <v>0</v>
      </c>
      <c r="E603" s="186"/>
      <c r="F603" s="186"/>
      <c r="G603" s="185">
        <f>IFERROR(VLOOKUP(J603,'EXHIBIT JDT-3 SCOM'!D:N,7,FALSE)/10,0)</f>
        <v>0</v>
      </c>
      <c r="J603" s="187"/>
    </row>
    <row r="604" spans="1:10" hidden="1" x14ac:dyDescent="0.25">
      <c r="A604" s="180" t="s">
        <v>341</v>
      </c>
      <c r="D604" s="185">
        <v>0</v>
      </c>
      <c r="E604" s="186"/>
      <c r="F604" s="186"/>
      <c r="G604" s="185">
        <f>IFERROR(VLOOKUP(J604,'EXHIBIT JDT-3 SCOM'!D:N,7,FALSE)/10,0)</f>
        <v>0</v>
      </c>
      <c r="J604" s="187"/>
    </row>
    <row r="605" spans="1:10" hidden="1" x14ac:dyDescent="0.25">
      <c r="A605" s="180" t="s">
        <v>342</v>
      </c>
      <c r="D605" s="185">
        <v>0</v>
      </c>
      <c r="E605" s="186"/>
      <c r="F605" s="186"/>
      <c r="G605" s="185">
        <v>0</v>
      </c>
      <c r="J605" s="188" t="s">
        <v>370</v>
      </c>
    </row>
    <row r="606" spans="1:10" hidden="1" x14ac:dyDescent="0.25">
      <c r="A606" s="180" t="s">
        <v>343</v>
      </c>
      <c r="D606" s="185">
        <v>0</v>
      </c>
      <c r="E606" s="186"/>
      <c r="F606" s="186"/>
      <c r="G606" s="185">
        <v>0</v>
      </c>
      <c r="J606" s="188" t="s">
        <v>370</v>
      </c>
    </row>
    <row r="607" spans="1:10" hidden="1" x14ac:dyDescent="0.25">
      <c r="E607" s="186"/>
      <c r="F607" s="186"/>
      <c r="G607" s="186"/>
    </row>
    <row r="608" spans="1:10" hidden="1" x14ac:dyDescent="0.25">
      <c r="A608" s="180" t="s">
        <v>321</v>
      </c>
      <c r="D608" s="189">
        <v>0</v>
      </c>
      <c r="G608" s="189">
        <v>0</v>
      </c>
    </row>
    <row r="609" spans="1:25" hidden="1" x14ac:dyDescent="0.25"/>
    <row r="611" spans="1:25" x14ac:dyDescent="0.25">
      <c r="G611" s="190" t="s">
        <v>322</v>
      </c>
      <c r="H611" s="190"/>
    </row>
    <row r="612" spans="1:25" x14ac:dyDescent="0.25">
      <c r="B612" s="176" t="s">
        <v>323</v>
      </c>
      <c r="C612" s="181" t="s">
        <v>311</v>
      </c>
      <c r="D612" s="181" t="s">
        <v>312</v>
      </c>
      <c r="E612" s="181" t="s">
        <v>311</v>
      </c>
      <c r="F612" s="181" t="s">
        <v>312</v>
      </c>
      <c r="G612" s="181" t="s">
        <v>324</v>
      </c>
      <c r="H612" s="181" t="s">
        <v>325</v>
      </c>
      <c r="J612" s="191"/>
    </row>
    <row r="613" spans="1:25" x14ac:dyDescent="0.25">
      <c r="C613" s="192" t="s">
        <v>326</v>
      </c>
      <c r="D613" s="192" t="s">
        <v>327</v>
      </c>
      <c r="E613" s="181" t="s">
        <v>328</v>
      </c>
      <c r="F613" s="181" t="s">
        <v>328</v>
      </c>
      <c r="G613" s="192" t="s">
        <v>329</v>
      </c>
      <c r="J613" s="191"/>
    </row>
    <row r="614" spans="1:25" x14ac:dyDescent="0.25">
      <c r="B614" s="176" t="s">
        <v>330</v>
      </c>
      <c r="J614" s="191"/>
    </row>
    <row r="615" spans="1:25" s="220" customFormat="1" x14ac:dyDescent="0.25">
      <c r="A615" s="180"/>
      <c r="B615" s="176">
        <f>B549</f>
        <v>0</v>
      </c>
      <c r="C615" s="193">
        <f>ROUND((D595+B615*D596+B615*(D599+D600+D601+D602+D603+D604+D605+D606))*(1+D608),2)</f>
        <v>27.53</v>
      </c>
      <c r="D615" s="193">
        <f>ROUND(($G$595+(SUM($G$596:$G$606)*B615))*(1+$G$608),2)</f>
        <v>41.5</v>
      </c>
      <c r="E615" s="194"/>
      <c r="F615" s="194"/>
      <c r="G615" s="193">
        <f t="shared" ref="G615:G645" si="103">D615-C615</f>
        <v>13.969999999999999</v>
      </c>
      <c r="H615" s="195">
        <f t="shared" ref="H615:H645" si="104">ROUND(G615/C615,4)</f>
        <v>0.50739999999999996</v>
      </c>
      <c r="J615" s="207"/>
      <c r="L615" s="229"/>
      <c r="Y615" s="570"/>
    </row>
    <row r="616" spans="1:25" s="220" customFormat="1" x14ac:dyDescent="0.25">
      <c r="A616" s="180"/>
      <c r="B616" s="176">
        <f t="shared" ref="B616:B645" si="105">B550</f>
        <v>50</v>
      </c>
      <c r="C616" s="193">
        <f>ROUND((D595+B616*D596+B616*(D599+D600+D601+D602+D603+D604+D605+D606))*(1+D608),2)</f>
        <v>36.950000000000003</v>
      </c>
      <c r="D616" s="193">
        <f t="shared" ref="D616:D645" si="106">ROUND(($G$595+(SUM($G$596:$G$606)*B616))*(1+$G$608),2)</f>
        <v>51.43</v>
      </c>
      <c r="E616" s="194">
        <f t="shared" ref="E616:E645" si="107">+C616/B616</f>
        <v>0.7390000000000001</v>
      </c>
      <c r="F616" s="194">
        <f t="shared" ref="F616:F645" si="108">+D616/B616</f>
        <v>1.0286</v>
      </c>
      <c r="G616" s="193">
        <f t="shared" si="103"/>
        <v>14.479999999999997</v>
      </c>
      <c r="H616" s="195">
        <f t="shared" si="104"/>
        <v>0.39190000000000003</v>
      </c>
      <c r="J616" s="207"/>
      <c r="L616" s="229"/>
      <c r="Y616" s="570"/>
    </row>
    <row r="617" spans="1:25" s="220" customFormat="1" x14ac:dyDescent="0.25">
      <c r="A617" s="180"/>
      <c r="B617" s="176">
        <f t="shared" si="105"/>
        <v>100</v>
      </c>
      <c r="C617" s="193">
        <f>ROUND((D595+B617*D596+B617*(D599+D600+D601+D602+D603+D604+D605+D606))*(1+D608),2)</f>
        <v>46.38</v>
      </c>
      <c r="D617" s="193">
        <f t="shared" si="106"/>
        <v>61.35</v>
      </c>
      <c r="E617" s="194">
        <f t="shared" si="107"/>
        <v>0.46380000000000005</v>
      </c>
      <c r="F617" s="194">
        <f t="shared" si="108"/>
        <v>0.61350000000000005</v>
      </c>
      <c r="G617" s="193">
        <f t="shared" si="103"/>
        <v>14.969999999999999</v>
      </c>
      <c r="H617" s="195">
        <f t="shared" si="104"/>
        <v>0.32279999999999998</v>
      </c>
      <c r="J617" s="207"/>
      <c r="L617" s="229"/>
      <c r="Y617" s="570"/>
    </row>
    <row r="618" spans="1:25" s="220" customFormat="1" x14ac:dyDescent="0.25">
      <c r="A618" s="180"/>
      <c r="B618" s="176">
        <f t="shared" si="105"/>
        <v>150</v>
      </c>
      <c r="C618" s="193">
        <f>ROUND((D595+B618*D596+B618*(D599+D600+D601+D602+D603+D604+D605+D606))*(1+D608),2)</f>
        <v>55.8</v>
      </c>
      <c r="D618" s="193">
        <f t="shared" si="106"/>
        <v>71.28</v>
      </c>
      <c r="E618" s="194">
        <f t="shared" si="107"/>
        <v>0.372</v>
      </c>
      <c r="F618" s="194">
        <f t="shared" si="108"/>
        <v>0.47520000000000001</v>
      </c>
      <c r="G618" s="193">
        <f t="shared" si="103"/>
        <v>15.480000000000004</v>
      </c>
      <c r="H618" s="195">
        <f t="shared" si="104"/>
        <v>0.27739999999999998</v>
      </c>
      <c r="J618" s="207"/>
      <c r="L618" s="229"/>
      <c r="Y618" s="570"/>
    </row>
    <row r="619" spans="1:25" s="220" customFormat="1" x14ac:dyDescent="0.25">
      <c r="A619" s="180"/>
      <c r="B619" s="176">
        <f t="shared" si="105"/>
        <v>200</v>
      </c>
      <c r="C619" s="193">
        <f>ROUND((D595+B619*D596+B619*(D599+D600+D601+D602+D603+D604+D605+D606))*(1+D608),2)</f>
        <v>65.22</v>
      </c>
      <c r="D619" s="193">
        <f t="shared" si="106"/>
        <v>81.2</v>
      </c>
      <c r="E619" s="194">
        <f t="shared" si="107"/>
        <v>0.3261</v>
      </c>
      <c r="F619" s="194">
        <f t="shared" si="108"/>
        <v>0.40600000000000003</v>
      </c>
      <c r="G619" s="193">
        <f t="shared" si="103"/>
        <v>15.980000000000004</v>
      </c>
      <c r="H619" s="195">
        <f t="shared" si="104"/>
        <v>0.245</v>
      </c>
      <c r="J619" s="207"/>
      <c r="L619" s="229"/>
      <c r="Y619" s="570"/>
    </row>
    <row r="620" spans="1:25" s="220" customFormat="1" x14ac:dyDescent="0.25">
      <c r="A620" s="180"/>
      <c r="B620" s="176">
        <f t="shared" si="105"/>
        <v>250</v>
      </c>
      <c r="C620" s="193">
        <f>ROUND((D595+B620*D596+B620*(D599+D600+D601+D602+D603+D604+D605+D606))*(1+D608),2)</f>
        <v>74.64</v>
      </c>
      <c r="D620" s="193">
        <f t="shared" si="106"/>
        <v>91.13</v>
      </c>
      <c r="E620" s="194">
        <f t="shared" si="107"/>
        <v>0.29855999999999999</v>
      </c>
      <c r="F620" s="194">
        <f t="shared" si="108"/>
        <v>0.36451999999999996</v>
      </c>
      <c r="G620" s="193">
        <f t="shared" si="103"/>
        <v>16.489999999999995</v>
      </c>
      <c r="H620" s="195">
        <f t="shared" si="104"/>
        <v>0.22090000000000001</v>
      </c>
      <c r="J620" s="207"/>
      <c r="L620" s="229"/>
      <c r="Y620" s="570"/>
    </row>
    <row r="621" spans="1:25" s="220" customFormat="1" x14ac:dyDescent="0.25">
      <c r="A621" s="180"/>
      <c r="B621" s="176">
        <f t="shared" si="105"/>
        <v>300</v>
      </c>
      <c r="C621" s="193">
        <f>ROUND((D595+B621*D596+B621*(D599+D600+D601+D602+D603+D604+D605+D606))*(1+D608),2)</f>
        <v>84.07</v>
      </c>
      <c r="D621" s="193">
        <f t="shared" si="106"/>
        <v>101.05</v>
      </c>
      <c r="E621" s="194">
        <f t="shared" si="107"/>
        <v>0.28023333333333333</v>
      </c>
      <c r="F621" s="194">
        <f t="shared" si="108"/>
        <v>0.33683333333333332</v>
      </c>
      <c r="G621" s="193">
        <f t="shared" si="103"/>
        <v>16.980000000000004</v>
      </c>
      <c r="H621" s="195">
        <f t="shared" si="104"/>
        <v>0.20200000000000001</v>
      </c>
      <c r="J621" s="207"/>
      <c r="L621" s="229"/>
      <c r="Y621" s="570"/>
    </row>
    <row r="622" spans="1:25" s="220" customFormat="1" x14ac:dyDescent="0.25">
      <c r="A622" s="180"/>
      <c r="B622" s="176">
        <f t="shared" si="105"/>
        <v>350</v>
      </c>
      <c r="C622" s="193">
        <f>ROUND((D595+B622*D596+B622*(D599+D600+D601+D602+D603+D604+D605+D606))*(1+D608),2)</f>
        <v>93.49</v>
      </c>
      <c r="D622" s="193">
        <f t="shared" si="106"/>
        <v>110.98</v>
      </c>
      <c r="E622" s="194">
        <f t="shared" si="107"/>
        <v>0.26711428571428569</v>
      </c>
      <c r="F622" s="194">
        <f t="shared" si="108"/>
        <v>0.3170857142857143</v>
      </c>
      <c r="G622" s="193">
        <f t="shared" si="103"/>
        <v>17.490000000000009</v>
      </c>
      <c r="H622" s="195">
        <f t="shared" si="104"/>
        <v>0.18709999999999999</v>
      </c>
      <c r="J622" s="207"/>
      <c r="L622" s="229"/>
      <c r="Y622" s="570"/>
    </row>
    <row r="623" spans="1:25" x14ac:dyDescent="0.25">
      <c r="B623" s="176">
        <f t="shared" si="105"/>
        <v>400</v>
      </c>
      <c r="C623" s="193">
        <f>ROUND((D595+B623*D596+B623*(D599+D600+D601+D602+D603+D604+D605+D606))*(1+D608),2)</f>
        <v>102.91</v>
      </c>
      <c r="D623" s="193">
        <f t="shared" si="106"/>
        <v>120.9</v>
      </c>
      <c r="E623" s="194">
        <f t="shared" si="107"/>
        <v>0.25727499999999998</v>
      </c>
      <c r="F623" s="194">
        <f t="shared" si="108"/>
        <v>0.30225000000000002</v>
      </c>
      <c r="G623" s="193">
        <f t="shared" si="103"/>
        <v>17.990000000000009</v>
      </c>
      <c r="H623" s="195">
        <f t="shared" si="104"/>
        <v>0.17480000000000001</v>
      </c>
      <c r="J623" s="207"/>
      <c r="L623" s="197"/>
    </row>
    <row r="624" spans="1:25" x14ac:dyDescent="0.25">
      <c r="B624" s="176">
        <f t="shared" si="105"/>
        <v>450</v>
      </c>
      <c r="C624" s="193">
        <f>ROUND((D595+B624*D596+B624*(D599+D600+D601+D602+D603+D604+D605+D606))*(1+D608),2)</f>
        <v>112.33</v>
      </c>
      <c r="D624" s="193">
        <f t="shared" si="106"/>
        <v>130.83000000000001</v>
      </c>
      <c r="E624" s="194">
        <f t="shared" si="107"/>
        <v>0.24962222222222222</v>
      </c>
      <c r="F624" s="194">
        <f t="shared" si="108"/>
        <v>0.29073333333333334</v>
      </c>
      <c r="G624" s="193">
        <f t="shared" si="103"/>
        <v>18.500000000000014</v>
      </c>
      <c r="H624" s="195">
        <f t="shared" si="104"/>
        <v>0.16470000000000001</v>
      </c>
      <c r="J624" s="207"/>
      <c r="L624" s="197"/>
    </row>
    <row r="625" spans="2:12" x14ac:dyDescent="0.25">
      <c r="B625" s="176">
        <f t="shared" si="105"/>
        <v>500</v>
      </c>
      <c r="C625" s="193">
        <f>ROUND((D595+B625*D596+B625*(D599+D600+D601+D602+D603+D604+D605+D606))*(1+D608),2)</f>
        <v>121.76</v>
      </c>
      <c r="D625" s="193">
        <f t="shared" si="106"/>
        <v>140.75</v>
      </c>
      <c r="E625" s="194">
        <f t="shared" si="107"/>
        <v>0.24352000000000001</v>
      </c>
      <c r="F625" s="194">
        <f t="shared" si="108"/>
        <v>0.28149999999999997</v>
      </c>
      <c r="G625" s="193">
        <f t="shared" si="103"/>
        <v>18.989999999999995</v>
      </c>
      <c r="H625" s="195">
        <f t="shared" si="104"/>
        <v>0.156</v>
      </c>
      <c r="J625" s="207"/>
      <c r="L625" s="197"/>
    </row>
    <row r="626" spans="2:12" x14ac:dyDescent="0.25">
      <c r="B626" s="176">
        <f t="shared" si="105"/>
        <v>550</v>
      </c>
      <c r="C626" s="193">
        <f>ROUND((D595+B626*D596+B626*(D599+D600+D601+D602+D603+D604+D605+D606))*(1+D608),2)</f>
        <v>131.18</v>
      </c>
      <c r="D626" s="193">
        <f t="shared" si="106"/>
        <v>150.68</v>
      </c>
      <c r="E626" s="194">
        <f t="shared" si="107"/>
        <v>0.23850909090909092</v>
      </c>
      <c r="F626" s="194">
        <f t="shared" si="108"/>
        <v>0.27396363636363635</v>
      </c>
      <c r="G626" s="193">
        <f t="shared" si="103"/>
        <v>19.5</v>
      </c>
      <c r="H626" s="195">
        <f t="shared" si="104"/>
        <v>0.1487</v>
      </c>
      <c r="J626" s="207"/>
      <c r="L626" s="197"/>
    </row>
    <row r="627" spans="2:12" x14ac:dyDescent="0.25">
      <c r="B627" s="176">
        <f t="shared" si="105"/>
        <v>600</v>
      </c>
      <c r="C627" s="193">
        <f>ROUND((D595+B627*D596+B627*(D599+D600+D601+D602+D603+D604+D605+D606))*(1+D608),2)</f>
        <v>140.6</v>
      </c>
      <c r="D627" s="193">
        <f t="shared" si="106"/>
        <v>160.6</v>
      </c>
      <c r="E627" s="194">
        <f t="shared" si="107"/>
        <v>0.23433333333333331</v>
      </c>
      <c r="F627" s="194">
        <f t="shared" si="108"/>
        <v>0.26766666666666666</v>
      </c>
      <c r="G627" s="193">
        <f t="shared" si="103"/>
        <v>20</v>
      </c>
      <c r="H627" s="195">
        <f t="shared" si="104"/>
        <v>0.14219999999999999</v>
      </c>
      <c r="J627" s="207"/>
      <c r="L627" s="197"/>
    </row>
    <row r="628" spans="2:12" x14ac:dyDescent="0.25">
      <c r="B628" s="176">
        <f t="shared" si="105"/>
        <v>650</v>
      </c>
      <c r="C628" s="193">
        <f>ROUND((D595+B628*D596+B628*(D599+D600+D601+D602+D603+D604+D605+D606))*(1+D608),2)</f>
        <v>150.02000000000001</v>
      </c>
      <c r="D628" s="193">
        <f t="shared" si="106"/>
        <v>170.53</v>
      </c>
      <c r="E628" s="194">
        <f t="shared" si="107"/>
        <v>0.23080000000000001</v>
      </c>
      <c r="F628" s="194">
        <f t="shared" si="108"/>
        <v>0.26235384615384616</v>
      </c>
      <c r="G628" s="193">
        <f t="shared" si="103"/>
        <v>20.509999999999991</v>
      </c>
      <c r="H628" s="195">
        <f t="shared" si="104"/>
        <v>0.13669999999999999</v>
      </c>
      <c r="J628" s="207"/>
      <c r="L628" s="197"/>
    </row>
    <row r="629" spans="2:12" x14ac:dyDescent="0.25">
      <c r="B629" s="176">
        <f t="shared" si="105"/>
        <v>700</v>
      </c>
      <c r="C629" s="193">
        <f>ROUND((D595+B629*D596+B629*(D599+D600+D601+D602+D603+D604+D605+D606))*(1+D608),2)</f>
        <v>159.44999999999999</v>
      </c>
      <c r="D629" s="193">
        <f t="shared" si="106"/>
        <v>180.45</v>
      </c>
      <c r="E629" s="194">
        <f t="shared" si="107"/>
        <v>0.22778571428571426</v>
      </c>
      <c r="F629" s="194">
        <f t="shared" si="108"/>
        <v>0.25778571428571428</v>
      </c>
      <c r="G629" s="193">
        <f t="shared" si="103"/>
        <v>21</v>
      </c>
      <c r="H629" s="195">
        <f t="shared" si="104"/>
        <v>0.13170000000000001</v>
      </c>
      <c r="J629" s="207"/>
      <c r="L629" s="197"/>
    </row>
    <row r="630" spans="2:12" x14ac:dyDescent="0.25">
      <c r="B630" s="176">
        <f t="shared" si="105"/>
        <v>750</v>
      </c>
      <c r="C630" s="193">
        <f>ROUND((D595+B630*D596+B630*(D599+D600+D601+D602+D603+D604+D605+D606))*(1+D608),2)</f>
        <v>168.87</v>
      </c>
      <c r="D630" s="193">
        <f t="shared" si="106"/>
        <v>190.38</v>
      </c>
      <c r="E630" s="194">
        <f t="shared" si="107"/>
        <v>0.22516</v>
      </c>
      <c r="F630" s="194">
        <f t="shared" si="108"/>
        <v>0.25384000000000001</v>
      </c>
      <c r="G630" s="193">
        <f t="shared" si="103"/>
        <v>21.509999999999991</v>
      </c>
      <c r="H630" s="195">
        <f t="shared" si="104"/>
        <v>0.12740000000000001</v>
      </c>
      <c r="J630" s="207"/>
      <c r="L630" s="197"/>
    </row>
    <row r="631" spans="2:12" x14ac:dyDescent="0.25">
      <c r="B631" s="176">
        <f t="shared" si="105"/>
        <v>800</v>
      </c>
      <c r="C631" s="193">
        <f>ROUND((D595+B631*D596+B631*(D599+D600+D601+D602+D603+D604+D605+D606))*(1+D608),2)</f>
        <v>178.29</v>
      </c>
      <c r="D631" s="193">
        <f t="shared" si="106"/>
        <v>200.3</v>
      </c>
      <c r="E631" s="194">
        <f t="shared" si="107"/>
        <v>0.22286249999999999</v>
      </c>
      <c r="F631" s="194">
        <f t="shared" si="108"/>
        <v>0.25037500000000001</v>
      </c>
      <c r="G631" s="193">
        <f t="shared" si="103"/>
        <v>22.010000000000019</v>
      </c>
      <c r="H631" s="195">
        <f t="shared" si="104"/>
        <v>0.1235</v>
      </c>
      <c r="J631" s="207"/>
      <c r="L631" s="197"/>
    </row>
    <row r="632" spans="2:12" x14ac:dyDescent="0.25">
      <c r="B632" s="176">
        <f t="shared" si="105"/>
        <v>850</v>
      </c>
      <c r="C632" s="193">
        <f>ROUND((D595+B632*D596+B632*(D599+D600+D601+D602+D603+D604+D605+D606))*(1+D608),2)</f>
        <v>187.71</v>
      </c>
      <c r="D632" s="193">
        <f t="shared" si="106"/>
        <v>210.23</v>
      </c>
      <c r="E632" s="194">
        <f t="shared" si="107"/>
        <v>0.22083529411764707</v>
      </c>
      <c r="F632" s="194">
        <f t="shared" si="108"/>
        <v>0.24732941176470588</v>
      </c>
      <c r="G632" s="193">
        <f t="shared" si="103"/>
        <v>22.519999999999982</v>
      </c>
      <c r="H632" s="195">
        <f t="shared" si="104"/>
        <v>0.12</v>
      </c>
      <c r="J632" s="207"/>
      <c r="L632" s="197"/>
    </row>
    <row r="633" spans="2:12" x14ac:dyDescent="0.25">
      <c r="B633" s="176">
        <f t="shared" si="105"/>
        <v>900</v>
      </c>
      <c r="C633" s="193">
        <f>ROUND((D595+B633*D596+B633*(D599+D600+D601+D602+D603+D604+D605+D606))*(1+D608),2)</f>
        <v>197.14</v>
      </c>
      <c r="D633" s="193">
        <f t="shared" si="106"/>
        <v>220.15</v>
      </c>
      <c r="E633" s="194">
        <f t="shared" si="107"/>
        <v>0.21904444444444443</v>
      </c>
      <c r="F633" s="194">
        <f t="shared" si="108"/>
        <v>0.24461111111111111</v>
      </c>
      <c r="G633" s="193">
        <f t="shared" si="103"/>
        <v>23.010000000000019</v>
      </c>
      <c r="H633" s="195">
        <f t="shared" si="104"/>
        <v>0.1167</v>
      </c>
      <c r="J633" s="207"/>
      <c r="L633" s="197"/>
    </row>
    <row r="634" spans="2:12" x14ac:dyDescent="0.25">
      <c r="B634" s="176">
        <f>B568</f>
        <v>950</v>
      </c>
      <c r="C634" s="193">
        <f>ROUND((D595+B634*D596+B634*(D599+D600+D601+D602+D603+D604+D605+D606))*(1+D608),2)</f>
        <v>206.56</v>
      </c>
      <c r="D634" s="193">
        <f t="shared" si="106"/>
        <v>230.08</v>
      </c>
      <c r="E634" s="194">
        <f t="shared" si="107"/>
        <v>0.21743157894736842</v>
      </c>
      <c r="F634" s="194">
        <f t="shared" si="108"/>
        <v>0.24218947368421054</v>
      </c>
      <c r="G634" s="193">
        <f t="shared" si="103"/>
        <v>23.52000000000001</v>
      </c>
      <c r="H634" s="195">
        <f t="shared" si="104"/>
        <v>0.1139</v>
      </c>
      <c r="J634" s="207"/>
      <c r="L634" s="197"/>
    </row>
    <row r="635" spans="2:12" x14ac:dyDescent="0.25">
      <c r="B635" s="176">
        <f t="shared" si="105"/>
        <v>1000</v>
      </c>
      <c r="C635" s="193">
        <f>ROUND((D595+B635*D596+B635*(D599+D600+D601+D602+D603+D604+D605+D606))*(1+D608),2)</f>
        <v>215.98</v>
      </c>
      <c r="D635" s="193">
        <f>ROUND(($G$595+(SUM($G$596:$G$606)*B635))*(1+$G$608),2)</f>
        <v>240</v>
      </c>
      <c r="E635" s="194">
        <f t="shared" si="107"/>
        <v>0.21597999999999998</v>
      </c>
      <c r="F635" s="194">
        <f t="shared" si="108"/>
        <v>0.24</v>
      </c>
      <c r="G635" s="193">
        <f t="shared" si="103"/>
        <v>24.02000000000001</v>
      </c>
      <c r="H635" s="195">
        <f t="shared" si="104"/>
        <v>0.11119999999999999</v>
      </c>
      <c r="J635" s="207"/>
      <c r="L635" s="197"/>
    </row>
    <row r="636" spans="2:12" x14ac:dyDescent="0.25">
      <c r="B636" s="176">
        <f t="shared" si="105"/>
        <v>1050</v>
      </c>
      <c r="C636" s="193">
        <f>ROUND((D595+B636*D596+B636*(D599+D600+D601+D602+D603+D604+D605+D606))*(1+D608),2)</f>
        <v>225.4</v>
      </c>
      <c r="D636" s="193">
        <f t="shared" si="106"/>
        <v>249.93</v>
      </c>
      <c r="E636" s="194">
        <f t="shared" si="107"/>
        <v>0.21466666666666667</v>
      </c>
      <c r="F636" s="194">
        <f t="shared" si="108"/>
        <v>0.23802857142857142</v>
      </c>
      <c r="G636" s="193">
        <f t="shared" si="103"/>
        <v>24.53</v>
      </c>
      <c r="H636" s="195">
        <f t="shared" si="104"/>
        <v>0.10879999999999999</v>
      </c>
      <c r="J636" s="207"/>
      <c r="L636" s="197"/>
    </row>
    <row r="637" spans="2:12" x14ac:dyDescent="0.25">
      <c r="B637" s="176">
        <f t="shared" si="105"/>
        <v>1100</v>
      </c>
      <c r="C637" s="193">
        <f>ROUND((D595+B637*D596+B637*(D599+D600+D601+D602+D603+D604+D605+D606))*(1+D608),2)</f>
        <v>234.83</v>
      </c>
      <c r="D637" s="193">
        <f t="shared" si="106"/>
        <v>259.85000000000002</v>
      </c>
      <c r="E637" s="194">
        <f t="shared" si="107"/>
        <v>0.21348181818181819</v>
      </c>
      <c r="F637" s="194">
        <f t="shared" si="108"/>
        <v>0.23622727272727276</v>
      </c>
      <c r="G637" s="193">
        <f t="shared" si="103"/>
        <v>25.02000000000001</v>
      </c>
      <c r="H637" s="195">
        <f t="shared" si="104"/>
        <v>0.1065</v>
      </c>
      <c r="J637" s="207"/>
      <c r="L637" s="197"/>
    </row>
    <row r="638" spans="2:12" x14ac:dyDescent="0.25">
      <c r="B638" s="176">
        <f t="shared" si="105"/>
        <v>1150</v>
      </c>
      <c r="C638" s="193">
        <f>ROUND((D595+B638*D596+B638*(D599+D600+D601+D602+D603+D604+D605+D606))*(1+D608),2)</f>
        <v>244.25</v>
      </c>
      <c r="D638" s="193">
        <f t="shared" si="106"/>
        <v>269.77999999999997</v>
      </c>
      <c r="E638" s="194">
        <f t="shared" si="107"/>
        <v>0.21239130434782608</v>
      </c>
      <c r="F638" s="194">
        <f t="shared" si="108"/>
        <v>0.23459130434782607</v>
      </c>
      <c r="G638" s="193">
        <f t="shared" si="103"/>
        <v>25.529999999999973</v>
      </c>
      <c r="H638" s="195">
        <f t="shared" si="104"/>
        <v>0.1045</v>
      </c>
      <c r="J638" s="207"/>
      <c r="L638" s="197"/>
    </row>
    <row r="639" spans="2:12" x14ac:dyDescent="0.25">
      <c r="B639" s="176">
        <f t="shared" si="105"/>
        <v>1200</v>
      </c>
      <c r="C639" s="193">
        <f>ROUND((D595+B639*D596+B639*(D599+D600+D601+D602+D603+D604+D605+D606))*(1+D608),2)</f>
        <v>253.67</v>
      </c>
      <c r="D639" s="193">
        <f t="shared" si="106"/>
        <v>279.7</v>
      </c>
      <c r="E639" s="194">
        <f t="shared" si="107"/>
        <v>0.21139166666666664</v>
      </c>
      <c r="F639" s="194">
        <f t="shared" si="108"/>
        <v>0.23308333333333334</v>
      </c>
      <c r="G639" s="193">
        <f t="shared" si="103"/>
        <v>26.03</v>
      </c>
      <c r="H639" s="195">
        <f t="shared" si="104"/>
        <v>0.1026</v>
      </c>
      <c r="J639" s="207"/>
      <c r="L639" s="197"/>
    </row>
    <row r="640" spans="2:12" x14ac:dyDescent="0.25">
      <c r="B640" s="176">
        <f t="shared" si="105"/>
        <v>1250</v>
      </c>
      <c r="C640" s="193">
        <f>ROUND((D595+B640*D596+B640*(D599+D600+D601+D602+D603+D604+D605+D606))*(1+D608),2)</f>
        <v>263.08999999999997</v>
      </c>
      <c r="D640" s="193">
        <f t="shared" si="106"/>
        <v>289.63</v>
      </c>
      <c r="E640" s="194">
        <f t="shared" si="107"/>
        <v>0.21047199999999999</v>
      </c>
      <c r="F640" s="194">
        <f t="shared" si="108"/>
        <v>0.23170399999999999</v>
      </c>
      <c r="G640" s="193">
        <f t="shared" si="103"/>
        <v>26.54000000000002</v>
      </c>
      <c r="H640" s="195">
        <f t="shared" si="104"/>
        <v>0.1009</v>
      </c>
      <c r="J640" s="207"/>
      <c r="L640" s="197"/>
    </row>
    <row r="641" spans="1:12" x14ac:dyDescent="0.25">
      <c r="B641" s="176">
        <f t="shared" si="105"/>
        <v>1300</v>
      </c>
      <c r="C641" s="193">
        <f>ROUND((D595+B641*D596+B641*(D599+D600+D601+D602+D603+D604+D605+D606))*(1+D608),2)</f>
        <v>272.52</v>
      </c>
      <c r="D641" s="193">
        <f t="shared" si="106"/>
        <v>299.55</v>
      </c>
      <c r="E641" s="194">
        <f t="shared" si="107"/>
        <v>0.2096307692307692</v>
      </c>
      <c r="F641" s="194">
        <f t="shared" si="108"/>
        <v>0.23042307692307692</v>
      </c>
      <c r="G641" s="193">
        <f t="shared" si="103"/>
        <v>27.03000000000003</v>
      </c>
      <c r="H641" s="195">
        <f t="shared" si="104"/>
        <v>9.9199999999999997E-2</v>
      </c>
      <c r="J641" s="207"/>
      <c r="L641" s="197"/>
    </row>
    <row r="642" spans="1:12" x14ac:dyDescent="0.25">
      <c r="B642" s="176">
        <f t="shared" si="105"/>
        <v>1350</v>
      </c>
      <c r="C642" s="193">
        <f>ROUND((D595+B642*D596+B642*(D599+D600+D601+D602+D603+D604+D605+D606))*(1+D608),2)</f>
        <v>281.94</v>
      </c>
      <c r="D642" s="193">
        <f t="shared" si="106"/>
        <v>309.48</v>
      </c>
      <c r="E642" s="194">
        <f t="shared" si="107"/>
        <v>0.20884444444444444</v>
      </c>
      <c r="F642" s="194">
        <f t="shared" si="108"/>
        <v>0.22924444444444445</v>
      </c>
      <c r="G642" s="193">
        <f t="shared" si="103"/>
        <v>27.54000000000002</v>
      </c>
      <c r="H642" s="195">
        <f t="shared" si="104"/>
        <v>9.7699999999999995E-2</v>
      </c>
      <c r="J642" s="207"/>
      <c r="L642" s="197"/>
    </row>
    <row r="643" spans="1:12" x14ac:dyDescent="0.25">
      <c r="B643" s="176">
        <f t="shared" si="105"/>
        <v>1400</v>
      </c>
      <c r="C643" s="193">
        <f>ROUND((D595+B643*D596+B643*(D599+D600+D601+D602+D603+D604+D605+D606))*(1+D608),2)</f>
        <v>291.36</v>
      </c>
      <c r="D643" s="193">
        <f t="shared" si="106"/>
        <v>319.39999999999998</v>
      </c>
      <c r="E643" s="194">
        <f t="shared" si="107"/>
        <v>0.20811428571428572</v>
      </c>
      <c r="F643" s="194">
        <f t="shared" si="108"/>
        <v>0.22814285714285712</v>
      </c>
      <c r="G643" s="193">
        <f t="shared" si="103"/>
        <v>28.039999999999964</v>
      </c>
      <c r="H643" s="195">
        <f t="shared" si="104"/>
        <v>9.6199999999999994E-2</v>
      </c>
      <c r="J643" s="207"/>
      <c r="L643" s="197"/>
    </row>
    <row r="644" spans="1:12" x14ac:dyDescent="0.25">
      <c r="B644" s="176">
        <f t="shared" si="105"/>
        <v>1450</v>
      </c>
      <c r="C644" s="193">
        <f>ROUND((D595+B644*D596+B644*(D599+D600+D601+D602+D603+D604+D605+D606))*(1+D608),2)</f>
        <v>300.77999999999997</v>
      </c>
      <c r="D644" s="193">
        <f t="shared" si="106"/>
        <v>329.33</v>
      </c>
      <c r="E644" s="194">
        <f t="shared" si="107"/>
        <v>0.20743448275862067</v>
      </c>
      <c r="F644" s="194">
        <f t="shared" si="108"/>
        <v>0.22712413793103448</v>
      </c>
      <c r="G644" s="193">
        <f t="shared" si="103"/>
        <v>28.550000000000011</v>
      </c>
      <c r="H644" s="195">
        <f t="shared" si="104"/>
        <v>9.4899999999999998E-2</v>
      </c>
      <c r="J644" s="207"/>
      <c r="L644" s="197"/>
    </row>
    <row r="645" spans="1:12" x14ac:dyDescent="0.25">
      <c r="B645" s="176">
        <f t="shared" si="105"/>
        <v>1500</v>
      </c>
      <c r="C645" s="193">
        <f>ROUND((D595+B645*D596+B645*(D599+D600+D601+D602+D603+D604+D605+D606))*(1+D608),2)</f>
        <v>310.20999999999998</v>
      </c>
      <c r="D645" s="193">
        <f t="shared" si="106"/>
        <v>339.25</v>
      </c>
      <c r="E645" s="194">
        <f t="shared" si="107"/>
        <v>0.20680666666666667</v>
      </c>
      <c r="F645" s="194">
        <f t="shared" si="108"/>
        <v>0.22616666666666665</v>
      </c>
      <c r="G645" s="193">
        <f t="shared" si="103"/>
        <v>29.04000000000002</v>
      </c>
      <c r="H645" s="195">
        <f t="shared" si="104"/>
        <v>9.3600000000000003E-2</v>
      </c>
      <c r="J645" s="207"/>
      <c r="L645" s="197"/>
    </row>
    <row r="646" spans="1:12" x14ac:dyDescent="0.25">
      <c r="C646" s="193"/>
      <c r="D646" s="193"/>
      <c r="E646" s="194"/>
      <c r="F646" s="194"/>
      <c r="G646" s="193"/>
      <c r="H646" s="195"/>
      <c r="J646" s="207"/>
      <c r="L646" s="197"/>
    </row>
    <row r="647" spans="1:12" hidden="1" x14ac:dyDescent="0.25">
      <c r="C647" s="193"/>
      <c r="D647" s="193"/>
      <c r="E647" s="194"/>
      <c r="F647" s="194"/>
      <c r="G647" s="193"/>
      <c r="H647" s="195"/>
      <c r="J647" s="207"/>
      <c r="L647" s="197"/>
    </row>
    <row r="648" spans="1:12" hidden="1" x14ac:dyDescent="0.25">
      <c r="C648" s="193"/>
      <c r="D648" s="193"/>
      <c r="E648" s="194"/>
      <c r="F648" s="194"/>
      <c r="G648" s="193"/>
      <c r="H648" s="195"/>
      <c r="J648" s="207"/>
      <c r="L648" s="197"/>
    </row>
    <row r="649" spans="1:12" hidden="1" x14ac:dyDescent="0.25">
      <c r="C649" s="193"/>
      <c r="D649" s="193"/>
      <c r="E649" s="194"/>
      <c r="F649" s="194"/>
      <c r="G649" s="193"/>
      <c r="H649" s="195"/>
      <c r="J649" s="207"/>
      <c r="L649" s="197"/>
    </row>
    <row r="650" spans="1:12" hidden="1" x14ac:dyDescent="0.25">
      <c r="C650" s="193"/>
      <c r="D650" s="193"/>
      <c r="E650" s="194"/>
      <c r="F650" s="194"/>
      <c r="G650" s="193"/>
      <c r="H650" s="195"/>
    </row>
    <row r="651" spans="1:12" hidden="1" x14ac:dyDescent="0.25">
      <c r="E651" s="194"/>
      <c r="F651" s="194"/>
    </row>
    <row r="652" spans="1:12" hidden="1" x14ac:dyDescent="0.25">
      <c r="A652" s="180" t="s">
        <v>21</v>
      </c>
      <c r="B652" s="179"/>
      <c r="C652" s="179"/>
      <c r="D652" s="179"/>
      <c r="E652" s="179"/>
      <c r="F652" s="179"/>
      <c r="G652" s="179"/>
      <c r="H652" s="179"/>
      <c r="I652" s="180"/>
    </row>
    <row r="653" spans="1:12" hidden="1" x14ac:dyDescent="0.25">
      <c r="A653" s="180" t="s">
        <v>22</v>
      </c>
      <c r="B653" s="179"/>
      <c r="C653" s="179"/>
      <c r="D653" s="179"/>
      <c r="E653" s="179"/>
      <c r="F653" s="179"/>
      <c r="G653" s="179"/>
      <c r="H653" s="179"/>
      <c r="I653" s="180"/>
    </row>
    <row r="654" spans="1:12" hidden="1" x14ac:dyDescent="0.25">
      <c r="A654" s="180" t="s">
        <v>310</v>
      </c>
      <c r="B654" s="179"/>
      <c r="C654" s="179"/>
      <c r="D654" s="179"/>
      <c r="E654" s="179"/>
      <c r="F654" s="179"/>
      <c r="G654" s="179"/>
      <c r="H654" s="179"/>
      <c r="I654" s="180"/>
    </row>
    <row r="655" spans="1:12" x14ac:dyDescent="0.25">
      <c r="A655" s="599" t="s">
        <v>336</v>
      </c>
      <c r="B655" s="179"/>
      <c r="C655" s="179"/>
      <c r="D655" s="179"/>
      <c r="E655" s="179"/>
      <c r="F655" s="179"/>
      <c r="G655" s="179"/>
      <c r="H655" s="179"/>
      <c r="I655" s="180"/>
    </row>
    <row r="656" spans="1:12" x14ac:dyDescent="0.25">
      <c r="E656" s="194"/>
      <c r="F656" s="194"/>
    </row>
    <row r="657" spans="1:10" hidden="1" x14ac:dyDescent="0.25">
      <c r="E657" s="194"/>
      <c r="F657" s="194"/>
    </row>
    <row r="658" spans="1:10" x14ac:dyDescent="0.25">
      <c r="D658" s="181" t="s">
        <v>311</v>
      </c>
      <c r="E658" s="194"/>
      <c r="F658" s="194"/>
      <c r="G658" s="181" t="s">
        <v>312</v>
      </c>
    </row>
    <row r="659" spans="1:10" x14ac:dyDescent="0.25">
      <c r="D659" s="182" t="s">
        <v>313</v>
      </c>
      <c r="E659" s="194"/>
      <c r="F659" s="194"/>
      <c r="G659" s="182" t="s">
        <v>313</v>
      </c>
    </row>
    <row r="660" spans="1:10" x14ac:dyDescent="0.25">
      <c r="A660" s="180" t="s">
        <v>314</v>
      </c>
      <c r="D660" s="183">
        <v>121.01</v>
      </c>
      <c r="E660" s="194"/>
      <c r="F660" s="194"/>
      <c r="G660" s="183">
        <f>VLOOKUP(J660,'EXHIBIT JDT-3 LCOM'!D:N,7,FALSE)</f>
        <v>181.5</v>
      </c>
      <c r="J660" s="223" t="s">
        <v>111</v>
      </c>
    </row>
    <row r="661" spans="1:10" x14ac:dyDescent="0.25">
      <c r="A661" s="180" t="s">
        <v>337</v>
      </c>
      <c r="C661" s="184">
        <v>3000</v>
      </c>
      <c r="D661" s="185">
        <v>0.14948</v>
      </c>
      <c r="E661" s="194"/>
      <c r="F661" s="194"/>
      <c r="G661" s="185"/>
      <c r="J661" s="223" t="s">
        <v>112</v>
      </c>
    </row>
    <row r="662" spans="1:10" x14ac:dyDescent="0.25">
      <c r="A662" s="180" t="s">
        <v>338</v>
      </c>
      <c r="C662" s="184">
        <v>17000</v>
      </c>
      <c r="D662" s="185">
        <v>0.13812000000000002</v>
      </c>
      <c r="E662" s="194"/>
      <c r="F662" s="194"/>
      <c r="G662" s="185"/>
      <c r="J662" s="223" t="s">
        <v>113</v>
      </c>
    </row>
    <row r="663" spans="1:10" x14ac:dyDescent="0.25">
      <c r="A663" s="180" t="s">
        <v>315</v>
      </c>
      <c r="C663" s="184">
        <v>9999999999</v>
      </c>
      <c r="D663" s="185">
        <v>0.12311000000000001</v>
      </c>
      <c r="E663" s="194"/>
      <c r="F663" s="194"/>
      <c r="G663" s="185"/>
      <c r="J663" s="223" t="s">
        <v>114</v>
      </c>
    </row>
    <row r="664" spans="1:10" x14ac:dyDescent="0.25">
      <c r="C664" s="184"/>
      <c r="D664" s="185"/>
      <c r="E664" s="194"/>
      <c r="F664" s="194"/>
      <c r="G664" s="185">
        <f>VLOOKUP(J664,'EXHIBIT JDT-3 LCOM'!D:N,7,FALSE)/10</f>
        <v>0.15465000000000001</v>
      </c>
      <c r="J664" s="223" t="s">
        <v>348</v>
      </c>
    </row>
    <row r="665" spans="1:10" x14ac:dyDescent="0.25">
      <c r="C665" s="184"/>
      <c r="D665" s="185"/>
      <c r="E665" s="194"/>
      <c r="F665" s="194"/>
      <c r="G665" s="186"/>
      <c r="J665" s="223"/>
    </row>
    <row r="666" spans="1:10" hidden="1" x14ac:dyDescent="0.25">
      <c r="A666" s="180" t="s">
        <v>316</v>
      </c>
      <c r="D666" s="185">
        <v>0</v>
      </c>
      <c r="G666" s="185">
        <f>D666</f>
        <v>0</v>
      </c>
      <c r="J666" s="188" t="s">
        <v>370</v>
      </c>
    </row>
    <row r="667" spans="1:10" hidden="1" x14ac:dyDescent="0.25">
      <c r="A667" s="180" t="s">
        <v>317</v>
      </c>
      <c r="D667" s="185">
        <v>0</v>
      </c>
      <c r="G667" s="185">
        <f t="shared" ref="G667:G669" si="109">D667</f>
        <v>0</v>
      </c>
      <c r="J667" s="188" t="s">
        <v>370</v>
      </c>
    </row>
    <row r="668" spans="1:10" hidden="1" x14ac:dyDescent="0.25">
      <c r="A668" s="180" t="s">
        <v>318</v>
      </c>
      <c r="D668" s="185">
        <v>0</v>
      </c>
      <c r="G668" s="185">
        <f t="shared" si="109"/>
        <v>0</v>
      </c>
      <c r="J668" s="188" t="s">
        <v>370</v>
      </c>
    </row>
    <row r="669" spans="1:10" hidden="1" x14ac:dyDescent="0.25">
      <c r="A669" s="180" t="s">
        <v>319</v>
      </c>
      <c r="D669" s="185">
        <v>0</v>
      </c>
      <c r="G669" s="185">
        <f t="shared" si="109"/>
        <v>0</v>
      </c>
      <c r="J669" s="188" t="s">
        <v>370</v>
      </c>
    </row>
    <row r="670" spans="1:10" x14ac:dyDescent="0.25">
      <c r="A670" s="180" t="s">
        <v>320</v>
      </c>
      <c r="D670" s="185">
        <v>1.99665585E-3</v>
      </c>
      <c r="G670" s="185">
        <f>VLOOKUP(J670,'EXHIBIT JDT-3 LCOM'!D:N,7,FALSE)/10</f>
        <v>4.45E-3</v>
      </c>
      <c r="J670" s="188" t="s">
        <v>289</v>
      </c>
    </row>
    <row r="671" spans="1:10" x14ac:dyDescent="0.25">
      <c r="A671" s="180" t="s">
        <v>341</v>
      </c>
      <c r="D671" s="185">
        <v>1.0499999999999999E-2</v>
      </c>
      <c r="G671" s="185">
        <f>VLOOKUP(J671,'EXHIBIT JDT-3 LCOM'!D:N,7,FALSE)/10</f>
        <v>1.149E-2</v>
      </c>
      <c r="J671" s="188" t="s">
        <v>286</v>
      </c>
    </row>
    <row r="672" spans="1:10" hidden="1" x14ac:dyDescent="0.25">
      <c r="A672" s="180" t="s">
        <v>342</v>
      </c>
      <c r="D672" s="185">
        <v>0</v>
      </c>
      <c r="G672" s="185">
        <v>0</v>
      </c>
      <c r="J672" s="188" t="s">
        <v>370</v>
      </c>
    </row>
    <row r="673" spans="1:10" hidden="1" x14ac:dyDescent="0.25">
      <c r="A673" s="180" t="s">
        <v>343</v>
      </c>
      <c r="D673" s="185">
        <v>0</v>
      </c>
      <c r="G673" s="185">
        <v>0</v>
      </c>
      <c r="J673" s="188" t="s">
        <v>370</v>
      </c>
    </row>
    <row r="674" spans="1:10" hidden="1" x14ac:dyDescent="0.25">
      <c r="D674" s="185"/>
      <c r="J674" s="188"/>
    </row>
    <row r="675" spans="1:10" hidden="1" x14ac:dyDescent="0.25">
      <c r="A675" s="180" t="s">
        <v>321</v>
      </c>
      <c r="D675" s="195">
        <f>$D$23</f>
        <v>0</v>
      </c>
      <c r="G675" s="195">
        <f>$G$23</f>
        <v>0</v>
      </c>
    </row>
    <row r="676" spans="1:10" hidden="1" x14ac:dyDescent="0.25"/>
    <row r="678" spans="1:10" x14ac:dyDescent="0.25">
      <c r="G678" s="190" t="s">
        <v>322</v>
      </c>
      <c r="H678" s="190"/>
    </row>
    <row r="679" spans="1:10" x14ac:dyDescent="0.25">
      <c r="B679" s="176" t="s">
        <v>323</v>
      </c>
      <c r="C679" s="181" t="s">
        <v>311</v>
      </c>
      <c r="D679" s="181" t="s">
        <v>312</v>
      </c>
      <c r="E679" s="181" t="s">
        <v>311</v>
      </c>
      <c r="F679" s="181" t="s">
        <v>312</v>
      </c>
      <c r="G679" s="181" t="s">
        <v>324</v>
      </c>
      <c r="H679" s="181" t="s">
        <v>325</v>
      </c>
      <c r="J679" s="191"/>
    </row>
    <row r="680" spans="1:10" x14ac:dyDescent="0.25">
      <c r="C680" s="192" t="s">
        <v>326</v>
      </c>
      <c r="D680" s="192" t="s">
        <v>327</v>
      </c>
      <c r="E680" s="181" t="s">
        <v>328</v>
      </c>
      <c r="F680" s="181" t="s">
        <v>328</v>
      </c>
      <c r="G680" s="192" t="s">
        <v>329</v>
      </c>
    </row>
    <row r="681" spans="1:10" x14ac:dyDescent="0.25">
      <c r="E681" s="194"/>
      <c r="F681" s="194"/>
    </row>
    <row r="682" spans="1:10" x14ac:dyDescent="0.25">
      <c r="B682" s="176">
        <v>0</v>
      </c>
      <c r="C682" s="193">
        <f>ROUND((D$660+MINA($B682,$C$661)*D$661+MINA($C$662,MAXA($B682-$C$661,0))*D$662+MAXA($B682-$C$661-$C$662,0)*D$663+$B682*(D$666+D$667+D$668+D$669+D$670+D$671+D$672+D$673))*(1+D$675),2)</f>
        <v>121.01</v>
      </c>
      <c r="D682" s="193">
        <f>ROUND((G$660+(SUM(G$664:G$673)*B682))*(1+$G$675),2)</f>
        <v>181.5</v>
      </c>
      <c r="E682" s="193"/>
      <c r="F682" s="193"/>
      <c r="G682" s="193">
        <f t="shared" ref="G682:G712" si="110">D682-C682</f>
        <v>60.489999999999995</v>
      </c>
      <c r="H682" s="195">
        <f t="shared" ref="H682:H712" si="111">ROUND(G682/C682,4)</f>
        <v>0.49990000000000001</v>
      </c>
    </row>
    <row r="683" spans="1:10" x14ac:dyDescent="0.25">
      <c r="A683" s="598"/>
      <c r="B683" s="176">
        <f>B682+200</f>
        <v>200</v>
      </c>
      <c r="C683" s="193">
        <f t="shared" ref="C683:C712" si="112">ROUND((D$660+MINA($B683,$C$661)*D$661+MINA($C$662,MAXA($B683-$C$661,0))*D$662+MAXA($B683-$C$661-$C$662,0)*D$663+$B683*(D$666+D$667+D$668+D$669+D$670+D$671+D$672+D$673))*(1+D$675),2)</f>
        <v>153.41</v>
      </c>
      <c r="D683" s="193">
        <f t="shared" ref="D683:D712" si="113">ROUND((G$660+(SUM(G$664:G$673)*B683))*(1+$G$675),2)</f>
        <v>215.62</v>
      </c>
      <c r="E683" s="194">
        <f t="shared" ref="E683:E712" si="114">+C683/B683</f>
        <v>0.76705000000000001</v>
      </c>
      <c r="F683" s="194">
        <f t="shared" ref="F683:F712" si="115">+D683/B683</f>
        <v>1.0781000000000001</v>
      </c>
      <c r="G683" s="193">
        <f t="shared" si="110"/>
        <v>62.210000000000008</v>
      </c>
      <c r="H683" s="195">
        <f t="shared" si="111"/>
        <v>0.40550000000000003</v>
      </c>
    </row>
    <row r="684" spans="1:10" x14ac:dyDescent="0.25">
      <c r="A684" s="598"/>
      <c r="B684" s="176">
        <f t="shared" ref="B684:B712" si="116">B683+200</f>
        <v>400</v>
      </c>
      <c r="C684" s="193">
        <f t="shared" si="112"/>
        <v>185.8</v>
      </c>
      <c r="D684" s="193">
        <f t="shared" si="113"/>
        <v>249.74</v>
      </c>
      <c r="E684" s="194">
        <f t="shared" si="114"/>
        <v>0.46450000000000002</v>
      </c>
      <c r="F684" s="194">
        <f t="shared" si="115"/>
        <v>0.62435000000000007</v>
      </c>
      <c r="G684" s="193">
        <f t="shared" si="110"/>
        <v>63.94</v>
      </c>
      <c r="H684" s="195">
        <f t="shared" si="111"/>
        <v>0.34410000000000002</v>
      </c>
    </row>
    <row r="685" spans="1:10" x14ac:dyDescent="0.25">
      <c r="A685" s="598"/>
      <c r="B685" s="176">
        <f t="shared" si="116"/>
        <v>600</v>
      </c>
      <c r="C685" s="193">
        <f t="shared" si="112"/>
        <v>218.2</v>
      </c>
      <c r="D685" s="193">
        <f t="shared" si="113"/>
        <v>283.85000000000002</v>
      </c>
      <c r="E685" s="194">
        <f t="shared" si="114"/>
        <v>0.36366666666666664</v>
      </c>
      <c r="F685" s="194">
        <f t="shared" si="115"/>
        <v>0.47308333333333336</v>
      </c>
      <c r="G685" s="193">
        <f t="shared" si="110"/>
        <v>65.650000000000034</v>
      </c>
      <c r="H685" s="195">
        <f t="shared" si="111"/>
        <v>0.3009</v>
      </c>
    </row>
    <row r="686" spans="1:10" x14ac:dyDescent="0.25">
      <c r="A686" s="598"/>
      <c r="B686" s="176">
        <f t="shared" si="116"/>
        <v>800</v>
      </c>
      <c r="C686" s="193">
        <f t="shared" si="112"/>
        <v>250.59</v>
      </c>
      <c r="D686" s="193">
        <f t="shared" si="113"/>
        <v>317.97000000000003</v>
      </c>
      <c r="E686" s="194">
        <f t="shared" si="114"/>
        <v>0.3132375</v>
      </c>
      <c r="F686" s="194">
        <f t="shared" si="115"/>
        <v>0.39746250000000005</v>
      </c>
      <c r="G686" s="193">
        <f t="shared" si="110"/>
        <v>67.380000000000024</v>
      </c>
      <c r="H686" s="195">
        <f t="shared" si="111"/>
        <v>0.26889999999999997</v>
      </c>
    </row>
    <row r="687" spans="1:10" x14ac:dyDescent="0.25">
      <c r="A687" s="598"/>
      <c r="B687" s="176">
        <f t="shared" si="116"/>
        <v>1000</v>
      </c>
      <c r="C687" s="193">
        <f t="shared" si="112"/>
        <v>282.99</v>
      </c>
      <c r="D687" s="193">
        <f t="shared" si="113"/>
        <v>352.09</v>
      </c>
      <c r="E687" s="194">
        <f t="shared" si="114"/>
        <v>0.28299000000000002</v>
      </c>
      <c r="F687" s="194">
        <f t="shared" si="115"/>
        <v>0.35208999999999996</v>
      </c>
      <c r="G687" s="193">
        <f t="shared" si="110"/>
        <v>69.099999999999966</v>
      </c>
      <c r="H687" s="195">
        <f t="shared" si="111"/>
        <v>0.2442</v>
      </c>
    </row>
    <row r="688" spans="1:10" x14ac:dyDescent="0.25">
      <c r="A688" s="598"/>
      <c r="B688" s="176">
        <f t="shared" si="116"/>
        <v>1200</v>
      </c>
      <c r="C688" s="193">
        <f t="shared" si="112"/>
        <v>315.38</v>
      </c>
      <c r="D688" s="193">
        <f t="shared" si="113"/>
        <v>386.21</v>
      </c>
      <c r="E688" s="194">
        <f t="shared" si="114"/>
        <v>0.26281666666666664</v>
      </c>
      <c r="F688" s="194">
        <f t="shared" si="115"/>
        <v>0.32184166666666664</v>
      </c>
      <c r="G688" s="193">
        <f t="shared" si="110"/>
        <v>70.829999999999984</v>
      </c>
      <c r="H688" s="195">
        <f t="shared" si="111"/>
        <v>0.22459999999999999</v>
      </c>
    </row>
    <row r="689" spans="1:8" x14ac:dyDescent="0.25">
      <c r="A689" s="598"/>
      <c r="B689" s="176">
        <f t="shared" si="116"/>
        <v>1400</v>
      </c>
      <c r="C689" s="193">
        <f t="shared" si="112"/>
        <v>347.78</v>
      </c>
      <c r="D689" s="193">
        <f t="shared" si="113"/>
        <v>420.33</v>
      </c>
      <c r="E689" s="194">
        <f t="shared" si="114"/>
        <v>0.2484142857142857</v>
      </c>
      <c r="F689" s="194">
        <f t="shared" si="115"/>
        <v>0.30023571428571427</v>
      </c>
      <c r="G689" s="193">
        <f t="shared" si="110"/>
        <v>72.550000000000011</v>
      </c>
      <c r="H689" s="195">
        <f t="shared" si="111"/>
        <v>0.20860000000000001</v>
      </c>
    </row>
    <row r="690" spans="1:8" x14ac:dyDescent="0.25">
      <c r="A690" s="598"/>
      <c r="B690" s="176">
        <f t="shared" si="116"/>
        <v>1600</v>
      </c>
      <c r="C690" s="193">
        <f t="shared" si="112"/>
        <v>380.17</v>
      </c>
      <c r="D690" s="193">
        <f t="shared" si="113"/>
        <v>454.44</v>
      </c>
      <c r="E690" s="194">
        <f t="shared" si="114"/>
        <v>0.23760625000000002</v>
      </c>
      <c r="F690" s="194">
        <f t="shared" si="115"/>
        <v>0.28402499999999997</v>
      </c>
      <c r="G690" s="193">
        <f t="shared" si="110"/>
        <v>74.269999999999982</v>
      </c>
      <c r="H690" s="195">
        <f t="shared" si="111"/>
        <v>0.19539999999999999</v>
      </c>
    </row>
    <row r="691" spans="1:8" x14ac:dyDescent="0.25">
      <c r="A691" s="598"/>
      <c r="B691" s="176">
        <f t="shared" si="116"/>
        <v>1800</v>
      </c>
      <c r="C691" s="193">
        <f t="shared" si="112"/>
        <v>412.57</v>
      </c>
      <c r="D691" s="193">
        <f t="shared" si="113"/>
        <v>488.56</v>
      </c>
      <c r="E691" s="194">
        <f t="shared" si="114"/>
        <v>0.22920555555555555</v>
      </c>
      <c r="F691" s="194">
        <f t="shared" si="115"/>
        <v>0.27142222222222223</v>
      </c>
      <c r="G691" s="193">
        <f t="shared" si="110"/>
        <v>75.990000000000009</v>
      </c>
      <c r="H691" s="195">
        <f t="shared" si="111"/>
        <v>0.1842</v>
      </c>
    </row>
    <row r="692" spans="1:8" x14ac:dyDescent="0.25">
      <c r="A692" s="598"/>
      <c r="B692" s="176">
        <f t="shared" si="116"/>
        <v>2000</v>
      </c>
      <c r="C692" s="193">
        <f t="shared" si="112"/>
        <v>444.96</v>
      </c>
      <c r="D692" s="193">
        <f t="shared" si="113"/>
        <v>522.67999999999995</v>
      </c>
      <c r="E692" s="194">
        <f t="shared" si="114"/>
        <v>0.22247999999999998</v>
      </c>
      <c r="F692" s="194">
        <f t="shared" si="115"/>
        <v>0.26133999999999996</v>
      </c>
      <c r="G692" s="193">
        <f t="shared" si="110"/>
        <v>77.71999999999997</v>
      </c>
      <c r="H692" s="195">
        <f t="shared" si="111"/>
        <v>0.17469999999999999</v>
      </c>
    </row>
    <row r="693" spans="1:8" x14ac:dyDescent="0.25">
      <c r="A693" s="598"/>
      <c r="B693" s="176">
        <f t="shared" si="116"/>
        <v>2200</v>
      </c>
      <c r="C693" s="193">
        <f t="shared" si="112"/>
        <v>477.36</v>
      </c>
      <c r="D693" s="193">
        <f t="shared" si="113"/>
        <v>556.79999999999995</v>
      </c>
      <c r="E693" s="194">
        <f t="shared" si="114"/>
        <v>0.21698181818181819</v>
      </c>
      <c r="F693" s="194">
        <f t="shared" si="115"/>
        <v>0.25309090909090909</v>
      </c>
      <c r="G693" s="193">
        <f t="shared" si="110"/>
        <v>79.439999999999941</v>
      </c>
      <c r="H693" s="195">
        <f t="shared" si="111"/>
        <v>0.16639999999999999</v>
      </c>
    </row>
    <row r="694" spans="1:8" x14ac:dyDescent="0.25">
      <c r="A694" s="598"/>
      <c r="B694" s="176">
        <f t="shared" si="116"/>
        <v>2400</v>
      </c>
      <c r="C694" s="193">
        <f t="shared" si="112"/>
        <v>509.75</v>
      </c>
      <c r="D694" s="193">
        <f t="shared" si="113"/>
        <v>590.91999999999996</v>
      </c>
      <c r="E694" s="194">
        <f t="shared" si="114"/>
        <v>0.21239583333333334</v>
      </c>
      <c r="F694" s="194">
        <f t="shared" si="115"/>
        <v>0.24621666666666664</v>
      </c>
      <c r="G694" s="193">
        <f t="shared" si="110"/>
        <v>81.169999999999959</v>
      </c>
      <c r="H694" s="195">
        <f t="shared" si="111"/>
        <v>0.15920000000000001</v>
      </c>
    </row>
    <row r="695" spans="1:8" x14ac:dyDescent="0.25">
      <c r="A695" s="598"/>
      <c r="B695" s="176">
        <f t="shared" si="116"/>
        <v>2600</v>
      </c>
      <c r="C695" s="193">
        <f t="shared" si="112"/>
        <v>542.15</v>
      </c>
      <c r="D695" s="193">
        <f t="shared" si="113"/>
        <v>625.03</v>
      </c>
      <c r="E695" s="194">
        <f t="shared" si="114"/>
        <v>0.20851923076923076</v>
      </c>
      <c r="F695" s="194">
        <f t="shared" si="115"/>
        <v>0.24039615384615384</v>
      </c>
      <c r="G695" s="193">
        <f t="shared" si="110"/>
        <v>82.88</v>
      </c>
      <c r="H695" s="195">
        <f t="shared" si="111"/>
        <v>0.15290000000000001</v>
      </c>
    </row>
    <row r="696" spans="1:8" x14ac:dyDescent="0.25">
      <c r="A696" s="598"/>
      <c r="B696" s="176">
        <f t="shared" si="116"/>
        <v>2800</v>
      </c>
      <c r="C696" s="193">
        <f t="shared" si="112"/>
        <v>574.54</v>
      </c>
      <c r="D696" s="193">
        <f t="shared" si="113"/>
        <v>659.15</v>
      </c>
      <c r="E696" s="194">
        <f t="shared" si="114"/>
        <v>0.20519285714285712</v>
      </c>
      <c r="F696" s="194">
        <f t="shared" si="115"/>
        <v>0.23541071428571428</v>
      </c>
      <c r="G696" s="193">
        <f t="shared" si="110"/>
        <v>84.610000000000014</v>
      </c>
      <c r="H696" s="195">
        <f t="shared" si="111"/>
        <v>0.14729999999999999</v>
      </c>
    </row>
    <row r="697" spans="1:8" x14ac:dyDescent="0.25">
      <c r="A697" s="598"/>
      <c r="B697" s="176">
        <f t="shared" si="116"/>
        <v>3000</v>
      </c>
      <c r="C697" s="193">
        <f t="shared" si="112"/>
        <v>606.94000000000005</v>
      </c>
      <c r="D697" s="193">
        <f t="shared" si="113"/>
        <v>693.27</v>
      </c>
      <c r="E697" s="194">
        <f t="shared" si="114"/>
        <v>0.20231333333333335</v>
      </c>
      <c r="F697" s="194">
        <f t="shared" si="115"/>
        <v>0.23108999999999999</v>
      </c>
      <c r="G697" s="193">
        <f t="shared" si="110"/>
        <v>86.329999999999927</v>
      </c>
      <c r="H697" s="195">
        <f t="shared" si="111"/>
        <v>0.14219999999999999</v>
      </c>
    </row>
    <row r="698" spans="1:8" x14ac:dyDescent="0.25">
      <c r="A698" s="598"/>
      <c r="B698" s="176">
        <f t="shared" si="116"/>
        <v>3200</v>
      </c>
      <c r="C698" s="193">
        <f t="shared" si="112"/>
        <v>637.05999999999995</v>
      </c>
      <c r="D698" s="193">
        <f t="shared" si="113"/>
        <v>727.39</v>
      </c>
      <c r="E698" s="194">
        <f t="shared" si="114"/>
        <v>0.19908124999999999</v>
      </c>
      <c r="F698" s="194">
        <f t="shared" si="115"/>
        <v>0.22730937500000001</v>
      </c>
      <c r="G698" s="193">
        <f t="shared" si="110"/>
        <v>90.330000000000041</v>
      </c>
      <c r="H698" s="195">
        <f t="shared" si="111"/>
        <v>0.14180000000000001</v>
      </c>
    </row>
    <row r="699" spans="1:8" x14ac:dyDescent="0.25">
      <c r="A699" s="598"/>
      <c r="B699" s="176">
        <f t="shared" si="116"/>
        <v>3400</v>
      </c>
      <c r="C699" s="193">
        <f t="shared" si="112"/>
        <v>667.19</v>
      </c>
      <c r="D699" s="193">
        <f t="shared" si="113"/>
        <v>761.51</v>
      </c>
      <c r="E699" s="194">
        <f t="shared" si="114"/>
        <v>0.1962323529411765</v>
      </c>
      <c r="F699" s="194">
        <f t="shared" si="115"/>
        <v>0.22397352941176471</v>
      </c>
      <c r="G699" s="193">
        <f t="shared" si="110"/>
        <v>94.319999999999936</v>
      </c>
      <c r="H699" s="195">
        <f t="shared" si="111"/>
        <v>0.1414</v>
      </c>
    </row>
    <row r="700" spans="1:8" x14ac:dyDescent="0.25">
      <c r="A700" s="598"/>
      <c r="B700" s="176">
        <f t="shared" si="116"/>
        <v>3600</v>
      </c>
      <c r="C700" s="193">
        <f t="shared" si="112"/>
        <v>697.31</v>
      </c>
      <c r="D700" s="193">
        <f t="shared" si="113"/>
        <v>795.62</v>
      </c>
      <c r="E700" s="194">
        <f t="shared" si="114"/>
        <v>0.19369722222222222</v>
      </c>
      <c r="F700" s="194">
        <f t="shared" si="115"/>
        <v>0.22100555555555557</v>
      </c>
      <c r="G700" s="193">
        <f t="shared" si="110"/>
        <v>98.310000000000059</v>
      </c>
      <c r="H700" s="195">
        <f t="shared" si="111"/>
        <v>0.14099999999999999</v>
      </c>
    </row>
    <row r="701" spans="1:8" x14ac:dyDescent="0.25">
      <c r="A701" s="598"/>
      <c r="B701" s="176">
        <f t="shared" si="116"/>
        <v>3800</v>
      </c>
      <c r="C701" s="193">
        <f t="shared" si="112"/>
        <v>727.43</v>
      </c>
      <c r="D701" s="193">
        <f t="shared" si="113"/>
        <v>829.74</v>
      </c>
      <c r="E701" s="194">
        <f t="shared" si="114"/>
        <v>0.19142894736842103</v>
      </c>
      <c r="F701" s="194">
        <f t="shared" si="115"/>
        <v>0.21835263157894738</v>
      </c>
      <c r="G701" s="193">
        <f t="shared" si="110"/>
        <v>102.31000000000006</v>
      </c>
      <c r="H701" s="195">
        <f t="shared" si="111"/>
        <v>0.1406</v>
      </c>
    </row>
    <row r="702" spans="1:8" x14ac:dyDescent="0.25">
      <c r="A702" s="598"/>
      <c r="B702" s="176">
        <f t="shared" si="116"/>
        <v>4000</v>
      </c>
      <c r="C702" s="193">
        <f t="shared" si="112"/>
        <v>757.56</v>
      </c>
      <c r="D702" s="193">
        <f t="shared" si="113"/>
        <v>863.86</v>
      </c>
      <c r="E702" s="194">
        <f t="shared" si="114"/>
        <v>0.18938999999999998</v>
      </c>
      <c r="F702" s="194">
        <f t="shared" si="115"/>
        <v>0.21596499999999999</v>
      </c>
      <c r="G702" s="193">
        <f t="shared" si="110"/>
        <v>106.30000000000007</v>
      </c>
      <c r="H702" s="195">
        <f t="shared" si="111"/>
        <v>0.14030000000000001</v>
      </c>
    </row>
    <row r="703" spans="1:8" x14ac:dyDescent="0.25">
      <c r="A703" s="598"/>
      <c r="B703" s="176">
        <f t="shared" si="116"/>
        <v>4200</v>
      </c>
      <c r="C703" s="193">
        <f t="shared" si="112"/>
        <v>787.68</v>
      </c>
      <c r="D703" s="193">
        <f t="shared" si="113"/>
        <v>897.98</v>
      </c>
      <c r="E703" s="194">
        <f t="shared" si="114"/>
        <v>0.18754285714285712</v>
      </c>
      <c r="F703" s="194">
        <f t="shared" si="115"/>
        <v>0.21380476190476191</v>
      </c>
      <c r="G703" s="193">
        <f t="shared" si="110"/>
        <v>110.30000000000007</v>
      </c>
      <c r="H703" s="195">
        <f t="shared" si="111"/>
        <v>0.14000000000000001</v>
      </c>
    </row>
    <row r="704" spans="1:8" x14ac:dyDescent="0.25">
      <c r="A704" s="598"/>
      <c r="B704" s="176">
        <f t="shared" si="116"/>
        <v>4400</v>
      </c>
      <c r="C704" s="193">
        <f t="shared" si="112"/>
        <v>817.8</v>
      </c>
      <c r="D704" s="193">
        <f t="shared" si="113"/>
        <v>932.1</v>
      </c>
      <c r="E704" s="194">
        <f t="shared" si="114"/>
        <v>0.18586363636363634</v>
      </c>
      <c r="F704" s="194">
        <f t="shared" si="115"/>
        <v>0.21184090909090911</v>
      </c>
      <c r="G704" s="193">
        <f t="shared" si="110"/>
        <v>114.30000000000007</v>
      </c>
      <c r="H704" s="195">
        <f t="shared" si="111"/>
        <v>0.13980000000000001</v>
      </c>
    </row>
    <row r="705" spans="1:9" x14ac:dyDescent="0.25">
      <c r="A705" s="598"/>
      <c r="B705" s="176">
        <f t="shared" si="116"/>
        <v>4600</v>
      </c>
      <c r="C705" s="193">
        <f t="shared" si="112"/>
        <v>847.93</v>
      </c>
      <c r="D705" s="193">
        <f t="shared" si="113"/>
        <v>966.21</v>
      </c>
      <c r="E705" s="194">
        <f t="shared" si="114"/>
        <v>0.18433260869565216</v>
      </c>
      <c r="F705" s="194">
        <f t="shared" si="115"/>
        <v>0.21004565217391305</v>
      </c>
      <c r="G705" s="193">
        <f t="shared" si="110"/>
        <v>118.28000000000009</v>
      </c>
      <c r="H705" s="195">
        <f t="shared" si="111"/>
        <v>0.13950000000000001</v>
      </c>
    </row>
    <row r="706" spans="1:9" x14ac:dyDescent="0.25">
      <c r="A706" s="598"/>
      <c r="B706" s="176">
        <f t="shared" si="116"/>
        <v>4800</v>
      </c>
      <c r="C706" s="193">
        <f t="shared" si="112"/>
        <v>878.05</v>
      </c>
      <c r="D706" s="193">
        <f t="shared" si="113"/>
        <v>1000.33</v>
      </c>
      <c r="E706" s="194">
        <f t="shared" si="114"/>
        <v>0.18292708333333332</v>
      </c>
      <c r="F706" s="194">
        <f t="shared" si="115"/>
        <v>0.20840208333333335</v>
      </c>
      <c r="G706" s="193">
        <f t="shared" si="110"/>
        <v>122.28000000000009</v>
      </c>
      <c r="H706" s="195">
        <f t="shared" si="111"/>
        <v>0.13930000000000001</v>
      </c>
    </row>
    <row r="707" spans="1:9" x14ac:dyDescent="0.25">
      <c r="A707" s="598"/>
      <c r="B707" s="176">
        <f t="shared" si="116"/>
        <v>5000</v>
      </c>
      <c r="C707" s="193">
        <f t="shared" si="112"/>
        <v>908.17</v>
      </c>
      <c r="D707" s="193">
        <f t="shared" si="113"/>
        <v>1034.45</v>
      </c>
      <c r="E707" s="194">
        <f t="shared" si="114"/>
        <v>0.18163399999999999</v>
      </c>
      <c r="F707" s="194">
        <f t="shared" si="115"/>
        <v>0.20689000000000002</v>
      </c>
      <c r="G707" s="193">
        <f t="shared" si="110"/>
        <v>126.28000000000009</v>
      </c>
      <c r="H707" s="195">
        <f t="shared" si="111"/>
        <v>0.13900000000000001</v>
      </c>
    </row>
    <row r="708" spans="1:9" x14ac:dyDescent="0.25">
      <c r="A708" s="598"/>
      <c r="B708" s="176">
        <f t="shared" si="116"/>
        <v>5200</v>
      </c>
      <c r="C708" s="193">
        <f t="shared" si="112"/>
        <v>938.3</v>
      </c>
      <c r="D708" s="193">
        <f t="shared" si="113"/>
        <v>1068.57</v>
      </c>
      <c r="E708" s="194">
        <f t="shared" si="114"/>
        <v>0.18044230769230768</v>
      </c>
      <c r="F708" s="194">
        <f t="shared" si="115"/>
        <v>0.20549423076923076</v>
      </c>
      <c r="G708" s="193">
        <f t="shared" si="110"/>
        <v>130.26999999999998</v>
      </c>
      <c r="H708" s="195">
        <f t="shared" si="111"/>
        <v>0.13880000000000001</v>
      </c>
    </row>
    <row r="709" spans="1:9" x14ac:dyDescent="0.25">
      <c r="A709" s="598"/>
      <c r="B709" s="176">
        <f t="shared" si="116"/>
        <v>5400</v>
      </c>
      <c r="C709" s="193">
        <f t="shared" si="112"/>
        <v>968.42</v>
      </c>
      <c r="D709" s="193">
        <f t="shared" si="113"/>
        <v>1102.69</v>
      </c>
      <c r="E709" s="194">
        <f t="shared" si="114"/>
        <v>0.17933703703703702</v>
      </c>
      <c r="F709" s="194">
        <f t="shared" si="115"/>
        <v>0.20420185185185186</v>
      </c>
      <c r="G709" s="193">
        <f t="shared" si="110"/>
        <v>134.2700000000001</v>
      </c>
      <c r="H709" s="195">
        <f t="shared" si="111"/>
        <v>0.1386</v>
      </c>
    </row>
    <row r="710" spans="1:9" x14ac:dyDescent="0.25">
      <c r="A710" s="598"/>
      <c r="B710" s="176">
        <f t="shared" si="116"/>
        <v>5600</v>
      </c>
      <c r="C710" s="193">
        <f t="shared" si="112"/>
        <v>998.54</v>
      </c>
      <c r="D710" s="193">
        <f t="shared" si="113"/>
        <v>1136.8</v>
      </c>
      <c r="E710" s="194">
        <f t="shared" si="114"/>
        <v>0.17831071428571427</v>
      </c>
      <c r="F710" s="194">
        <f t="shared" si="115"/>
        <v>0.20299999999999999</v>
      </c>
      <c r="G710" s="193">
        <f t="shared" si="110"/>
        <v>138.26</v>
      </c>
      <c r="H710" s="195">
        <f t="shared" si="111"/>
        <v>0.13850000000000001</v>
      </c>
    </row>
    <row r="711" spans="1:9" x14ac:dyDescent="0.25">
      <c r="A711" s="598"/>
      <c r="B711" s="176">
        <f t="shared" si="116"/>
        <v>5800</v>
      </c>
      <c r="C711" s="193">
        <f t="shared" si="112"/>
        <v>1028.67</v>
      </c>
      <c r="D711" s="193">
        <f t="shared" si="113"/>
        <v>1170.92</v>
      </c>
      <c r="E711" s="194">
        <f t="shared" si="114"/>
        <v>0.17735689655172415</v>
      </c>
      <c r="F711" s="194">
        <f t="shared" si="115"/>
        <v>0.20188275862068966</v>
      </c>
      <c r="G711" s="193">
        <f t="shared" si="110"/>
        <v>142.25</v>
      </c>
      <c r="H711" s="195">
        <f t="shared" si="111"/>
        <v>0.13830000000000001</v>
      </c>
    </row>
    <row r="712" spans="1:9" x14ac:dyDescent="0.25">
      <c r="A712" s="598"/>
      <c r="B712" s="176">
        <f t="shared" si="116"/>
        <v>6000</v>
      </c>
      <c r="C712" s="193">
        <f t="shared" si="112"/>
        <v>1058.79</v>
      </c>
      <c r="D712" s="193">
        <f t="shared" si="113"/>
        <v>1205.04</v>
      </c>
      <c r="E712" s="194">
        <f t="shared" si="114"/>
        <v>0.17646499999999998</v>
      </c>
      <c r="F712" s="194">
        <f t="shared" si="115"/>
        <v>0.20083999999999999</v>
      </c>
      <c r="G712" s="193">
        <f t="shared" si="110"/>
        <v>146.25</v>
      </c>
      <c r="H712" s="195">
        <f t="shared" si="111"/>
        <v>0.1381</v>
      </c>
    </row>
    <row r="713" spans="1:9" x14ac:dyDescent="0.25">
      <c r="C713" s="193"/>
      <c r="D713" s="193"/>
      <c r="E713" s="194"/>
      <c r="F713" s="194"/>
      <c r="G713" s="193"/>
      <c r="H713" s="195"/>
    </row>
    <row r="714" spans="1:9" hidden="1" x14ac:dyDescent="0.25">
      <c r="C714" s="193"/>
      <c r="D714" s="193"/>
      <c r="E714" s="194"/>
      <c r="F714" s="194"/>
      <c r="G714" s="193"/>
      <c r="H714" s="195"/>
    </row>
    <row r="715" spans="1:9" hidden="1" x14ac:dyDescent="0.25">
      <c r="C715" s="193"/>
      <c r="D715" s="193"/>
      <c r="E715" s="194"/>
      <c r="F715" s="194"/>
      <c r="G715" s="193"/>
      <c r="H715" s="195"/>
    </row>
    <row r="716" spans="1:9" hidden="1" x14ac:dyDescent="0.25">
      <c r="C716" s="193"/>
      <c r="D716" s="193"/>
      <c r="E716" s="194"/>
      <c r="F716" s="194"/>
      <c r="G716" s="193"/>
      <c r="H716" s="195"/>
    </row>
    <row r="717" spans="1:9" hidden="1" x14ac:dyDescent="0.25">
      <c r="C717" s="193"/>
      <c r="D717" s="193"/>
      <c r="E717" s="194"/>
      <c r="F717" s="194"/>
      <c r="G717" s="193"/>
      <c r="H717" s="195"/>
    </row>
    <row r="718" spans="1:9" hidden="1" x14ac:dyDescent="0.25">
      <c r="E718" s="194"/>
      <c r="F718" s="194"/>
    </row>
    <row r="719" spans="1:9" hidden="1" x14ac:dyDescent="0.25">
      <c r="A719" s="180" t="s">
        <v>21</v>
      </c>
      <c r="B719" s="179"/>
      <c r="C719" s="179"/>
      <c r="D719" s="179"/>
      <c r="E719" s="179"/>
      <c r="F719" s="179"/>
      <c r="G719" s="179"/>
      <c r="H719" s="179"/>
      <c r="I719" s="180"/>
    </row>
    <row r="720" spans="1:9" hidden="1" x14ac:dyDescent="0.25">
      <c r="A720" s="180" t="s">
        <v>22</v>
      </c>
      <c r="B720" s="179"/>
      <c r="C720" s="179"/>
      <c r="D720" s="179"/>
      <c r="E720" s="179"/>
      <c r="F720" s="179"/>
      <c r="G720" s="179"/>
      <c r="H720" s="179"/>
      <c r="I720" s="180"/>
    </row>
    <row r="721" spans="1:10" hidden="1" x14ac:dyDescent="0.25">
      <c r="A721" s="180" t="s">
        <v>310</v>
      </c>
      <c r="B721" s="179"/>
      <c r="C721" s="179"/>
      <c r="D721" s="179"/>
      <c r="E721" s="179"/>
      <c r="F721" s="179"/>
      <c r="G721" s="179"/>
      <c r="H721" s="179"/>
      <c r="I721" s="180"/>
    </row>
    <row r="722" spans="1:10" x14ac:dyDescent="0.25">
      <c r="A722" s="599" t="s">
        <v>355</v>
      </c>
      <c r="B722" s="179"/>
      <c r="C722" s="179"/>
      <c r="D722" s="179"/>
      <c r="E722" s="179"/>
      <c r="F722" s="179"/>
      <c r="G722" s="179"/>
      <c r="H722" s="179"/>
      <c r="I722" s="180"/>
    </row>
    <row r="723" spans="1:10" x14ac:dyDescent="0.25">
      <c r="E723" s="194"/>
      <c r="F723" s="194"/>
    </row>
    <row r="724" spans="1:10" hidden="1" x14ac:dyDescent="0.25">
      <c r="E724" s="194"/>
      <c r="F724" s="194"/>
    </row>
    <row r="725" spans="1:10" x14ac:dyDescent="0.25">
      <c r="D725" s="181" t="s">
        <v>311</v>
      </c>
      <c r="E725" s="194"/>
      <c r="F725" s="194"/>
      <c r="G725" s="181" t="s">
        <v>312</v>
      </c>
    </row>
    <row r="726" spans="1:10" x14ac:dyDescent="0.25">
      <c r="D726" s="182" t="s">
        <v>313</v>
      </c>
      <c r="E726" s="194"/>
      <c r="F726" s="194"/>
      <c r="G726" s="182" t="s">
        <v>313</v>
      </c>
    </row>
    <row r="727" spans="1:10" x14ac:dyDescent="0.25">
      <c r="A727" s="180" t="s">
        <v>314</v>
      </c>
      <c r="D727" s="183">
        <v>121.01</v>
      </c>
      <c r="E727" s="194"/>
      <c r="F727" s="194"/>
      <c r="G727" s="183">
        <f>VLOOKUP(J727,'EXHIBIT JDT-3 LCOM'!D:N,7,FALSE)</f>
        <v>181.5</v>
      </c>
      <c r="J727" s="223" t="s">
        <v>111</v>
      </c>
    </row>
    <row r="728" spans="1:10" x14ac:dyDescent="0.25">
      <c r="A728" s="180" t="s">
        <v>397</v>
      </c>
      <c r="C728" s="184">
        <v>3000</v>
      </c>
      <c r="D728" s="185">
        <v>0.14948</v>
      </c>
      <c r="E728" s="194"/>
      <c r="F728" s="194"/>
      <c r="G728" s="185"/>
      <c r="J728" s="223" t="s">
        <v>112</v>
      </c>
    </row>
    <row r="729" spans="1:10" x14ac:dyDescent="0.25">
      <c r="A729" s="180" t="s">
        <v>338</v>
      </c>
      <c r="C729" s="184">
        <v>17000</v>
      </c>
      <c r="D729" s="185">
        <v>0.13812000000000002</v>
      </c>
      <c r="E729" s="194"/>
      <c r="F729" s="194"/>
      <c r="G729" s="185"/>
      <c r="J729" s="223" t="s">
        <v>113</v>
      </c>
    </row>
    <row r="730" spans="1:10" x14ac:dyDescent="0.25">
      <c r="A730" s="180" t="s">
        <v>315</v>
      </c>
      <c r="C730" s="184">
        <v>9999999999</v>
      </c>
      <c r="D730" s="185">
        <v>0.12311000000000001</v>
      </c>
      <c r="E730" s="194"/>
      <c r="F730" s="194"/>
      <c r="G730" s="185"/>
      <c r="J730" s="223" t="s">
        <v>114</v>
      </c>
    </row>
    <row r="731" spans="1:10" x14ac:dyDescent="0.25">
      <c r="C731" s="184"/>
      <c r="D731" s="185"/>
      <c r="E731" s="194"/>
      <c r="F731" s="194"/>
      <c r="G731" s="185">
        <f>VLOOKUP(J731,'EXHIBIT JDT-3 LCOM'!D:N,7,FALSE)/10</f>
        <v>0.15465000000000001</v>
      </c>
      <c r="J731" s="223" t="s">
        <v>348</v>
      </c>
    </row>
    <row r="732" spans="1:10" hidden="1" x14ac:dyDescent="0.25">
      <c r="C732" s="184"/>
      <c r="D732" s="185"/>
      <c r="E732" s="194"/>
      <c r="F732" s="194"/>
      <c r="G732" s="186"/>
      <c r="J732" s="223"/>
    </row>
    <row r="733" spans="1:10" hidden="1" x14ac:dyDescent="0.25">
      <c r="A733" s="180" t="s">
        <v>316</v>
      </c>
      <c r="D733" s="185">
        <v>0</v>
      </c>
      <c r="G733" s="185">
        <f>D733</f>
        <v>0</v>
      </c>
      <c r="J733" s="188" t="s">
        <v>370</v>
      </c>
    </row>
    <row r="734" spans="1:10" hidden="1" x14ac:dyDescent="0.25">
      <c r="A734" s="180" t="s">
        <v>317</v>
      </c>
      <c r="D734" s="185">
        <v>0</v>
      </c>
      <c r="G734" s="185">
        <f t="shared" ref="G734:G736" si="117">D734</f>
        <v>0</v>
      </c>
      <c r="J734" s="188" t="s">
        <v>370</v>
      </c>
    </row>
    <row r="735" spans="1:10" hidden="1" x14ac:dyDescent="0.25">
      <c r="A735" s="180" t="s">
        <v>318</v>
      </c>
      <c r="D735" s="185">
        <v>0</v>
      </c>
      <c r="G735" s="185">
        <f t="shared" si="117"/>
        <v>0</v>
      </c>
      <c r="J735" s="188"/>
    </row>
    <row r="736" spans="1:10" hidden="1" x14ac:dyDescent="0.25">
      <c r="A736" s="180" t="s">
        <v>319</v>
      </c>
      <c r="D736" s="185">
        <v>0</v>
      </c>
      <c r="G736" s="185">
        <f t="shared" si="117"/>
        <v>0</v>
      </c>
      <c r="J736" s="188"/>
    </row>
    <row r="737" spans="1:10" hidden="1" x14ac:dyDescent="0.25">
      <c r="A737" s="180" t="s">
        <v>320</v>
      </c>
      <c r="D737" s="185">
        <v>0</v>
      </c>
      <c r="G737" s="185">
        <f>IFERROR(VLOOKUP(J737,'EXHIBIT JDT-3 LCOM'!D:N,7,FALSE)/10,0)</f>
        <v>0</v>
      </c>
      <c r="J737" s="188"/>
    </row>
    <row r="738" spans="1:10" hidden="1" x14ac:dyDescent="0.25">
      <c r="A738" s="180" t="s">
        <v>341</v>
      </c>
      <c r="D738" s="185">
        <v>0</v>
      </c>
      <c r="G738" s="185">
        <f>IFERROR(VLOOKUP(J738,'EXHIBIT JDT-3 LCOM'!D:N,7,FALSE)/10,0)</f>
        <v>0</v>
      </c>
      <c r="J738" s="188"/>
    </row>
    <row r="739" spans="1:10" hidden="1" x14ac:dyDescent="0.25">
      <c r="A739" s="180" t="s">
        <v>342</v>
      </c>
      <c r="D739" s="185">
        <v>0</v>
      </c>
      <c r="G739" s="185">
        <v>0</v>
      </c>
      <c r="J739" s="188" t="s">
        <v>370</v>
      </c>
    </row>
    <row r="740" spans="1:10" hidden="1" x14ac:dyDescent="0.25">
      <c r="A740" s="180" t="s">
        <v>343</v>
      </c>
      <c r="D740" s="185">
        <v>0</v>
      </c>
      <c r="G740" s="185">
        <v>0</v>
      </c>
      <c r="J740" s="188" t="s">
        <v>370</v>
      </c>
    </row>
    <row r="741" spans="1:10" hidden="1" x14ac:dyDescent="0.25">
      <c r="D741" s="185"/>
      <c r="J741" s="188"/>
    </row>
    <row r="742" spans="1:10" hidden="1" x14ac:dyDescent="0.25">
      <c r="A742" s="180" t="s">
        <v>321</v>
      </c>
      <c r="D742" s="195">
        <f>$D$23</f>
        <v>0</v>
      </c>
      <c r="G742" s="195">
        <f>$G$23</f>
        <v>0</v>
      </c>
    </row>
    <row r="743" spans="1:10" hidden="1" x14ac:dyDescent="0.25"/>
    <row r="745" spans="1:10" x14ac:dyDescent="0.25">
      <c r="G745" s="190" t="s">
        <v>322</v>
      </c>
      <c r="H745" s="190"/>
    </row>
    <row r="746" spans="1:10" x14ac:dyDescent="0.25">
      <c r="B746" s="176" t="s">
        <v>323</v>
      </c>
      <c r="C746" s="181" t="s">
        <v>311</v>
      </c>
      <c r="D746" s="181" t="s">
        <v>312</v>
      </c>
      <c r="E746" s="181" t="s">
        <v>311</v>
      </c>
      <c r="F746" s="181" t="s">
        <v>312</v>
      </c>
      <c r="G746" s="181" t="s">
        <v>324</v>
      </c>
      <c r="H746" s="181" t="s">
        <v>325</v>
      </c>
      <c r="J746" s="191"/>
    </row>
    <row r="747" spans="1:10" x14ac:dyDescent="0.25">
      <c r="C747" s="192" t="s">
        <v>326</v>
      </c>
      <c r="D747" s="192" t="s">
        <v>327</v>
      </c>
      <c r="E747" s="181" t="s">
        <v>328</v>
      </c>
      <c r="F747" s="181" t="s">
        <v>328</v>
      </c>
      <c r="G747" s="192" t="s">
        <v>329</v>
      </c>
    </row>
    <row r="748" spans="1:10" x14ac:dyDescent="0.25">
      <c r="E748" s="194"/>
      <c r="F748" s="194"/>
    </row>
    <row r="749" spans="1:10" x14ac:dyDescent="0.25">
      <c r="B749" s="176">
        <f>B682</f>
        <v>0</v>
      </c>
      <c r="C749" s="193">
        <f>ROUND((D$727+MINA($B749,$C$728)*D$728+MINA($C$729,MAXA($B749-$C$728,0))*D$729+MAXA($B749-$C$728-$C$729,0)*D$730+$B749*(D$733+D$734+D$735+D$736+D$737+D$738+D$739+D$740))*(1+D$742),2)</f>
        <v>121.01</v>
      </c>
      <c r="D749" s="193">
        <f>ROUND((G$727+(SUM(G$731:G$740)*B749))*(1+$G$742),2)</f>
        <v>181.5</v>
      </c>
      <c r="E749" s="193"/>
      <c r="F749" s="193"/>
      <c r="G749" s="193">
        <f t="shared" ref="G749:G779" si="118">D749-C749</f>
        <v>60.489999999999995</v>
      </c>
      <c r="H749" s="195">
        <f t="shared" ref="H749:H779" si="119">ROUND(G749/C749,4)</f>
        <v>0.49990000000000001</v>
      </c>
    </row>
    <row r="750" spans="1:10" x14ac:dyDescent="0.25">
      <c r="B750" s="176">
        <f t="shared" ref="B750:B779" si="120">B683</f>
        <v>200</v>
      </c>
      <c r="C750" s="193">
        <f t="shared" ref="C750:C779" si="121">ROUND((D$727+MINA($B750,$C$728)*D$728+MINA($C$729,MAXA($B750-$C$728,0))*D$729+MAXA($B750-$C$728-$C$729,0)*D$730+$B750*(D$733+D$734+D$735+D$736+D$737+D$738+D$739+D$740))*(1+D$742),2)</f>
        <v>150.91</v>
      </c>
      <c r="D750" s="193">
        <f t="shared" ref="D750:D779" si="122">ROUND((G$727+(SUM(G$731:G$740)*B750))*(1+$G$742),2)</f>
        <v>212.43</v>
      </c>
      <c r="E750" s="194">
        <f t="shared" ref="E750:E779" si="123">+C750/B750</f>
        <v>0.75454999999999994</v>
      </c>
      <c r="F750" s="194">
        <f t="shared" ref="F750:F779" si="124">+D750/B750</f>
        <v>1.0621499999999999</v>
      </c>
      <c r="G750" s="193">
        <f t="shared" si="118"/>
        <v>61.52000000000001</v>
      </c>
      <c r="H750" s="195">
        <f t="shared" si="119"/>
        <v>0.40770000000000001</v>
      </c>
    </row>
    <row r="751" spans="1:10" x14ac:dyDescent="0.25">
      <c r="B751" s="176">
        <f t="shared" si="120"/>
        <v>400</v>
      </c>
      <c r="C751" s="193">
        <f t="shared" si="121"/>
        <v>180.8</v>
      </c>
      <c r="D751" s="193">
        <f t="shared" si="122"/>
        <v>243.36</v>
      </c>
      <c r="E751" s="194">
        <f t="shared" si="123"/>
        <v>0.45200000000000001</v>
      </c>
      <c r="F751" s="194">
        <f t="shared" si="124"/>
        <v>0.60840000000000005</v>
      </c>
      <c r="G751" s="193">
        <f t="shared" si="118"/>
        <v>62.56</v>
      </c>
      <c r="H751" s="195">
        <f t="shared" si="119"/>
        <v>0.34599999999999997</v>
      </c>
    </row>
    <row r="752" spans="1:10" x14ac:dyDescent="0.25">
      <c r="B752" s="176">
        <f t="shared" si="120"/>
        <v>600</v>
      </c>
      <c r="C752" s="193">
        <f t="shared" si="121"/>
        <v>210.7</v>
      </c>
      <c r="D752" s="193">
        <f t="shared" si="122"/>
        <v>274.29000000000002</v>
      </c>
      <c r="E752" s="194">
        <f t="shared" si="123"/>
        <v>0.35116666666666663</v>
      </c>
      <c r="F752" s="194">
        <f t="shared" si="124"/>
        <v>0.45715000000000006</v>
      </c>
      <c r="G752" s="193">
        <f t="shared" si="118"/>
        <v>63.590000000000032</v>
      </c>
      <c r="H752" s="195">
        <f t="shared" si="119"/>
        <v>0.30180000000000001</v>
      </c>
    </row>
    <row r="753" spans="2:8" x14ac:dyDescent="0.25">
      <c r="B753" s="176">
        <f t="shared" si="120"/>
        <v>800</v>
      </c>
      <c r="C753" s="193">
        <f t="shared" si="121"/>
        <v>240.59</v>
      </c>
      <c r="D753" s="193">
        <f t="shared" si="122"/>
        <v>305.22000000000003</v>
      </c>
      <c r="E753" s="194">
        <f t="shared" si="123"/>
        <v>0.30073749999999999</v>
      </c>
      <c r="F753" s="194">
        <f t="shared" si="124"/>
        <v>0.38152500000000006</v>
      </c>
      <c r="G753" s="193">
        <f t="shared" si="118"/>
        <v>64.630000000000024</v>
      </c>
      <c r="H753" s="195">
        <f t="shared" si="119"/>
        <v>0.26860000000000001</v>
      </c>
    </row>
    <row r="754" spans="2:8" x14ac:dyDescent="0.25">
      <c r="B754" s="176">
        <f t="shared" si="120"/>
        <v>1000</v>
      </c>
      <c r="C754" s="193">
        <f t="shared" si="121"/>
        <v>270.49</v>
      </c>
      <c r="D754" s="193">
        <f t="shared" si="122"/>
        <v>336.15</v>
      </c>
      <c r="E754" s="194">
        <f t="shared" si="123"/>
        <v>0.27049000000000001</v>
      </c>
      <c r="F754" s="194">
        <f t="shared" si="124"/>
        <v>0.33615</v>
      </c>
      <c r="G754" s="193">
        <f t="shared" si="118"/>
        <v>65.659999999999968</v>
      </c>
      <c r="H754" s="195">
        <f t="shared" si="119"/>
        <v>0.2427</v>
      </c>
    </row>
    <row r="755" spans="2:8" x14ac:dyDescent="0.25">
      <c r="B755" s="176">
        <f t="shared" si="120"/>
        <v>1200</v>
      </c>
      <c r="C755" s="193">
        <f t="shared" si="121"/>
        <v>300.39</v>
      </c>
      <c r="D755" s="193">
        <f t="shared" si="122"/>
        <v>367.08</v>
      </c>
      <c r="E755" s="194">
        <f t="shared" si="123"/>
        <v>0.25032499999999996</v>
      </c>
      <c r="F755" s="194">
        <f t="shared" si="124"/>
        <v>0.30590000000000001</v>
      </c>
      <c r="G755" s="193">
        <f t="shared" si="118"/>
        <v>66.69</v>
      </c>
      <c r="H755" s="195">
        <f t="shared" si="119"/>
        <v>0.222</v>
      </c>
    </row>
    <row r="756" spans="2:8" x14ac:dyDescent="0.25">
      <c r="B756" s="176">
        <f t="shared" si="120"/>
        <v>1400</v>
      </c>
      <c r="C756" s="193">
        <f t="shared" si="121"/>
        <v>330.28</v>
      </c>
      <c r="D756" s="193">
        <f t="shared" si="122"/>
        <v>398.01</v>
      </c>
      <c r="E756" s="194">
        <f t="shared" si="123"/>
        <v>0.23591428571428569</v>
      </c>
      <c r="F756" s="194">
        <f t="shared" si="124"/>
        <v>0.28429285714285712</v>
      </c>
      <c r="G756" s="193">
        <f t="shared" si="118"/>
        <v>67.730000000000018</v>
      </c>
      <c r="H756" s="195">
        <f t="shared" si="119"/>
        <v>0.2051</v>
      </c>
    </row>
    <row r="757" spans="2:8" x14ac:dyDescent="0.25">
      <c r="B757" s="176">
        <f t="shared" si="120"/>
        <v>1600</v>
      </c>
      <c r="C757" s="193">
        <f t="shared" si="121"/>
        <v>360.18</v>
      </c>
      <c r="D757" s="193">
        <f t="shared" si="122"/>
        <v>428.94</v>
      </c>
      <c r="E757" s="194">
        <f t="shared" si="123"/>
        <v>0.22511249999999999</v>
      </c>
      <c r="F757" s="194">
        <f t="shared" si="124"/>
        <v>0.26808749999999998</v>
      </c>
      <c r="G757" s="193">
        <f t="shared" si="118"/>
        <v>68.759999999999991</v>
      </c>
      <c r="H757" s="195">
        <f t="shared" si="119"/>
        <v>0.19089999999999999</v>
      </c>
    </row>
    <row r="758" spans="2:8" x14ac:dyDescent="0.25">
      <c r="B758" s="176">
        <f t="shared" si="120"/>
        <v>1800</v>
      </c>
      <c r="C758" s="193">
        <f t="shared" si="121"/>
        <v>390.07</v>
      </c>
      <c r="D758" s="193">
        <f t="shared" si="122"/>
        <v>459.87</v>
      </c>
      <c r="E758" s="194">
        <f t="shared" si="123"/>
        <v>0.21670555555555554</v>
      </c>
      <c r="F758" s="194">
        <f t="shared" si="124"/>
        <v>0.25548333333333334</v>
      </c>
      <c r="G758" s="193">
        <f t="shared" si="118"/>
        <v>69.800000000000011</v>
      </c>
      <c r="H758" s="195">
        <f t="shared" si="119"/>
        <v>0.1789</v>
      </c>
    </row>
    <row r="759" spans="2:8" x14ac:dyDescent="0.25">
      <c r="B759" s="176">
        <f t="shared" si="120"/>
        <v>2000</v>
      </c>
      <c r="C759" s="193">
        <f t="shared" si="121"/>
        <v>419.97</v>
      </c>
      <c r="D759" s="193">
        <f t="shared" si="122"/>
        <v>490.8</v>
      </c>
      <c r="E759" s="194">
        <f t="shared" si="123"/>
        <v>0.209985</v>
      </c>
      <c r="F759" s="194">
        <f t="shared" si="124"/>
        <v>0.24540000000000001</v>
      </c>
      <c r="G759" s="193">
        <f t="shared" si="118"/>
        <v>70.829999999999984</v>
      </c>
      <c r="H759" s="195">
        <f t="shared" si="119"/>
        <v>0.16869999999999999</v>
      </c>
    </row>
    <row r="760" spans="2:8" x14ac:dyDescent="0.25">
      <c r="B760" s="176">
        <f t="shared" si="120"/>
        <v>2200</v>
      </c>
      <c r="C760" s="193">
        <f t="shared" si="121"/>
        <v>449.87</v>
      </c>
      <c r="D760" s="193">
        <f t="shared" si="122"/>
        <v>521.73</v>
      </c>
      <c r="E760" s="194">
        <f t="shared" si="123"/>
        <v>0.20448636363636363</v>
      </c>
      <c r="F760" s="194">
        <f t="shared" si="124"/>
        <v>0.23715</v>
      </c>
      <c r="G760" s="193">
        <f t="shared" si="118"/>
        <v>71.860000000000014</v>
      </c>
      <c r="H760" s="195">
        <f t="shared" si="119"/>
        <v>0.15970000000000001</v>
      </c>
    </row>
    <row r="761" spans="2:8" x14ac:dyDescent="0.25">
      <c r="B761" s="176">
        <f t="shared" si="120"/>
        <v>2400</v>
      </c>
      <c r="C761" s="193">
        <f t="shared" si="121"/>
        <v>479.76</v>
      </c>
      <c r="D761" s="193">
        <f t="shared" si="122"/>
        <v>552.66</v>
      </c>
      <c r="E761" s="194">
        <f t="shared" si="123"/>
        <v>0.19989999999999999</v>
      </c>
      <c r="F761" s="194">
        <f t="shared" si="124"/>
        <v>0.23027499999999998</v>
      </c>
      <c r="G761" s="193">
        <f t="shared" si="118"/>
        <v>72.899999999999977</v>
      </c>
      <c r="H761" s="195">
        <f t="shared" si="119"/>
        <v>0.152</v>
      </c>
    </row>
    <row r="762" spans="2:8" x14ac:dyDescent="0.25">
      <c r="B762" s="176">
        <f t="shared" si="120"/>
        <v>2600</v>
      </c>
      <c r="C762" s="193">
        <f t="shared" si="121"/>
        <v>509.66</v>
      </c>
      <c r="D762" s="193">
        <f t="shared" si="122"/>
        <v>583.59</v>
      </c>
      <c r="E762" s="194">
        <f t="shared" si="123"/>
        <v>0.19602307692307694</v>
      </c>
      <c r="F762" s="194">
        <f t="shared" si="124"/>
        <v>0.22445769230769233</v>
      </c>
      <c r="G762" s="193">
        <f t="shared" si="118"/>
        <v>73.930000000000007</v>
      </c>
      <c r="H762" s="195">
        <f t="shared" si="119"/>
        <v>0.14510000000000001</v>
      </c>
    </row>
    <row r="763" spans="2:8" x14ac:dyDescent="0.25">
      <c r="B763" s="176">
        <f t="shared" si="120"/>
        <v>2800</v>
      </c>
      <c r="C763" s="193">
        <f t="shared" si="121"/>
        <v>539.54999999999995</v>
      </c>
      <c r="D763" s="193">
        <f t="shared" si="122"/>
        <v>614.52</v>
      </c>
      <c r="E763" s="194">
        <f t="shared" si="123"/>
        <v>0.19269642857142855</v>
      </c>
      <c r="F763" s="194">
        <f t="shared" si="124"/>
        <v>0.21947142857142857</v>
      </c>
      <c r="G763" s="193">
        <f t="shared" si="118"/>
        <v>74.970000000000027</v>
      </c>
      <c r="H763" s="195">
        <f t="shared" si="119"/>
        <v>0.1389</v>
      </c>
    </row>
    <row r="764" spans="2:8" x14ac:dyDescent="0.25">
      <c r="B764" s="176">
        <f t="shared" si="120"/>
        <v>3000</v>
      </c>
      <c r="C764" s="193">
        <f t="shared" si="121"/>
        <v>569.45000000000005</v>
      </c>
      <c r="D764" s="193">
        <f t="shared" si="122"/>
        <v>645.45000000000005</v>
      </c>
      <c r="E764" s="194">
        <f t="shared" si="123"/>
        <v>0.18981666666666669</v>
      </c>
      <c r="F764" s="194">
        <f t="shared" si="124"/>
        <v>0.21515000000000001</v>
      </c>
      <c r="G764" s="193">
        <f t="shared" si="118"/>
        <v>76</v>
      </c>
      <c r="H764" s="195">
        <f t="shared" si="119"/>
        <v>0.13350000000000001</v>
      </c>
    </row>
    <row r="765" spans="2:8" x14ac:dyDescent="0.25">
      <c r="B765" s="176">
        <f t="shared" si="120"/>
        <v>3200</v>
      </c>
      <c r="C765" s="193">
        <f t="shared" si="121"/>
        <v>597.07000000000005</v>
      </c>
      <c r="D765" s="193">
        <f t="shared" si="122"/>
        <v>676.38</v>
      </c>
      <c r="E765" s="194">
        <f t="shared" si="123"/>
        <v>0.18658437500000002</v>
      </c>
      <c r="F765" s="194">
        <f t="shared" si="124"/>
        <v>0.21136874999999999</v>
      </c>
      <c r="G765" s="193">
        <f t="shared" si="118"/>
        <v>79.309999999999945</v>
      </c>
      <c r="H765" s="195">
        <f t="shared" si="119"/>
        <v>0.1328</v>
      </c>
    </row>
    <row r="766" spans="2:8" x14ac:dyDescent="0.25">
      <c r="B766" s="176">
        <f t="shared" si="120"/>
        <v>3400</v>
      </c>
      <c r="C766" s="193">
        <f t="shared" si="121"/>
        <v>624.70000000000005</v>
      </c>
      <c r="D766" s="193">
        <f t="shared" si="122"/>
        <v>707.31</v>
      </c>
      <c r="E766" s="194">
        <f t="shared" si="123"/>
        <v>0.18373529411764708</v>
      </c>
      <c r="F766" s="194">
        <f t="shared" si="124"/>
        <v>0.20803235294117645</v>
      </c>
      <c r="G766" s="193">
        <f t="shared" si="118"/>
        <v>82.6099999999999</v>
      </c>
      <c r="H766" s="195">
        <f t="shared" si="119"/>
        <v>0.13220000000000001</v>
      </c>
    </row>
    <row r="767" spans="2:8" x14ac:dyDescent="0.25">
      <c r="B767" s="176">
        <f t="shared" si="120"/>
        <v>3600</v>
      </c>
      <c r="C767" s="193">
        <f t="shared" si="121"/>
        <v>652.32000000000005</v>
      </c>
      <c r="D767" s="193">
        <f t="shared" si="122"/>
        <v>738.24</v>
      </c>
      <c r="E767" s="194">
        <f t="shared" si="123"/>
        <v>0.18120000000000003</v>
      </c>
      <c r="F767" s="194">
        <f t="shared" si="124"/>
        <v>0.20506666666666667</v>
      </c>
      <c r="G767" s="193">
        <f t="shared" si="118"/>
        <v>85.919999999999959</v>
      </c>
      <c r="H767" s="195">
        <f t="shared" si="119"/>
        <v>0.13170000000000001</v>
      </c>
    </row>
    <row r="768" spans="2:8" x14ac:dyDescent="0.25">
      <c r="B768" s="176">
        <f t="shared" si="120"/>
        <v>3800</v>
      </c>
      <c r="C768" s="193">
        <f t="shared" si="121"/>
        <v>679.95</v>
      </c>
      <c r="D768" s="193">
        <f t="shared" si="122"/>
        <v>769.17</v>
      </c>
      <c r="E768" s="194">
        <f t="shared" si="123"/>
        <v>0.17893421052631581</v>
      </c>
      <c r="F768" s="194">
        <f t="shared" si="124"/>
        <v>0.20241315789473682</v>
      </c>
      <c r="G768" s="193">
        <f t="shared" si="118"/>
        <v>89.219999999999914</v>
      </c>
      <c r="H768" s="195">
        <f t="shared" si="119"/>
        <v>0.13120000000000001</v>
      </c>
    </row>
    <row r="769" spans="2:8" x14ac:dyDescent="0.25">
      <c r="B769" s="176">
        <f t="shared" si="120"/>
        <v>4000</v>
      </c>
      <c r="C769" s="193">
        <f t="shared" si="121"/>
        <v>707.57</v>
      </c>
      <c r="D769" s="193">
        <f t="shared" si="122"/>
        <v>800.1</v>
      </c>
      <c r="E769" s="194">
        <f t="shared" si="123"/>
        <v>0.17689250000000001</v>
      </c>
      <c r="F769" s="194">
        <f t="shared" si="124"/>
        <v>0.20002500000000001</v>
      </c>
      <c r="G769" s="193">
        <f t="shared" si="118"/>
        <v>92.529999999999973</v>
      </c>
      <c r="H769" s="195">
        <f t="shared" si="119"/>
        <v>0.1308</v>
      </c>
    </row>
    <row r="770" spans="2:8" x14ac:dyDescent="0.25">
      <c r="B770" s="176">
        <f t="shared" si="120"/>
        <v>4200</v>
      </c>
      <c r="C770" s="193">
        <f t="shared" si="121"/>
        <v>735.19</v>
      </c>
      <c r="D770" s="193">
        <f t="shared" si="122"/>
        <v>831.03</v>
      </c>
      <c r="E770" s="194">
        <f t="shared" si="123"/>
        <v>0.17504523809523811</v>
      </c>
      <c r="F770" s="194">
        <f t="shared" si="124"/>
        <v>0.19786428571428571</v>
      </c>
      <c r="G770" s="193">
        <f t="shared" si="118"/>
        <v>95.839999999999918</v>
      </c>
      <c r="H770" s="195">
        <f t="shared" si="119"/>
        <v>0.13039999999999999</v>
      </c>
    </row>
    <row r="771" spans="2:8" x14ac:dyDescent="0.25">
      <c r="B771" s="176">
        <f t="shared" si="120"/>
        <v>4400</v>
      </c>
      <c r="C771" s="193">
        <f t="shared" si="121"/>
        <v>762.82</v>
      </c>
      <c r="D771" s="193">
        <f t="shared" si="122"/>
        <v>861.96</v>
      </c>
      <c r="E771" s="194">
        <f t="shared" si="123"/>
        <v>0.17336818181818184</v>
      </c>
      <c r="F771" s="194">
        <f t="shared" si="124"/>
        <v>0.19590000000000002</v>
      </c>
      <c r="G771" s="193">
        <f t="shared" si="118"/>
        <v>99.139999999999986</v>
      </c>
      <c r="H771" s="195">
        <f t="shared" si="119"/>
        <v>0.13</v>
      </c>
    </row>
    <row r="772" spans="2:8" x14ac:dyDescent="0.25">
      <c r="B772" s="176">
        <f t="shared" si="120"/>
        <v>4600</v>
      </c>
      <c r="C772" s="193">
        <f t="shared" si="121"/>
        <v>790.44</v>
      </c>
      <c r="D772" s="193">
        <f t="shared" si="122"/>
        <v>892.89</v>
      </c>
      <c r="E772" s="194">
        <f t="shared" si="123"/>
        <v>0.17183478260869567</v>
      </c>
      <c r="F772" s="194">
        <f t="shared" si="124"/>
        <v>0.19410652173913043</v>
      </c>
      <c r="G772" s="193">
        <f t="shared" si="118"/>
        <v>102.44999999999993</v>
      </c>
      <c r="H772" s="195">
        <f t="shared" si="119"/>
        <v>0.12959999999999999</v>
      </c>
    </row>
    <row r="773" spans="2:8" x14ac:dyDescent="0.25">
      <c r="B773" s="176">
        <f t="shared" si="120"/>
        <v>4800</v>
      </c>
      <c r="C773" s="193">
        <f t="shared" si="121"/>
        <v>818.07</v>
      </c>
      <c r="D773" s="193">
        <f t="shared" si="122"/>
        <v>923.82</v>
      </c>
      <c r="E773" s="194">
        <f t="shared" si="123"/>
        <v>0.17043125000000001</v>
      </c>
      <c r="F773" s="194">
        <f t="shared" si="124"/>
        <v>0.19246250000000001</v>
      </c>
      <c r="G773" s="193">
        <f t="shared" si="118"/>
        <v>105.75</v>
      </c>
      <c r="H773" s="195">
        <f t="shared" si="119"/>
        <v>0.1293</v>
      </c>
    </row>
    <row r="774" spans="2:8" x14ac:dyDescent="0.25">
      <c r="B774" s="176">
        <f t="shared" si="120"/>
        <v>5000</v>
      </c>
      <c r="C774" s="193">
        <f t="shared" si="121"/>
        <v>845.69</v>
      </c>
      <c r="D774" s="193">
        <f t="shared" si="122"/>
        <v>954.75</v>
      </c>
      <c r="E774" s="194">
        <f t="shared" si="123"/>
        <v>0.16913800000000001</v>
      </c>
      <c r="F774" s="194">
        <f t="shared" si="124"/>
        <v>0.19095000000000001</v>
      </c>
      <c r="G774" s="193">
        <f t="shared" si="118"/>
        <v>109.05999999999995</v>
      </c>
      <c r="H774" s="195">
        <f t="shared" si="119"/>
        <v>0.129</v>
      </c>
    </row>
    <row r="775" spans="2:8" x14ac:dyDescent="0.25">
      <c r="B775" s="176">
        <f t="shared" si="120"/>
        <v>5200</v>
      </c>
      <c r="C775" s="193">
        <f t="shared" si="121"/>
        <v>873.31</v>
      </c>
      <c r="D775" s="193">
        <f t="shared" si="122"/>
        <v>985.68</v>
      </c>
      <c r="E775" s="194">
        <f t="shared" si="123"/>
        <v>0.16794423076923076</v>
      </c>
      <c r="F775" s="194">
        <f t="shared" si="124"/>
        <v>0.18955384615384616</v>
      </c>
      <c r="G775" s="193">
        <f t="shared" si="118"/>
        <v>112.37</v>
      </c>
      <c r="H775" s="195">
        <f t="shared" si="119"/>
        <v>0.12870000000000001</v>
      </c>
    </row>
    <row r="776" spans="2:8" x14ac:dyDescent="0.25">
      <c r="B776" s="176">
        <f t="shared" si="120"/>
        <v>5400</v>
      </c>
      <c r="C776" s="193">
        <f t="shared" si="121"/>
        <v>900.94</v>
      </c>
      <c r="D776" s="193">
        <f t="shared" si="122"/>
        <v>1016.61</v>
      </c>
      <c r="E776" s="194">
        <f t="shared" si="123"/>
        <v>0.16684074074074076</v>
      </c>
      <c r="F776" s="194">
        <f t="shared" si="124"/>
        <v>0.1882611111111111</v>
      </c>
      <c r="G776" s="193">
        <f t="shared" si="118"/>
        <v>115.66999999999996</v>
      </c>
      <c r="H776" s="195">
        <f t="shared" si="119"/>
        <v>0.12839999999999999</v>
      </c>
    </row>
    <row r="777" spans="2:8" x14ac:dyDescent="0.25">
      <c r="B777" s="176">
        <f t="shared" si="120"/>
        <v>5600</v>
      </c>
      <c r="C777" s="193">
        <f t="shared" si="121"/>
        <v>928.56</v>
      </c>
      <c r="D777" s="193">
        <f t="shared" si="122"/>
        <v>1047.54</v>
      </c>
      <c r="E777" s="194">
        <f t="shared" si="123"/>
        <v>0.16581428571428569</v>
      </c>
      <c r="F777" s="194">
        <f t="shared" si="124"/>
        <v>0.18706071428571427</v>
      </c>
      <c r="G777" s="193">
        <f t="shared" si="118"/>
        <v>118.98000000000002</v>
      </c>
      <c r="H777" s="195">
        <f t="shared" si="119"/>
        <v>0.12809999999999999</v>
      </c>
    </row>
    <row r="778" spans="2:8" x14ac:dyDescent="0.25">
      <c r="B778" s="176">
        <f t="shared" si="120"/>
        <v>5800</v>
      </c>
      <c r="C778" s="193">
        <f t="shared" si="121"/>
        <v>956.19</v>
      </c>
      <c r="D778" s="193">
        <f t="shared" si="122"/>
        <v>1078.47</v>
      </c>
      <c r="E778" s="194">
        <f t="shared" si="123"/>
        <v>0.16486034482758621</v>
      </c>
      <c r="F778" s="194">
        <f t="shared" si="124"/>
        <v>0.18594310344827586</v>
      </c>
      <c r="G778" s="193">
        <f t="shared" si="118"/>
        <v>122.27999999999997</v>
      </c>
      <c r="H778" s="195">
        <f t="shared" si="119"/>
        <v>0.12790000000000001</v>
      </c>
    </row>
    <row r="779" spans="2:8" x14ac:dyDescent="0.25">
      <c r="B779" s="176">
        <f t="shared" si="120"/>
        <v>6000</v>
      </c>
      <c r="C779" s="193">
        <f t="shared" si="121"/>
        <v>983.81</v>
      </c>
      <c r="D779" s="193">
        <f t="shared" si="122"/>
        <v>1109.4000000000001</v>
      </c>
      <c r="E779" s="194">
        <f t="shared" si="123"/>
        <v>0.16396833333333333</v>
      </c>
      <c r="F779" s="194">
        <f t="shared" si="124"/>
        <v>0.18490000000000001</v>
      </c>
      <c r="G779" s="193">
        <f t="shared" si="118"/>
        <v>125.59000000000015</v>
      </c>
      <c r="H779" s="195">
        <f t="shared" si="119"/>
        <v>0.12770000000000001</v>
      </c>
    </row>
    <row r="780" spans="2:8" x14ac:dyDescent="0.25">
      <c r="C780" s="193"/>
      <c r="D780" s="193"/>
      <c r="E780" s="194"/>
      <c r="F780" s="194"/>
      <c r="G780" s="193"/>
      <c r="H780" s="195"/>
    </row>
    <row r="781" spans="2:8" hidden="1" x14ac:dyDescent="0.25">
      <c r="C781" s="193"/>
      <c r="D781" s="193"/>
      <c r="E781" s="194"/>
      <c r="F781" s="194"/>
      <c r="G781" s="193"/>
      <c r="H781" s="195"/>
    </row>
    <row r="782" spans="2:8" hidden="1" x14ac:dyDescent="0.25">
      <c r="C782" s="193"/>
      <c r="D782" s="193"/>
      <c r="E782" s="194"/>
      <c r="F782" s="194"/>
      <c r="G782" s="193"/>
      <c r="H782" s="195"/>
    </row>
    <row r="783" spans="2:8" hidden="1" x14ac:dyDescent="0.25">
      <c r="C783" s="193"/>
      <c r="D783" s="193"/>
      <c r="E783" s="194"/>
      <c r="F783" s="194"/>
      <c r="G783" s="193"/>
      <c r="H783" s="195"/>
    </row>
    <row r="784" spans="2:8" hidden="1" x14ac:dyDescent="0.25">
      <c r="E784" s="194"/>
      <c r="F784" s="194"/>
    </row>
    <row r="785" spans="1:10" hidden="1" x14ac:dyDescent="0.25">
      <c r="E785" s="194"/>
      <c r="F785" s="194"/>
    </row>
    <row r="786" spans="1:10" hidden="1" x14ac:dyDescent="0.25">
      <c r="A786" s="180" t="s">
        <v>21</v>
      </c>
      <c r="B786" s="179"/>
      <c r="C786" s="179"/>
      <c r="D786" s="179"/>
      <c r="E786" s="179"/>
      <c r="F786" s="179"/>
      <c r="G786" s="179"/>
      <c r="H786" s="179"/>
      <c r="I786" s="180"/>
    </row>
    <row r="787" spans="1:10" hidden="1" x14ac:dyDescent="0.25">
      <c r="A787" s="180" t="s">
        <v>22</v>
      </c>
      <c r="B787" s="179"/>
      <c r="C787" s="179"/>
      <c r="D787" s="179"/>
      <c r="E787" s="179"/>
      <c r="F787" s="179"/>
      <c r="G787" s="179"/>
      <c r="H787" s="179"/>
      <c r="I787" s="180"/>
    </row>
    <row r="788" spans="1:10" hidden="1" x14ac:dyDescent="0.25">
      <c r="A788" s="180" t="s">
        <v>310</v>
      </c>
      <c r="B788" s="179"/>
      <c r="C788" s="179"/>
      <c r="D788" s="179"/>
      <c r="E788" s="179"/>
      <c r="F788" s="179"/>
      <c r="G788" s="179"/>
      <c r="H788" s="179"/>
      <c r="I788" s="180"/>
    </row>
    <row r="789" spans="1:10" x14ac:dyDescent="0.25">
      <c r="A789" s="599" t="s">
        <v>356</v>
      </c>
      <c r="B789" s="179"/>
      <c r="C789" s="179"/>
      <c r="D789" s="179"/>
      <c r="E789" s="179"/>
      <c r="F789" s="179"/>
      <c r="G789" s="179"/>
      <c r="H789" s="179"/>
      <c r="I789" s="180"/>
    </row>
    <row r="791" spans="1:10" hidden="1" x14ac:dyDescent="0.25"/>
    <row r="792" spans="1:10" x14ac:dyDescent="0.25">
      <c r="D792" s="181" t="s">
        <v>311</v>
      </c>
      <c r="G792" s="181" t="s">
        <v>312</v>
      </c>
    </row>
    <row r="793" spans="1:10" x14ac:dyDescent="0.25">
      <c r="D793" s="182" t="s">
        <v>313</v>
      </c>
      <c r="G793" s="182" t="s">
        <v>313</v>
      </c>
    </row>
    <row r="794" spans="1:10" x14ac:dyDescent="0.25">
      <c r="A794" s="180" t="s">
        <v>314</v>
      </c>
      <c r="D794" s="183">
        <v>121.01</v>
      </c>
      <c r="G794" s="183">
        <f>VLOOKUP(J794,'EXHIBIT JDT-3 LCOM'!D:N,7,FALSE)</f>
        <v>181.5</v>
      </c>
      <c r="J794" s="177" t="s">
        <v>111</v>
      </c>
    </row>
    <row r="795" spans="1:10" x14ac:dyDescent="0.25">
      <c r="A795" s="180" t="s">
        <v>315</v>
      </c>
      <c r="C795" s="184">
        <v>9999999999</v>
      </c>
      <c r="D795" s="185">
        <v>0.14362</v>
      </c>
      <c r="G795" s="185">
        <f>VLOOKUP(J795,'EXHIBIT JDT-3 LCOM'!D:N,7,FALSE)/10</f>
        <v>0.15465000000000001</v>
      </c>
      <c r="J795" s="177" t="s">
        <v>128</v>
      </c>
    </row>
    <row r="796" spans="1:10" x14ac:dyDescent="0.25">
      <c r="C796" s="184"/>
      <c r="D796" s="185"/>
      <c r="G796" s="185"/>
    </row>
    <row r="797" spans="1:10" hidden="1" x14ac:dyDescent="0.25">
      <c r="C797" s="184"/>
      <c r="D797" s="185"/>
      <c r="G797" s="185"/>
    </row>
    <row r="798" spans="1:10" hidden="1" x14ac:dyDescent="0.25">
      <c r="A798" s="180" t="s">
        <v>316</v>
      </c>
      <c r="D798" s="185">
        <v>0</v>
      </c>
      <c r="E798" s="186"/>
      <c r="F798" s="186"/>
      <c r="G798" s="185">
        <f>D798</f>
        <v>0</v>
      </c>
      <c r="J798" s="187" t="s">
        <v>370</v>
      </c>
    </row>
    <row r="799" spans="1:10" hidden="1" x14ac:dyDescent="0.25">
      <c r="A799" s="180" t="s">
        <v>152</v>
      </c>
      <c r="D799" s="185">
        <v>0</v>
      </c>
      <c r="E799" s="186"/>
      <c r="F799" s="186"/>
      <c r="G799" s="185">
        <f t="shared" ref="G799:G801" si="125">D799</f>
        <v>0</v>
      </c>
      <c r="J799" s="187" t="s">
        <v>370</v>
      </c>
    </row>
    <row r="800" spans="1:10" hidden="1" x14ac:dyDescent="0.25">
      <c r="A800" s="180" t="s">
        <v>318</v>
      </c>
      <c r="D800" s="185">
        <v>0</v>
      </c>
      <c r="E800" s="186"/>
      <c r="F800" s="186"/>
      <c r="G800" s="185">
        <f t="shared" si="125"/>
        <v>0</v>
      </c>
      <c r="J800" s="187"/>
    </row>
    <row r="801" spans="1:12" hidden="1" x14ac:dyDescent="0.25">
      <c r="A801" s="180" t="s">
        <v>319</v>
      </c>
      <c r="D801" s="185">
        <v>0</v>
      </c>
      <c r="E801" s="186"/>
      <c r="F801" s="186"/>
      <c r="G801" s="185">
        <f t="shared" si="125"/>
        <v>0</v>
      </c>
      <c r="J801" s="187"/>
    </row>
    <row r="802" spans="1:12" hidden="1" x14ac:dyDescent="0.25">
      <c r="A802" s="180" t="s">
        <v>320</v>
      </c>
      <c r="D802" s="185">
        <v>0</v>
      </c>
      <c r="E802" s="186"/>
      <c r="F802" s="186"/>
      <c r="G802" s="185">
        <f>IFERROR(VLOOKUP(J802,'EXHIBIT JDT-3 LCOM'!D:N,7,FALSE)/10,0)</f>
        <v>0</v>
      </c>
      <c r="J802" s="187"/>
    </row>
    <row r="803" spans="1:12" hidden="1" x14ac:dyDescent="0.25">
      <c r="A803" s="180" t="s">
        <v>341</v>
      </c>
      <c r="D803" s="185">
        <v>0</v>
      </c>
      <c r="E803" s="186"/>
      <c r="F803" s="186"/>
      <c r="G803" s="185">
        <f>IFERROR(VLOOKUP(J803,'EXHIBIT JDT-3 LCOM'!D:N,7,FALSE)/10,0)</f>
        <v>0</v>
      </c>
      <c r="J803" s="187"/>
    </row>
    <row r="804" spans="1:12" hidden="1" x14ac:dyDescent="0.25">
      <c r="A804" s="180" t="s">
        <v>342</v>
      </c>
      <c r="D804" s="185">
        <v>0</v>
      </c>
      <c r="E804" s="186"/>
      <c r="F804" s="186"/>
      <c r="G804" s="185">
        <v>0</v>
      </c>
      <c r="J804" s="188" t="s">
        <v>370</v>
      </c>
    </row>
    <row r="805" spans="1:12" hidden="1" x14ac:dyDescent="0.25">
      <c r="A805" s="180" t="s">
        <v>343</v>
      </c>
      <c r="D805" s="185">
        <v>0</v>
      </c>
      <c r="E805" s="186"/>
      <c r="F805" s="186"/>
      <c r="G805" s="185">
        <v>0</v>
      </c>
      <c r="J805" s="188" t="s">
        <v>370</v>
      </c>
    </row>
    <row r="806" spans="1:12" hidden="1" x14ac:dyDescent="0.25">
      <c r="E806" s="186"/>
      <c r="F806" s="186"/>
      <c r="G806" s="186"/>
    </row>
    <row r="807" spans="1:12" hidden="1" x14ac:dyDescent="0.25">
      <c r="A807" s="180" t="s">
        <v>321</v>
      </c>
      <c r="D807" s="189">
        <v>0</v>
      </c>
      <c r="G807" s="189">
        <v>0</v>
      </c>
    </row>
    <row r="808" spans="1:12" hidden="1" x14ac:dyDescent="0.25"/>
    <row r="809" spans="1:12" hidden="1" x14ac:dyDescent="0.25"/>
    <row r="810" spans="1:12" x14ac:dyDescent="0.25">
      <c r="G810" s="190" t="s">
        <v>322</v>
      </c>
      <c r="H810" s="190"/>
    </row>
    <row r="811" spans="1:12" x14ac:dyDescent="0.25">
      <c r="B811" s="176" t="s">
        <v>323</v>
      </c>
      <c r="C811" s="181" t="s">
        <v>311</v>
      </c>
      <c r="D811" s="181" t="s">
        <v>312</v>
      </c>
      <c r="E811" s="181" t="s">
        <v>311</v>
      </c>
      <c r="F811" s="181" t="s">
        <v>312</v>
      </c>
      <c r="G811" s="181" t="s">
        <v>324</v>
      </c>
      <c r="H811" s="181" t="s">
        <v>325</v>
      </c>
      <c r="J811" s="191"/>
    </row>
    <row r="812" spans="1:12" x14ac:dyDescent="0.25">
      <c r="C812" s="192" t="s">
        <v>326</v>
      </c>
      <c r="D812" s="192" t="s">
        <v>327</v>
      </c>
      <c r="E812" s="181" t="s">
        <v>328</v>
      </c>
      <c r="F812" s="181" t="s">
        <v>328</v>
      </c>
      <c r="G812" s="192" t="s">
        <v>329</v>
      </c>
      <c r="J812" s="191"/>
    </row>
    <row r="813" spans="1:12" x14ac:dyDescent="0.25">
      <c r="B813" s="176" t="s">
        <v>330</v>
      </c>
      <c r="J813" s="191"/>
    </row>
    <row r="814" spans="1:12" x14ac:dyDescent="0.25">
      <c r="B814" s="176">
        <v>0</v>
      </c>
      <c r="C814" s="193">
        <f>ROUND((D794+B814*D795+B814*(D798+D799+D800+D801+D802+D803+D804+D805))*(1+D807),2)</f>
        <v>121.01</v>
      </c>
      <c r="D814" s="193">
        <f>ROUND(($G$794+(SUM($G$795:$G$805)*B814))*(1+$G$807),2)</f>
        <v>181.5</v>
      </c>
      <c r="E814" s="194"/>
      <c r="F814" s="194"/>
      <c r="G814" s="193">
        <f t="shared" ref="G814:G844" si="126">D814-C814</f>
        <v>60.489999999999995</v>
      </c>
      <c r="H814" s="195">
        <f t="shared" ref="H814:H844" si="127">ROUND(G814/C814,4)</f>
        <v>0.49990000000000001</v>
      </c>
      <c r="J814" s="207"/>
      <c r="L814" s="197"/>
    </row>
    <row r="815" spans="1:12" x14ac:dyDescent="0.25">
      <c r="A815" s="598"/>
      <c r="B815" s="176">
        <f>B814+500</f>
        <v>500</v>
      </c>
      <c r="C815" s="193">
        <f>ROUND((D794+B815*D795+B815*(D798+D799+D800+D801+D802+D803+D804+D805))*(1+D807),2)</f>
        <v>192.82</v>
      </c>
      <c r="D815" s="193">
        <f t="shared" ref="D815:D844" si="128">ROUND(($G$794+(SUM($G$795:$G$805)*B815))*(1+$G$807),2)</f>
        <v>258.83</v>
      </c>
      <c r="E815" s="194">
        <f t="shared" ref="E815:E844" si="129">+C815/B815</f>
        <v>0.38563999999999998</v>
      </c>
      <c r="F815" s="194">
        <f t="shared" ref="F815:F844" si="130">+D815/B815</f>
        <v>0.51766000000000001</v>
      </c>
      <c r="G815" s="193">
        <f t="shared" si="126"/>
        <v>66.009999999999991</v>
      </c>
      <c r="H815" s="195">
        <f t="shared" si="127"/>
        <v>0.34229999999999999</v>
      </c>
      <c r="J815" s="207"/>
      <c r="L815" s="197"/>
    </row>
    <row r="816" spans="1:12" x14ac:dyDescent="0.25">
      <c r="A816" s="598"/>
      <c r="B816" s="176">
        <f t="shared" ref="B816:B842" si="131">B815+500</f>
        <v>1000</v>
      </c>
      <c r="C816" s="193">
        <f>ROUND((D794+B816*D795+B816*(D798+D799+D800+D801+D802+D803+D804+D805))*(1+D807),2)</f>
        <v>264.63</v>
      </c>
      <c r="D816" s="193">
        <f t="shared" si="128"/>
        <v>336.15</v>
      </c>
      <c r="E816" s="194">
        <f t="shared" si="129"/>
        <v>0.26462999999999998</v>
      </c>
      <c r="F816" s="194">
        <f t="shared" si="130"/>
        <v>0.33615</v>
      </c>
      <c r="G816" s="193">
        <f t="shared" si="126"/>
        <v>71.519999999999982</v>
      </c>
      <c r="H816" s="195">
        <f t="shared" si="127"/>
        <v>0.27029999999999998</v>
      </c>
      <c r="J816" s="207"/>
      <c r="L816" s="197"/>
    </row>
    <row r="817" spans="1:12" x14ac:dyDescent="0.25">
      <c r="A817" s="598"/>
      <c r="B817" s="176">
        <f t="shared" si="131"/>
        <v>1500</v>
      </c>
      <c r="C817" s="193">
        <f>ROUND((D794+B817*D795+B817*(D798+D799+D800+D801+D802+D803+D804+D805))*(1+D807),2)</f>
        <v>336.44</v>
      </c>
      <c r="D817" s="193">
        <f t="shared" si="128"/>
        <v>413.48</v>
      </c>
      <c r="E817" s="194">
        <f t="shared" si="129"/>
        <v>0.22429333333333334</v>
      </c>
      <c r="F817" s="194">
        <f t="shared" si="130"/>
        <v>0.27565333333333336</v>
      </c>
      <c r="G817" s="193">
        <f t="shared" si="126"/>
        <v>77.04000000000002</v>
      </c>
      <c r="H817" s="195">
        <f t="shared" si="127"/>
        <v>0.22900000000000001</v>
      </c>
      <c r="J817" s="207"/>
      <c r="L817" s="197"/>
    </row>
    <row r="818" spans="1:12" x14ac:dyDescent="0.25">
      <c r="A818" s="598"/>
      <c r="B818" s="176">
        <f t="shared" si="131"/>
        <v>2000</v>
      </c>
      <c r="C818" s="193">
        <f>ROUND((D794+B818*D795+B818*(D798+D799+D800+D801+D802+D803+D804+D805))*(1+D807),2)</f>
        <v>408.25</v>
      </c>
      <c r="D818" s="193">
        <f t="shared" si="128"/>
        <v>490.8</v>
      </c>
      <c r="E818" s="194">
        <f t="shared" si="129"/>
        <v>0.204125</v>
      </c>
      <c r="F818" s="194">
        <f t="shared" si="130"/>
        <v>0.24540000000000001</v>
      </c>
      <c r="G818" s="193">
        <f t="shared" si="126"/>
        <v>82.550000000000011</v>
      </c>
      <c r="H818" s="195">
        <f t="shared" si="127"/>
        <v>0.20219999999999999</v>
      </c>
      <c r="J818" s="207"/>
      <c r="L818" s="197"/>
    </row>
    <row r="819" spans="1:12" x14ac:dyDescent="0.25">
      <c r="A819" s="598"/>
      <c r="B819" s="176">
        <f t="shared" si="131"/>
        <v>2500</v>
      </c>
      <c r="C819" s="193">
        <f>ROUND((D794+B819*D795+B819*(D798+D799+D800+D801+D802+D803+D804+D805))*(1+D807),2)</f>
        <v>480.06</v>
      </c>
      <c r="D819" s="193">
        <f t="shared" si="128"/>
        <v>568.13</v>
      </c>
      <c r="E819" s="194">
        <f t="shared" si="129"/>
        <v>0.192024</v>
      </c>
      <c r="F819" s="194">
        <f t="shared" si="130"/>
        <v>0.22725200000000001</v>
      </c>
      <c r="G819" s="193">
        <f t="shared" si="126"/>
        <v>88.07</v>
      </c>
      <c r="H819" s="195">
        <f t="shared" si="127"/>
        <v>0.1835</v>
      </c>
      <c r="J819" s="207"/>
      <c r="L819" s="197"/>
    </row>
    <row r="820" spans="1:12" x14ac:dyDescent="0.25">
      <c r="A820" s="598"/>
      <c r="B820" s="176">
        <f t="shared" si="131"/>
        <v>3000</v>
      </c>
      <c r="C820" s="193">
        <f>ROUND((D794+B820*D795+B820*(D798+D799+D800+D801+D802+D803+D804+D805))*(1+D807),2)</f>
        <v>551.87</v>
      </c>
      <c r="D820" s="193">
        <f t="shared" si="128"/>
        <v>645.45000000000005</v>
      </c>
      <c r="E820" s="194">
        <f t="shared" si="129"/>
        <v>0.18395666666666666</v>
      </c>
      <c r="F820" s="194">
        <f t="shared" si="130"/>
        <v>0.21515000000000001</v>
      </c>
      <c r="G820" s="193">
        <f t="shared" si="126"/>
        <v>93.580000000000041</v>
      </c>
      <c r="H820" s="195">
        <f t="shared" si="127"/>
        <v>0.1696</v>
      </c>
      <c r="J820" s="207"/>
      <c r="L820" s="197"/>
    </row>
    <row r="821" spans="1:12" x14ac:dyDescent="0.25">
      <c r="A821" s="598"/>
      <c r="B821" s="176">
        <f t="shared" si="131"/>
        <v>3500</v>
      </c>
      <c r="C821" s="193">
        <f>ROUND((D794+B821*D795+B821*(D798+D799+D800+D801+D802+D803+D804+D805))*(1+D807),2)</f>
        <v>623.67999999999995</v>
      </c>
      <c r="D821" s="193">
        <f t="shared" si="128"/>
        <v>722.78</v>
      </c>
      <c r="E821" s="194">
        <f t="shared" si="129"/>
        <v>0.17819428571428569</v>
      </c>
      <c r="F821" s="194">
        <f t="shared" si="130"/>
        <v>0.20650857142857143</v>
      </c>
      <c r="G821" s="193">
        <f t="shared" si="126"/>
        <v>99.100000000000023</v>
      </c>
      <c r="H821" s="195">
        <f t="shared" si="127"/>
        <v>0.15890000000000001</v>
      </c>
      <c r="J821" s="207"/>
      <c r="L821" s="197"/>
    </row>
    <row r="822" spans="1:12" x14ac:dyDescent="0.25">
      <c r="A822" s="598"/>
      <c r="B822" s="176">
        <f t="shared" si="131"/>
        <v>4000</v>
      </c>
      <c r="C822" s="193">
        <f>ROUND((D794+B822*D795+B822*(D798+D799+D800+D801+D802+D803+D804+D805))*(1+D807),2)</f>
        <v>695.49</v>
      </c>
      <c r="D822" s="193">
        <f t="shared" si="128"/>
        <v>800.1</v>
      </c>
      <c r="E822" s="194">
        <f t="shared" si="129"/>
        <v>0.17387250000000001</v>
      </c>
      <c r="F822" s="194">
        <f t="shared" si="130"/>
        <v>0.20002500000000001</v>
      </c>
      <c r="G822" s="193">
        <f t="shared" si="126"/>
        <v>104.61000000000001</v>
      </c>
      <c r="H822" s="195">
        <f t="shared" si="127"/>
        <v>0.15040000000000001</v>
      </c>
      <c r="J822" s="207"/>
      <c r="L822" s="197"/>
    </row>
    <row r="823" spans="1:12" x14ac:dyDescent="0.25">
      <c r="A823" s="598"/>
      <c r="B823" s="176">
        <f t="shared" si="131"/>
        <v>4500</v>
      </c>
      <c r="C823" s="193">
        <f>ROUND((D794+B823*D795+B823*(D798+D799+D800+D801+D802+D803+D804+D805))*(1+D807),2)</f>
        <v>767.3</v>
      </c>
      <c r="D823" s="193">
        <f t="shared" si="128"/>
        <v>877.43</v>
      </c>
      <c r="E823" s="194">
        <f t="shared" si="129"/>
        <v>0.17051111111111111</v>
      </c>
      <c r="F823" s="194">
        <f t="shared" si="130"/>
        <v>0.19498444444444443</v>
      </c>
      <c r="G823" s="193">
        <f t="shared" si="126"/>
        <v>110.13</v>
      </c>
      <c r="H823" s="195">
        <f t="shared" si="127"/>
        <v>0.14349999999999999</v>
      </c>
      <c r="J823" s="207"/>
      <c r="L823" s="197"/>
    </row>
    <row r="824" spans="1:12" x14ac:dyDescent="0.25">
      <c r="A824" s="598"/>
      <c r="B824" s="176">
        <f t="shared" si="131"/>
        <v>5000</v>
      </c>
      <c r="C824" s="193">
        <f>ROUND((D794+B824*D795+B824*(D798+D799+D800+D801+D802+D803+D804+D805))*(1+D807),2)</f>
        <v>839.11</v>
      </c>
      <c r="D824" s="193">
        <f t="shared" si="128"/>
        <v>954.75</v>
      </c>
      <c r="E824" s="194">
        <f t="shared" si="129"/>
        <v>0.167822</v>
      </c>
      <c r="F824" s="194">
        <f t="shared" si="130"/>
        <v>0.19095000000000001</v>
      </c>
      <c r="G824" s="193">
        <f t="shared" si="126"/>
        <v>115.63999999999999</v>
      </c>
      <c r="H824" s="195">
        <f t="shared" si="127"/>
        <v>0.13780000000000001</v>
      </c>
      <c r="J824" s="207"/>
      <c r="L824" s="197"/>
    </row>
    <row r="825" spans="1:12" x14ac:dyDescent="0.25">
      <c r="A825" s="598"/>
      <c r="B825" s="176">
        <f t="shared" si="131"/>
        <v>5500</v>
      </c>
      <c r="C825" s="193">
        <f>ROUND((D794+B825*D795+B825*(D798+D799+D800+D801+D802+D803+D804+D805))*(1+D807),2)</f>
        <v>910.92</v>
      </c>
      <c r="D825" s="193">
        <f t="shared" si="128"/>
        <v>1032.08</v>
      </c>
      <c r="E825" s="194">
        <f t="shared" si="129"/>
        <v>0.16562181818181818</v>
      </c>
      <c r="F825" s="194">
        <f t="shared" si="130"/>
        <v>0.18765090909090909</v>
      </c>
      <c r="G825" s="193">
        <f t="shared" si="126"/>
        <v>121.15999999999997</v>
      </c>
      <c r="H825" s="195">
        <f t="shared" si="127"/>
        <v>0.13300000000000001</v>
      </c>
      <c r="J825" s="207"/>
      <c r="L825" s="197"/>
    </row>
    <row r="826" spans="1:12" x14ac:dyDescent="0.25">
      <c r="A826" s="598"/>
      <c r="B826" s="176">
        <f t="shared" si="131"/>
        <v>6000</v>
      </c>
      <c r="C826" s="193">
        <f>ROUND((D794+B826*D795+B826*(D798+D799+D800+D801+D802+D803+D804+D805))*(1+D807),2)</f>
        <v>982.73</v>
      </c>
      <c r="D826" s="193">
        <f t="shared" si="128"/>
        <v>1109.4000000000001</v>
      </c>
      <c r="E826" s="194">
        <f t="shared" si="129"/>
        <v>0.16378833333333334</v>
      </c>
      <c r="F826" s="194">
        <f t="shared" si="130"/>
        <v>0.18490000000000001</v>
      </c>
      <c r="G826" s="193">
        <f t="shared" si="126"/>
        <v>126.67000000000007</v>
      </c>
      <c r="H826" s="195">
        <f t="shared" si="127"/>
        <v>0.12889999999999999</v>
      </c>
      <c r="J826" s="207"/>
      <c r="L826" s="197"/>
    </row>
    <row r="827" spans="1:12" x14ac:dyDescent="0.25">
      <c r="A827" s="598"/>
      <c r="B827" s="176">
        <f t="shared" si="131"/>
        <v>6500</v>
      </c>
      <c r="C827" s="193">
        <f>ROUND((D794+B827*D795+B827*(D798+D799+D800+D801+D802+D803+D804+D805))*(1+D807),2)</f>
        <v>1054.54</v>
      </c>
      <c r="D827" s="193">
        <f t="shared" si="128"/>
        <v>1186.73</v>
      </c>
      <c r="E827" s="194">
        <f t="shared" si="129"/>
        <v>0.16223692307692308</v>
      </c>
      <c r="F827" s="194">
        <f t="shared" si="130"/>
        <v>0.18257384615384617</v>
      </c>
      <c r="G827" s="193">
        <f t="shared" si="126"/>
        <v>132.19000000000005</v>
      </c>
      <c r="H827" s="195">
        <f t="shared" si="127"/>
        <v>0.12540000000000001</v>
      </c>
      <c r="J827" s="207"/>
      <c r="L827" s="197"/>
    </row>
    <row r="828" spans="1:12" x14ac:dyDescent="0.25">
      <c r="A828" s="598"/>
      <c r="B828" s="176">
        <f t="shared" si="131"/>
        <v>7000</v>
      </c>
      <c r="C828" s="193">
        <f>ROUND((D794+B828*D795+B828*(D798+D799+D800+D801+D802+D803+D804+D805))*(1+D807),2)</f>
        <v>1126.3499999999999</v>
      </c>
      <c r="D828" s="193">
        <f t="shared" si="128"/>
        <v>1264.05</v>
      </c>
      <c r="E828" s="194">
        <f t="shared" si="129"/>
        <v>0.16090714285714283</v>
      </c>
      <c r="F828" s="194">
        <f t="shared" si="130"/>
        <v>0.18057857142857142</v>
      </c>
      <c r="G828" s="193">
        <f t="shared" si="126"/>
        <v>137.70000000000005</v>
      </c>
      <c r="H828" s="195">
        <f t="shared" si="127"/>
        <v>0.12230000000000001</v>
      </c>
      <c r="J828" s="207"/>
      <c r="L828" s="197"/>
    </row>
    <row r="829" spans="1:12" x14ac:dyDescent="0.25">
      <c r="A829" s="598"/>
      <c r="B829" s="176">
        <f t="shared" si="131"/>
        <v>7500</v>
      </c>
      <c r="C829" s="193">
        <f>ROUND((D794+B829*D795+B829*(D798+D799+D800+D801+D802+D803+D804+D805))*(1+D807),2)</f>
        <v>1198.1600000000001</v>
      </c>
      <c r="D829" s="193">
        <f t="shared" si="128"/>
        <v>1341.38</v>
      </c>
      <c r="E829" s="194">
        <f t="shared" si="129"/>
        <v>0.15975466666666668</v>
      </c>
      <c r="F829" s="194">
        <f t="shared" si="130"/>
        <v>0.17885066666666669</v>
      </c>
      <c r="G829" s="193">
        <f t="shared" si="126"/>
        <v>143.22000000000003</v>
      </c>
      <c r="H829" s="195">
        <f t="shared" si="127"/>
        <v>0.1195</v>
      </c>
      <c r="J829" s="207"/>
      <c r="L829" s="197"/>
    </row>
    <row r="830" spans="1:12" x14ac:dyDescent="0.25">
      <c r="A830" s="598"/>
      <c r="B830" s="176">
        <f t="shared" si="131"/>
        <v>8000</v>
      </c>
      <c r="C830" s="193">
        <f>ROUND((D794+B830*D795+B830*(D798+D799+D800+D801+D802+D803+D804+D805))*(1+D807),2)</f>
        <v>1269.97</v>
      </c>
      <c r="D830" s="193">
        <f t="shared" si="128"/>
        <v>1418.7</v>
      </c>
      <c r="E830" s="194">
        <f t="shared" si="129"/>
        <v>0.15874625000000001</v>
      </c>
      <c r="F830" s="194">
        <f t="shared" si="130"/>
        <v>0.17733750000000001</v>
      </c>
      <c r="G830" s="193">
        <f t="shared" si="126"/>
        <v>148.73000000000002</v>
      </c>
      <c r="H830" s="195">
        <f t="shared" si="127"/>
        <v>0.1171</v>
      </c>
      <c r="J830" s="207"/>
      <c r="L830" s="197"/>
    </row>
    <row r="831" spans="1:12" x14ac:dyDescent="0.25">
      <c r="A831" s="598"/>
      <c r="B831" s="176">
        <f t="shared" si="131"/>
        <v>8500</v>
      </c>
      <c r="C831" s="193">
        <f>ROUND((D794+B831*D795+B831*(D798+D799+D800+D801+D802+D803+D804+D805))*(1+D807),2)</f>
        <v>1341.78</v>
      </c>
      <c r="D831" s="193">
        <f t="shared" si="128"/>
        <v>1496.03</v>
      </c>
      <c r="E831" s="194">
        <f t="shared" si="129"/>
        <v>0.15785647058823529</v>
      </c>
      <c r="F831" s="194">
        <f t="shared" si="130"/>
        <v>0.1760035294117647</v>
      </c>
      <c r="G831" s="193">
        <f t="shared" si="126"/>
        <v>154.25</v>
      </c>
      <c r="H831" s="195">
        <f t="shared" si="127"/>
        <v>0.115</v>
      </c>
      <c r="J831" s="207"/>
      <c r="L831" s="197"/>
    </row>
    <row r="832" spans="1:12" x14ac:dyDescent="0.25">
      <c r="A832" s="598"/>
      <c r="B832" s="176">
        <f t="shared" si="131"/>
        <v>9000</v>
      </c>
      <c r="C832" s="193">
        <f>ROUND((D794+B832*D795+B832*(D798+D799+D800+D801+D802+D803+D804+D805))*(1+D807),2)</f>
        <v>1413.59</v>
      </c>
      <c r="D832" s="193">
        <f>ROUND(($G$794+(SUM($G$795:$G$805)*B832))*(1+$G$807),2)</f>
        <v>1573.35</v>
      </c>
      <c r="E832" s="194">
        <f t="shared" si="129"/>
        <v>0.15706555555555554</v>
      </c>
      <c r="F832" s="194">
        <f t="shared" si="130"/>
        <v>0.17481666666666665</v>
      </c>
      <c r="G832" s="193">
        <f t="shared" si="126"/>
        <v>159.76</v>
      </c>
      <c r="H832" s="195">
        <f t="shared" si="127"/>
        <v>0.113</v>
      </c>
      <c r="J832" s="207"/>
      <c r="L832" s="197"/>
    </row>
    <row r="833" spans="1:12" x14ac:dyDescent="0.25">
      <c r="A833" s="598"/>
      <c r="B833" s="176">
        <f t="shared" si="131"/>
        <v>9500</v>
      </c>
      <c r="C833" s="193">
        <f>ROUND((D794+B833*D795+B833*(D798+D799+D800+D801+D802+D803+D804+D805))*(1+D807),2)</f>
        <v>1485.4</v>
      </c>
      <c r="D833" s="193">
        <f t="shared" si="128"/>
        <v>1650.68</v>
      </c>
      <c r="E833" s="194">
        <f t="shared" si="129"/>
        <v>0.15635789473684211</v>
      </c>
      <c r="F833" s="194">
        <f t="shared" si="130"/>
        <v>0.17375578947368422</v>
      </c>
      <c r="G833" s="193">
        <f t="shared" si="126"/>
        <v>165.27999999999997</v>
      </c>
      <c r="H833" s="195">
        <f t="shared" si="127"/>
        <v>0.1113</v>
      </c>
      <c r="J833" s="207"/>
      <c r="L833" s="197"/>
    </row>
    <row r="834" spans="1:12" x14ac:dyDescent="0.25">
      <c r="A834" s="598"/>
      <c r="B834" s="176">
        <f t="shared" si="131"/>
        <v>10000</v>
      </c>
      <c r="C834" s="193">
        <f>ROUND((D794+B834*D795+B834*(D798+D799+D800+D801+D802+D803+D804+D805))*(1+D807),2)</f>
        <v>1557.21</v>
      </c>
      <c r="D834" s="193">
        <f t="shared" si="128"/>
        <v>1728</v>
      </c>
      <c r="E834" s="194">
        <f t="shared" si="129"/>
        <v>0.155721</v>
      </c>
      <c r="F834" s="194">
        <f t="shared" si="130"/>
        <v>0.17280000000000001</v>
      </c>
      <c r="G834" s="193">
        <f t="shared" si="126"/>
        <v>170.78999999999996</v>
      </c>
      <c r="H834" s="195">
        <f t="shared" si="127"/>
        <v>0.10970000000000001</v>
      </c>
      <c r="J834" s="207"/>
      <c r="L834" s="197"/>
    </row>
    <row r="835" spans="1:12" x14ac:dyDescent="0.25">
      <c r="A835" s="598"/>
      <c r="B835" s="176">
        <f t="shared" si="131"/>
        <v>10500</v>
      </c>
      <c r="C835" s="193">
        <f>ROUND((D794+B835*D795+B835*(D798+D799+D800+D801+D802+D803+D804+D805))*(1+D807),2)</f>
        <v>1629.02</v>
      </c>
      <c r="D835" s="193">
        <f t="shared" si="128"/>
        <v>1805.33</v>
      </c>
      <c r="E835" s="194">
        <f t="shared" si="129"/>
        <v>0.1551447619047619</v>
      </c>
      <c r="F835" s="194">
        <f t="shared" si="130"/>
        <v>0.17193619047619046</v>
      </c>
      <c r="G835" s="193">
        <f t="shared" si="126"/>
        <v>176.30999999999995</v>
      </c>
      <c r="H835" s="195">
        <f t="shared" si="127"/>
        <v>0.1082</v>
      </c>
      <c r="J835" s="207"/>
      <c r="L835" s="197"/>
    </row>
    <row r="836" spans="1:12" x14ac:dyDescent="0.25">
      <c r="A836" s="598"/>
      <c r="B836" s="176">
        <f t="shared" si="131"/>
        <v>11000</v>
      </c>
      <c r="C836" s="193">
        <f>ROUND((D794+B836*D795+B836*(D798+D799+D800+D801+D802+D803+D804+D805))*(1+D807),2)</f>
        <v>1700.83</v>
      </c>
      <c r="D836" s="193">
        <f t="shared" si="128"/>
        <v>1882.65</v>
      </c>
      <c r="E836" s="194">
        <f t="shared" si="129"/>
        <v>0.15462090909090909</v>
      </c>
      <c r="F836" s="194">
        <f t="shared" si="130"/>
        <v>0.17115</v>
      </c>
      <c r="G836" s="193">
        <f t="shared" si="126"/>
        <v>181.82000000000016</v>
      </c>
      <c r="H836" s="195">
        <f t="shared" si="127"/>
        <v>0.1069</v>
      </c>
      <c r="J836" s="207"/>
      <c r="L836" s="197"/>
    </row>
    <row r="837" spans="1:12" x14ac:dyDescent="0.25">
      <c r="A837" s="598"/>
      <c r="B837" s="176">
        <f t="shared" si="131"/>
        <v>11500</v>
      </c>
      <c r="C837" s="193">
        <f>ROUND((D794+B837*D795+B837*(D798+D799+D800+D801+D802+D803+D804+D805))*(1+D807),2)</f>
        <v>1772.64</v>
      </c>
      <c r="D837" s="193">
        <f t="shared" si="128"/>
        <v>1959.98</v>
      </c>
      <c r="E837" s="194">
        <f t="shared" si="129"/>
        <v>0.15414260869565219</v>
      </c>
      <c r="F837" s="194">
        <f t="shared" si="130"/>
        <v>0.17043304347826088</v>
      </c>
      <c r="G837" s="193">
        <f t="shared" si="126"/>
        <v>187.33999999999992</v>
      </c>
      <c r="H837" s="195">
        <f t="shared" si="127"/>
        <v>0.1057</v>
      </c>
      <c r="J837" s="207"/>
      <c r="L837" s="197"/>
    </row>
    <row r="838" spans="1:12" x14ac:dyDescent="0.25">
      <c r="A838" s="598"/>
      <c r="B838" s="176">
        <f t="shared" si="131"/>
        <v>12000</v>
      </c>
      <c r="C838" s="193">
        <f>ROUND((D794+B838*D795+B838*(D798+D799+D800+D801+D802+D803+D804+D805))*(1+D807),2)</f>
        <v>1844.45</v>
      </c>
      <c r="D838" s="193">
        <f t="shared" si="128"/>
        <v>2037.3</v>
      </c>
      <c r="E838" s="194">
        <f t="shared" si="129"/>
        <v>0.15370416666666667</v>
      </c>
      <c r="F838" s="194">
        <f t="shared" si="130"/>
        <v>0.16977500000000001</v>
      </c>
      <c r="G838" s="193">
        <f t="shared" si="126"/>
        <v>192.84999999999991</v>
      </c>
      <c r="H838" s="195">
        <f t="shared" si="127"/>
        <v>0.1046</v>
      </c>
      <c r="J838" s="207"/>
      <c r="L838" s="197"/>
    </row>
    <row r="839" spans="1:12" x14ac:dyDescent="0.25">
      <c r="A839" s="598"/>
      <c r="B839" s="176">
        <f t="shared" si="131"/>
        <v>12500</v>
      </c>
      <c r="C839" s="193">
        <f>ROUND((D794+B839*D795+B839*(D798+D799+D800+D801+D802+D803+D804+D805))*(1+D807),2)</f>
        <v>1916.26</v>
      </c>
      <c r="D839" s="193">
        <f t="shared" si="128"/>
        <v>2114.63</v>
      </c>
      <c r="E839" s="194">
        <f t="shared" si="129"/>
        <v>0.15330079999999999</v>
      </c>
      <c r="F839" s="194">
        <f t="shared" si="130"/>
        <v>0.1691704</v>
      </c>
      <c r="G839" s="193">
        <f t="shared" si="126"/>
        <v>198.37000000000012</v>
      </c>
      <c r="H839" s="195">
        <f t="shared" si="127"/>
        <v>0.10349999999999999</v>
      </c>
      <c r="J839" s="207"/>
      <c r="L839" s="197"/>
    </row>
    <row r="840" spans="1:12" x14ac:dyDescent="0.25">
      <c r="A840" s="598"/>
      <c r="B840" s="176">
        <f t="shared" si="131"/>
        <v>13000</v>
      </c>
      <c r="C840" s="193">
        <f>ROUND((D794+B840*D795+B840*(D798+D799+D800+D801+D802+D803+D804+D805))*(1+D807),2)</f>
        <v>1988.07</v>
      </c>
      <c r="D840" s="193">
        <f t="shared" si="128"/>
        <v>2191.9499999999998</v>
      </c>
      <c r="E840" s="194">
        <f t="shared" si="129"/>
        <v>0.15292846153846154</v>
      </c>
      <c r="F840" s="194">
        <f t="shared" si="130"/>
        <v>0.16861153846153845</v>
      </c>
      <c r="G840" s="193">
        <f t="shared" si="126"/>
        <v>203.87999999999988</v>
      </c>
      <c r="H840" s="195">
        <f t="shared" si="127"/>
        <v>0.1026</v>
      </c>
      <c r="J840" s="207"/>
      <c r="L840" s="197"/>
    </row>
    <row r="841" spans="1:12" x14ac:dyDescent="0.25">
      <c r="A841" s="598"/>
      <c r="B841" s="176">
        <f t="shared" si="131"/>
        <v>13500</v>
      </c>
      <c r="C841" s="193">
        <f>ROUND((D794+B841*D795+B841*(D798+D799+D800+D801+D802+D803+D804+D805))*(1+D807),2)</f>
        <v>2059.88</v>
      </c>
      <c r="D841" s="193">
        <f t="shared" si="128"/>
        <v>2269.2800000000002</v>
      </c>
      <c r="E841" s="194">
        <f t="shared" si="129"/>
        <v>0.15258370370370372</v>
      </c>
      <c r="F841" s="194">
        <f t="shared" si="130"/>
        <v>0.16809481481481484</v>
      </c>
      <c r="G841" s="193">
        <f t="shared" si="126"/>
        <v>209.40000000000009</v>
      </c>
      <c r="H841" s="195">
        <f t="shared" si="127"/>
        <v>0.1017</v>
      </c>
      <c r="J841" s="207"/>
      <c r="L841" s="197"/>
    </row>
    <row r="842" spans="1:12" x14ac:dyDescent="0.25">
      <c r="A842" s="598"/>
      <c r="B842" s="176">
        <f t="shared" si="131"/>
        <v>14000</v>
      </c>
      <c r="C842" s="193">
        <f>ROUND((D794+B842*D795+B842*(D798+D799+D800+D801+D802+D803+D804+D805))*(1+D807),2)</f>
        <v>2131.69</v>
      </c>
      <c r="D842" s="193">
        <f t="shared" si="128"/>
        <v>2346.6</v>
      </c>
      <c r="E842" s="194">
        <f t="shared" si="129"/>
        <v>0.15226357142857144</v>
      </c>
      <c r="F842" s="194">
        <f t="shared" si="130"/>
        <v>0.16761428571428572</v>
      </c>
      <c r="G842" s="193">
        <f t="shared" si="126"/>
        <v>214.90999999999985</v>
      </c>
      <c r="H842" s="195">
        <f t="shared" si="127"/>
        <v>0.1008</v>
      </c>
      <c r="J842" s="207"/>
      <c r="L842" s="197"/>
    </row>
    <row r="843" spans="1:12" x14ac:dyDescent="0.25">
      <c r="A843" s="598"/>
      <c r="B843" s="176">
        <f>B842+500</f>
        <v>14500</v>
      </c>
      <c r="C843" s="193">
        <f>ROUND((D794+B843*D795+B843*(D798+D799+D800+D801+D802+D803+D804+D805))*(1+D807),2)</f>
        <v>2203.5</v>
      </c>
      <c r="D843" s="193">
        <f t="shared" si="128"/>
        <v>2423.9299999999998</v>
      </c>
      <c r="E843" s="194">
        <f t="shared" si="129"/>
        <v>0.1519655172413793</v>
      </c>
      <c r="F843" s="194">
        <f t="shared" si="130"/>
        <v>0.16716758620689653</v>
      </c>
      <c r="G843" s="193">
        <f t="shared" si="126"/>
        <v>220.42999999999984</v>
      </c>
      <c r="H843" s="195">
        <f t="shared" si="127"/>
        <v>0.1</v>
      </c>
      <c r="J843" s="207"/>
      <c r="L843" s="197"/>
    </row>
    <row r="844" spans="1:12" x14ac:dyDescent="0.25">
      <c r="A844" s="598"/>
      <c r="B844" s="176">
        <f t="shared" ref="B844" si="132">B843+500</f>
        <v>15000</v>
      </c>
      <c r="C844" s="193">
        <f>ROUND((D794+B844*D795+B844*(D798+D799+D800+D801+D802+D803+D804+D805))*(1+D807),2)</f>
        <v>2275.31</v>
      </c>
      <c r="D844" s="193">
        <f t="shared" si="128"/>
        <v>2501.25</v>
      </c>
      <c r="E844" s="194">
        <f t="shared" si="129"/>
        <v>0.15168733333333334</v>
      </c>
      <c r="F844" s="194">
        <f t="shared" si="130"/>
        <v>0.16675000000000001</v>
      </c>
      <c r="G844" s="193">
        <f t="shared" si="126"/>
        <v>225.94000000000005</v>
      </c>
      <c r="H844" s="195">
        <f t="shared" si="127"/>
        <v>9.9299999999999999E-2</v>
      </c>
      <c r="J844" s="207"/>
      <c r="L844" s="197"/>
    </row>
    <row r="845" spans="1:12" x14ac:dyDescent="0.25">
      <c r="C845" s="193"/>
      <c r="D845" s="193"/>
      <c r="E845" s="194"/>
      <c r="F845" s="194"/>
      <c r="G845" s="193"/>
      <c r="H845" s="195"/>
      <c r="J845" s="207"/>
      <c r="L845" s="197"/>
    </row>
    <row r="846" spans="1:12" hidden="1" x14ac:dyDescent="0.25">
      <c r="C846" s="193"/>
      <c r="D846" s="193"/>
      <c r="E846" s="194"/>
      <c r="F846" s="194"/>
      <c r="G846" s="193"/>
      <c r="H846" s="195"/>
      <c r="J846" s="207"/>
      <c r="L846" s="197"/>
    </row>
    <row r="847" spans="1:12" hidden="1" x14ac:dyDescent="0.25">
      <c r="C847" s="193"/>
      <c r="D847" s="193"/>
      <c r="E847" s="194"/>
      <c r="F847" s="194"/>
      <c r="G847" s="193"/>
      <c r="H847" s="195"/>
      <c r="J847" s="207"/>
      <c r="L847" s="197"/>
    </row>
    <row r="848" spans="1:12" hidden="1" x14ac:dyDescent="0.25">
      <c r="C848" s="193"/>
      <c r="D848" s="193"/>
      <c r="E848" s="194"/>
      <c r="F848" s="194"/>
      <c r="G848" s="193"/>
      <c r="H848" s="195"/>
      <c r="J848" s="207"/>
      <c r="L848" s="197"/>
    </row>
    <row r="849" spans="1:12" hidden="1" x14ac:dyDescent="0.25">
      <c r="C849" s="193"/>
      <c r="D849" s="193"/>
      <c r="E849" s="194"/>
      <c r="F849" s="194"/>
      <c r="G849" s="193"/>
      <c r="H849" s="195"/>
      <c r="J849" s="207"/>
      <c r="L849" s="197"/>
    </row>
    <row r="850" spans="1:12" hidden="1" x14ac:dyDescent="0.25">
      <c r="C850" s="193"/>
      <c r="D850" s="193"/>
      <c r="E850" s="194"/>
      <c r="F850" s="194"/>
      <c r="G850" s="193"/>
      <c r="H850" s="195"/>
      <c r="J850" s="207"/>
      <c r="L850" s="197"/>
    </row>
    <row r="851" spans="1:12" hidden="1" x14ac:dyDescent="0.25">
      <c r="A851" s="180" t="s">
        <v>21</v>
      </c>
      <c r="B851" s="179"/>
      <c r="C851" s="179"/>
      <c r="D851" s="179"/>
      <c r="E851" s="179"/>
      <c r="F851" s="179"/>
      <c r="G851" s="179"/>
      <c r="H851" s="179"/>
      <c r="I851" s="180"/>
    </row>
    <row r="852" spans="1:12" hidden="1" x14ac:dyDescent="0.25">
      <c r="A852" s="180" t="s">
        <v>22</v>
      </c>
      <c r="B852" s="179"/>
      <c r="C852" s="179"/>
      <c r="D852" s="179"/>
      <c r="E852" s="179"/>
      <c r="F852" s="179"/>
      <c r="G852" s="179"/>
      <c r="H852" s="179"/>
      <c r="I852" s="180"/>
    </row>
    <row r="853" spans="1:12" hidden="1" x14ac:dyDescent="0.25">
      <c r="A853" s="180" t="s">
        <v>310</v>
      </c>
      <c r="B853" s="179"/>
      <c r="C853" s="179"/>
      <c r="D853" s="179"/>
      <c r="E853" s="179"/>
      <c r="F853" s="179"/>
      <c r="G853" s="179"/>
      <c r="H853" s="179"/>
      <c r="I853" s="180"/>
    </row>
    <row r="854" spans="1:12" x14ac:dyDescent="0.25">
      <c r="A854" s="599" t="s">
        <v>357</v>
      </c>
      <c r="B854" s="179"/>
      <c r="C854" s="179"/>
      <c r="D854" s="179"/>
      <c r="E854" s="179"/>
      <c r="F854" s="179"/>
      <c r="G854" s="179"/>
      <c r="H854" s="179"/>
      <c r="I854" s="180"/>
    </row>
    <row r="856" spans="1:12" hidden="1" x14ac:dyDescent="0.25"/>
    <row r="857" spans="1:12" x14ac:dyDescent="0.25">
      <c r="D857" s="181" t="s">
        <v>311</v>
      </c>
      <c r="G857" s="181" t="s">
        <v>312</v>
      </c>
    </row>
    <row r="858" spans="1:12" x14ac:dyDescent="0.25">
      <c r="D858" s="182" t="s">
        <v>313</v>
      </c>
      <c r="G858" s="182" t="s">
        <v>313</v>
      </c>
    </row>
    <row r="859" spans="1:12" x14ac:dyDescent="0.25">
      <c r="A859" s="180" t="s">
        <v>314</v>
      </c>
      <c r="D859" s="183">
        <v>121.01</v>
      </c>
      <c r="G859" s="183">
        <f>VLOOKUP(J859,'EXHIBIT JDT-3 LCOM'!D:N,7,FALSE)</f>
        <v>181.5</v>
      </c>
      <c r="J859" s="177" t="s">
        <v>111</v>
      </c>
    </row>
    <row r="860" spans="1:12" x14ac:dyDescent="0.25">
      <c r="A860" s="180" t="s">
        <v>315</v>
      </c>
      <c r="C860" s="184">
        <v>9999999999</v>
      </c>
      <c r="D860" s="185">
        <v>0.14162</v>
      </c>
      <c r="G860" s="185">
        <f>VLOOKUP(J860,'EXHIBIT JDT-3 LCOM'!D:N,7,FALSE)/10</f>
        <v>0.15465000000000001</v>
      </c>
      <c r="J860" s="177" t="s">
        <v>129</v>
      </c>
    </row>
    <row r="861" spans="1:12" x14ac:dyDescent="0.25">
      <c r="C861" s="184"/>
      <c r="D861" s="185"/>
      <c r="G861" s="185"/>
    </row>
    <row r="862" spans="1:12" hidden="1" x14ac:dyDescent="0.25">
      <c r="C862" s="184"/>
      <c r="D862" s="185"/>
      <c r="G862" s="185"/>
    </row>
    <row r="863" spans="1:12" hidden="1" x14ac:dyDescent="0.25">
      <c r="A863" s="180" t="s">
        <v>316</v>
      </c>
      <c r="D863" s="185">
        <v>0</v>
      </c>
      <c r="E863" s="186"/>
      <c r="F863" s="186"/>
      <c r="G863" s="185">
        <f>D863</f>
        <v>0</v>
      </c>
      <c r="J863" s="187" t="s">
        <v>370</v>
      </c>
    </row>
    <row r="864" spans="1:12" hidden="1" x14ac:dyDescent="0.25">
      <c r="A864" s="180" t="s">
        <v>152</v>
      </c>
      <c r="D864" s="185">
        <v>0</v>
      </c>
      <c r="E864" s="186"/>
      <c r="F864" s="186"/>
      <c r="G864" s="185">
        <f t="shared" ref="G864:G866" si="133">D864</f>
        <v>0</v>
      </c>
      <c r="J864" s="187" t="s">
        <v>370</v>
      </c>
    </row>
    <row r="865" spans="1:12" hidden="1" x14ac:dyDescent="0.25">
      <c r="A865" s="180" t="s">
        <v>318</v>
      </c>
      <c r="D865" s="185">
        <v>0</v>
      </c>
      <c r="E865" s="186"/>
      <c r="F865" s="186"/>
      <c r="G865" s="185">
        <f t="shared" si="133"/>
        <v>0</v>
      </c>
      <c r="J865" s="187"/>
    </row>
    <row r="866" spans="1:12" hidden="1" x14ac:dyDescent="0.25">
      <c r="A866" s="180" t="s">
        <v>319</v>
      </c>
      <c r="D866" s="185">
        <v>0</v>
      </c>
      <c r="E866" s="186"/>
      <c r="F866" s="186"/>
      <c r="G866" s="185">
        <f t="shared" si="133"/>
        <v>0</v>
      </c>
      <c r="J866" s="187"/>
    </row>
    <row r="867" spans="1:12" hidden="1" x14ac:dyDescent="0.25">
      <c r="A867" s="180" t="s">
        <v>320</v>
      </c>
      <c r="D867" s="185">
        <v>0</v>
      </c>
      <c r="E867" s="186"/>
      <c r="F867" s="186"/>
      <c r="G867" s="185">
        <f>IFERROR(VLOOKUP(J867,'EXHIBIT JDT-3 LCOM'!D:N,7,FALSE)/10,0)</f>
        <v>0</v>
      </c>
      <c r="J867" s="187"/>
    </row>
    <row r="868" spans="1:12" hidden="1" x14ac:dyDescent="0.25">
      <c r="A868" s="180" t="s">
        <v>341</v>
      </c>
      <c r="D868" s="185">
        <v>0</v>
      </c>
      <c r="E868" s="186"/>
      <c r="F868" s="186"/>
      <c r="G868" s="185">
        <f>IFERROR(VLOOKUP(J868,'EXHIBIT JDT-3 LCOM'!D:N,7,FALSE)/10,0)</f>
        <v>0</v>
      </c>
      <c r="J868" s="187"/>
    </row>
    <row r="869" spans="1:12" hidden="1" x14ac:dyDescent="0.25">
      <c r="A869" s="180" t="s">
        <v>342</v>
      </c>
      <c r="D869" s="185">
        <v>0</v>
      </c>
      <c r="E869" s="186"/>
      <c r="F869" s="186"/>
      <c r="G869" s="185">
        <v>0</v>
      </c>
      <c r="J869" s="188" t="s">
        <v>370</v>
      </c>
    </row>
    <row r="870" spans="1:12" hidden="1" x14ac:dyDescent="0.25">
      <c r="A870" s="180" t="s">
        <v>343</v>
      </c>
      <c r="D870" s="185">
        <v>0</v>
      </c>
      <c r="E870" s="186"/>
      <c r="F870" s="186"/>
      <c r="G870" s="185">
        <v>0</v>
      </c>
      <c r="J870" s="188" t="s">
        <v>370</v>
      </c>
    </row>
    <row r="871" spans="1:12" hidden="1" x14ac:dyDescent="0.25">
      <c r="E871" s="186"/>
      <c r="F871" s="186"/>
      <c r="G871" s="186"/>
    </row>
    <row r="872" spans="1:12" hidden="1" x14ac:dyDescent="0.25">
      <c r="A872" s="180" t="s">
        <v>321</v>
      </c>
      <c r="D872" s="189">
        <v>0</v>
      </c>
      <c r="G872" s="189">
        <v>0</v>
      </c>
    </row>
    <row r="873" spans="1:12" hidden="1" x14ac:dyDescent="0.25"/>
    <row r="874" spans="1:12" hidden="1" x14ac:dyDescent="0.25"/>
    <row r="875" spans="1:12" x14ac:dyDescent="0.25">
      <c r="G875" s="190" t="s">
        <v>322</v>
      </c>
      <c r="H875" s="190"/>
    </row>
    <row r="876" spans="1:12" x14ac:dyDescent="0.25">
      <c r="B876" s="176" t="s">
        <v>323</v>
      </c>
      <c r="C876" s="181" t="s">
        <v>311</v>
      </c>
      <c r="D876" s="181" t="s">
        <v>312</v>
      </c>
      <c r="E876" s="181" t="s">
        <v>311</v>
      </c>
      <c r="F876" s="181" t="s">
        <v>312</v>
      </c>
      <c r="G876" s="181" t="s">
        <v>324</v>
      </c>
      <c r="H876" s="181" t="s">
        <v>325</v>
      </c>
      <c r="J876" s="191"/>
    </row>
    <row r="877" spans="1:12" x14ac:dyDescent="0.25">
      <c r="C877" s="192" t="s">
        <v>326</v>
      </c>
      <c r="D877" s="192" t="s">
        <v>327</v>
      </c>
      <c r="E877" s="181" t="s">
        <v>328</v>
      </c>
      <c r="F877" s="181" t="s">
        <v>328</v>
      </c>
      <c r="G877" s="192" t="s">
        <v>329</v>
      </c>
      <c r="J877" s="191"/>
    </row>
    <row r="878" spans="1:12" x14ac:dyDescent="0.25">
      <c r="B878" s="176" t="s">
        <v>330</v>
      </c>
      <c r="J878" s="191"/>
    </row>
    <row r="879" spans="1:12" x14ac:dyDescent="0.25">
      <c r="B879" s="176">
        <v>0</v>
      </c>
      <c r="C879" s="193">
        <f>ROUND((D859+B879*D860+B879*(D863+D864+D865+D866+D867+D868+D869+D870))*(1+D872),2)</f>
        <v>121.01</v>
      </c>
      <c r="D879" s="193">
        <f>ROUND(($G$859+(SUM($G$860:$G$870)*B879))*(1+$G$872),2)</f>
        <v>181.5</v>
      </c>
      <c r="E879" s="194"/>
      <c r="F879" s="194"/>
      <c r="G879" s="193">
        <f t="shared" ref="G879:G909" si="134">D879-C879</f>
        <v>60.489999999999995</v>
      </c>
      <c r="H879" s="195">
        <f t="shared" ref="H879:H909" si="135">ROUND(G879/C879,4)</f>
        <v>0.49990000000000001</v>
      </c>
      <c r="J879" s="207"/>
      <c r="L879" s="197"/>
    </row>
    <row r="880" spans="1:12" x14ac:dyDescent="0.25">
      <c r="A880" s="598"/>
      <c r="B880" s="176">
        <f>B879+5000</f>
        <v>5000</v>
      </c>
      <c r="C880" s="193">
        <f>ROUND((D859+B880*D860+B880*(D863+D864+D865+D866+D867+D868+D869+D870))*(1+D872),2)</f>
        <v>829.11</v>
      </c>
      <c r="D880" s="193">
        <f t="shared" ref="D880:D909" si="136">ROUND(($G$859+(SUM($G$860:$G$870)*B880))*(1+$G$872),2)</f>
        <v>954.75</v>
      </c>
      <c r="E880" s="194">
        <f t="shared" ref="E880:E909" si="137">+C880/B880</f>
        <v>0.165822</v>
      </c>
      <c r="F880" s="194">
        <f t="shared" ref="F880:F909" si="138">+D880/B880</f>
        <v>0.19095000000000001</v>
      </c>
      <c r="G880" s="193">
        <f t="shared" si="134"/>
        <v>125.63999999999999</v>
      </c>
      <c r="H880" s="195">
        <f t="shared" si="135"/>
        <v>0.1515</v>
      </c>
      <c r="J880" s="207"/>
      <c r="L880" s="197"/>
    </row>
    <row r="881" spans="1:12" x14ac:dyDescent="0.25">
      <c r="A881" s="598"/>
      <c r="B881" s="176">
        <f t="shared" ref="B881:B903" si="139">B880+5000</f>
        <v>10000</v>
      </c>
      <c r="C881" s="193">
        <f>ROUND((D859+B881*D860+B881*(D863+D864+D865+D866+D867+D868+D869+D870))*(1+D872),2)</f>
        <v>1537.21</v>
      </c>
      <c r="D881" s="193">
        <f t="shared" si="136"/>
        <v>1728</v>
      </c>
      <c r="E881" s="194">
        <f t="shared" si="137"/>
        <v>0.153721</v>
      </c>
      <c r="F881" s="194">
        <f t="shared" si="138"/>
        <v>0.17280000000000001</v>
      </c>
      <c r="G881" s="193">
        <f t="shared" si="134"/>
        <v>190.78999999999996</v>
      </c>
      <c r="H881" s="195">
        <f t="shared" si="135"/>
        <v>0.1241</v>
      </c>
      <c r="J881" s="207"/>
      <c r="L881" s="197"/>
    </row>
    <row r="882" spans="1:12" x14ac:dyDescent="0.25">
      <c r="A882" s="598"/>
      <c r="B882" s="176">
        <f t="shared" si="139"/>
        <v>15000</v>
      </c>
      <c r="C882" s="193">
        <f>ROUND((D859+B882*D860+B882*(D863+D864+D865+D866+D867+D868+D869+D870))*(1+D872),2)</f>
        <v>2245.31</v>
      </c>
      <c r="D882" s="193">
        <f t="shared" si="136"/>
        <v>2501.25</v>
      </c>
      <c r="E882" s="194">
        <f t="shared" si="137"/>
        <v>0.14968733333333334</v>
      </c>
      <c r="F882" s="194">
        <f t="shared" si="138"/>
        <v>0.16675000000000001</v>
      </c>
      <c r="G882" s="193">
        <f t="shared" si="134"/>
        <v>255.94000000000005</v>
      </c>
      <c r="H882" s="195">
        <f t="shared" si="135"/>
        <v>0.114</v>
      </c>
      <c r="J882" s="207"/>
      <c r="L882" s="197"/>
    </row>
    <row r="883" spans="1:12" x14ac:dyDescent="0.25">
      <c r="A883" s="598"/>
      <c r="B883" s="176">
        <f t="shared" si="139"/>
        <v>20000</v>
      </c>
      <c r="C883" s="193">
        <f>ROUND((D859+B883*D860+B883*(D863+D864+D865+D866+D867+D868+D869+D870))*(1+D872),2)</f>
        <v>2953.41</v>
      </c>
      <c r="D883" s="193">
        <f t="shared" si="136"/>
        <v>3274.5</v>
      </c>
      <c r="E883" s="194">
        <f t="shared" si="137"/>
        <v>0.14767049999999998</v>
      </c>
      <c r="F883" s="194">
        <f t="shared" si="138"/>
        <v>0.16372500000000001</v>
      </c>
      <c r="G883" s="193">
        <f t="shared" si="134"/>
        <v>321.09000000000015</v>
      </c>
      <c r="H883" s="195">
        <f t="shared" si="135"/>
        <v>0.1087</v>
      </c>
      <c r="J883" s="207"/>
      <c r="L883" s="197"/>
    </row>
    <row r="884" spans="1:12" x14ac:dyDescent="0.25">
      <c r="A884" s="598"/>
      <c r="B884" s="176">
        <f t="shared" si="139"/>
        <v>25000</v>
      </c>
      <c r="C884" s="193">
        <f>ROUND((D859+B884*D860+B884*(D863+D864+D865+D866+D867+D868+D869+D870))*(1+D872),2)</f>
        <v>3661.51</v>
      </c>
      <c r="D884" s="193">
        <f t="shared" si="136"/>
        <v>4047.75</v>
      </c>
      <c r="E884" s="194">
        <f t="shared" si="137"/>
        <v>0.14646040000000002</v>
      </c>
      <c r="F884" s="194">
        <f t="shared" si="138"/>
        <v>0.16191</v>
      </c>
      <c r="G884" s="193">
        <f t="shared" si="134"/>
        <v>386.23999999999978</v>
      </c>
      <c r="H884" s="195">
        <f t="shared" si="135"/>
        <v>0.1055</v>
      </c>
      <c r="J884" s="207"/>
      <c r="L884" s="197"/>
    </row>
    <row r="885" spans="1:12" x14ac:dyDescent="0.25">
      <c r="A885" s="598"/>
      <c r="B885" s="176">
        <f t="shared" si="139"/>
        <v>30000</v>
      </c>
      <c r="C885" s="193">
        <f>ROUND((D859+B885*D860+B885*(D863+D864+D865+D866+D867+D868+D869+D870))*(1+D872),2)</f>
        <v>4369.6099999999997</v>
      </c>
      <c r="D885" s="193">
        <f t="shared" si="136"/>
        <v>4821</v>
      </c>
      <c r="E885" s="194">
        <f t="shared" si="137"/>
        <v>0.14565366666666665</v>
      </c>
      <c r="F885" s="194">
        <f t="shared" si="138"/>
        <v>0.16070000000000001</v>
      </c>
      <c r="G885" s="193">
        <f t="shared" si="134"/>
        <v>451.39000000000033</v>
      </c>
      <c r="H885" s="195">
        <f t="shared" si="135"/>
        <v>0.1033</v>
      </c>
      <c r="J885" s="207"/>
      <c r="L885" s="197"/>
    </row>
    <row r="886" spans="1:12" x14ac:dyDescent="0.25">
      <c r="A886" s="598"/>
      <c r="B886" s="176">
        <f t="shared" si="139"/>
        <v>35000</v>
      </c>
      <c r="C886" s="193">
        <f>ROUND((D859+B886*D860+B886*(D863+D864+D865+D866+D867+D868+D869+D870))*(1+D872),2)</f>
        <v>5077.71</v>
      </c>
      <c r="D886" s="193">
        <f t="shared" si="136"/>
        <v>5594.25</v>
      </c>
      <c r="E886" s="194">
        <f t="shared" si="137"/>
        <v>0.14507742857142858</v>
      </c>
      <c r="F886" s="194">
        <f t="shared" si="138"/>
        <v>0.15983571428571428</v>
      </c>
      <c r="G886" s="193">
        <f t="shared" si="134"/>
        <v>516.54</v>
      </c>
      <c r="H886" s="195">
        <f t="shared" si="135"/>
        <v>0.1017</v>
      </c>
      <c r="J886" s="207"/>
      <c r="L886" s="197"/>
    </row>
    <row r="887" spans="1:12" x14ac:dyDescent="0.25">
      <c r="A887" s="598"/>
      <c r="B887" s="176">
        <f t="shared" si="139"/>
        <v>40000</v>
      </c>
      <c r="C887" s="193">
        <f>ROUND((D859+B887*D860+B887*(D863+D864+D865+D866+D867+D868+D869+D870))*(1+D872),2)</f>
        <v>5785.81</v>
      </c>
      <c r="D887" s="193">
        <f t="shared" si="136"/>
        <v>6367.5</v>
      </c>
      <c r="E887" s="194">
        <f t="shared" si="137"/>
        <v>0.14464525</v>
      </c>
      <c r="F887" s="194">
        <f t="shared" si="138"/>
        <v>0.15918750000000001</v>
      </c>
      <c r="G887" s="193">
        <f t="shared" si="134"/>
        <v>581.6899999999996</v>
      </c>
      <c r="H887" s="195">
        <f t="shared" si="135"/>
        <v>0.10050000000000001</v>
      </c>
      <c r="J887" s="207"/>
      <c r="L887" s="197"/>
    </row>
    <row r="888" spans="1:12" x14ac:dyDescent="0.25">
      <c r="A888" s="598"/>
      <c r="B888" s="176">
        <f t="shared" si="139"/>
        <v>45000</v>
      </c>
      <c r="C888" s="193">
        <f>ROUND((D859+B888*D860+B888*(D863+D864+D865+D866+D867+D868+D869+D870))*(1+D872),2)</f>
        <v>6493.91</v>
      </c>
      <c r="D888" s="193">
        <f t="shared" si="136"/>
        <v>7140.75</v>
      </c>
      <c r="E888" s="194">
        <f t="shared" si="137"/>
        <v>0.14430911111111111</v>
      </c>
      <c r="F888" s="194">
        <f t="shared" si="138"/>
        <v>0.15868333333333334</v>
      </c>
      <c r="G888" s="193">
        <f t="shared" si="134"/>
        <v>646.84000000000015</v>
      </c>
      <c r="H888" s="195">
        <f t="shared" si="135"/>
        <v>9.9599999999999994E-2</v>
      </c>
      <c r="J888" s="207"/>
      <c r="L888" s="197"/>
    </row>
    <row r="889" spans="1:12" x14ac:dyDescent="0.25">
      <c r="A889" s="598"/>
      <c r="B889" s="176">
        <f t="shared" si="139"/>
        <v>50000</v>
      </c>
      <c r="C889" s="193">
        <f>ROUND((D859+B889*D860+B889*(D863+D864+D865+D866+D867+D868+D869+D870))*(1+D872),2)</f>
        <v>7202.01</v>
      </c>
      <c r="D889" s="193">
        <f t="shared" si="136"/>
        <v>7914</v>
      </c>
      <c r="E889" s="194">
        <f t="shared" si="137"/>
        <v>0.14404020000000001</v>
      </c>
      <c r="F889" s="194">
        <f t="shared" si="138"/>
        <v>0.15828</v>
      </c>
      <c r="G889" s="193">
        <f t="shared" si="134"/>
        <v>711.98999999999978</v>
      </c>
      <c r="H889" s="195">
        <f t="shared" si="135"/>
        <v>9.8900000000000002E-2</v>
      </c>
      <c r="J889" s="207"/>
      <c r="L889" s="197"/>
    </row>
    <row r="890" spans="1:12" x14ac:dyDescent="0.25">
      <c r="A890" s="598"/>
      <c r="B890" s="176">
        <f t="shared" si="139"/>
        <v>55000</v>
      </c>
      <c r="C890" s="193">
        <f>ROUND((D859+B890*D860+B890*(D863+D864+D865+D866+D867+D868+D869+D870))*(1+D872),2)</f>
        <v>7910.11</v>
      </c>
      <c r="D890" s="193">
        <f t="shared" si="136"/>
        <v>8687.25</v>
      </c>
      <c r="E890" s="194">
        <f t="shared" si="137"/>
        <v>0.14382018181818182</v>
      </c>
      <c r="F890" s="194">
        <f t="shared" si="138"/>
        <v>0.15795000000000001</v>
      </c>
      <c r="G890" s="193">
        <f t="shared" si="134"/>
        <v>777.14000000000033</v>
      </c>
      <c r="H890" s="195">
        <f t="shared" si="135"/>
        <v>9.8199999999999996E-2</v>
      </c>
      <c r="J890" s="207"/>
      <c r="L890" s="197"/>
    </row>
    <row r="891" spans="1:12" x14ac:dyDescent="0.25">
      <c r="A891" s="598"/>
      <c r="B891" s="176">
        <f t="shared" si="139"/>
        <v>60000</v>
      </c>
      <c r="C891" s="193">
        <f>ROUND((D859+B891*D860+B891*(D863+D864+D865+D866+D867+D868+D869+D870))*(1+D872),2)</f>
        <v>8618.2099999999991</v>
      </c>
      <c r="D891" s="193">
        <f t="shared" si="136"/>
        <v>9460.5</v>
      </c>
      <c r="E891" s="194">
        <f t="shared" si="137"/>
        <v>0.14363683333333332</v>
      </c>
      <c r="F891" s="194">
        <f t="shared" si="138"/>
        <v>0.15767500000000001</v>
      </c>
      <c r="G891" s="193">
        <f t="shared" si="134"/>
        <v>842.29000000000087</v>
      </c>
      <c r="H891" s="195">
        <f t="shared" si="135"/>
        <v>9.7699999999999995E-2</v>
      </c>
      <c r="J891" s="207"/>
      <c r="L891" s="197"/>
    </row>
    <row r="892" spans="1:12" x14ac:dyDescent="0.25">
      <c r="A892" s="598"/>
      <c r="B892" s="176">
        <f t="shared" si="139"/>
        <v>65000</v>
      </c>
      <c r="C892" s="193">
        <f>ROUND((D859+B892*D860+B892*(D863+D864+D865+D866+D867+D868+D869+D870))*(1+D872),2)</f>
        <v>9326.31</v>
      </c>
      <c r="D892" s="193">
        <f t="shared" si="136"/>
        <v>10233.75</v>
      </c>
      <c r="E892" s="194">
        <f t="shared" si="137"/>
        <v>0.14348169230769231</v>
      </c>
      <c r="F892" s="194">
        <f t="shared" si="138"/>
        <v>0.15744230769230769</v>
      </c>
      <c r="G892" s="193">
        <f t="shared" si="134"/>
        <v>907.44000000000051</v>
      </c>
      <c r="H892" s="195">
        <f t="shared" si="135"/>
        <v>9.7299999999999998E-2</v>
      </c>
      <c r="J892" s="207"/>
      <c r="L892" s="197"/>
    </row>
    <row r="893" spans="1:12" x14ac:dyDescent="0.25">
      <c r="A893" s="598"/>
      <c r="B893" s="176">
        <f t="shared" si="139"/>
        <v>70000</v>
      </c>
      <c r="C893" s="193">
        <f>ROUND((D859+B893*D860+B893*(D863+D864+D865+D866+D867+D868+D869+D870))*(1+D872),2)</f>
        <v>10034.41</v>
      </c>
      <c r="D893" s="193">
        <f t="shared" si="136"/>
        <v>11007</v>
      </c>
      <c r="E893" s="194">
        <f t="shared" si="137"/>
        <v>0.14334871428571427</v>
      </c>
      <c r="F893" s="194">
        <f t="shared" si="138"/>
        <v>0.15724285714285716</v>
      </c>
      <c r="G893" s="193">
        <f t="shared" si="134"/>
        <v>972.59000000000015</v>
      </c>
      <c r="H893" s="195">
        <f t="shared" si="135"/>
        <v>9.69E-2</v>
      </c>
      <c r="J893" s="207"/>
      <c r="L893" s="197"/>
    </row>
    <row r="894" spans="1:12" x14ac:dyDescent="0.25">
      <c r="A894" s="598"/>
      <c r="B894" s="176">
        <f t="shared" si="139"/>
        <v>75000</v>
      </c>
      <c r="C894" s="193">
        <f>ROUND((D859+B894*D860+B894*(D863+D864+D865+D866+D867+D868+D869+D870))*(1+D872),2)</f>
        <v>10742.51</v>
      </c>
      <c r="D894" s="193">
        <f t="shared" si="136"/>
        <v>11780.25</v>
      </c>
      <c r="E894" s="194">
        <f t="shared" si="137"/>
        <v>0.14323346666666667</v>
      </c>
      <c r="F894" s="194">
        <f t="shared" si="138"/>
        <v>0.15706999999999999</v>
      </c>
      <c r="G894" s="193">
        <f t="shared" si="134"/>
        <v>1037.7399999999998</v>
      </c>
      <c r="H894" s="195">
        <f t="shared" si="135"/>
        <v>9.6600000000000005E-2</v>
      </c>
      <c r="J894" s="207"/>
      <c r="L894" s="197"/>
    </row>
    <row r="895" spans="1:12" x14ac:dyDescent="0.25">
      <c r="A895" s="598"/>
      <c r="B895" s="176">
        <f t="shared" si="139"/>
        <v>80000</v>
      </c>
      <c r="C895" s="193">
        <f>ROUND((D859+B895*D860+B895*(D863+D864+D865+D866+D867+D868+D869+D870))*(1+D872),2)</f>
        <v>11450.61</v>
      </c>
      <c r="D895" s="193">
        <f t="shared" si="136"/>
        <v>12553.5</v>
      </c>
      <c r="E895" s="194">
        <f t="shared" si="137"/>
        <v>0.14313262500000001</v>
      </c>
      <c r="F895" s="194">
        <f t="shared" si="138"/>
        <v>0.15691875</v>
      </c>
      <c r="G895" s="193">
        <f t="shared" si="134"/>
        <v>1102.8899999999994</v>
      </c>
      <c r="H895" s="195">
        <f t="shared" si="135"/>
        <v>9.6299999999999997E-2</v>
      </c>
      <c r="J895" s="207"/>
      <c r="L895" s="197"/>
    </row>
    <row r="896" spans="1:12" x14ac:dyDescent="0.25">
      <c r="A896" s="598"/>
      <c r="B896" s="176">
        <f t="shared" si="139"/>
        <v>85000</v>
      </c>
      <c r="C896" s="193">
        <f>ROUND((D859+B896*D860+B896*(D863+D864+D865+D866+D867+D868+D869+D870))*(1+D872),2)</f>
        <v>12158.71</v>
      </c>
      <c r="D896" s="193">
        <f t="shared" si="136"/>
        <v>13326.75</v>
      </c>
      <c r="E896" s="194">
        <f t="shared" si="137"/>
        <v>0.14304364705882353</v>
      </c>
      <c r="F896" s="194">
        <f t="shared" si="138"/>
        <v>0.15678529411764705</v>
      </c>
      <c r="G896" s="193">
        <f t="shared" si="134"/>
        <v>1168.0400000000009</v>
      </c>
      <c r="H896" s="195">
        <f t="shared" si="135"/>
        <v>9.6100000000000005E-2</v>
      </c>
      <c r="J896" s="207"/>
      <c r="L896" s="197"/>
    </row>
    <row r="897" spans="1:12" x14ac:dyDescent="0.25">
      <c r="A897" s="598"/>
      <c r="B897" s="176">
        <f t="shared" si="139"/>
        <v>90000</v>
      </c>
      <c r="C897" s="193">
        <f>ROUND((D859+B897*D860+B897*(D863+D864+D865+D866+D867+D868+D869+D870))*(1+D872),2)</f>
        <v>12866.81</v>
      </c>
      <c r="D897" s="193">
        <f t="shared" si="136"/>
        <v>14100</v>
      </c>
      <c r="E897" s="194">
        <f t="shared" si="137"/>
        <v>0.14296455555555554</v>
      </c>
      <c r="F897" s="194">
        <f t="shared" si="138"/>
        <v>0.15666666666666668</v>
      </c>
      <c r="G897" s="193">
        <f t="shared" si="134"/>
        <v>1233.1900000000005</v>
      </c>
      <c r="H897" s="195">
        <f t="shared" si="135"/>
        <v>9.5799999999999996E-2</v>
      </c>
      <c r="J897" s="207"/>
      <c r="L897" s="197"/>
    </row>
    <row r="898" spans="1:12" x14ac:dyDescent="0.25">
      <c r="A898" s="598"/>
      <c r="B898" s="176">
        <f t="shared" si="139"/>
        <v>95000</v>
      </c>
      <c r="C898" s="193">
        <f>ROUND((D859+B898*D860+B898*(D863+D864+D865+D866+D867+D868+D869+D870))*(1+D872),2)</f>
        <v>13574.91</v>
      </c>
      <c r="D898" s="193">
        <f>ROUND(($G$859+(SUM($G$860:$G$870)*B898))*(1+$G$872),2)</f>
        <v>14873.25</v>
      </c>
      <c r="E898" s="194">
        <f t="shared" si="137"/>
        <v>0.1428937894736842</v>
      </c>
      <c r="F898" s="194">
        <f t="shared" si="138"/>
        <v>0.15656052631578948</v>
      </c>
      <c r="G898" s="193">
        <f t="shared" si="134"/>
        <v>1298.3400000000001</v>
      </c>
      <c r="H898" s="195">
        <f t="shared" si="135"/>
        <v>9.5600000000000004E-2</v>
      </c>
      <c r="J898" s="207"/>
      <c r="L898" s="197"/>
    </row>
    <row r="899" spans="1:12" x14ac:dyDescent="0.25">
      <c r="A899" s="598"/>
      <c r="B899" s="176">
        <f t="shared" si="139"/>
        <v>100000</v>
      </c>
      <c r="C899" s="193">
        <f>ROUND((D859+B899*D860+B899*(D863+D864+D865+D866+D867+D868+D869+D870))*(1+D872),2)</f>
        <v>14283.01</v>
      </c>
      <c r="D899" s="193">
        <f t="shared" si="136"/>
        <v>15646.5</v>
      </c>
      <c r="E899" s="194">
        <f t="shared" si="137"/>
        <v>0.14283010000000002</v>
      </c>
      <c r="F899" s="194">
        <f t="shared" si="138"/>
        <v>0.15646499999999999</v>
      </c>
      <c r="G899" s="193">
        <f t="shared" si="134"/>
        <v>1363.4899999999998</v>
      </c>
      <c r="H899" s="195">
        <f t="shared" si="135"/>
        <v>9.5500000000000002E-2</v>
      </c>
      <c r="J899" s="207"/>
      <c r="L899" s="197"/>
    </row>
    <row r="900" spans="1:12" x14ac:dyDescent="0.25">
      <c r="A900" s="598"/>
      <c r="B900" s="176">
        <f t="shared" si="139"/>
        <v>105000</v>
      </c>
      <c r="C900" s="193">
        <f>ROUND((D859+B900*D860+B900*(D863+D864+D865+D866+D867+D868+D869+D870))*(1+D872),2)</f>
        <v>14991.11</v>
      </c>
      <c r="D900" s="193">
        <f t="shared" si="136"/>
        <v>16419.75</v>
      </c>
      <c r="E900" s="194">
        <f t="shared" si="137"/>
        <v>0.1427724761904762</v>
      </c>
      <c r="F900" s="194">
        <f t="shared" si="138"/>
        <v>0.15637857142857142</v>
      </c>
      <c r="G900" s="193">
        <f t="shared" si="134"/>
        <v>1428.6399999999994</v>
      </c>
      <c r="H900" s="195">
        <f t="shared" si="135"/>
        <v>9.5299999999999996E-2</v>
      </c>
      <c r="J900" s="207"/>
      <c r="L900" s="197"/>
    </row>
    <row r="901" spans="1:12" x14ac:dyDescent="0.25">
      <c r="A901" s="598"/>
      <c r="B901" s="176">
        <f t="shared" si="139"/>
        <v>110000</v>
      </c>
      <c r="C901" s="193">
        <f>ROUND((D859+B901*D860+B901*(D863+D864+D865+D866+D867+D868+D869+D870))*(1+D872),2)</f>
        <v>15699.21</v>
      </c>
      <c r="D901" s="193">
        <f t="shared" si="136"/>
        <v>17193</v>
      </c>
      <c r="E901" s="194">
        <f t="shared" si="137"/>
        <v>0.14272009090909091</v>
      </c>
      <c r="F901" s="194">
        <f t="shared" si="138"/>
        <v>0.15629999999999999</v>
      </c>
      <c r="G901" s="193">
        <f t="shared" si="134"/>
        <v>1493.7900000000009</v>
      </c>
      <c r="H901" s="195">
        <f t="shared" si="135"/>
        <v>9.5200000000000007E-2</v>
      </c>
      <c r="J901" s="207"/>
      <c r="L901" s="197"/>
    </row>
    <row r="902" spans="1:12" x14ac:dyDescent="0.25">
      <c r="A902" s="598"/>
      <c r="B902" s="176">
        <f t="shared" si="139"/>
        <v>115000</v>
      </c>
      <c r="C902" s="193">
        <f>ROUND((D859+B902*D860+B902*(D863+D864+D865+D866+D867+D868+D869+D870))*(1+D872),2)</f>
        <v>16407.310000000001</v>
      </c>
      <c r="D902" s="193">
        <f t="shared" si="136"/>
        <v>17966.25</v>
      </c>
      <c r="E902" s="194">
        <f t="shared" si="137"/>
        <v>0.14267226086956522</v>
      </c>
      <c r="F902" s="194">
        <f t="shared" si="138"/>
        <v>0.15622826086956521</v>
      </c>
      <c r="G902" s="193">
        <f t="shared" si="134"/>
        <v>1558.9399999999987</v>
      </c>
      <c r="H902" s="195">
        <f t="shared" si="135"/>
        <v>9.5000000000000001E-2</v>
      </c>
      <c r="J902" s="207"/>
      <c r="L902" s="197"/>
    </row>
    <row r="903" spans="1:12" x14ac:dyDescent="0.25">
      <c r="A903" s="598"/>
      <c r="B903" s="176">
        <f t="shared" si="139"/>
        <v>120000</v>
      </c>
      <c r="C903" s="193">
        <f>ROUND((D859+B903*D860+B903*(D863+D864+D865+D866+D867+D868+D869+D870))*(1+D872),2)</f>
        <v>17115.41</v>
      </c>
      <c r="D903" s="193">
        <f t="shared" si="136"/>
        <v>18739.5</v>
      </c>
      <c r="E903" s="194">
        <f t="shared" si="137"/>
        <v>0.14262841666666667</v>
      </c>
      <c r="F903" s="194">
        <f t="shared" si="138"/>
        <v>0.15616250000000001</v>
      </c>
      <c r="G903" s="193">
        <f t="shared" si="134"/>
        <v>1624.0900000000001</v>
      </c>
      <c r="H903" s="195">
        <f t="shared" si="135"/>
        <v>9.4899999999999998E-2</v>
      </c>
      <c r="J903" s="207"/>
      <c r="L903" s="197"/>
    </row>
    <row r="904" spans="1:12" x14ac:dyDescent="0.25">
      <c r="A904" s="598"/>
      <c r="B904" s="176">
        <f>B903+5000</f>
        <v>125000</v>
      </c>
      <c r="C904" s="193">
        <f>ROUND((D859+B904*D860+B904*(D863+D864+D865+D866+D867+D868+D869+D870))*(1+D872),2)</f>
        <v>17823.509999999998</v>
      </c>
      <c r="D904" s="193">
        <f t="shared" si="136"/>
        <v>19512.75</v>
      </c>
      <c r="E904" s="194">
        <f t="shared" si="137"/>
        <v>0.14258807999999998</v>
      </c>
      <c r="F904" s="194">
        <f t="shared" si="138"/>
        <v>0.15610199999999999</v>
      </c>
      <c r="G904" s="193">
        <f t="shared" si="134"/>
        <v>1689.2400000000016</v>
      </c>
      <c r="H904" s="195">
        <f t="shared" si="135"/>
        <v>9.4799999999999995E-2</v>
      </c>
      <c r="J904" s="207"/>
      <c r="L904" s="197"/>
    </row>
    <row r="905" spans="1:12" x14ac:dyDescent="0.25">
      <c r="A905" s="598"/>
      <c r="B905" s="176">
        <f t="shared" ref="B905:B907" si="140">B904+5000</f>
        <v>130000</v>
      </c>
      <c r="C905" s="193">
        <f>ROUND((D859+B905*D860+B905*(D863+D864+D865+D866+D867+D868+D869+D870))*(1+D872),2)</f>
        <v>18531.61</v>
      </c>
      <c r="D905" s="193">
        <f t="shared" si="136"/>
        <v>20286</v>
      </c>
      <c r="E905" s="194">
        <f t="shared" si="137"/>
        <v>0.14255084615384617</v>
      </c>
      <c r="F905" s="194">
        <f t="shared" si="138"/>
        <v>0.15604615384615383</v>
      </c>
      <c r="G905" s="193">
        <f t="shared" si="134"/>
        <v>1754.3899999999994</v>
      </c>
      <c r="H905" s="195">
        <f t="shared" si="135"/>
        <v>9.4700000000000006E-2</v>
      </c>
      <c r="J905" s="207"/>
      <c r="L905" s="197"/>
    </row>
    <row r="906" spans="1:12" x14ac:dyDescent="0.25">
      <c r="A906" s="598"/>
      <c r="B906" s="176">
        <f t="shared" si="140"/>
        <v>135000</v>
      </c>
      <c r="C906" s="193">
        <f>ROUND((D859+B906*D860+B906*(D863+D864+D865+D866+D867+D868+D869+D870))*(1+D872),2)</f>
        <v>19239.71</v>
      </c>
      <c r="D906" s="193">
        <f t="shared" si="136"/>
        <v>21059.25</v>
      </c>
      <c r="E906" s="194">
        <f t="shared" si="137"/>
        <v>0.14251637037037038</v>
      </c>
      <c r="F906" s="194">
        <f t="shared" si="138"/>
        <v>0.15599444444444444</v>
      </c>
      <c r="G906" s="193">
        <f t="shared" si="134"/>
        <v>1819.5400000000009</v>
      </c>
      <c r="H906" s="195">
        <f t="shared" si="135"/>
        <v>9.4600000000000004E-2</v>
      </c>
      <c r="J906" s="207"/>
      <c r="L906" s="197"/>
    </row>
    <row r="907" spans="1:12" x14ac:dyDescent="0.25">
      <c r="A907" s="598"/>
      <c r="B907" s="176">
        <f t="shared" si="140"/>
        <v>140000</v>
      </c>
      <c r="C907" s="193">
        <f>ROUND((D859+B907*D860+B907*(D863+D864+D865+D866+D867+D868+D869+D870))*(1+D872),2)</f>
        <v>19947.810000000001</v>
      </c>
      <c r="D907" s="193">
        <f t="shared" si="136"/>
        <v>21832.5</v>
      </c>
      <c r="E907" s="194">
        <f t="shared" si="137"/>
        <v>0.14248435714285715</v>
      </c>
      <c r="F907" s="194">
        <f t="shared" si="138"/>
        <v>0.15594642857142857</v>
      </c>
      <c r="G907" s="193">
        <f t="shared" si="134"/>
        <v>1884.6899999999987</v>
      </c>
      <c r="H907" s="195">
        <f t="shared" si="135"/>
        <v>9.4500000000000001E-2</v>
      </c>
      <c r="J907" s="207"/>
      <c r="L907" s="197"/>
    </row>
    <row r="908" spans="1:12" x14ac:dyDescent="0.25">
      <c r="A908" s="598"/>
      <c r="B908" s="176">
        <f>B907+5000</f>
        <v>145000</v>
      </c>
      <c r="C908" s="193">
        <f>ROUND((D859+B908*D860+B908*(D863+D864+D865+D866+D867+D868+D869+D870))*(1+D872),2)</f>
        <v>20655.91</v>
      </c>
      <c r="D908" s="193">
        <f t="shared" si="136"/>
        <v>22605.75</v>
      </c>
      <c r="E908" s="194">
        <f t="shared" si="137"/>
        <v>0.14245455172413793</v>
      </c>
      <c r="F908" s="194">
        <f t="shared" si="138"/>
        <v>0.15590172413793105</v>
      </c>
      <c r="G908" s="193">
        <f t="shared" si="134"/>
        <v>1949.8400000000001</v>
      </c>
      <c r="H908" s="195">
        <f t="shared" si="135"/>
        <v>9.4399999999999998E-2</v>
      </c>
      <c r="J908" s="207"/>
      <c r="L908" s="197"/>
    </row>
    <row r="909" spans="1:12" x14ac:dyDescent="0.25">
      <c r="A909" s="598"/>
      <c r="B909" s="176">
        <f t="shared" ref="B909" si="141">B908+5000</f>
        <v>150000</v>
      </c>
      <c r="C909" s="193">
        <f>ROUND((D859+B909*D860+B909*(D863+D864+D865+D866+D867+D868+D869+D870))*(1+D872),2)</f>
        <v>21364.01</v>
      </c>
      <c r="D909" s="193">
        <f t="shared" si="136"/>
        <v>23379</v>
      </c>
      <c r="E909" s="194">
        <f t="shared" si="137"/>
        <v>0.14242673333333333</v>
      </c>
      <c r="F909" s="194">
        <f t="shared" si="138"/>
        <v>0.15586</v>
      </c>
      <c r="G909" s="193">
        <f t="shared" si="134"/>
        <v>2014.9900000000016</v>
      </c>
      <c r="H909" s="195">
        <f t="shared" si="135"/>
        <v>9.4299999999999995E-2</v>
      </c>
      <c r="J909" s="207"/>
      <c r="L909" s="197"/>
    </row>
    <row r="910" spans="1:12" x14ac:dyDescent="0.25">
      <c r="C910" s="193"/>
      <c r="D910" s="193"/>
      <c r="E910" s="194"/>
      <c r="F910" s="194"/>
      <c r="G910" s="193"/>
      <c r="H910" s="195"/>
      <c r="J910" s="207"/>
      <c r="L910" s="197"/>
    </row>
    <row r="911" spans="1:12" hidden="1" x14ac:dyDescent="0.25">
      <c r="C911" s="193"/>
      <c r="D911" s="193"/>
      <c r="E911" s="194"/>
      <c r="F911" s="194"/>
      <c r="G911" s="193"/>
      <c r="H911" s="195"/>
      <c r="J911" s="207"/>
      <c r="L911" s="197"/>
    </row>
    <row r="912" spans="1:12" hidden="1" x14ac:dyDescent="0.25">
      <c r="C912" s="193"/>
      <c r="D912" s="193"/>
      <c r="E912" s="194"/>
      <c r="F912" s="194"/>
      <c r="G912" s="193"/>
      <c r="H912" s="195"/>
      <c r="J912" s="207"/>
      <c r="L912" s="197"/>
    </row>
    <row r="913" spans="1:12" hidden="1" x14ac:dyDescent="0.25">
      <c r="C913" s="193"/>
      <c r="D913" s="193"/>
      <c r="E913" s="194"/>
      <c r="F913" s="194"/>
      <c r="G913" s="193"/>
      <c r="H913" s="195"/>
      <c r="J913" s="207"/>
      <c r="L913" s="197"/>
    </row>
    <row r="914" spans="1:12" hidden="1" x14ac:dyDescent="0.25">
      <c r="C914" s="193"/>
      <c r="D914" s="193"/>
      <c r="E914" s="194"/>
      <c r="F914" s="194"/>
      <c r="G914" s="193"/>
      <c r="H914" s="195"/>
      <c r="J914" s="207"/>
      <c r="L914" s="197"/>
    </row>
    <row r="915" spans="1:12" hidden="1" x14ac:dyDescent="0.25">
      <c r="C915" s="193"/>
      <c r="D915" s="193"/>
      <c r="E915" s="194"/>
      <c r="F915" s="194"/>
      <c r="G915" s="193"/>
      <c r="H915" s="195"/>
      <c r="J915" s="207"/>
      <c r="L915" s="197"/>
    </row>
    <row r="916" spans="1:12" hidden="1" x14ac:dyDescent="0.25">
      <c r="A916" s="180" t="s">
        <v>21</v>
      </c>
      <c r="B916" s="179"/>
      <c r="C916" s="179"/>
      <c r="D916" s="179"/>
      <c r="E916" s="179"/>
      <c r="F916" s="179"/>
      <c r="G916" s="179"/>
      <c r="H916" s="179"/>
      <c r="I916" s="180"/>
    </row>
    <row r="917" spans="1:12" hidden="1" x14ac:dyDescent="0.25">
      <c r="A917" s="180" t="s">
        <v>22</v>
      </c>
      <c r="B917" s="179"/>
      <c r="C917" s="179"/>
      <c r="D917" s="179"/>
      <c r="E917" s="179"/>
      <c r="F917" s="179"/>
      <c r="G917" s="179"/>
      <c r="H917" s="179"/>
      <c r="I917" s="180"/>
    </row>
    <row r="918" spans="1:12" hidden="1" x14ac:dyDescent="0.25">
      <c r="A918" s="180" t="s">
        <v>310</v>
      </c>
      <c r="B918" s="179"/>
      <c r="C918" s="179"/>
      <c r="D918" s="179"/>
      <c r="E918" s="179"/>
      <c r="F918" s="179"/>
      <c r="G918" s="179"/>
      <c r="H918" s="179"/>
      <c r="I918" s="180"/>
    </row>
    <row r="919" spans="1:12" x14ac:dyDescent="0.25">
      <c r="A919" s="599" t="s">
        <v>349</v>
      </c>
      <c r="B919" s="179"/>
      <c r="C919" s="179"/>
      <c r="D919" s="179"/>
      <c r="E919" s="179"/>
      <c r="F919" s="179"/>
      <c r="G919" s="179"/>
      <c r="H919" s="179"/>
      <c r="I919" s="180"/>
    </row>
    <row r="920" spans="1:12" x14ac:dyDescent="0.25">
      <c r="E920" s="194"/>
      <c r="F920" s="194"/>
    </row>
    <row r="921" spans="1:12" hidden="1" x14ac:dyDescent="0.25">
      <c r="E921" s="194"/>
      <c r="F921" s="194"/>
    </row>
    <row r="922" spans="1:12" x14ac:dyDescent="0.25">
      <c r="D922" s="181" t="s">
        <v>311</v>
      </c>
      <c r="E922" s="194"/>
      <c r="F922" s="194"/>
      <c r="G922" s="181" t="s">
        <v>312</v>
      </c>
    </row>
    <row r="923" spans="1:12" x14ac:dyDescent="0.25">
      <c r="D923" s="182" t="s">
        <v>313</v>
      </c>
      <c r="E923" s="194"/>
      <c r="F923" s="194"/>
      <c r="G923" s="182" t="s">
        <v>313</v>
      </c>
    </row>
    <row r="924" spans="1:12" x14ac:dyDescent="0.25">
      <c r="A924" s="180" t="s">
        <v>314</v>
      </c>
      <c r="D924" s="183">
        <v>0</v>
      </c>
      <c r="E924" s="194"/>
      <c r="F924" s="194"/>
      <c r="G924" s="183">
        <f>VLOOKUP(J924,'EXHIBIT JDT-3 LCOM'!D:N,7,FALSE)</f>
        <v>0</v>
      </c>
      <c r="J924" s="224" t="s">
        <v>295</v>
      </c>
    </row>
    <row r="925" spans="1:12" x14ac:dyDescent="0.25">
      <c r="A925" s="180" t="s">
        <v>315</v>
      </c>
      <c r="C925" s="184">
        <v>9999999999</v>
      </c>
      <c r="D925" s="186">
        <v>0.03</v>
      </c>
      <c r="E925" s="194"/>
      <c r="F925" s="194"/>
      <c r="G925" s="185">
        <f>VLOOKUP(J925,'EXHIBIT JDT-3 LCOM'!D:N,7,FALSE)/10</f>
        <v>3.5189999999999999E-2</v>
      </c>
      <c r="J925" s="223" t="s">
        <v>294</v>
      </c>
    </row>
    <row r="926" spans="1:12" x14ac:dyDescent="0.25">
      <c r="C926" s="184"/>
      <c r="D926" s="185"/>
      <c r="E926" s="194"/>
      <c r="F926" s="194"/>
      <c r="G926" s="186"/>
      <c r="J926" s="223"/>
    </row>
    <row r="927" spans="1:12" hidden="1" x14ac:dyDescent="0.25">
      <c r="C927" s="184"/>
      <c r="D927" s="185"/>
      <c r="E927" s="194"/>
      <c r="F927" s="194"/>
      <c r="G927" s="186"/>
      <c r="J927" s="223"/>
    </row>
    <row r="928" spans="1:12" hidden="1" x14ac:dyDescent="0.25">
      <c r="A928" s="180" t="s">
        <v>316</v>
      </c>
      <c r="D928" s="185">
        <v>0</v>
      </c>
      <c r="G928" s="185">
        <f>D928</f>
        <v>0</v>
      </c>
      <c r="J928" s="188" t="s">
        <v>370</v>
      </c>
    </row>
    <row r="929" spans="1:10" hidden="1" x14ac:dyDescent="0.25">
      <c r="A929" s="180" t="s">
        <v>317</v>
      </c>
      <c r="D929" s="185">
        <v>0</v>
      </c>
      <c r="G929" s="185">
        <f t="shared" ref="G929:G931" si="142">D929</f>
        <v>0</v>
      </c>
      <c r="J929" s="188" t="s">
        <v>370</v>
      </c>
    </row>
    <row r="930" spans="1:10" hidden="1" x14ac:dyDescent="0.25">
      <c r="A930" s="180" t="s">
        <v>318</v>
      </c>
      <c r="D930" s="185">
        <v>0</v>
      </c>
      <c r="G930" s="185">
        <f t="shared" si="142"/>
        <v>0</v>
      </c>
      <c r="J930" s="188" t="s">
        <v>370</v>
      </c>
    </row>
    <row r="931" spans="1:10" hidden="1" x14ac:dyDescent="0.25">
      <c r="A931" s="180" t="s">
        <v>319</v>
      </c>
      <c r="D931" s="185">
        <v>0</v>
      </c>
      <c r="G931" s="185">
        <f t="shared" si="142"/>
        <v>0</v>
      </c>
      <c r="J931" s="188" t="s">
        <v>370</v>
      </c>
    </row>
    <row r="932" spans="1:10" hidden="1" x14ac:dyDescent="0.25">
      <c r="A932" s="180" t="s">
        <v>320</v>
      </c>
      <c r="D932" s="185">
        <v>0</v>
      </c>
      <c r="G932" s="185">
        <f>IFERROR(VLOOKUP(J932,'EXHIBIT JDT-3 LCOM'!D:N,7,FALSE)/10,0)</f>
        <v>0</v>
      </c>
      <c r="J932" s="188"/>
    </row>
    <row r="933" spans="1:10" hidden="1" x14ac:dyDescent="0.25">
      <c r="A933" s="180" t="s">
        <v>341</v>
      </c>
      <c r="D933" s="185">
        <v>0</v>
      </c>
      <c r="G933" s="185">
        <f>IFERROR(VLOOKUP(J933,'EXHIBIT JDT-3 LCOM'!D:N,7,FALSE)/10,0)</f>
        <v>0</v>
      </c>
      <c r="J933" s="188"/>
    </row>
    <row r="934" spans="1:10" hidden="1" x14ac:dyDescent="0.25">
      <c r="A934" s="180" t="s">
        <v>342</v>
      </c>
      <c r="D934" s="185">
        <v>0</v>
      </c>
      <c r="G934" s="185">
        <v>0</v>
      </c>
      <c r="J934" s="188"/>
    </row>
    <row r="935" spans="1:10" hidden="1" x14ac:dyDescent="0.25">
      <c r="A935" s="180" t="s">
        <v>343</v>
      </c>
      <c r="D935" s="185">
        <v>0</v>
      </c>
      <c r="G935" s="185">
        <v>0</v>
      </c>
      <c r="J935" s="188" t="s">
        <v>370</v>
      </c>
    </row>
    <row r="936" spans="1:10" hidden="1" x14ac:dyDescent="0.25">
      <c r="D936" s="185"/>
      <c r="J936" s="188"/>
    </row>
    <row r="937" spans="1:10" hidden="1" x14ac:dyDescent="0.25">
      <c r="A937" s="180" t="s">
        <v>321</v>
      </c>
      <c r="D937" s="195">
        <f>$D$23</f>
        <v>0</v>
      </c>
      <c r="G937" s="195">
        <f>$G$23</f>
        <v>0</v>
      </c>
    </row>
    <row r="938" spans="1:10" hidden="1" x14ac:dyDescent="0.25"/>
    <row r="939" spans="1:10" hidden="1" x14ac:dyDescent="0.25"/>
    <row r="940" spans="1:10" x14ac:dyDescent="0.25">
      <c r="G940" s="190" t="s">
        <v>322</v>
      </c>
      <c r="H940" s="190"/>
    </row>
    <row r="941" spans="1:10" x14ac:dyDescent="0.25">
      <c r="B941" s="176" t="s">
        <v>323</v>
      </c>
      <c r="C941" s="181" t="s">
        <v>311</v>
      </c>
      <c r="D941" s="181" t="s">
        <v>312</v>
      </c>
      <c r="E941" s="181" t="s">
        <v>311</v>
      </c>
      <c r="F941" s="181" t="s">
        <v>312</v>
      </c>
      <c r="G941" s="181" t="s">
        <v>324</v>
      </c>
      <c r="H941" s="181" t="s">
        <v>325</v>
      </c>
      <c r="J941" s="191"/>
    </row>
    <row r="942" spans="1:10" x14ac:dyDescent="0.25">
      <c r="C942" s="192" t="s">
        <v>326</v>
      </c>
      <c r="D942" s="192" t="s">
        <v>327</v>
      </c>
      <c r="E942" s="181" t="s">
        <v>328</v>
      </c>
      <c r="F942" s="181" t="s">
        <v>328</v>
      </c>
      <c r="G942" s="192" t="s">
        <v>329</v>
      </c>
    </row>
    <row r="943" spans="1:10" x14ac:dyDescent="0.25">
      <c r="E943" s="194"/>
      <c r="F943" s="194"/>
    </row>
    <row r="944" spans="1:10" x14ac:dyDescent="0.25">
      <c r="B944" s="176">
        <v>0</v>
      </c>
      <c r="C944" s="193">
        <f>ROUND((D$924+$B944*D$925+$B944*(D$928+D$929+D$930+D$931+D$932+D$933+D$934+D$935))*(1+D$937),2)</f>
        <v>0</v>
      </c>
      <c r="D944" s="193">
        <f>ROUND(($G$924+(SUM($G$925:$G$935)*B944))*(1+$G$937),2)</f>
        <v>0</v>
      </c>
      <c r="E944" s="193"/>
      <c r="F944" s="193"/>
      <c r="G944" s="193">
        <f t="shared" ref="G944:G974" si="143">D944-C944</f>
        <v>0</v>
      </c>
      <c r="H944" s="195">
        <f>IFERROR(ROUND(G944/C944,4),)</f>
        <v>0</v>
      </c>
    </row>
    <row r="945" spans="1:8" x14ac:dyDescent="0.25">
      <c r="A945" s="598"/>
      <c r="B945" s="176">
        <f>B944+1000</f>
        <v>1000</v>
      </c>
      <c r="C945" s="193">
        <f t="shared" ref="C945:C974" si="144">ROUND((D$924+$B945*D$925+$B945*(D$928+D$929+D$930+D$931+D$932+D$933+D$934+D$935))*(1+D$937),2)</f>
        <v>30</v>
      </c>
      <c r="D945" s="193">
        <f t="shared" ref="D945:D974" si="145">ROUND(($G$924+(SUM($G$925:$G$935)*B945))*(1+$G$937),2)</f>
        <v>35.19</v>
      </c>
      <c r="E945" s="194">
        <f t="shared" ref="E945:E974" si="146">+C945/B945</f>
        <v>0.03</v>
      </c>
      <c r="F945" s="194">
        <f t="shared" ref="F945:F974" si="147">+D945/B945</f>
        <v>3.5189999999999999E-2</v>
      </c>
      <c r="G945" s="193">
        <f t="shared" si="143"/>
        <v>5.1899999999999977</v>
      </c>
      <c r="H945" s="195">
        <f t="shared" ref="H945:H974" si="148">ROUND(G945/C945,4)</f>
        <v>0.17299999999999999</v>
      </c>
    </row>
    <row r="946" spans="1:8" x14ac:dyDescent="0.25">
      <c r="A946" s="598"/>
      <c r="B946" s="176">
        <f t="shared" ref="B946:B967" si="149">B945+1000</f>
        <v>2000</v>
      </c>
      <c r="C946" s="193">
        <f t="shared" si="144"/>
        <v>60</v>
      </c>
      <c r="D946" s="193">
        <f t="shared" si="145"/>
        <v>70.38</v>
      </c>
      <c r="E946" s="194">
        <f t="shared" si="146"/>
        <v>0.03</v>
      </c>
      <c r="F946" s="194">
        <f t="shared" si="147"/>
        <v>3.5189999999999999E-2</v>
      </c>
      <c r="G946" s="193">
        <f t="shared" si="143"/>
        <v>10.379999999999995</v>
      </c>
      <c r="H946" s="195">
        <f t="shared" si="148"/>
        <v>0.17299999999999999</v>
      </c>
    </row>
    <row r="947" spans="1:8" x14ac:dyDescent="0.25">
      <c r="A947" s="598"/>
      <c r="B947" s="176">
        <f t="shared" si="149"/>
        <v>3000</v>
      </c>
      <c r="C947" s="193">
        <f t="shared" si="144"/>
        <v>90</v>
      </c>
      <c r="D947" s="193">
        <f t="shared" si="145"/>
        <v>105.57</v>
      </c>
      <c r="E947" s="194">
        <f t="shared" si="146"/>
        <v>0.03</v>
      </c>
      <c r="F947" s="194">
        <f t="shared" si="147"/>
        <v>3.5189999999999999E-2</v>
      </c>
      <c r="G947" s="193">
        <f t="shared" si="143"/>
        <v>15.569999999999993</v>
      </c>
      <c r="H947" s="195">
        <f t="shared" si="148"/>
        <v>0.17299999999999999</v>
      </c>
    </row>
    <row r="948" spans="1:8" x14ac:dyDescent="0.25">
      <c r="A948" s="598"/>
      <c r="B948" s="176">
        <f t="shared" si="149"/>
        <v>4000</v>
      </c>
      <c r="C948" s="193">
        <f t="shared" si="144"/>
        <v>120</v>
      </c>
      <c r="D948" s="193">
        <f t="shared" si="145"/>
        <v>140.76</v>
      </c>
      <c r="E948" s="194">
        <f t="shared" si="146"/>
        <v>0.03</v>
      </c>
      <c r="F948" s="194">
        <f t="shared" si="147"/>
        <v>3.5189999999999999E-2</v>
      </c>
      <c r="G948" s="193">
        <f t="shared" si="143"/>
        <v>20.759999999999991</v>
      </c>
      <c r="H948" s="195">
        <f t="shared" si="148"/>
        <v>0.17299999999999999</v>
      </c>
    </row>
    <row r="949" spans="1:8" x14ac:dyDescent="0.25">
      <c r="A949" s="598"/>
      <c r="B949" s="176">
        <f t="shared" si="149"/>
        <v>5000</v>
      </c>
      <c r="C949" s="193">
        <f t="shared" si="144"/>
        <v>150</v>
      </c>
      <c r="D949" s="193">
        <f t="shared" si="145"/>
        <v>175.95</v>
      </c>
      <c r="E949" s="194">
        <f t="shared" si="146"/>
        <v>0.03</v>
      </c>
      <c r="F949" s="194">
        <f t="shared" si="147"/>
        <v>3.5189999999999999E-2</v>
      </c>
      <c r="G949" s="193">
        <f t="shared" si="143"/>
        <v>25.949999999999989</v>
      </c>
      <c r="H949" s="195">
        <f t="shared" si="148"/>
        <v>0.17299999999999999</v>
      </c>
    </row>
    <row r="950" spans="1:8" x14ac:dyDescent="0.25">
      <c r="A950" s="598"/>
      <c r="B950" s="176">
        <f t="shared" si="149"/>
        <v>6000</v>
      </c>
      <c r="C950" s="193">
        <f t="shared" si="144"/>
        <v>180</v>
      </c>
      <c r="D950" s="193">
        <f t="shared" si="145"/>
        <v>211.14</v>
      </c>
      <c r="E950" s="194">
        <f t="shared" si="146"/>
        <v>0.03</v>
      </c>
      <c r="F950" s="194">
        <f t="shared" si="147"/>
        <v>3.5189999999999999E-2</v>
      </c>
      <c r="G950" s="193">
        <f t="shared" si="143"/>
        <v>31.139999999999986</v>
      </c>
      <c r="H950" s="195">
        <f t="shared" si="148"/>
        <v>0.17299999999999999</v>
      </c>
    </row>
    <row r="951" spans="1:8" x14ac:dyDescent="0.25">
      <c r="A951" s="598"/>
      <c r="B951" s="176">
        <f t="shared" si="149"/>
        <v>7000</v>
      </c>
      <c r="C951" s="193">
        <f t="shared" si="144"/>
        <v>210</v>
      </c>
      <c r="D951" s="193">
        <f t="shared" si="145"/>
        <v>246.33</v>
      </c>
      <c r="E951" s="194">
        <f t="shared" si="146"/>
        <v>0.03</v>
      </c>
      <c r="F951" s="194">
        <f t="shared" si="147"/>
        <v>3.5189999999999999E-2</v>
      </c>
      <c r="G951" s="193">
        <f t="shared" si="143"/>
        <v>36.330000000000013</v>
      </c>
      <c r="H951" s="195">
        <f t="shared" si="148"/>
        <v>0.17299999999999999</v>
      </c>
    </row>
    <row r="952" spans="1:8" x14ac:dyDescent="0.25">
      <c r="A952" s="598"/>
      <c r="B952" s="176">
        <f t="shared" si="149"/>
        <v>8000</v>
      </c>
      <c r="C952" s="193">
        <f t="shared" si="144"/>
        <v>240</v>
      </c>
      <c r="D952" s="193">
        <f t="shared" si="145"/>
        <v>281.52</v>
      </c>
      <c r="E952" s="194">
        <f t="shared" si="146"/>
        <v>0.03</v>
      </c>
      <c r="F952" s="194">
        <f t="shared" si="147"/>
        <v>3.5189999999999999E-2</v>
      </c>
      <c r="G952" s="193">
        <f t="shared" si="143"/>
        <v>41.519999999999982</v>
      </c>
      <c r="H952" s="195">
        <f t="shared" si="148"/>
        <v>0.17299999999999999</v>
      </c>
    </row>
    <row r="953" spans="1:8" x14ac:dyDescent="0.25">
      <c r="A953" s="598"/>
      <c r="B953" s="176">
        <f t="shared" si="149"/>
        <v>9000</v>
      </c>
      <c r="C953" s="193">
        <f t="shared" si="144"/>
        <v>270</v>
      </c>
      <c r="D953" s="193">
        <f t="shared" si="145"/>
        <v>316.70999999999998</v>
      </c>
      <c r="E953" s="194">
        <f t="shared" si="146"/>
        <v>0.03</v>
      </c>
      <c r="F953" s="194">
        <f t="shared" si="147"/>
        <v>3.5189999999999999E-2</v>
      </c>
      <c r="G953" s="193">
        <f t="shared" si="143"/>
        <v>46.70999999999998</v>
      </c>
      <c r="H953" s="195">
        <f t="shared" si="148"/>
        <v>0.17299999999999999</v>
      </c>
    </row>
    <row r="954" spans="1:8" x14ac:dyDescent="0.25">
      <c r="A954" s="598"/>
      <c r="B954" s="176">
        <f t="shared" si="149"/>
        <v>10000</v>
      </c>
      <c r="C954" s="193">
        <f t="shared" si="144"/>
        <v>300</v>
      </c>
      <c r="D954" s="193">
        <f t="shared" si="145"/>
        <v>351.9</v>
      </c>
      <c r="E954" s="194">
        <f t="shared" si="146"/>
        <v>0.03</v>
      </c>
      <c r="F954" s="194">
        <f t="shared" si="147"/>
        <v>3.5189999999999999E-2</v>
      </c>
      <c r="G954" s="193">
        <f t="shared" si="143"/>
        <v>51.899999999999977</v>
      </c>
      <c r="H954" s="195">
        <f t="shared" si="148"/>
        <v>0.17299999999999999</v>
      </c>
    </row>
    <row r="955" spans="1:8" x14ac:dyDescent="0.25">
      <c r="A955" s="598"/>
      <c r="B955" s="176">
        <f t="shared" si="149"/>
        <v>11000</v>
      </c>
      <c r="C955" s="193">
        <f t="shared" si="144"/>
        <v>330</v>
      </c>
      <c r="D955" s="193">
        <f t="shared" si="145"/>
        <v>387.09</v>
      </c>
      <c r="E955" s="194">
        <f t="shared" si="146"/>
        <v>0.03</v>
      </c>
      <c r="F955" s="194">
        <f t="shared" si="147"/>
        <v>3.5189999999999999E-2</v>
      </c>
      <c r="G955" s="193">
        <f t="shared" si="143"/>
        <v>57.089999999999975</v>
      </c>
      <c r="H955" s="195">
        <f t="shared" si="148"/>
        <v>0.17299999999999999</v>
      </c>
    </row>
    <row r="956" spans="1:8" x14ac:dyDescent="0.25">
      <c r="A956" s="598"/>
      <c r="B956" s="176">
        <f t="shared" si="149"/>
        <v>12000</v>
      </c>
      <c r="C956" s="193">
        <f t="shared" si="144"/>
        <v>360</v>
      </c>
      <c r="D956" s="193">
        <f t="shared" si="145"/>
        <v>422.28</v>
      </c>
      <c r="E956" s="194">
        <f t="shared" si="146"/>
        <v>0.03</v>
      </c>
      <c r="F956" s="194">
        <f t="shared" si="147"/>
        <v>3.5189999999999999E-2</v>
      </c>
      <c r="G956" s="193">
        <f t="shared" si="143"/>
        <v>62.279999999999973</v>
      </c>
      <c r="H956" s="195">
        <f t="shared" si="148"/>
        <v>0.17299999999999999</v>
      </c>
    </row>
    <row r="957" spans="1:8" x14ac:dyDescent="0.25">
      <c r="A957" s="598"/>
      <c r="B957" s="176">
        <f t="shared" si="149"/>
        <v>13000</v>
      </c>
      <c r="C957" s="193">
        <f t="shared" si="144"/>
        <v>390</v>
      </c>
      <c r="D957" s="193">
        <f t="shared" si="145"/>
        <v>457.47</v>
      </c>
      <c r="E957" s="194">
        <f t="shared" si="146"/>
        <v>0.03</v>
      </c>
      <c r="F957" s="194">
        <f t="shared" si="147"/>
        <v>3.5189999999999999E-2</v>
      </c>
      <c r="G957" s="193">
        <f t="shared" si="143"/>
        <v>67.470000000000027</v>
      </c>
      <c r="H957" s="195">
        <f t="shared" si="148"/>
        <v>0.17299999999999999</v>
      </c>
    </row>
    <row r="958" spans="1:8" x14ac:dyDescent="0.25">
      <c r="A958" s="598"/>
      <c r="B958" s="176">
        <f t="shared" si="149"/>
        <v>14000</v>
      </c>
      <c r="C958" s="193">
        <f t="shared" si="144"/>
        <v>420</v>
      </c>
      <c r="D958" s="193">
        <f t="shared" si="145"/>
        <v>492.66</v>
      </c>
      <c r="E958" s="194">
        <f t="shared" si="146"/>
        <v>0.03</v>
      </c>
      <c r="F958" s="194">
        <f t="shared" si="147"/>
        <v>3.5189999999999999E-2</v>
      </c>
      <c r="G958" s="193">
        <f t="shared" si="143"/>
        <v>72.660000000000025</v>
      </c>
      <c r="H958" s="195">
        <f t="shared" si="148"/>
        <v>0.17299999999999999</v>
      </c>
    </row>
    <row r="959" spans="1:8" x14ac:dyDescent="0.25">
      <c r="A959" s="598"/>
      <c r="B959" s="176">
        <f t="shared" si="149"/>
        <v>15000</v>
      </c>
      <c r="C959" s="193">
        <f t="shared" si="144"/>
        <v>450</v>
      </c>
      <c r="D959" s="193">
        <f t="shared" si="145"/>
        <v>527.85</v>
      </c>
      <c r="E959" s="194">
        <f t="shared" si="146"/>
        <v>0.03</v>
      </c>
      <c r="F959" s="194">
        <f t="shared" si="147"/>
        <v>3.5189999999999999E-2</v>
      </c>
      <c r="G959" s="193">
        <f t="shared" si="143"/>
        <v>77.850000000000023</v>
      </c>
      <c r="H959" s="195">
        <f t="shared" si="148"/>
        <v>0.17299999999999999</v>
      </c>
    </row>
    <row r="960" spans="1:8" x14ac:dyDescent="0.25">
      <c r="A960" s="598"/>
      <c r="B960" s="176">
        <f t="shared" si="149"/>
        <v>16000</v>
      </c>
      <c r="C960" s="193">
        <f t="shared" si="144"/>
        <v>480</v>
      </c>
      <c r="D960" s="193">
        <f t="shared" si="145"/>
        <v>563.04</v>
      </c>
      <c r="E960" s="194">
        <f t="shared" si="146"/>
        <v>0.03</v>
      </c>
      <c r="F960" s="194">
        <f t="shared" si="147"/>
        <v>3.5189999999999999E-2</v>
      </c>
      <c r="G960" s="193">
        <f t="shared" si="143"/>
        <v>83.039999999999964</v>
      </c>
      <c r="H960" s="195">
        <f t="shared" si="148"/>
        <v>0.17299999999999999</v>
      </c>
    </row>
    <row r="961" spans="1:8" x14ac:dyDescent="0.25">
      <c r="A961" s="598"/>
      <c r="B961" s="176">
        <f t="shared" si="149"/>
        <v>17000</v>
      </c>
      <c r="C961" s="193">
        <f t="shared" si="144"/>
        <v>510</v>
      </c>
      <c r="D961" s="193">
        <f t="shared" si="145"/>
        <v>598.23</v>
      </c>
      <c r="E961" s="194">
        <f t="shared" si="146"/>
        <v>0.03</v>
      </c>
      <c r="F961" s="194">
        <f t="shared" si="147"/>
        <v>3.5189999999999999E-2</v>
      </c>
      <c r="G961" s="193">
        <f t="shared" si="143"/>
        <v>88.230000000000018</v>
      </c>
      <c r="H961" s="195">
        <f t="shared" si="148"/>
        <v>0.17299999999999999</v>
      </c>
    </row>
    <row r="962" spans="1:8" x14ac:dyDescent="0.25">
      <c r="A962" s="598"/>
      <c r="B962" s="176">
        <f t="shared" si="149"/>
        <v>18000</v>
      </c>
      <c r="C962" s="193">
        <f t="shared" si="144"/>
        <v>540</v>
      </c>
      <c r="D962" s="193">
        <f t="shared" si="145"/>
        <v>633.41999999999996</v>
      </c>
      <c r="E962" s="194">
        <f t="shared" si="146"/>
        <v>0.03</v>
      </c>
      <c r="F962" s="194">
        <f t="shared" si="147"/>
        <v>3.5189999999999999E-2</v>
      </c>
      <c r="G962" s="193">
        <f t="shared" si="143"/>
        <v>93.419999999999959</v>
      </c>
      <c r="H962" s="195">
        <f t="shared" si="148"/>
        <v>0.17299999999999999</v>
      </c>
    </row>
    <row r="963" spans="1:8" x14ac:dyDescent="0.25">
      <c r="A963" s="598"/>
      <c r="B963" s="176">
        <f t="shared" si="149"/>
        <v>19000</v>
      </c>
      <c r="C963" s="193">
        <f t="shared" si="144"/>
        <v>570</v>
      </c>
      <c r="D963" s="193">
        <f t="shared" si="145"/>
        <v>668.61</v>
      </c>
      <c r="E963" s="194">
        <f t="shared" si="146"/>
        <v>0.03</v>
      </c>
      <c r="F963" s="194">
        <f t="shared" si="147"/>
        <v>3.5189999999999999E-2</v>
      </c>
      <c r="G963" s="193">
        <f t="shared" si="143"/>
        <v>98.610000000000014</v>
      </c>
      <c r="H963" s="195">
        <f t="shared" si="148"/>
        <v>0.17299999999999999</v>
      </c>
    </row>
    <row r="964" spans="1:8" x14ac:dyDescent="0.25">
      <c r="A964" s="598"/>
      <c r="B964" s="176">
        <f t="shared" si="149"/>
        <v>20000</v>
      </c>
      <c r="C964" s="193">
        <f t="shared" si="144"/>
        <v>600</v>
      </c>
      <c r="D964" s="193">
        <f t="shared" si="145"/>
        <v>703.8</v>
      </c>
      <c r="E964" s="194">
        <f t="shared" si="146"/>
        <v>0.03</v>
      </c>
      <c r="F964" s="194">
        <f t="shared" si="147"/>
        <v>3.5189999999999999E-2</v>
      </c>
      <c r="G964" s="193">
        <f t="shared" si="143"/>
        <v>103.79999999999995</v>
      </c>
      <c r="H964" s="195">
        <f t="shared" si="148"/>
        <v>0.17299999999999999</v>
      </c>
    </row>
    <row r="965" spans="1:8" x14ac:dyDescent="0.25">
      <c r="A965" s="598"/>
      <c r="B965" s="176">
        <f t="shared" si="149"/>
        <v>21000</v>
      </c>
      <c r="C965" s="193">
        <f t="shared" si="144"/>
        <v>630</v>
      </c>
      <c r="D965" s="193">
        <f t="shared" si="145"/>
        <v>738.99</v>
      </c>
      <c r="E965" s="194">
        <f t="shared" si="146"/>
        <v>0.03</v>
      </c>
      <c r="F965" s="194">
        <f t="shared" si="147"/>
        <v>3.5189999999999999E-2</v>
      </c>
      <c r="G965" s="193">
        <f t="shared" si="143"/>
        <v>108.99000000000001</v>
      </c>
      <c r="H965" s="195">
        <f t="shared" si="148"/>
        <v>0.17299999999999999</v>
      </c>
    </row>
    <row r="966" spans="1:8" x14ac:dyDescent="0.25">
      <c r="A966" s="598"/>
      <c r="B966" s="176">
        <f t="shared" si="149"/>
        <v>22000</v>
      </c>
      <c r="C966" s="193">
        <f t="shared" si="144"/>
        <v>660</v>
      </c>
      <c r="D966" s="193">
        <f t="shared" si="145"/>
        <v>774.18</v>
      </c>
      <c r="E966" s="194">
        <f t="shared" si="146"/>
        <v>0.03</v>
      </c>
      <c r="F966" s="194">
        <f t="shared" si="147"/>
        <v>3.5189999999999999E-2</v>
      </c>
      <c r="G966" s="193">
        <f t="shared" si="143"/>
        <v>114.17999999999995</v>
      </c>
      <c r="H966" s="195">
        <f t="shared" si="148"/>
        <v>0.17299999999999999</v>
      </c>
    </row>
    <row r="967" spans="1:8" x14ac:dyDescent="0.25">
      <c r="A967" s="598"/>
      <c r="B967" s="176">
        <f t="shared" si="149"/>
        <v>23000</v>
      </c>
      <c r="C967" s="193">
        <f t="shared" si="144"/>
        <v>690</v>
      </c>
      <c r="D967" s="193">
        <f t="shared" si="145"/>
        <v>809.37</v>
      </c>
      <c r="E967" s="194">
        <f t="shared" si="146"/>
        <v>0.03</v>
      </c>
      <c r="F967" s="194">
        <f t="shared" si="147"/>
        <v>3.5189999999999999E-2</v>
      </c>
      <c r="G967" s="193">
        <f t="shared" si="143"/>
        <v>119.37</v>
      </c>
      <c r="H967" s="195">
        <f t="shared" si="148"/>
        <v>0.17299999999999999</v>
      </c>
    </row>
    <row r="968" spans="1:8" x14ac:dyDescent="0.25">
      <c r="A968" s="598"/>
      <c r="B968" s="176">
        <f>B967+1000</f>
        <v>24000</v>
      </c>
      <c r="C968" s="193">
        <f t="shared" si="144"/>
        <v>720</v>
      </c>
      <c r="D968" s="193">
        <f t="shared" si="145"/>
        <v>844.56</v>
      </c>
      <c r="E968" s="194">
        <f t="shared" si="146"/>
        <v>0.03</v>
      </c>
      <c r="F968" s="194">
        <f t="shared" si="147"/>
        <v>3.5189999999999999E-2</v>
      </c>
      <c r="G968" s="193">
        <f t="shared" si="143"/>
        <v>124.55999999999995</v>
      </c>
      <c r="H968" s="195">
        <f t="shared" si="148"/>
        <v>0.17299999999999999</v>
      </c>
    </row>
    <row r="969" spans="1:8" x14ac:dyDescent="0.25">
      <c r="A969" s="598"/>
      <c r="B969" s="176">
        <f t="shared" ref="B969:B973" si="150">B968+1000</f>
        <v>25000</v>
      </c>
      <c r="C969" s="193">
        <f t="shared" si="144"/>
        <v>750</v>
      </c>
      <c r="D969" s="193">
        <f t="shared" si="145"/>
        <v>879.75</v>
      </c>
      <c r="E969" s="194">
        <f t="shared" si="146"/>
        <v>0.03</v>
      </c>
      <c r="F969" s="194">
        <f t="shared" si="147"/>
        <v>3.5189999999999999E-2</v>
      </c>
      <c r="G969" s="193">
        <f t="shared" si="143"/>
        <v>129.75</v>
      </c>
      <c r="H969" s="195">
        <f t="shared" si="148"/>
        <v>0.17299999999999999</v>
      </c>
    </row>
    <row r="970" spans="1:8" x14ac:dyDescent="0.25">
      <c r="A970" s="598"/>
      <c r="B970" s="176">
        <f t="shared" si="150"/>
        <v>26000</v>
      </c>
      <c r="C970" s="193">
        <f t="shared" si="144"/>
        <v>780</v>
      </c>
      <c r="D970" s="193">
        <f t="shared" si="145"/>
        <v>914.94</v>
      </c>
      <c r="E970" s="194">
        <f t="shared" si="146"/>
        <v>0.03</v>
      </c>
      <c r="F970" s="194">
        <f t="shared" si="147"/>
        <v>3.5189999999999999E-2</v>
      </c>
      <c r="G970" s="193">
        <f t="shared" si="143"/>
        <v>134.94000000000005</v>
      </c>
      <c r="H970" s="195">
        <f t="shared" si="148"/>
        <v>0.17299999999999999</v>
      </c>
    </row>
    <row r="971" spans="1:8" x14ac:dyDescent="0.25">
      <c r="A971" s="598"/>
      <c r="B971" s="176">
        <f t="shared" si="150"/>
        <v>27000</v>
      </c>
      <c r="C971" s="193">
        <f t="shared" si="144"/>
        <v>810</v>
      </c>
      <c r="D971" s="193">
        <f t="shared" si="145"/>
        <v>950.13</v>
      </c>
      <c r="E971" s="194">
        <f t="shared" si="146"/>
        <v>0.03</v>
      </c>
      <c r="F971" s="194">
        <f t="shared" si="147"/>
        <v>3.5189999999999999E-2</v>
      </c>
      <c r="G971" s="193">
        <f t="shared" si="143"/>
        <v>140.13</v>
      </c>
      <c r="H971" s="195">
        <f t="shared" si="148"/>
        <v>0.17299999999999999</v>
      </c>
    </row>
    <row r="972" spans="1:8" x14ac:dyDescent="0.25">
      <c r="A972" s="598"/>
      <c r="B972" s="176">
        <f t="shared" si="150"/>
        <v>28000</v>
      </c>
      <c r="C972" s="193">
        <f t="shared" si="144"/>
        <v>840</v>
      </c>
      <c r="D972" s="193">
        <f t="shared" si="145"/>
        <v>985.32</v>
      </c>
      <c r="E972" s="194">
        <f t="shared" si="146"/>
        <v>0.03</v>
      </c>
      <c r="F972" s="194">
        <f t="shared" si="147"/>
        <v>3.5189999999999999E-2</v>
      </c>
      <c r="G972" s="193">
        <f t="shared" si="143"/>
        <v>145.32000000000005</v>
      </c>
      <c r="H972" s="195">
        <f t="shared" si="148"/>
        <v>0.17299999999999999</v>
      </c>
    </row>
    <row r="973" spans="1:8" x14ac:dyDescent="0.25">
      <c r="A973" s="598"/>
      <c r="B973" s="176">
        <f t="shared" si="150"/>
        <v>29000</v>
      </c>
      <c r="C973" s="193">
        <f t="shared" si="144"/>
        <v>870</v>
      </c>
      <c r="D973" s="193">
        <f t="shared" si="145"/>
        <v>1020.51</v>
      </c>
      <c r="E973" s="194">
        <f t="shared" si="146"/>
        <v>0.03</v>
      </c>
      <c r="F973" s="194">
        <f t="shared" si="147"/>
        <v>3.5189999999999999E-2</v>
      </c>
      <c r="G973" s="193">
        <f t="shared" si="143"/>
        <v>150.51</v>
      </c>
      <c r="H973" s="195">
        <f t="shared" si="148"/>
        <v>0.17299999999999999</v>
      </c>
    </row>
    <row r="974" spans="1:8" x14ac:dyDescent="0.25">
      <c r="A974" s="598"/>
      <c r="B974" s="176">
        <f>B973+1000</f>
        <v>30000</v>
      </c>
      <c r="C974" s="193">
        <f t="shared" si="144"/>
        <v>900</v>
      </c>
      <c r="D974" s="193">
        <f t="shared" si="145"/>
        <v>1055.7</v>
      </c>
      <c r="E974" s="194">
        <f t="shared" si="146"/>
        <v>0.03</v>
      </c>
      <c r="F974" s="194">
        <f t="shared" si="147"/>
        <v>3.5189999999999999E-2</v>
      </c>
      <c r="G974" s="193">
        <f t="shared" si="143"/>
        <v>155.70000000000005</v>
      </c>
      <c r="H974" s="195">
        <f t="shared" si="148"/>
        <v>0.17299999999999999</v>
      </c>
    </row>
    <row r="975" spans="1:8" x14ac:dyDescent="0.25">
      <c r="C975" s="193"/>
      <c r="D975" s="193"/>
      <c r="E975" s="194"/>
      <c r="F975" s="194"/>
      <c r="G975" s="193"/>
      <c r="H975" s="195"/>
    </row>
    <row r="976" spans="1:8" hidden="1" x14ac:dyDescent="0.25">
      <c r="C976" s="193"/>
      <c r="D976" s="193"/>
      <c r="E976" s="194"/>
      <c r="F976" s="194"/>
      <c r="G976" s="193"/>
      <c r="H976" s="195"/>
    </row>
    <row r="977" spans="1:10" hidden="1" x14ac:dyDescent="0.25">
      <c r="C977" s="193"/>
      <c r="D977" s="193"/>
      <c r="E977" s="194"/>
      <c r="F977" s="194"/>
      <c r="G977" s="193"/>
      <c r="H977" s="195"/>
    </row>
    <row r="978" spans="1:10" hidden="1" x14ac:dyDescent="0.25">
      <c r="C978" s="193"/>
      <c r="D978" s="193"/>
      <c r="E978" s="194"/>
      <c r="F978" s="194"/>
      <c r="G978" s="193"/>
      <c r="H978" s="195"/>
    </row>
    <row r="979" spans="1:10" hidden="1" x14ac:dyDescent="0.25">
      <c r="C979" s="193"/>
      <c r="D979" s="193"/>
      <c r="E979" s="194"/>
      <c r="F979" s="194"/>
      <c r="G979" s="193"/>
      <c r="H979" s="195"/>
    </row>
    <row r="980" spans="1:10" hidden="1" x14ac:dyDescent="0.25">
      <c r="C980" s="193"/>
      <c r="D980" s="193"/>
      <c r="E980" s="194"/>
      <c r="F980" s="194"/>
      <c r="G980" s="193"/>
      <c r="H980" s="195"/>
    </row>
    <row r="981" spans="1:10" hidden="1" x14ac:dyDescent="0.25">
      <c r="C981" s="193"/>
      <c r="D981" s="193"/>
      <c r="E981" s="194"/>
      <c r="F981" s="194"/>
      <c r="G981" s="193"/>
      <c r="H981" s="195"/>
    </row>
    <row r="982" spans="1:10" hidden="1" x14ac:dyDescent="0.25">
      <c r="A982" s="704" t="s">
        <v>21</v>
      </c>
      <c r="B982" s="704"/>
      <c r="C982" s="704"/>
      <c r="D982" s="704"/>
      <c r="E982" s="704"/>
      <c r="F982" s="704"/>
      <c r="G982" s="704"/>
      <c r="H982" s="704"/>
    </row>
    <row r="983" spans="1:10" hidden="1" x14ac:dyDescent="0.25">
      <c r="A983" s="180" t="s">
        <v>22</v>
      </c>
      <c r="B983" s="179"/>
      <c r="C983" s="179"/>
      <c r="D983" s="179"/>
      <c r="E983" s="179"/>
      <c r="F983" s="179"/>
      <c r="G983" s="179"/>
      <c r="H983" s="179"/>
      <c r="I983" s="180"/>
    </row>
    <row r="984" spans="1:10" hidden="1" x14ac:dyDescent="0.25">
      <c r="A984" s="180" t="s">
        <v>310</v>
      </c>
      <c r="B984" s="179"/>
      <c r="C984" s="179"/>
      <c r="D984" s="179"/>
      <c r="E984" s="179"/>
      <c r="F984" s="179"/>
      <c r="G984" s="179"/>
      <c r="H984" s="179"/>
      <c r="I984" s="180"/>
    </row>
    <row r="985" spans="1:10" x14ac:dyDescent="0.25">
      <c r="A985" s="599" t="s">
        <v>358</v>
      </c>
      <c r="B985" s="179"/>
      <c r="C985" s="179"/>
      <c r="D985" s="179"/>
      <c r="E985" s="179"/>
      <c r="F985" s="179"/>
      <c r="G985" s="179"/>
      <c r="H985" s="179"/>
      <c r="I985" s="180"/>
      <c r="J985" s="177" t="s">
        <v>391</v>
      </c>
    </row>
    <row r="986" spans="1:10" x14ac:dyDescent="0.25">
      <c r="I986" s="180"/>
    </row>
    <row r="987" spans="1:10" hidden="1" x14ac:dyDescent="0.25"/>
    <row r="988" spans="1:10" x14ac:dyDescent="0.25">
      <c r="D988" s="181" t="s">
        <v>311</v>
      </c>
      <c r="G988" s="181" t="s">
        <v>312</v>
      </c>
    </row>
    <row r="989" spans="1:10" x14ac:dyDescent="0.25">
      <c r="D989" s="182" t="s">
        <v>313</v>
      </c>
      <c r="G989" s="182" t="s">
        <v>313</v>
      </c>
    </row>
    <row r="990" spans="1:10" x14ac:dyDescent="0.25">
      <c r="A990" s="180" t="s">
        <v>314</v>
      </c>
      <c r="D990" s="183">
        <v>65.599999999999994</v>
      </c>
      <c r="G990" s="183">
        <f>VLOOKUP(J990,'EXHIBIT JDT-3 IND'!D:N,7,FALSE)</f>
        <v>98.5</v>
      </c>
      <c r="J990" s="177" t="s">
        <v>116</v>
      </c>
    </row>
    <row r="991" spans="1:10" x14ac:dyDescent="0.25">
      <c r="A991" s="180" t="s">
        <v>315</v>
      </c>
      <c r="C991" s="184">
        <v>9999999999</v>
      </c>
      <c r="D991" s="185">
        <v>0.20531000000000002</v>
      </c>
      <c r="E991" s="186"/>
      <c r="F991" s="186"/>
      <c r="G991" s="185">
        <f>VLOOKUP(J991,'EXHIBIT JDT-3 IND'!D:N,7,FALSE)/10</f>
        <v>0.18742</v>
      </c>
      <c r="J991" s="177" t="s">
        <v>117</v>
      </c>
    </row>
    <row r="992" spans="1:10" x14ac:dyDescent="0.25">
      <c r="C992" s="184"/>
      <c r="D992" s="185"/>
      <c r="E992" s="186"/>
      <c r="F992" s="186"/>
      <c r="G992" s="185"/>
    </row>
    <row r="993" spans="1:10" hidden="1" x14ac:dyDescent="0.25">
      <c r="C993" s="184"/>
      <c r="D993" s="185"/>
      <c r="E993" s="186"/>
      <c r="F993" s="186"/>
      <c r="G993" s="185"/>
    </row>
    <row r="994" spans="1:10" hidden="1" x14ac:dyDescent="0.25">
      <c r="A994" s="180" t="s">
        <v>316</v>
      </c>
      <c r="D994" s="185">
        <v>0</v>
      </c>
      <c r="G994" s="185">
        <f>D994</f>
        <v>0</v>
      </c>
      <c r="J994" s="188" t="s">
        <v>370</v>
      </c>
    </row>
    <row r="995" spans="1:10" hidden="1" x14ac:dyDescent="0.25">
      <c r="A995" s="180" t="s">
        <v>317</v>
      </c>
      <c r="D995" s="185">
        <v>0</v>
      </c>
      <c r="E995" s="194"/>
      <c r="G995" s="185">
        <f t="shared" ref="G995:G997" si="151">D995</f>
        <v>0</v>
      </c>
      <c r="J995" s="188" t="s">
        <v>370</v>
      </c>
    </row>
    <row r="996" spans="1:10" hidden="1" x14ac:dyDescent="0.25">
      <c r="A996" s="180" t="s">
        <v>318</v>
      </c>
      <c r="D996" s="185">
        <v>0</v>
      </c>
      <c r="G996" s="185">
        <f t="shared" si="151"/>
        <v>0</v>
      </c>
      <c r="J996" s="188" t="s">
        <v>370</v>
      </c>
    </row>
    <row r="997" spans="1:10" hidden="1" x14ac:dyDescent="0.25">
      <c r="A997" s="180" t="s">
        <v>319</v>
      </c>
      <c r="D997" s="185">
        <v>0</v>
      </c>
      <c r="G997" s="185">
        <f t="shared" si="151"/>
        <v>0</v>
      </c>
      <c r="J997" s="188" t="s">
        <v>370</v>
      </c>
    </row>
    <row r="998" spans="1:10" x14ac:dyDescent="0.25">
      <c r="A998" s="180" t="s">
        <v>320</v>
      </c>
      <c r="D998" s="185">
        <v>1.99665585E-3</v>
      </c>
      <c r="G998" s="185">
        <f>VLOOKUP(J998,'EXHIBIT JDT-3 IND'!D:N,7,FALSE)/10</f>
        <v>4.45E-3</v>
      </c>
      <c r="J998" s="188" t="s">
        <v>289</v>
      </c>
    </row>
    <row r="999" spans="1:10" x14ac:dyDescent="0.25">
      <c r="A999" s="180" t="s">
        <v>341</v>
      </c>
      <c r="D999" s="185">
        <v>1.0499999999999999E-2</v>
      </c>
      <c r="G999" s="185">
        <f>VLOOKUP(J999,'EXHIBIT JDT-3 IND'!D:N,7,FALSE)/10</f>
        <v>1.149E-2</v>
      </c>
      <c r="J999" s="188" t="s">
        <v>286</v>
      </c>
    </row>
    <row r="1000" spans="1:10" hidden="1" x14ac:dyDescent="0.25">
      <c r="A1000" s="180" t="s">
        <v>342</v>
      </c>
      <c r="D1000" s="185">
        <v>0</v>
      </c>
      <c r="G1000" s="185">
        <v>0</v>
      </c>
      <c r="J1000" s="188" t="s">
        <v>370</v>
      </c>
    </row>
    <row r="1001" spans="1:10" hidden="1" x14ac:dyDescent="0.25">
      <c r="A1001" s="180" t="s">
        <v>343</v>
      </c>
      <c r="D1001" s="185">
        <v>0</v>
      </c>
      <c r="G1001" s="185">
        <v>0</v>
      </c>
      <c r="J1001" s="188" t="s">
        <v>370</v>
      </c>
    </row>
    <row r="1002" spans="1:10" hidden="1" x14ac:dyDescent="0.25"/>
    <row r="1003" spans="1:10" hidden="1" x14ac:dyDescent="0.25">
      <c r="A1003" s="180" t="s">
        <v>321</v>
      </c>
      <c r="D1003" s="195">
        <f>$D$23</f>
        <v>0</v>
      </c>
      <c r="G1003" s="195">
        <f>$G$23</f>
        <v>0</v>
      </c>
    </row>
    <row r="1004" spans="1:10" hidden="1" x14ac:dyDescent="0.25"/>
    <row r="1006" spans="1:10" x14ac:dyDescent="0.25">
      <c r="G1006" s="190" t="s">
        <v>322</v>
      </c>
      <c r="H1006" s="190"/>
    </row>
    <row r="1007" spans="1:10" x14ac:dyDescent="0.25">
      <c r="B1007" s="176" t="s">
        <v>323</v>
      </c>
      <c r="C1007" s="181" t="s">
        <v>311</v>
      </c>
      <c r="D1007" s="181" t="s">
        <v>312</v>
      </c>
      <c r="E1007" s="181" t="s">
        <v>311</v>
      </c>
      <c r="F1007" s="181" t="s">
        <v>312</v>
      </c>
      <c r="G1007" s="181" t="s">
        <v>324</v>
      </c>
      <c r="H1007" s="181" t="s">
        <v>325</v>
      </c>
      <c r="J1007" s="191"/>
    </row>
    <row r="1008" spans="1:10" x14ac:dyDescent="0.25">
      <c r="C1008" s="192" t="s">
        <v>326</v>
      </c>
      <c r="D1008" s="192" t="s">
        <v>327</v>
      </c>
      <c r="E1008" s="181" t="s">
        <v>328</v>
      </c>
      <c r="F1008" s="181" t="s">
        <v>328</v>
      </c>
      <c r="G1008" s="192" t="s">
        <v>329</v>
      </c>
    </row>
    <row r="1009" spans="1:8" x14ac:dyDescent="0.25">
      <c r="E1009" s="194"/>
      <c r="F1009" s="194"/>
    </row>
    <row r="1010" spans="1:8" x14ac:dyDescent="0.25">
      <c r="B1010" s="176">
        <v>0</v>
      </c>
      <c r="C1010" s="193">
        <f>ROUND((D990+B1010*D991+B1010*(D994+D995+D996+D997+D998+D999+D1000+D1001))*(1+D1003),2)</f>
        <v>65.599999999999994</v>
      </c>
      <c r="D1010" s="193">
        <f>ROUND(($G$990+(SUM($G$991:$G$1001)*B1010))*(1+$G$1003),2)</f>
        <v>98.5</v>
      </c>
      <c r="E1010" s="194"/>
      <c r="F1010" s="194"/>
      <c r="G1010" s="193">
        <f t="shared" ref="G1010:G1040" si="152">D1010-C1010</f>
        <v>32.900000000000006</v>
      </c>
      <c r="H1010" s="195">
        <f t="shared" ref="H1010:H1040" si="153">ROUND(G1010/C1010,4)</f>
        <v>0.50149999999999995</v>
      </c>
    </row>
    <row r="1011" spans="1:8" x14ac:dyDescent="0.25">
      <c r="A1011" s="598"/>
      <c r="B1011" s="176">
        <f>B1010+50</f>
        <v>50</v>
      </c>
      <c r="C1011" s="193">
        <f>ROUND((D990+B1011*D991+B1011*(D994+D995+D996+D997+D998+D999+D1000+D1001))*(1+D1003),2)</f>
        <v>76.489999999999995</v>
      </c>
      <c r="D1011" s="193">
        <f t="shared" ref="D1011:D1040" si="154">ROUND(($G$990+(SUM($G$991:$G$1001)*B1011))*(1+$G$1003),2)</f>
        <v>108.67</v>
      </c>
      <c r="E1011" s="194">
        <f t="shared" ref="E1011:E1040" si="155">+C1011/B1011</f>
        <v>1.5297999999999998</v>
      </c>
      <c r="F1011" s="194">
        <f t="shared" ref="F1011:F1040" si="156">+D1011/B1011</f>
        <v>2.1734</v>
      </c>
      <c r="G1011" s="193">
        <f t="shared" si="152"/>
        <v>32.180000000000007</v>
      </c>
      <c r="H1011" s="195">
        <f t="shared" si="153"/>
        <v>0.42070000000000002</v>
      </c>
    </row>
    <row r="1012" spans="1:8" x14ac:dyDescent="0.25">
      <c r="A1012" s="598"/>
      <c r="B1012" s="176">
        <f t="shared" ref="B1012:B1040" si="157">B1011+50</f>
        <v>100</v>
      </c>
      <c r="C1012" s="193">
        <f>ROUND((D990+B1012*D991+B1012*(D994+D995+D996+D997+D998+D999+D1000+D1001))*(1+D1003),2)</f>
        <v>87.38</v>
      </c>
      <c r="D1012" s="193">
        <f t="shared" si="154"/>
        <v>118.84</v>
      </c>
      <c r="E1012" s="194">
        <f t="shared" si="155"/>
        <v>0.87379999999999991</v>
      </c>
      <c r="F1012" s="194">
        <f t="shared" si="156"/>
        <v>1.1884000000000001</v>
      </c>
      <c r="G1012" s="193">
        <f t="shared" si="152"/>
        <v>31.460000000000008</v>
      </c>
      <c r="H1012" s="195">
        <f t="shared" si="153"/>
        <v>0.36</v>
      </c>
    </row>
    <row r="1013" spans="1:8" x14ac:dyDescent="0.25">
      <c r="A1013" s="598"/>
      <c r="B1013" s="176">
        <f t="shared" si="157"/>
        <v>150</v>
      </c>
      <c r="C1013" s="193">
        <f>ROUND((D990+B1013*D991+B1013*(D994+D995+D996+D997+D998+D999+D1000+D1001))*(1+D1003),2)</f>
        <v>98.27</v>
      </c>
      <c r="D1013" s="193">
        <f t="shared" si="154"/>
        <v>129</v>
      </c>
      <c r="E1013" s="194">
        <f t="shared" si="155"/>
        <v>0.65513333333333335</v>
      </c>
      <c r="F1013" s="194">
        <f t="shared" si="156"/>
        <v>0.86</v>
      </c>
      <c r="G1013" s="193">
        <f t="shared" si="152"/>
        <v>30.730000000000004</v>
      </c>
      <c r="H1013" s="195">
        <f t="shared" si="153"/>
        <v>0.31269999999999998</v>
      </c>
    </row>
    <row r="1014" spans="1:8" x14ac:dyDescent="0.25">
      <c r="A1014" s="598"/>
      <c r="B1014" s="176">
        <f t="shared" si="157"/>
        <v>200</v>
      </c>
      <c r="C1014" s="193">
        <f>ROUND((D990+B1014*D991+B1014*(D994+D995+D996+D997+D998+D999+D1000+D1001))*(1+D1003),2)</f>
        <v>109.16</v>
      </c>
      <c r="D1014" s="193">
        <f t="shared" si="154"/>
        <v>139.16999999999999</v>
      </c>
      <c r="E1014" s="194">
        <f t="shared" si="155"/>
        <v>0.54579999999999995</v>
      </c>
      <c r="F1014" s="194">
        <f t="shared" si="156"/>
        <v>0.69584999999999997</v>
      </c>
      <c r="G1014" s="193">
        <f t="shared" si="152"/>
        <v>30.009999999999991</v>
      </c>
      <c r="H1014" s="195">
        <f t="shared" si="153"/>
        <v>0.27489999999999998</v>
      </c>
    </row>
    <row r="1015" spans="1:8" x14ac:dyDescent="0.25">
      <c r="A1015" s="598"/>
      <c r="B1015" s="176">
        <f t="shared" si="157"/>
        <v>250</v>
      </c>
      <c r="C1015" s="193">
        <f>ROUND((D990+B1015*D991+B1015*(D994+D995+D996+D997+D998+D999+D1000+D1001))*(1+D1003),2)</f>
        <v>120.05</v>
      </c>
      <c r="D1015" s="193">
        <f t="shared" si="154"/>
        <v>149.34</v>
      </c>
      <c r="E1015" s="194">
        <f t="shared" si="155"/>
        <v>0.48020000000000002</v>
      </c>
      <c r="F1015" s="194">
        <f t="shared" si="156"/>
        <v>0.59736</v>
      </c>
      <c r="G1015" s="193">
        <f t="shared" si="152"/>
        <v>29.290000000000006</v>
      </c>
      <c r="H1015" s="195">
        <f t="shared" si="153"/>
        <v>0.24399999999999999</v>
      </c>
    </row>
    <row r="1016" spans="1:8" x14ac:dyDescent="0.25">
      <c r="A1016" s="598"/>
      <c r="B1016" s="176">
        <f t="shared" si="157"/>
        <v>300</v>
      </c>
      <c r="C1016" s="193">
        <f>ROUND((D990+B1016*D991+B1016*(D994+D995+D996+D997+D998+D999+D1000+D1001))*(1+D1003),2)</f>
        <v>130.94</v>
      </c>
      <c r="D1016" s="193">
        <f t="shared" si="154"/>
        <v>159.51</v>
      </c>
      <c r="E1016" s="194">
        <f t="shared" si="155"/>
        <v>0.43646666666666667</v>
      </c>
      <c r="F1016" s="194">
        <f t="shared" si="156"/>
        <v>0.53169999999999995</v>
      </c>
      <c r="G1016" s="193">
        <f t="shared" si="152"/>
        <v>28.569999999999993</v>
      </c>
      <c r="H1016" s="195">
        <f t="shared" si="153"/>
        <v>0.21820000000000001</v>
      </c>
    </row>
    <row r="1017" spans="1:8" x14ac:dyDescent="0.25">
      <c r="A1017" s="598"/>
      <c r="B1017" s="176">
        <f t="shared" si="157"/>
        <v>350</v>
      </c>
      <c r="C1017" s="193">
        <f>ROUND((D990+B1017*D991+B1017*(D994+D995+D996+D997+D998+D999+D1000+D1001))*(1+D1003),2)</f>
        <v>141.83000000000001</v>
      </c>
      <c r="D1017" s="193">
        <f t="shared" si="154"/>
        <v>169.68</v>
      </c>
      <c r="E1017" s="194">
        <f t="shared" si="155"/>
        <v>0.40522857142857144</v>
      </c>
      <c r="F1017" s="194">
        <f t="shared" si="156"/>
        <v>0.48480000000000001</v>
      </c>
      <c r="G1017" s="193">
        <f t="shared" si="152"/>
        <v>27.849999999999994</v>
      </c>
      <c r="H1017" s="195">
        <f t="shared" si="153"/>
        <v>0.19639999999999999</v>
      </c>
    </row>
    <row r="1018" spans="1:8" x14ac:dyDescent="0.25">
      <c r="A1018" s="598"/>
      <c r="B1018" s="176">
        <f t="shared" si="157"/>
        <v>400</v>
      </c>
      <c r="C1018" s="193">
        <f>ROUND((D990+B1018*D991+B1018*(D994+D995+D996+D997+D998+D999+D1000+D1001))*(1+D1003),2)</f>
        <v>152.72</v>
      </c>
      <c r="D1018" s="193">
        <f t="shared" si="154"/>
        <v>179.84</v>
      </c>
      <c r="E1018" s="194">
        <f t="shared" si="155"/>
        <v>0.38179999999999997</v>
      </c>
      <c r="F1018" s="194">
        <f t="shared" si="156"/>
        <v>0.4496</v>
      </c>
      <c r="G1018" s="193">
        <f t="shared" si="152"/>
        <v>27.120000000000005</v>
      </c>
      <c r="H1018" s="195">
        <f t="shared" si="153"/>
        <v>0.17760000000000001</v>
      </c>
    </row>
    <row r="1019" spans="1:8" x14ac:dyDescent="0.25">
      <c r="A1019" s="598"/>
      <c r="B1019" s="176">
        <f t="shared" si="157"/>
        <v>450</v>
      </c>
      <c r="C1019" s="193">
        <f>ROUND((D990+B1019*D991+B1019*(D994+D995+D996+D997+D998+D999+D1000+D1001))*(1+D1003),2)</f>
        <v>163.61000000000001</v>
      </c>
      <c r="D1019" s="193">
        <f t="shared" si="154"/>
        <v>190.01</v>
      </c>
      <c r="E1019" s="194">
        <f t="shared" si="155"/>
        <v>0.36357777777777783</v>
      </c>
      <c r="F1019" s="194">
        <f t="shared" si="156"/>
        <v>0.42224444444444442</v>
      </c>
      <c r="G1019" s="193">
        <f t="shared" si="152"/>
        <v>26.399999999999977</v>
      </c>
      <c r="H1019" s="195">
        <f t="shared" si="153"/>
        <v>0.16139999999999999</v>
      </c>
    </row>
    <row r="1020" spans="1:8" x14ac:dyDescent="0.25">
      <c r="A1020" s="598"/>
      <c r="B1020" s="176">
        <f t="shared" si="157"/>
        <v>500</v>
      </c>
      <c r="C1020" s="193">
        <f>ROUND((D990+B1020*D991+B1020*(D994+D995+D996+D997+D998+D999+D1000+D1001))*(1+D1003),2)</f>
        <v>174.5</v>
      </c>
      <c r="D1020" s="193">
        <f t="shared" si="154"/>
        <v>200.18</v>
      </c>
      <c r="E1020" s="194">
        <f t="shared" si="155"/>
        <v>0.34899999999999998</v>
      </c>
      <c r="F1020" s="194">
        <f t="shared" si="156"/>
        <v>0.40035999999999999</v>
      </c>
      <c r="G1020" s="193">
        <f t="shared" si="152"/>
        <v>25.680000000000007</v>
      </c>
      <c r="H1020" s="195">
        <f t="shared" si="153"/>
        <v>0.1472</v>
      </c>
    </row>
    <row r="1021" spans="1:8" x14ac:dyDescent="0.25">
      <c r="A1021" s="598"/>
      <c r="B1021" s="176">
        <f t="shared" si="157"/>
        <v>550</v>
      </c>
      <c r="C1021" s="193">
        <f>ROUND((D990+B1021*D991+B1021*(D994+D995+D996+D997+D998+D999+D1000+D1001))*(1+D1003),2)</f>
        <v>185.39</v>
      </c>
      <c r="D1021" s="193">
        <f t="shared" si="154"/>
        <v>210.35</v>
      </c>
      <c r="E1021" s="194">
        <f t="shared" si="155"/>
        <v>0.33707272727272725</v>
      </c>
      <c r="F1021" s="194">
        <f t="shared" si="156"/>
        <v>0.38245454545454544</v>
      </c>
      <c r="G1021" s="193">
        <f t="shared" si="152"/>
        <v>24.960000000000008</v>
      </c>
      <c r="H1021" s="195">
        <f t="shared" si="153"/>
        <v>0.1346</v>
      </c>
    </row>
    <row r="1022" spans="1:8" x14ac:dyDescent="0.25">
      <c r="A1022" s="598"/>
      <c r="B1022" s="176">
        <f t="shared" si="157"/>
        <v>600</v>
      </c>
      <c r="C1022" s="193">
        <f>ROUND((D990+B1022*D991+B1022*(D994+D995+D996+D997+D998+D999+D1000+D1001))*(1+D1003),2)</f>
        <v>196.28</v>
      </c>
      <c r="D1022" s="193">
        <f t="shared" si="154"/>
        <v>220.52</v>
      </c>
      <c r="E1022" s="194">
        <f t="shared" si="155"/>
        <v>0.32713333333333333</v>
      </c>
      <c r="F1022" s="194">
        <f t="shared" si="156"/>
        <v>0.36753333333333332</v>
      </c>
      <c r="G1022" s="193">
        <f t="shared" si="152"/>
        <v>24.240000000000009</v>
      </c>
      <c r="H1022" s="195">
        <f t="shared" si="153"/>
        <v>0.1235</v>
      </c>
    </row>
    <row r="1023" spans="1:8" x14ac:dyDescent="0.25">
      <c r="A1023" s="598"/>
      <c r="B1023" s="176">
        <f t="shared" si="157"/>
        <v>650</v>
      </c>
      <c r="C1023" s="193">
        <f>ROUND((D990+B1023*D991+B1023*(D994+D995+D996+D997+D998+D999+D1000+D1001))*(1+D1003),2)</f>
        <v>207.17</v>
      </c>
      <c r="D1023" s="193">
        <f t="shared" si="154"/>
        <v>230.68</v>
      </c>
      <c r="E1023" s="194">
        <f t="shared" si="155"/>
        <v>0.31872307692307689</v>
      </c>
      <c r="F1023" s="194">
        <f t="shared" si="156"/>
        <v>0.35489230769230773</v>
      </c>
      <c r="G1023" s="193">
        <f t="shared" si="152"/>
        <v>23.510000000000019</v>
      </c>
      <c r="H1023" s="195">
        <f t="shared" si="153"/>
        <v>0.1135</v>
      </c>
    </row>
    <row r="1024" spans="1:8" x14ac:dyDescent="0.25">
      <c r="A1024" s="598"/>
      <c r="B1024" s="176">
        <f t="shared" si="157"/>
        <v>700</v>
      </c>
      <c r="C1024" s="193">
        <f>ROUND((D990+B1024*D991+B1024*(D994+D995+D996+D997+D998+D999+D1000+D1001))*(1+D1003),2)</f>
        <v>218.06</v>
      </c>
      <c r="D1024" s="193">
        <f t="shared" si="154"/>
        <v>240.85</v>
      </c>
      <c r="E1024" s="194">
        <f t="shared" si="155"/>
        <v>0.31151428571428574</v>
      </c>
      <c r="F1024" s="194">
        <f t="shared" si="156"/>
        <v>0.34407142857142858</v>
      </c>
      <c r="G1024" s="193">
        <f t="shared" si="152"/>
        <v>22.789999999999992</v>
      </c>
      <c r="H1024" s="195">
        <f t="shared" si="153"/>
        <v>0.1045</v>
      </c>
    </row>
    <row r="1025" spans="1:8" x14ac:dyDescent="0.25">
      <c r="A1025" s="598"/>
      <c r="B1025" s="176">
        <f t="shared" si="157"/>
        <v>750</v>
      </c>
      <c r="C1025" s="193">
        <f>ROUND((D990+B1025*D991+B1025*(D994+D995+D996+D997+D998+D999+D1000+D1001))*(1+D1003),2)</f>
        <v>228.95</v>
      </c>
      <c r="D1025" s="193">
        <f t="shared" si="154"/>
        <v>251.02</v>
      </c>
      <c r="E1025" s="194">
        <f t="shared" si="155"/>
        <v>0.30526666666666663</v>
      </c>
      <c r="F1025" s="194">
        <f t="shared" si="156"/>
        <v>0.33469333333333334</v>
      </c>
      <c r="G1025" s="193">
        <f t="shared" si="152"/>
        <v>22.070000000000022</v>
      </c>
      <c r="H1025" s="195">
        <f t="shared" si="153"/>
        <v>9.64E-2</v>
      </c>
    </row>
    <row r="1026" spans="1:8" x14ac:dyDescent="0.25">
      <c r="A1026" s="598"/>
      <c r="B1026" s="176">
        <f t="shared" si="157"/>
        <v>800</v>
      </c>
      <c r="C1026" s="193">
        <f>ROUND((D990+B1026*D991+B1026*(D994+D995+D996+D997+D998+D999+D1000+D1001))*(1+D1003),2)</f>
        <v>239.85</v>
      </c>
      <c r="D1026" s="193">
        <f t="shared" si="154"/>
        <v>261.19</v>
      </c>
      <c r="E1026" s="194">
        <f t="shared" si="155"/>
        <v>0.29981249999999998</v>
      </c>
      <c r="F1026" s="194">
        <f t="shared" si="156"/>
        <v>0.32648749999999999</v>
      </c>
      <c r="G1026" s="193">
        <f t="shared" si="152"/>
        <v>21.340000000000003</v>
      </c>
      <c r="H1026" s="195">
        <f t="shared" si="153"/>
        <v>8.8999999999999996E-2</v>
      </c>
    </row>
    <row r="1027" spans="1:8" x14ac:dyDescent="0.25">
      <c r="A1027" s="598"/>
      <c r="B1027" s="176">
        <f t="shared" si="157"/>
        <v>850</v>
      </c>
      <c r="C1027" s="193">
        <f>ROUND((D990+B1027*D991+B1027*(D994+D995+D996+D997+D998+D999+D1000+D1001))*(1+D1003),2)</f>
        <v>250.74</v>
      </c>
      <c r="D1027" s="193">
        <f t="shared" si="154"/>
        <v>271.36</v>
      </c>
      <c r="E1027" s="194">
        <f t="shared" si="155"/>
        <v>0.29498823529411766</v>
      </c>
      <c r="F1027" s="194">
        <f t="shared" si="156"/>
        <v>0.31924705882352944</v>
      </c>
      <c r="G1027" s="193">
        <f t="shared" si="152"/>
        <v>20.620000000000005</v>
      </c>
      <c r="H1027" s="195">
        <f t="shared" si="153"/>
        <v>8.2199999999999995E-2</v>
      </c>
    </row>
    <row r="1028" spans="1:8" x14ac:dyDescent="0.25">
      <c r="A1028" s="598"/>
      <c r="B1028" s="176">
        <f t="shared" si="157"/>
        <v>900</v>
      </c>
      <c r="C1028" s="193">
        <f>ROUND((D990+B1028*D991+B1028*(D994+D995+D996+D997+D998+D999+D1000+D1001))*(1+D1003),2)</f>
        <v>261.63</v>
      </c>
      <c r="D1028" s="193">
        <f t="shared" si="154"/>
        <v>281.52</v>
      </c>
      <c r="E1028" s="194">
        <f t="shared" si="155"/>
        <v>0.29070000000000001</v>
      </c>
      <c r="F1028" s="194">
        <f t="shared" si="156"/>
        <v>0.31279999999999997</v>
      </c>
      <c r="G1028" s="193">
        <f t="shared" si="152"/>
        <v>19.889999999999986</v>
      </c>
      <c r="H1028" s="195">
        <f t="shared" si="153"/>
        <v>7.5999999999999998E-2</v>
      </c>
    </row>
    <row r="1029" spans="1:8" x14ac:dyDescent="0.25">
      <c r="A1029" s="598"/>
      <c r="B1029" s="176">
        <f t="shared" si="157"/>
        <v>950</v>
      </c>
      <c r="C1029" s="193">
        <f>ROUND((D990+B1029*D991+B1029*(D994+D995+D996+D997+D998+D999+D1000+D1001))*(1+D1003),2)</f>
        <v>272.52</v>
      </c>
      <c r="D1029" s="193">
        <f t="shared" si="154"/>
        <v>291.69</v>
      </c>
      <c r="E1029" s="194">
        <f t="shared" si="155"/>
        <v>0.28686315789473682</v>
      </c>
      <c r="F1029" s="194">
        <f t="shared" si="156"/>
        <v>0.30704210526315789</v>
      </c>
      <c r="G1029" s="193">
        <f t="shared" si="152"/>
        <v>19.170000000000016</v>
      </c>
      <c r="H1029" s="195">
        <f t="shared" si="153"/>
        <v>7.0300000000000001E-2</v>
      </c>
    </row>
    <row r="1030" spans="1:8" x14ac:dyDescent="0.25">
      <c r="A1030" s="598"/>
      <c r="B1030" s="176">
        <f t="shared" si="157"/>
        <v>1000</v>
      </c>
      <c r="C1030" s="193">
        <f>ROUND((D990+B1030*D991+B1030*(D994+D995+D996+D997+D998+D999+D1000+D1001))*(1+D1003),2)</f>
        <v>283.41000000000003</v>
      </c>
      <c r="D1030" s="193">
        <f t="shared" si="154"/>
        <v>301.86</v>
      </c>
      <c r="E1030" s="194">
        <f t="shared" si="155"/>
        <v>0.28341000000000005</v>
      </c>
      <c r="F1030" s="194">
        <f t="shared" si="156"/>
        <v>0.30186000000000002</v>
      </c>
      <c r="G1030" s="193">
        <f t="shared" si="152"/>
        <v>18.449999999999989</v>
      </c>
      <c r="H1030" s="195">
        <f t="shared" si="153"/>
        <v>6.5100000000000005E-2</v>
      </c>
    </row>
    <row r="1031" spans="1:8" x14ac:dyDescent="0.25">
      <c r="A1031" s="598"/>
      <c r="B1031" s="176">
        <f t="shared" si="157"/>
        <v>1050</v>
      </c>
      <c r="C1031" s="193">
        <f>ROUND((D990+B1031*D991+B1031*(D994+D995+D996+D997+D998+D999+D1000+D1001))*(1+D1003),2)</f>
        <v>294.3</v>
      </c>
      <c r="D1031" s="193">
        <f t="shared" si="154"/>
        <v>312.02999999999997</v>
      </c>
      <c r="E1031" s="194">
        <f t="shared" si="155"/>
        <v>0.2802857142857143</v>
      </c>
      <c r="F1031" s="194">
        <f t="shared" si="156"/>
        <v>0.29717142857142853</v>
      </c>
      <c r="G1031" s="193">
        <f t="shared" si="152"/>
        <v>17.729999999999961</v>
      </c>
      <c r="H1031" s="195">
        <f t="shared" si="153"/>
        <v>6.0199999999999997E-2</v>
      </c>
    </row>
    <row r="1032" spans="1:8" x14ac:dyDescent="0.25">
      <c r="A1032" s="598"/>
      <c r="B1032" s="176">
        <f t="shared" si="157"/>
        <v>1100</v>
      </c>
      <c r="C1032" s="193">
        <f>ROUND((D990+B1032*D991+B1032*(D994+D995+D996+D997+D998+D999+D1000+D1001))*(1+D1003),2)</f>
        <v>305.19</v>
      </c>
      <c r="D1032" s="193">
        <f t="shared" si="154"/>
        <v>322.2</v>
      </c>
      <c r="E1032" s="194">
        <f t="shared" si="155"/>
        <v>0.27744545454545455</v>
      </c>
      <c r="F1032" s="194">
        <f t="shared" si="156"/>
        <v>0.2929090909090909</v>
      </c>
      <c r="G1032" s="193">
        <f t="shared" si="152"/>
        <v>17.009999999999991</v>
      </c>
      <c r="H1032" s="195">
        <f t="shared" si="153"/>
        <v>5.57E-2</v>
      </c>
    </row>
    <row r="1033" spans="1:8" x14ac:dyDescent="0.25">
      <c r="A1033" s="598"/>
      <c r="B1033" s="176">
        <f t="shared" si="157"/>
        <v>1150</v>
      </c>
      <c r="C1033" s="193">
        <f>ROUND((D990+B1033*D991+B1033*(D994+D995+D996+D997+D998+D999+D1000+D1001))*(1+D1003),2)</f>
        <v>316.08</v>
      </c>
      <c r="D1033" s="193">
        <f t="shared" si="154"/>
        <v>332.36</v>
      </c>
      <c r="E1033" s="194">
        <f t="shared" si="155"/>
        <v>0.27485217391304345</v>
      </c>
      <c r="F1033" s="194">
        <f t="shared" si="156"/>
        <v>0.28900869565217391</v>
      </c>
      <c r="G1033" s="193">
        <f t="shared" si="152"/>
        <v>16.28000000000003</v>
      </c>
      <c r="H1033" s="195">
        <f t="shared" si="153"/>
        <v>5.1499999999999997E-2</v>
      </c>
    </row>
    <row r="1034" spans="1:8" x14ac:dyDescent="0.25">
      <c r="A1034" s="598"/>
      <c r="B1034" s="176">
        <f t="shared" si="157"/>
        <v>1200</v>
      </c>
      <c r="C1034" s="193">
        <f>ROUND((D990+B1034*D991+B1034*(D994+D995+D996+D997+D998+D999+D1000+D1001))*(1+D1003),2)</f>
        <v>326.97000000000003</v>
      </c>
      <c r="D1034" s="193">
        <f t="shared" si="154"/>
        <v>342.53</v>
      </c>
      <c r="E1034" s="194">
        <f t="shared" si="155"/>
        <v>0.27247500000000002</v>
      </c>
      <c r="F1034" s="194">
        <f t="shared" si="156"/>
        <v>0.28544166666666665</v>
      </c>
      <c r="G1034" s="193">
        <f t="shared" si="152"/>
        <v>15.559999999999945</v>
      </c>
      <c r="H1034" s="195">
        <f t="shared" si="153"/>
        <v>4.7600000000000003E-2</v>
      </c>
    </row>
    <row r="1035" spans="1:8" x14ac:dyDescent="0.25">
      <c r="A1035" s="598"/>
      <c r="B1035" s="176">
        <f t="shared" si="157"/>
        <v>1250</v>
      </c>
      <c r="C1035" s="193">
        <f>ROUND((D990+B1035*D991+B1035*(D994+D995+D996+D997+D998+D999+D1000+D1001))*(1+D1003),2)</f>
        <v>337.86</v>
      </c>
      <c r="D1035" s="193">
        <f t="shared" si="154"/>
        <v>352.7</v>
      </c>
      <c r="E1035" s="194">
        <f t="shared" si="155"/>
        <v>0.27028800000000003</v>
      </c>
      <c r="F1035" s="194">
        <f t="shared" si="156"/>
        <v>0.28215999999999997</v>
      </c>
      <c r="G1035" s="193">
        <f t="shared" si="152"/>
        <v>14.839999999999975</v>
      </c>
      <c r="H1035" s="195">
        <f t="shared" si="153"/>
        <v>4.3900000000000002E-2</v>
      </c>
    </row>
    <row r="1036" spans="1:8" x14ac:dyDescent="0.25">
      <c r="A1036" s="598"/>
      <c r="B1036" s="176">
        <f t="shared" si="157"/>
        <v>1300</v>
      </c>
      <c r="C1036" s="193">
        <f>ROUND((D990+B1036*D991+B1036*(D994+D995+D996+D997+D998+D999+D1000+D1001))*(1+D1003),2)</f>
        <v>348.75</v>
      </c>
      <c r="D1036" s="193">
        <f t="shared" si="154"/>
        <v>362.87</v>
      </c>
      <c r="E1036" s="194">
        <f t="shared" si="155"/>
        <v>0.26826923076923076</v>
      </c>
      <c r="F1036" s="194">
        <f t="shared" si="156"/>
        <v>0.27913076923076924</v>
      </c>
      <c r="G1036" s="193">
        <f t="shared" si="152"/>
        <v>14.120000000000005</v>
      </c>
      <c r="H1036" s="195">
        <f t="shared" si="153"/>
        <v>4.0500000000000001E-2</v>
      </c>
    </row>
    <row r="1037" spans="1:8" x14ac:dyDescent="0.25">
      <c r="A1037" s="598"/>
      <c r="B1037" s="176">
        <f t="shared" si="157"/>
        <v>1350</v>
      </c>
      <c r="C1037" s="193">
        <f>ROUND((D990+B1037*D991+B1037*(D994+D995+D996+D997+D998+D999+D1000+D1001))*(1+D1003),2)</f>
        <v>359.64</v>
      </c>
      <c r="D1037" s="193">
        <f t="shared" si="154"/>
        <v>373.04</v>
      </c>
      <c r="E1037" s="194">
        <f t="shared" si="155"/>
        <v>0.26639999999999997</v>
      </c>
      <c r="F1037" s="194">
        <f t="shared" si="156"/>
        <v>0.27632592592592592</v>
      </c>
      <c r="G1037" s="193">
        <f t="shared" si="152"/>
        <v>13.400000000000034</v>
      </c>
      <c r="H1037" s="195">
        <f t="shared" si="153"/>
        <v>3.73E-2</v>
      </c>
    </row>
    <row r="1038" spans="1:8" x14ac:dyDescent="0.25">
      <c r="A1038" s="598"/>
      <c r="B1038" s="176">
        <f t="shared" si="157"/>
        <v>1400</v>
      </c>
      <c r="C1038" s="193">
        <f>ROUND((D990+B1038*D991+B1038*(D994+D995+D996+D997+D998+D999+D1000+D1001))*(1+D1003),2)</f>
        <v>370.53</v>
      </c>
      <c r="D1038" s="193">
        <f t="shared" si="154"/>
        <v>383.2</v>
      </c>
      <c r="E1038" s="194">
        <f t="shared" si="155"/>
        <v>0.26466428571428569</v>
      </c>
      <c r="F1038" s="194">
        <f t="shared" si="156"/>
        <v>0.27371428571428569</v>
      </c>
      <c r="G1038" s="193">
        <f t="shared" si="152"/>
        <v>12.670000000000016</v>
      </c>
      <c r="H1038" s="195">
        <f t="shared" si="153"/>
        <v>3.4200000000000001E-2</v>
      </c>
    </row>
    <row r="1039" spans="1:8" x14ac:dyDescent="0.25">
      <c r="A1039" s="598"/>
      <c r="B1039" s="176">
        <f t="shared" si="157"/>
        <v>1450</v>
      </c>
      <c r="C1039" s="231">
        <f>ROUND((D990+B1039*D991+B1039*(D994+D995+D996+D997+D998+D999+D1000+D1001))*(1+D1003),2)</f>
        <v>381.42</v>
      </c>
      <c r="D1039" s="231">
        <f t="shared" si="154"/>
        <v>393.37</v>
      </c>
      <c r="E1039" s="194">
        <f t="shared" si="155"/>
        <v>0.26304827586206897</v>
      </c>
      <c r="F1039" s="194">
        <f t="shared" si="156"/>
        <v>0.27128965517241382</v>
      </c>
      <c r="G1039" s="231">
        <f t="shared" si="152"/>
        <v>11.949999999999989</v>
      </c>
      <c r="H1039" s="232">
        <f t="shared" si="153"/>
        <v>3.1300000000000001E-2</v>
      </c>
    </row>
    <row r="1040" spans="1:8" x14ac:dyDescent="0.25">
      <c r="A1040" s="598"/>
      <c r="B1040" s="176">
        <f t="shared" si="157"/>
        <v>1500</v>
      </c>
      <c r="C1040" s="231">
        <f>ROUND((D990+B1040*D991+B1040*(D994+D995+D996+D997+D998+D999+D1000+D1001))*(1+D1003),2)</f>
        <v>392.31</v>
      </c>
      <c r="D1040" s="231">
        <f t="shared" si="154"/>
        <v>403.54</v>
      </c>
      <c r="E1040" s="194">
        <f t="shared" si="155"/>
        <v>0.26153999999999999</v>
      </c>
      <c r="F1040" s="194">
        <f t="shared" si="156"/>
        <v>0.26902666666666669</v>
      </c>
      <c r="G1040" s="231">
        <f t="shared" si="152"/>
        <v>11.230000000000018</v>
      </c>
      <c r="H1040" s="232">
        <f t="shared" si="153"/>
        <v>2.86E-2</v>
      </c>
    </row>
    <row r="1041" spans="1:10" x14ac:dyDescent="0.25">
      <c r="C1041" s="193"/>
      <c r="D1041" s="193"/>
      <c r="E1041" s="194"/>
      <c r="F1041" s="194"/>
      <c r="G1041" s="193"/>
      <c r="H1041" s="195"/>
    </row>
    <row r="1042" spans="1:10" hidden="1" x14ac:dyDescent="0.25">
      <c r="C1042" s="193"/>
      <c r="D1042" s="193"/>
      <c r="E1042" s="194"/>
      <c r="F1042" s="194"/>
      <c r="G1042" s="193"/>
      <c r="H1042" s="195"/>
    </row>
    <row r="1043" spans="1:10" hidden="1" x14ac:dyDescent="0.25">
      <c r="C1043" s="193"/>
      <c r="D1043" s="193"/>
      <c r="E1043" s="194"/>
      <c r="F1043" s="194"/>
      <c r="G1043" s="193"/>
      <c r="H1043" s="195"/>
    </row>
    <row r="1044" spans="1:10" hidden="1" x14ac:dyDescent="0.25">
      <c r="C1044" s="193"/>
      <c r="D1044" s="193"/>
      <c r="E1044" s="194"/>
      <c r="F1044" s="194"/>
      <c r="G1044" s="193"/>
      <c r="H1044" s="195"/>
    </row>
    <row r="1045" spans="1:10" hidden="1" x14ac:dyDescent="0.25">
      <c r="C1045" s="193"/>
      <c r="D1045" s="193"/>
      <c r="G1045" s="193"/>
      <c r="H1045" s="195"/>
    </row>
    <row r="1046" spans="1:10" hidden="1" x14ac:dyDescent="0.25"/>
    <row r="1047" spans="1:10" hidden="1" x14ac:dyDescent="0.25"/>
    <row r="1048" spans="1:10" hidden="1" x14ac:dyDescent="0.25">
      <c r="A1048" s="180" t="s">
        <v>21</v>
      </c>
      <c r="B1048" s="179"/>
      <c r="C1048" s="179"/>
      <c r="D1048" s="179"/>
      <c r="E1048" s="179"/>
      <c r="F1048" s="179"/>
      <c r="G1048" s="179"/>
      <c r="H1048" s="179"/>
      <c r="I1048" s="180"/>
    </row>
    <row r="1049" spans="1:10" hidden="1" x14ac:dyDescent="0.25">
      <c r="A1049" s="180" t="s">
        <v>22</v>
      </c>
      <c r="B1049" s="179"/>
      <c r="C1049" s="179"/>
      <c r="D1049" s="179"/>
      <c r="E1049" s="179"/>
      <c r="F1049" s="179"/>
      <c r="G1049" s="179"/>
      <c r="H1049" s="179"/>
      <c r="I1049" s="180"/>
    </row>
    <row r="1050" spans="1:10" hidden="1" x14ac:dyDescent="0.25">
      <c r="A1050" s="180" t="s">
        <v>310</v>
      </c>
      <c r="B1050" s="179"/>
      <c r="C1050" s="179"/>
      <c r="D1050" s="179"/>
      <c r="E1050" s="179"/>
      <c r="F1050" s="179"/>
      <c r="G1050" s="179"/>
      <c r="H1050" s="179"/>
      <c r="I1050" s="180"/>
    </row>
    <row r="1051" spans="1:10" x14ac:dyDescent="0.25">
      <c r="A1051" s="599" t="s">
        <v>359</v>
      </c>
      <c r="B1051" s="179"/>
      <c r="C1051" s="179"/>
      <c r="D1051" s="179"/>
      <c r="E1051" s="179"/>
      <c r="F1051" s="179"/>
      <c r="G1051" s="179"/>
      <c r="H1051" s="179"/>
      <c r="I1051" s="180"/>
    </row>
    <row r="1053" spans="1:10" hidden="1" x14ac:dyDescent="0.25"/>
    <row r="1054" spans="1:10" x14ac:dyDescent="0.25">
      <c r="D1054" s="181" t="s">
        <v>311</v>
      </c>
      <c r="G1054" s="181" t="s">
        <v>312</v>
      </c>
    </row>
    <row r="1055" spans="1:10" x14ac:dyDescent="0.25">
      <c r="D1055" s="182" t="s">
        <v>313</v>
      </c>
      <c r="G1055" s="182" t="s">
        <v>313</v>
      </c>
    </row>
    <row r="1056" spans="1:10" x14ac:dyDescent="0.25">
      <c r="A1056" s="180" t="s">
        <v>314</v>
      </c>
      <c r="D1056" s="183">
        <v>65.599999999999994</v>
      </c>
      <c r="G1056" s="183">
        <f>VLOOKUP(J1056,'EXHIBIT JDT-3 IND'!D:N,7,FALSE)</f>
        <v>98.5</v>
      </c>
      <c r="J1056" s="177" t="s">
        <v>116</v>
      </c>
    </row>
    <row r="1057" spans="1:10" x14ac:dyDescent="0.25">
      <c r="A1057" s="180" t="s">
        <v>315</v>
      </c>
      <c r="C1057" s="184">
        <v>9999999999</v>
      </c>
      <c r="D1057" s="185">
        <v>0.20531000000000002</v>
      </c>
      <c r="G1057" s="185">
        <f>VLOOKUP(J1057,'EXHIBIT JDT-3 IND'!D:N,7,FALSE)/10</f>
        <v>0.18742</v>
      </c>
      <c r="J1057" s="177" t="s">
        <v>117</v>
      </c>
    </row>
    <row r="1058" spans="1:10" x14ac:dyDescent="0.25">
      <c r="C1058" s="184"/>
      <c r="D1058" s="185"/>
      <c r="G1058" s="185"/>
    </row>
    <row r="1059" spans="1:10" hidden="1" x14ac:dyDescent="0.25">
      <c r="C1059" s="184"/>
      <c r="D1059" s="185"/>
      <c r="G1059" s="185"/>
    </row>
    <row r="1060" spans="1:10" hidden="1" x14ac:dyDescent="0.25">
      <c r="A1060" s="180" t="s">
        <v>316</v>
      </c>
      <c r="D1060" s="185">
        <v>0</v>
      </c>
      <c r="E1060" s="186"/>
      <c r="F1060" s="186"/>
      <c r="G1060" s="185">
        <f>D1060</f>
        <v>0</v>
      </c>
      <c r="J1060" s="187" t="s">
        <v>370</v>
      </c>
    </row>
    <row r="1061" spans="1:10" hidden="1" x14ac:dyDescent="0.25">
      <c r="A1061" s="180" t="s">
        <v>317</v>
      </c>
      <c r="D1061" s="185">
        <v>0</v>
      </c>
      <c r="E1061" s="186"/>
      <c r="F1061" s="186"/>
      <c r="G1061" s="185">
        <f t="shared" ref="G1061:G1063" si="158">D1061</f>
        <v>0</v>
      </c>
      <c r="J1061" s="188" t="s">
        <v>370</v>
      </c>
    </row>
    <row r="1062" spans="1:10" hidden="1" x14ac:dyDescent="0.25">
      <c r="A1062" s="180" t="s">
        <v>318</v>
      </c>
      <c r="D1062" s="185">
        <v>0</v>
      </c>
      <c r="E1062" s="186"/>
      <c r="F1062" s="186"/>
      <c r="G1062" s="185">
        <f t="shared" si="158"/>
        <v>0</v>
      </c>
      <c r="J1062" s="187"/>
    </row>
    <row r="1063" spans="1:10" hidden="1" x14ac:dyDescent="0.25">
      <c r="A1063" s="180" t="s">
        <v>319</v>
      </c>
      <c r="D1063" s="185">
        <v>0</v>
      </c>
      <c r="E1063" s="186"/>
      <c r="F1063" s="186"/>
      <c r="G1063" s="185">
        <f t="shared" si="158"/>
        <v>0</v>
      </c>
      <c r="J1063" s="187"/>
    </row>
    <row r="1064" spans="1:10" hidden="1" x14ac:dyDescent="0.25">
      <c r="A1064" s="180" t="s">
        <v>320</v>
      </c>
      <c r="D1064" s="185">
        <v>0</v>
      </c>
      <c r="E1064" s="186"/>
      <c r="F1064" s="186"/>
      <c r="G1064" s="185">
        <f>IFERROR(VLOOKUP(J1064,'EXHIBIT JDT-3 IND'!D:N,7,FALSE)/10,0)</f>
        <v>0</v>
      </c>
      <c r="J1064" s="187"/>
    </row>
    <row r="1065" spans="1:10" hidden="1" x14ac:dyDescent="0.25">
      <c r="A1065" s="180" t="s">
        <v>341</v>
      </c>
      <c r="D1065" s="185">
        <v>0</v>
      </c>
      <c r="E1065" s="186"/>
      <c r="F1065" s="186"/>
      <c r="G1065" s="185">
        <f>IFERROR(VLOOKUP(J1065,'EXHIBIT JDT-3 IND'!D:N,7,FALSE)/10,0)</f>
        <v>0</v>
      </c>
      <c r="J1065" s="187"/>
    </row>
    <row r="1066" spans="1:10" hidden="1" x14ac:dyDescent="0.25">
      <c r="A1066" s="180" t="s">
        <v>342</v>
      </c>
      <c r="D1066" s="185">
        <v>0</v>
      </c>
      <c r="E1066" s="186"/>
      <c r="F1066" s="186"/>
      <c r="G1066" s="185">
        <v>0</v>
      </c>
      <c r="J1066" s="188" t="s">
        <v>370</v>
      </c>
    </row>
    <row r="1067" spans="1:10" hidden="1" x14ac:dyDescent="0.25">
      <c r="A1067" s="180" t="s">
        <v>343</v>
      </c>
      <c r="D1067" s="185">
        <v>0</v>
      </c>
      <c r="E1067" s="186"/>
      <c r="F1067" s="186"/>
      <c r="G1067" s="185">
        <v>0</v>
      </c>
      <c r="J1067" s="188" t="s">
        <v>370</v>
      </c>
    </row>
    <row r="1068" spans="1:10" hidden="1" x14ac:dyDescent="0.25">
      <c r="E1068" s="186"/>
      <c r="F1068" s="186"/>
      <c r="G1068" s="186"/>
    </row>
    <row r="1069" spans="1:10" hidden="1" x14ac:dyDescent="0.25">
      <c r="A1069" s="180" t="s">
        <v>321</v>
      </c>
      <c r="D1069" s="189">
        <v>0</v>
      </c>
      <c r="G1069" s="189">
        <v>0</v>
      </c>
    </row>
    <row r="1070" spans="1:10" hidden="1" x14ac:dyDescent="0.25"/>
    <row r="1071" spans="1:10" hidden="1" x14ac:dyDescent="0.25"/>
    <row r="1072" spans="1:10" x14ac:dyDescent="0.25">
      <c r="G1072" s="190" t="s">
        <v>322</v>
      </c>
      <c r="H1072" s="190"/>
    </row>
    <row r="1073" spans="2:12" x14ac:dyDescent="0.25">
      <c r="B1073" s="176" t="s">
        <v>323</v>
      </c>
      <c r="C1073" s="181" t="s">
        <v>311</v>
      </c>
      <c r="D1073" s="181" t="s">
        <v>312</v>
      </c>
      <c r="E1073" s="181" t="s">
        <v>311</v>
      </c>
      <c r="F1073" s="181" t="s">
        <v>312</v>
      </c>
      <c r="G1073" s="181" t="s">
        <v>324</v>
      </c>
      <c r="H1073" s="181" t="s">
        <v>325</v>
      </c>
      <c r="J1073" s="191"/>
    </row>
    <row r="1074" spans="2:12" x14ac:dyDescent="0.25">
      <c r="C1074" s="192" t="s">
        <v>326</v>
      </c>
      <c r="D1074" s="192" t="s">
        <v>327</v>
      </c>
      <c r="E1074" s="181" t="s">
        <v>328</v>
      </c>
      <c r="F1074" s="181" t="s">
        <v>328</v>
      </c>
      <c r="G1074" s="192" t="s">
        <v>329</v>
      </c>
      <c r="J1074" s="191"/>
    </row>
    <row r="1075" spans="2:12" x14ac:dyDescent="0.25">
      <c r="B1075" s="176" t="s">
        <v>330</v>
      </c>
      <c r="J1075" s="191"/>
    </row>
    <row r="1076" spans="2:12" x14ac:dyDescent="0.25">
      <c r="B1076" s="176">
        <f>B1010</f>
        <v>0</v>
      </c>
      <c r="C1076" s="193">
        <f>ROUND((D1056+B1076*D1057+B1076*(D1060+D1061+D1062+D1063+D1064+D1065+D1066+D1067))*(1+D1069),2)</f>
        <v>65.599999999999994</v>
      </c>
      <c r="D1076" s="193">
        <f>ROUND(($G$1056+(SUM($G$1057:$G$1067)*B1076))*(1+$G$1069),2)</f>
        <v>98.5</v>
      </c>
      <c r="E1076" s="194"/>
      <c r="F1076" s="194"/>
      <c r="G1076" s="193">
        <f t="shared" ref="G1076:G1106" si="159">D1076-C1076</f>
        <v>32.900000000000006</v>
      </c>
      <c r="H1076" s="195">
        <f t="shared" ref="H1076:H1106" si="160">ROUND(G1076/C1076,4)</f>
        <v>0.50149999999999995</v>
      </c>
      <c r="J1076" s="207"/>
      <c r="L1076" s="197"/>
    </row>
    <row r="1077" spans="2:12" x14ac:dyDescent="0.25">
      <c r="B1077" s="176">
        <f t="shared" ref="B1077:B1106" si="161">B1011</f>
        <v>50</v>
      </c>
      <c r="C1077" s="193">
        <f>ROUND((D1056+B1077*D1057+B1077*(D1060+D1061+D1062+D1063+D1064+D1065+D1066+D1067))*(1+D1069),2)</f>
        <v>75.87</v>
      </c>
      <c r="D1077" s="193">
        <f t="shared" ref="D1077:D1106" si="162">ROUND(($G$1056+(SUM($G$1057:$G$1067)*B1077))*(1+$G$1069),2)</f>
        <v>107.87</v>
      </c>
      <c r="E1077" s="194">
        <f t="shared" ref="E1077:E1106" si="163">+C1077/B1077</f>
        <v>1.5174000000000001</v>
      </c>
      <c r="F1077" s="194">
        <f t="shared" ref="F1077:F1106" si="164">+D1077/B1077</f>
        <v>2.1574</v>
      </c>
      <c r="G1077" s="193">
        <f t="shared" si="159"/>
        <v>32</v>
      </c>
      <c r="H1077" s="195">
        <f t="shared" si="160"/>
        <v>0.42180000000000001</v>
      </c>
      <c r="J1077" s="207"/>
      <c r="L1077" s="197"/>
    </row>
    <row r="1078" spans="2:12" x14ac:dyDescent="0.25">
      <c r="B1078" s="176">
        <f t="shared" si="161"/>
        <v>100</v>
      </c>
      <c r="C1078" s="193">
        <f>ROUND((D1056+B1078*D1057+B1078*(D1060+D1061+D1062+D1063+D1064+D1065+D1066+D1067))*(1+D1069),2)</f>
        <v>86.13</v>
      </c>
      <c r="D1078" s="193">
        <f t="shared" si="162"/>
        <v>117.24</v>
      </c>
      <c r="E1078" s="194">
        <f t="shared" si="163"/>
        <v>0.86129999999999995</v>
      </c>
      <c r="F1078" s="194">
        <f t="shared" si="164"/>
        <v>1.1723999999999999</v>
      </c>
      <c r="G1078" s="193">
        <f t="shared" si="159"/>
        <v>31.11</v>
      </c>
      <c r="H1078" s="195">
        <f t="shared" si="160"/>
        <v>0.36120000000000002</v>
      </c>
      <c r="J1078" s="207"/>
      <c r="L1078" s="197"/>
    </row>
    <row r="1079" spans="2:12" x14ac:dyDescent="0.25">
      <c r="B1079" s="176">
        <f t="shared" si="161"/>
        <v>150</v>
      </c>
      <c r="C1079" s="193">
        <f>ROUND((D1056+B1079*D1057+B1079*(D1060+D1061+D1062+D1063+D1064+D1065+D1066+D1067))*(1+D1069),2)</f>
        <v>96.4</v>
      </c>
      <c r="D1079" s="193">
        <f t="shared" si="162"/>
        <v>126.61</v>
      </c>
      <c r="E1079" s="194">
        <f t="shared" si="163"/>
        <v>0.64266666666666672</v>
      </c>
      <c r="F1079" s="194">
        <f t="shared" si="164"/>
        <v>0.84406666666666663</v>
      </c>
      <c r="G1079" s="193">
        <f t="shared" si="159"/>
        <v>30.209999999999994</v>
      </c>
      <c r="H1079" s="195">
        <f t="shared" si="160"/>
        <v>0.31340000000000001</v>
      </c>
      <c r="J1079" s="207"/>
      <c r="L1079" s="197"/>
    </row>
    <row r="1080" spans="2:12" x14ac:dyDescent="0.25">
      <c r="B1080" s="176">
        <f t="shared" si="161"/>
        <v>200</v>
      </c>
      <c r="C1080" s="193">
        <f>ROUND((D1056+B1080*D1057+B1080*(D1060+D1061+D1062+D1063+D1064+D1065+D1066+D1067))*(1+D1069),2)</f>
        <v>106.66</v>
      </c>
      <c r="D1080" s="193">
        <f t="shared" si="162"/>
        <v>135.97999999999999</v>
      </c>
      <c r="E1080" s="194">
        <f t="shared" si="163"/>
        <v>0.5333</v>
      </c>
      <c r="F1080" s="194">
        <f t="shared" si="164"/>
        <v>0.67989999999999995</v>
      </c>
      <c r="G1080" s="193">
        <f t="shared" si="159"/>
        <v>29.319999999999993</v>
      </c>
      <c r="H1080" s="195">
        <f t="shared" si="160"/>
        <v>0.27489999999999998</v>
      </c>
      <c r="J1080" s="207"/>
      <c r="L1080" s="197"/>
    </row>
    <row r="1081" spans="2:12" x14ac:dyDescent="0.25">
      <c r="B1081" s="176">
        <f t="shared" si="161"/>
        <v>250</v>
      </c>
      <c r="C1081" s="193">
        <f>ROUND((D1056+B1081*D1057+B1081*(D1060+D1061+D1062+D1063+D1064+D1065+D1066+D1067))*(1+D1069),2)</f>
        <v>116.93</v>
      </c>
      <c r="D1081" s="193">
        <f t="shared" si="162"/>
        <v>145.36000000000001</v>
      </c>
      <c r="E1081" s="194">
        <f t="shared" si="163"/>
        <v>0.46772000000000002</v>
      </c>
      <c r="F1081" s="194">
        <f t="shared" si="164"/>
        <v>0.58144000000000007</v>
      </c>
      <c r="G1081" s="193">
        <f t="shared" si="159"/>
        <v>28.430000000000007</v>
      </c>
      <c r="H1081" s="195">
        <f t="shared" si="160"/>
        <v>0.24310000000000001</v>
      </c>
      <c r="J1081" s="207"/>
      <c r="L1081" s="197"/>
    </row>
    <row r="1082" spans="2:12" x14ac:dyDescent="0.25">
      <c r="B1082" s="176">
        <f t="shared" si="161"/>
        <v>300</v>
      </c>
      <c r="C1082" s="193">
        <f>ROUND((D1056+B1082*D1057+B1082*(D1060+D1061+D1062+D1063+D1064+D1065+D1066+D1067))*(1+D1069),2)</f>
        <v>127.19</v>
      </c>
      <c r="D1082" s="193">
        <f t="shared" si="162"/>
        <v>154.72999999999999</v>
      </c>
      <c r="E1082" s="194">
        <f t="shared" si="163"/>
        <v>0.42396666666666666</v>
      </c>
      <c r="F1082" s="194">
        <f t="shared" si="164"/>
        <v>0.5157666666666666</v>
      </c>
      <c r="G1082" s="193">
        <f t="shared" si="159"/>
        <v>27.539999999999992</v>
      </c>
      <c r="H1082" s="195">
        <f t="shared" si="160"/>
        <v>0.2165</v>
      </c>
      <c r="J1082" s="207"/>
      <c r="L1082" s="197"/>
    </row>
    <row r="1083" spans="2:12" x14ac:dyDescent="0.25">
      <c r="B1083" s="176">
        <f t="shared" si="161"/>
        <v>350</v>
      </c>
      <c r="C1083" s="193">
        <f>ROUND((D1056+B1083*D1057+B1083*(D1060+D1061+D1062+D1063+D1064+D1065+D1066+D1067))*(1+D1069),2)</f>
        <v>137.46</v>
      </c>
      <c r="D1083" s="193">
        <f t="shared" si="162"/>
        <v>164.1</v>
      </c>
      <c r="E1083" s="194">
        <f t="shared" si="163"/>
        <v>0.39274285714285717</v>
      </c>
      <c r="F1083" s="194">
        <f t="shared" si="164"/>
        <v>0.46885714285714286</v>
      </c>
      <c r="G1083" s="193">
        <f t="shared" si="159"/>
        <v>26.639999999999986</v>
      </c>
      <c r="H1083" s="195">
        <f t="shared" si="160"/>
        <v>0.1938</v>
      </c>
      <c r="J1083" s="207"/>
      <c r="L1083" s="197"/>
    </row>
    <row r="1084" spans="2:12" x14ac:dyDescent="0.25">
      <c r="B1084" s="176">
        <f t="shared" si="161"/>
        <v>400</v>
      </c>
      <c r="C1084" s="193">
        <f>ROUND((D1056+B1084*D1057+B1084*(D1060+D1061+D1062+D1063+D1064+D1065+D1066+D1067))*(1+D1069),2)</f>
        <v>147.72</v>
      </c>
      <c r="D1084" s="193">
        <f t="shared" si="162"/>
        <v>173.47</v>
      </c>
      <c r="E1084" s="194">
        <f t="shared" si="163"/>
        <v>0.36930000000000002</v>
      </c>
      <c r="F1084" s="194">
        <f t="shared" si="164"/>
        <v>0.43367499999999998</v>
      </c>
      <c r="G1084" s="193">
        <f t="shared" si="159"/>
        <v>25.75</v>
      </c>
      <c r="H1084" s="195">
        <f t="shared" si="160"/>
        <v>0.17430000000000001</v>
      </c>
      <c r="J1084" s="207"/>
      <c r="L1084" s="197"/>
    </row>
    <row r="1085" spans="2:12" x14ac:dyDescent="0.25">
      <c r="B1085" s="176">
        <f t="shared" si="161"/>
        <v>450</v>
      </c>
      <c r="C1085" s="193">
        <f>ROUND((D1056+B1085*D1057+B1085*(D1060+D1061+D1062+D1063+D1064+D1065+D1066+D1067))*(1+D1069),2)</f>
        <v>157.99</v>
      </c>
      <c r="D1085" s="193">
        <f t="shared" si="162"/>
        <v>182.84</v>
      </c>
      <c r="E1085" s="194">
        <f t="shared" si="163"/>
        <v>0.35108888888888889</v>
      </c>
      <c r="F1085" s="194">
        <f t="shared" si="164"/>
        <v>0.40631111111111112</v>
      </c>
      <c r="G1085" s="193">
        <f t="shared" si="159"/>
        <v>24.849999999999994</v>
      </c>
      <c r="H1085" s="195">
        <f t="shared" si="160"/>
        <v>0.1573</v>
      </c>
      <c r="J1085" s="207"/>
      <c r="L1085" s="197"/>
    </row>
    <row r="1086" spans="2:12" x14ac:dyDescent="0.25">
      <c r="B1086" s="176">
        <f t="shared" si="161"/>
        <v>500</v>
      </c>
      <c r="C1086" s="193">
        <f>ROUND((D1056+B1086*D1057+B1086*(D1060+D1061+D1062+D1063+D1064+D1065+D1066+D1067))*(1+D1069),2)</f>
        <v>168.26</v>
      </c>
      <c r="D1086" s="193">
        <f t="shared" si="162"/>
        <v>192.21</v>
      </c>
      <c r="E1086" s="194">
        <f t="shared" si="163"/>
        <v>0.33651999999999999</v>
      </c>
      <c r="F1086" s="194">
        <f t="shared" si="164"/>
        <v>0.38442000000000004</v>
      </c>
      <c r="G1086" s="193">
        <f t="shared" si="159"/>
        <v>23.950000000000017</v>
      </c>
      <c r="H1086" s="195">
        <f t="shared" si="160"/>
        <v>0.14230000000000001</v>
      </c>
      <c r="J1086" s="207"/>
      <c r="L1086" s="197"/>
    </row>
    <row r="1087" spans="2:12" x14ac:dyDescent="0.25">
      <c r="B1087" s="176">
        <f t="shared" si="161"/>
        <v>550</v>
      </c>
      <c r="C1087" s="193">
        <f>ROUND((D1056+B1087*D1057+B1087*(D1060+D1061+D1062+D1063+D1064+D1065+D1066+D1067))*(1+D1069),2)</f>
        <v>178.52</v>
      </c>
      <c r="D1087" s="193">
        <f t="shared" si="162"/>
        <v>201.58</v>
      </c>
      <c r="E1087" s="194">
        <f t="shared" si="163"/>
        <v>0.32458181818181819</v>
      </c>
      <c r="F1087" s="194">
        <f t="shared" si="164"/>
        <v>0.36650909090909095</v>
      </c>
      <c r="G1087" s="193">
        <f t="shared" si="159"/>
        <v>23.060000000000002</v>
      </c>
      <c r="H1087" s="195">
        <f t="shared" si="160"/>
        <v>0.12920000000000001</v>
      </c>
      <c r="J1087" s="207"/>
      <c r="L1087" s="197"/>
    </row>
    <row r="1088" spans="2:12" x14ac:dyDescent="0.25">
      <c r="B1088" s="176">
        <f t="shared" si="161"/>
        <v>600</v>
      </c>
      <c r="C1088" s="193">
        <f>ROUND((D1056+B1088*D1057+B1088*(D1060+D1061+D1062+D1063+D1064+D1065+D1066+D1067))*(1+D1069),2)</f>
        <v>188.79</v>
      </c>
      <c r="D1088" s="193">
        <f t="shared" si="162"/>
        <v>210.95</v>
      </c>
      <c r="E1088" s="194">
        <f t="shared" si="163"/>
        <v>0.31464999999999999</v>
      </c>
      <c r="F1088" s="194">
        <f t="shared" si="164"/>
        <v>0.3515833333333333</v>
      </c>
      <c r="G1088" s="193">
        <f t="shared" si="159"/>
        <v>22.159999999999997</v>
      </c>
      <c r="H1088" s="195">
        <f t="shared" si="160"/>
        <v>0.1174</v>
      </c>
      <c r="J1088" s="207"/>
      <c r="L1088" s="197"/>
    </row>
    <row r="1089" spans="2:12" x14ac:dyDescent="0.25">
      <c r="B1089" s="176">
        <f t="shared" si="161"/>
        <v>650</v>
      </c>
      <c r="C1089" s="193">
        <f>ROUND((D1056+B1089*D1057+B1089*(D1060+D1061+D1062+D1063+D1064+D1065+D1066+D1067))*(1+D1069),2)</f>
        <v>199.05</v>
      </c>
      <c r="D1089" s="193">
        <f t="shared" si="162"/>
        <v>220.32</v>
      </c>
      <c r="E1089" s="194">
        <f t="shared" si="163"/>
        <v>0.30623076923076925</v>
      </c>
      <c r="F1089" s="194">
        <f t="shared" si="164"/>
        <v>0.33895384615384616</v>
      </c>
      <c r="G1089" s="193">
        <f t="shared" si="159"/>
        <v>21.269999999999982</v>
      </c>
      <c r="H1089" s="195">
        <f t="shared" si="160"/>
        <v>0.1069</v>
      </c>
      <c r="J1089" s="207"/>
      <c r="L1089" s="197"/>
    </row>
    <row r="1090" spans="2:12" x14ac:dyDescent="0.25">
      <c r="B1090" s="176">
        <f t="shared" si="161"/>
        <v>700</v>
      </c>
      <c r="C1090" s="193">
        <f>ROUND((D1056+B1090*D1057+B1090*(D1060+D1061+D1062+D1063+D1064+D1065+D1066+D1067))*(1+D1069),2)</f>
        <v>209.32</v>
      </c>
      <c r="D1090" s="193">
        <f t="shared" si="162"/>
        <v>229.69</v>
      </c>
      <c r="E1090" s="194">
        <f t="shared" si="163"/>
        <v>0.29902857142857142</v>
      </c>
      <c r="F1090" s="194">
        <f t="shared" si="164"/>
        <v>0.32812857142857144</v>
      </c>
      <c r="G1090" s="193">
        <f t="shared" si="159"/>
        <v>20.370000000000005</v>
      </c>
      <c r="H1090" s="195">
        <f t="shared" si="160"/>
        <v>9.7299999999999998E-2</v>
      </c>
      <c r="J1090" s="207"/>
      <c r="L1090" s="197"/>
    </row>
    <row r="1091" spans="2:12" x14ac:dyDescent="0.25">
      <c r="B1091" s="176">
        <f t="shared" si="161"/>
        <v>750</v>
      </c>
      <c r="C1091" s="193">
        <f>ROUND((D1056+B1091*D1057+B1091*(D1060+D1061+D1062+D1063+D1064+D1065+D1066+D1067))*(1+D1069),2)</f>
        <v>219.58</v>
      </c>
      <c r="D1091" s="193">
        <f t="shared" si="162"/>
        <v>239.07</v>
      </c>
      <c r="E1091" s="194">
        <f t="shared" si="163"/>
        <v>0.29277333333333333</v>
      </c>
      <c r="F1091" s="194">
        <f t="shared" si="164"/>
        <v>0.31875999999999999</v>
      </c>
      <c r="G1091" s="193">
        <f t="shared" si="159"/>
        <v>19.489999999999981</v>
      </c>
      <c r="H1091" s="195">
        <f t="shared" si="160"/>
        <v>8.8800000000000004E-2</v>
      </c>
      <c r="J1091" s="207"/>
      <c r="L1091" s="197"/>
    </row>
    <row r="1092" spans="2:12" x14ac:dyDescent="0.25">
      <c r="B1092" s="176">
        <f t="shared" si="161"/>
        <v>800</v>
      </c>
      <c r="C1092" s="193">
        <f>ROUND((D1056+B1092*D1057+B1092*(D1060+D1061+D1062+D1063+D1064+D1065+D1066+D1067))*(1+D1069),2)</f>
        <v>229.85</v>
      </c>
      <c r="D1092" s="193">
        <f t="shared" si="162"/>
        <v>248.44</v>
      </c>
      <c r="E1092" s="194">
        <f t="shared" si="163"/>
        <v>0.28731249999999997</v>
      </c>
      <c r="F1092" s="194">
        <f t="shared" si="164"/>
        <v>0.31054999999999999</v>
      </c>
      <c r="G1092" s="193">
        <f t="shared" si="159"/>
        <v>18.590000000000003</v>
      </c>
      <c r="H1092" s="195">
        <f t="shared" si="160"/>
        <v>8.09E-2</v>
      </c>
      <c r="J1092" s="207"/>
      <c r="L1092" s="197"/>
    </row>
    <row r="1093" spans="2:12" x14ac:dyDescent="0.25">
      <c r="B1093" s="176">
        <f t="shared" si="161"/>
        <v>850</v>
      </c>
      <c r="C1093" s="193">
        <f>ROUND((D1056+B1093*D1057+B1093*(D1060+D1061+D1062+D1063+D1064+D1065+D1066+D1067))*(1+D1069),2)</f>
        <v>240.11</v>
      </c>
      <c r="D1093" s="193">
        <f t="shared" si="162"/>
        <v>257.81</v>
      </c>
      <c r="E1093" s="194">
        <f t="shared" si="163"/>
        <v>0.28248235294117646</v>
      </c>
      <c r="F1093" s="194">
        <f t="shared" si="164"/>
        <v>0.3033058823529412</v>
      </c>
      <c r="G1093" s="193">
        <f t="shared" si="159"/>
        <v>17.699999999999989</v>
      </c>
      <c r="H1093" s="195">
        <f t="shared" si="160"/>
        <v>7.3700000000000002E-2</v>
      </c>
      <c r="J1093" s="207"/>
      <c r="L1093" s="197"/>
    </row>
    <row r="1094" spans="2:12" x14ac:dyDescent="0.25">
      <c r="B1094" s="176">
        <f t="shared" si="161"/>
        <v>900</v>
      </c>
      <c r="C1094" s="193">
        <f>ROUND((D1056+B1094*D1057+B1094*(D1060+D1061+D1062+D1063+D1064+D1065+D1066+D1067))*(1+D1069),2)</f>
        <v>250.38</v>
      </c>
      <c r="D1094" s="193">
        <f t="shared" si="162"/>
        <v>267.18</v>
      </c>
      <c r="E1094" s="194">
        <f t="shared" si="163"/>
        <v>0.2782</v>
      </c>
      <c r="F1094" s="194">
        <f t="shared" si="164"/>
        <v>0.29686666666666667</v>
      </c>
      <c r="G1094" s="193">
        <f t="shared" si="159"/>
        <v>16.800000000000011</v>
      </c>
      <c r="H1094" s="195">
        <f t="shared" si="160"/>
        <v>6.7100000000000007E-2</v>
      </c>
      <c r="J1094" s="207"/>
      <c r="L1094" s="197"/>
    </row>
    <row r="1095" spans="2:12" x14ac:dyDescent="0.25">
      <c r="B1095" s="176">
        <f t="shared" si="161"/>
        <v>950</v>
      </c>
      <c r="C1095" s="193">
        <f>ROUND((D1056+B1095*D1057+B1095*(D1060+D1061+D1062+D1063+D1064+D1065+D1066+D1067))*(1+D1069),2)</f>
        <v>260.64</v>
      </c>
      <c r="D1095" s="193">
        <f t="shared" si="162"/>
        <v>276.55</v>
      </c>
      <c r="E1095" s="194">
        <f t="shared" si="163"/>
        <v>0.27435789473684208</v>
      </c>
      <c r="F1095" s="194">
        <f t="shared" si="164"/>
        <v>0.29110526315789476</v>
      </c>
      <c r="G1095" s="193">
        <f t="shared" si="159"/>
        <v>15.910000000000025</v>
      </c>
      <c r="H1095" s="195">
        <f t="shared" si="160"/>
        <v>6.0999999999999999E-2</v>
      </c>
      <c r="J1095" s="207"/>
      <c r="L1095" s="197"/>
    </row>
    <row r="1096" spans="2:12" x14ac:dyDescent="0.25">
      <c r="B1096" s="176">
        <f t="shared" si="161"/>
        <v>1000</v>
      </c>
      <c r="C1096" s="193">
        <f>ROUND((D1056+B1096*D1057+B1096*(D1060+D1061+D1062+D1063+D1064+D1065+D1066+D1067))*(1+D1069),2)</f>
        <v>270.91000000000003</v>
      </c>
      <c r="D1096" s="193">
        <f t="shared" si="162"/>
        <v>285.92</v>
      </c>
      <c r="E1096" s="194">
        <f t="shared" si="163"/>
        <v>0.27091000000000004</v>
      </c>
      <c r="F1096" s="194">
        <f t="shared" si="164"/>
        <v>0.28592000000000001</v>
      </c>
      <c r="G1096" s="193">
        <f t="shared" si="159"/>
        <v>15.009999999999991</v>
      </c>
      <c r="H1096" s="195">
        <f t="shared" si="160"/>
        <v>5.5399999999999998E-2</v>
      </c>
      <c r="J1096" s="207"/>
      <c r="L1096" s="197"/>
    </row>
    <row r="1097" spans="2:12" x14ac:dyDescent="0.25">
      <c r="B1097" s="176">
        <f t="shared" si="161"/>
        <v>1050</v>
      </c>
      <c r="C1097" s="193">
        <f>ROUND((D1056+B1097*D1057+B1097*(D1060+D1061+D1062+D1063+D1064+D1065+D1066+D1067))*(1+D1069),2)</f>
        <v>281.18</v>
      </c>
      <c r="D1097" s="193">
        <f t="shared" si="162"/>
        <v>295.29000000000002</v>
      </c>
      <c r="E1097" s="194">
        <f t="shared" si="163"/>
        <v>0.26779047619047619</v>
      </c>
      <c r="F1097" s="194">
        <f t="shared" si="164"/>
        <v>0.28122857142857144</v>
      </c>
      <c r="G1097" s="193">
        <f t="shared" si="159"/>
        <v>14.110000000000014</v>
      </c>
      <c r="H1097" s="195">
        <f t="shared" si="160"/>
        <v>5.0200000000000002E-2</v>
      </c>
      <c r="J1097" s="207"/>
      <c r="L1097" s="197"/>
    </row>
    <row r="1098" spans="2:12" x14ac:dyDescent="0.25">
      <c r="B1098" s="176">
        <f t="shared" si="161"/>
        <v>1100</v>
      </c>
      <c r="C1098" s="193">
        <f>ROUND((D1056+B1098*D1057+B1098*(D1060+D1061+D1062+D1063+D1064+D1065+D1066+D1067))*(1+D1069),2)</f>
        <v>291.44</v>
      </c>
      <c r="D1098" s="193">
        <f t="shared" si="162"/>
        <v>304.66000000000003</v>
      </c>
      <c r="E1098" s="194">
        <f t="shared" si="163"/>
        <v>0.26494545454545454</v>
      </c>
      <c r="F1098" s="194">
        <f t="shared" si="164"/>
        <v>0.27696363636363641</v>
      </c>
      <c r="G1098" s="193">
        <f t="shared" si="159"/>
        <v>13.220000000000027</v>
      </c>
      <c r="H1098" s="195">
        <f t="shared" si="160"/>
        <v>4.5400000000000003E-2</v>
      </c>
      <c r="J1098" s="207"/>
      <c r="L1098" s="197"/>
    </row>
    <row r="1099" spans="2:12" x14ac:dyDescent="0.25">
      <c r="B1099" s="176">
        <f>B1033</f>
        <v>1150</v>
      </c>
      <c r="C1099" s="193">
        <f>ROUND((D1056+B1099*D1057+B1099*(D1060+D1061+D1062+D1063+D1064+D1065+D1066+D1067))*(1+D1069),2)</f>
        <v>301.70999999999998</v>
      </c>
      <c r="D1099" s="193">
        <f t="shared" si="162"/>
        <v>314.02999999999997</v>
      </c>
      <c r="E1099" s="194">
        <f t="shared" si="163"/>
        <v>0.26235652173913043</v>
      </c>
      <c r="F1099" s="194">
        <f t="shared" si="164"/>
        <v>0.27306956521739129</v>
      </c>
      <c r="G1099" s="193">
        <f t="shared" si="159"/>
        <v>12.319999999999993</v>
      </c>
      <c r="H1099" s="195">
        <f t="shared" si="160"/>
        <v>4.0800000000000003E-2</v>
      </c>
      <c r="J1099" s="207"/>
      <c r="L1099" s="197"/>
    </row>
    <row r="1100" spans="2:12" x14ac:dyDescent="0.25">
      <c r="B1100" s="176">
        <f t="shared" si="161"/>
        <v>1200</v>
      </c>
      <c r="C1100" s="193">
        <f>ROUND((D1056+B1100*D1057+B1100*(D1060+D1061+D1062+D1063+D1064+D1065+D1066+D1067))*(1+D1069),2)</f>
        <v>311.97000000000003</v>
      </c>
      <c r="D1100" s="193">
        <f t="shared" si="162"/>
        <v>323.39999999999998</v>
      </c>
      <c r="E1100" s="194">
        <f t="shared" si="163"/>
        <v>0.25997500000000001</v>
      </c>
      <c r="F1100" s="194">
        <f t="shared" si="164"/>
        <v>0.26949999999999996</v>
      </c>
      <c r="G1100" s="193">
        <f t="shared" si="159"/>
        <v>11.42999999999995</v>
      </c>
      <c r="H1100" s="195">
        <f t="shared" si="160"/>
        <v>3.6600000000000001E-2</v>
      </c>
      <c r="J1100" s="207"/>
      <c r="L1100" s="197"/>
    </row>
    <row r="1101" spans="2:12" x14ac:dyDescent="0.25">
      <c r="B1101" s="176">
        <f t="shared" si="161"/>
        <v>1250</v>
      </c>
      <c r="C1101" s="193">
        <f>ROUND((D1056+B1101*D1057+B1101*(D1060+D1061+D1062+D1063+D1064+D1065+D1066+D1067))*(1+D1069),2)</f>
        <v>322.24</v>
      </c>
      <c r="D1101" s="193">
        <f t="shared" si="162"/>
        <v>332.78</v>
      </c>
      <c r="E1101" s="194">
        <f t="shared" si="163"/>
        <v>0.25779200000000002</v>
      </c>
      <c r="F1101" s="194">
        <f t="shared" si="164"/>
        <v>0.26622399999999996</v>
      </c>
      <c r="G1101" s="193">
        <f t="shared" si="159"/>
        <v>10.539999999999964</v>
      </c>
      <c r="H1101" s="195">
        <f t="shared" si="160"/>
        <v>3.27E-2</v>
      </c>
      <c r="J1101" s="207"/>
      <c r="L1101" s="197"/>
    </row>
    <row r="1102" spans="2:12" x14ac:dyDescent="0.25">
      <c r="B1102" s="176">
        <f t="shared" si="161"/>
        <v>1300</v>
      </c>
      <c r="C1102" s="193">
        <f>ROUND((D1056+B1102*D1057+B1102*(D1060+D1061+D1062+D1063+D1064+D1065+D1066+D1067))*(1+D1069),2)</f>
        <v>332.5</v>
      </c>
      <c r="D1102" s="193">
        <f t="shared" si="162"/>
        <v>342.15</v>
      </c>
      <c r="E1102" s="194">
        <f t="shared" si="163"/>
        <v>0.25576923076923075</v>
      </c>
      <c r="F1102" s="194">
        <f t="shared" si="164"/>
        <v>0.26319230769230767</v>
      </c>
      <c r="G1102" s="193">
        <f t="shared" si="159"/>
        <v>9.6499999999999773</v>
      </c>
      <c r="H1102" s="195">
        <f t="shared" si="160"/>
        <v>2.9000000000000001E-2</v>
      </c>
      <c r="J1102" s="207"/>
      <c r="L1102" s="197"/>
    </row>
    <row r="1103" spans="2:12" x14ac:dyDescent="0.25">
      <c r="B1103" s="176">
        <f t="shared" si="161"/>
        <v>1350</v>
      </c>
      <c r="C1103" s="193">
        <f>ROUND((D1056+B1103*D1057+B1103*(D1060+D1061+D1062+D1063+D1064+D1065+D1066+D1067))*(1+D1069),2)</f>
        <v>342.77</v>
      </c>
      <c r="D1103" s="193">
        <f t="shared" si="162"/>
        <v>351.52</v>
      </c>
      <c r="E1103" s="194">
        <f t="shared" si="163"/>
        <v>0.25390370370370369</v>
      </c>
      <c r="F1103" s="194">
        <f t="shared" si="164"/>
        <v>0.26038518518518516</v>
      </c>
      <c r="G1103" s="193">
        <f t="shared" si="159"/>
        <v>8.75</v>
      </c>
      <c r="H1103" s="195">
        <f t="shared" si="160"/>
        <v>2.5499999999999998E-2</v>
      </c>
      <c r="J1103" s="207"/>
      <c r="L1103" s="197"/>
    </row>
    <row r="1104" spans="2:12" x14ac:dyDescent="0.25">
      <c r="B1104" s="176">
        <f t="shared" si="161"/>
        <v>1400</v>
      </c>
      <c r="C1104" s="193">
        <f>ROUND((D1056+B1104*D1057+B1104*(D1060+D1061+D1062+D1063+D1064+D1065+D1066+D1067))*(1+D1069),2)</f>
        <v>353.03</v>
      </c>
      <c r="D1104" s="193">
        <f t="shared" si="162"/>
        <v>360.89</v>
      </c>
      <c r="E1104" s="194">
        <f t="shared" si="163"/>
        <v>0.25216428571428567</v>
      </c>
      <c r="F1104" s="194">
        <f t="shared" si="164"/>
        <v>0.25777857142857141</v>
      </c>
      <c r="G1104" s="193">
        <f t="shared" si="159"/>
        <v>7.8600000000000136</v>
      </c>
      <c r="H1104" s="195">
        <f t="shared" si="160"/>
        <v>2.23E-2</v>
      </c>
      <c r="J1104" s="207"/>
      <c r="L1104" s="197"/>
    </row>
    <row r="1105" spans="1:12" x14ac:dyDescent="0.25">
      <c r="B1105" s="176">
        <f t="shared" si="161"/>
        <v>1450</v>
      </c>
      <c r="C1105" s="231">
        <f>ROUND((D1056+B1105*D1057+B1105*(D1060+D1061+D1062+D1063+D1064+D1065+D1066+D1067))*(1+D1069),2)</f>
        <v>363.3</v>
      </c>
      <c r="D1105" s="231">
        <f t="shared" si="162"/>
        <v>370.26</v>
      </c>
      <c r="E1105" s="194">
        <f t="shared" si="163"/>
        <v>0.25055172413793103</v>
      </c>
      <c r="F1105" s="194">
        <f t="shared" si="164"/>
        <v>0.255351724137931</v>
      </c>
      <c r="G1105" s="231">
        <f t="shared" si="159"/>
        <v>6.9599999999999795</v>
      </c>
      <c r="H1105" s="232">
        <f t="shared" si="160"/>
        <v>1.9199999999999998E-2</v>
      </c>
      <c r="J1105" s="207"/>
      <c r="L1105" s="197"/>
    </row>
    <row r="1106" spans="1:12" x14ac:dyDescent="0.25">
      <c r="B1106" s="176">
        <f t="shared" si="161"/>
        <v>1500</v>
      </c>
      <c r="C1106" s="231">
        <f>ROUND((D1056+B1106*D1057+B1106*(D1060+D1061+D1062+D1063+D1064+D1065+D1066+D1067))*(1+D1069),2)</f>
        <v>373.57</v>
      </c>
      <c r="D1106" s="231">
        <f t="shared" si="162"/>
        <v>379.63</v>
      </c>
      <c r="E1106" s="194">
        <f t="shared" si="163"/>
        <v>0.24904666666666667</v>
      </c>
      <c r="F1106" s="194">
        <f t="shared" si="164"/>
        <v>0.25308666666666668</v>
      </c>
      <c r="G1106" s="231">
        <f t="shared" si="159"/>
        <v>6.0600000000000023</v>
      </c>
      <c r="H1106" s="232">
        <f t="shared" si="160"/>
        <v>1.6199999999999999E-2</v>
      </c>
      <c r="J1106" s="207"/>
      <c r="L1106" s="197"/>
    </row>
    <row r="1107" spans="1:12" x14ac:dyDescent="0.25">
      <c r="C1107" s="193"/>
      <c r="D1107" s="193"/>
      <c r="E1107" s="194"/>
      <c r="F1107" s="194"/>
      <c r="G1107" s="193"/>
      <c r="H1107" s="195"/>
      <c r="J1107" s="207"/>
      <c r="L1107" s="197"/>
    </row>
    <row r="1108" spans="1:12" hidden="1" x14ac:dyDescent="0.25">
      <c r="C1108" s="193"/>
      <c r="D1108" s="193"/>
      <c r="E1108" s="194"/>
      <c r="F1108" s="194"/>
      <c r="G1108" s="193"/>
      <c r="H1108" s="195"/>
      <c r="J1108" s="207"/>
      <c r="L1108" s="197"/>
    </row>
    <row r="1109" spans="1:12" hidden="1" x14ac:dyDescent="0.25">
      <c r="C1109" s="193"/>
      <c r="D1109" s="193"/>
      <c r="E1109" s="194"/>
      <c r="F1109" s="194"/>
      <c r="G1109" s="193"/>
      <c r="H1109" s="195"/>
      <c r="J1109" s="207"/>
      <c r="L1109" s="197"/>
    </row>
    <row r="1110" spans="1:12" hidden="1" x14ac:dyDescent="0.25">
      <c r="C1110" s="193"/>
      <c r="D1110" s="193"/>
      <c r="E1110" s="194"/>
      <c r="F1110" s="194"/>
      <c r="G1110" s="193"/>
      <c r="H1110" s="195"/>
      <c r="J1110" s="207"/>
      <c r="L1110" s="197"/>
    </row>
    <row r="1111" spans="1:12" hidden="1" x14ac:dyDescent="0.25">
      <c r="C1111" s="193"/>
      <c r="D1111" s="193"/>
      <c r="E1111" s="194"/>
      <c r="F1111" s="194"/>
      <c r="G1111" s="193"/>
      <c r="H1111" s="195"/>
      <c r="J1111" s="207"/>
      <c r="L1111" s="197"/>
    </row>
    <row r="1112" spans="1:12" hidden="1" x14ac:dyDescent="0.25">
      <c r="C1112" s="193"/>
      <c r="D1112" s="193"/>
      <c r="E1112" s="194"/>
      <c r="F1112" s="194"/>
      <c r="G1112" s="193"/>
      <c r="H1112" s="195"/>
      <c r="J1112" s="207"/>
      <c r="L1112" s="197"/>
    </row>
    <row r="1113" spans="1:12" hidden="1" x14ac:dyDescent="0.25">
      <c r="A1113" s="180" t="s">
        <v>21</v>
      </c>
      <c r="B1113" s="179"/>
      <c r="C1113" s="179"/>
      <c r="D1113" s="179"/>
      <c r="E1113" s="179"/>
      <c r="F1113" s="179"/>
      <c r="G1113" s="179"/>
      <c r="H1113" s="179"/>
      <c r="I1113" s="180"/>
    </row>
    <row r="1114" spans="1:12" hidden="1" x14ac:dyDescent="0.25">
      <c r="A1114" s="180" t="s">
        <v>22</v>
      </c>
      <c r="B1114" s="179"/>
      <c r="C1114" s="179"/>
      <c r="D1114" s="179"/>
      <c r="E1114" s="179"/>
      <c r="F1114" s="179"/>
      <c r="G1114" s="179"/>
      <c r="H1114" s="179"/>
      <c r="I1114" s="180"/>
    </row>
    <row r="1115" spans="1:12" hidden="1" x14ac:dyDescent="0.25">
      <c r="A1115" s="180" t="s">
        <v>310</v>
      </c>
      <c r="B1115" s="179"/>
      <c r="C1115" s="179"/>
      <c r="D1115" s="179"/>
      <c r="E1115" s="179"/>
      <c r="F1115" s="179"/>
      <c r="G1115" s="179"/>
      <c r="H1115" s="179"/>
      <c r="I1115" s="180"/>
    </row>
    <row r="1116" spans="1:12" x14ac:dyDescent="0.25">
      <c r="A1116" s="599" t="s">
        <v>360</v>
      </c>
      <c r="B1116" s="179"/>
      <c r="C1116" s="179"/>
      <c r="D1116" s="179"/>
      <c r="E1116" s="179"/>
      <c r="F1116" s="179"/>
      <c r="G1116" s="179"/>
      <c r="H1116" s="179"/>
      <c r="I1116" s="180"/>
    </row>
    <row r="1117" spans="1:12" hidden="1" x14ac:dyDescent="0.25"/>
    <row r="1119" spans="1:12" x14ac:dyDescent="0.25">
      <c r="D1119" s="181" t="s">
        <v>311</v>
      </c>
      <c r="G1119" s="181" t="s">
        <v>312</v>
      </c>
    </row>
    <row r="1120" spans="1:12" x14ac:dyDescent="0.25">
      <c r="D1120" s="182" t="s">
        <v>313</v>
      </c>
      <c r="G1120" s="182" t="s">
        <v>313</v>
      </c>
    </row>
    <row r="1121" spans="1:10" x14ac:dyDescent="0.25">
      <c r="A1121" s="180" t="s">
        <v>314</v>
      </c>
      <c r="D1121" s="183">
        <v>65.599999999999994</v>
      </c>
      <c r="G1121" s="183">
        <f>VLOOKUP(J1121,'EXHIBIT JDT-3 IND'!D:N,7,FALSE)</f>
        <v>98.5</v>
      </c>
      <c r="J1121" s="177" t="s">
        <v>116</v>
      </c>
    </row>
    <row r="1122" spans="1:10" x14ac:dyDescent="0.25">
      <c r="A1122" s="180" t="s">
        <v>315</v>
      </c>
      <c r="C1122" s="184">
        <v>9999999999</v>
      </c>
      <c r="D1122" s="185">
        <v>0.21857000000000001</v>
      </c>
      <c r="G1122" s="185">
        <f>VLOOKUP(J1122,'EXHIBIT JDT-3 IND'!D:N,7,FALSE)/10</f>
        <v>0.18742</v>
      </c>
      <c r="J1122" s="177" t="s">
        <v>130</v>
      </c>
    </row>
    <row r="1123" spans="1:10" x14ac:dyDescent="0.25">
      <c r="C1123" s="184"/>
      <c r="D1123" s="185"/>
      <c r="G1123" s="185"/>
    </row>
    <row r="1124" spans="1:10" hidden="1" x14ac:dyDescent="0.25">
      <c r="C1124" s="184"/>
      <c r="D1124" s="185"/>
      <c r="G1124" s="185"/>
    </row>
    <row r="1125" spans="1:10" hidden="1" x14ac:dyDescent="0.25">
      <c r="A1125" s="180" t="s">
        <v>316</v>
      </c>
      <c r="D1125" s="185">
        <v>0</v>
      </c>
      <c r="E1125" s="186"/>
      <c r="F1125" s="186"/>
      <c r="G1125" s="185">
        <f>D1125</f>
        <v>0</v>
      </c>
      <c r="J1125" s="187" t="s">
        <v>370</v>
      </c>
    </row>
    <row r="1126" spans="1:10" hidden="1" x14ac:dyDescent="0.25">
      <c r="A1126" s="180" t="s">
        <v>152</v>
      </c>
      <c r="D1126" s="185">
        <v>0</v>
      </c>
      <c r="E1126" s="186"/>
      <c r="F1126" s="186"/>
      <c r="G1126" s="185">
        <f t="shared" ref="G1126:G1128" si="165">D1126</f>
        <v>0</v>
      </c>
      <c r="J1126" s="188" t="s">
        <v>370</v>
      </c>
    </row>
    <row r="1127" spans="1:10" hidden="1" x14ac:dyDescent="0.25">
      <c r="A1127" s="180" t="s">
        <v>318</v>
      </c>
      <c r="D1127" s="185">
        <v>0</v>
      </c>
      <c r="E1127" s="186"/>
      <c r="F1127" s="186"/>
      <c r="G1127" s="185">
        <f t="shared" si="165"/>
        <v>0</v>
      </c>
      <c r="J1127" s="187"/>
    </row>
    <row r="1128" spans="1:10" hidden="1" x14ac:dyDescent="0.25">
      <c r="A1128" s="180" t="s">
        <v>319</v>
      </c>
      <c r="D1128" s="185">
        <v>0</v>
      </c>
      <c r="E1128" s="186"/>
      <c r="F1128" s="186"/>
      <c r="G1128" s="185">
        <f t="shared" si="165"/>
        <v>0</v>
      </c>
      <c r="J1128" s="187"/>
    </row>
    <row r="1129" spans="1:10" hidden="1" x14ac:dyDescent="0.25">
      <c r="A1129" s="180" t="s">
        <v>320</v>
      </c>
      <c r="D1129" s="185">
        <v>0</v>
      </c>
      <c r="E1129" s="186"/>
      <c r="F1129" s="186"/>
      <c r="G1129" s="185">
        <f>IFERROR(VLOOKUP(J1129,'EXHIBIT JDT-3 IND'!D:N,7,FALSE)/10,0)</f>
        <v>0</v>
      </c>
      <c r="J1129" s="187"/>
    </row>
    <row r="1130" spans="1:10" hidden="1" x14ac:dyDescent="0.25">
      <c r="A1130" s="180" t="s">
        <v>341</v>
      </c>
      <c r="D1130" s="185">
        <v>0</v>
      </c>
      <c r="E1130" s="186"/>
      <c r="F1130" s="186"/>
      <c r="G1130" s="185">
        <f>IFERROR(VLOOKUP(J1130,'EXHIBIT JDT-3 IND'!D:N,7,FALSE)/10,0)</f>
        <v>0</v>
      </c>
      <c r="J1130" s="187"/>
    </row>
    <row r="1131" spans="1:10" hidden="1" x14ac:dyDescent="0.25">
      <c r="A1131" s="180" t="s">
        <v>342</v>
      </c>
      <c r="D1131" s="185">
        <v>0</v>
      </c>
      <c r="E1131" s="186"/>
      <c r="F1131" s="186"/>
      <c r="G1131" s="185">
        <v>0</v>
      </c>
      <c r="J1131" s="188" t="s">
        <v>370</v>
      </c>
    </row>
    <row r="1132" spans="1:10" hidden="1" x14ac:dyDescent="0.25">
      <c r="A1132" s="180" t="s">
        <v>343</v>
      </c>
      <c r="D1132" s="185">
        <v>0</v>
      </c>
      <c r="E1132" s="186"/>
      <c r="F1132" s="186"/>
      <c r="G1132" s="185">
        <v>0</v>
      </c>
      <c r="J1132" s="188" t="s">
        <v>370</v>
      </c>
    </row>
    <row r="1133" spans="1:10" hidden="1" x14ac:dyDescent="0.25">
      <c r="E1133" s="186"/>
      <c r="F1133" s="186"/>
      <c r="G1133" s="186"/>
    </row>
    <row r="1134" spans="1:10" hidden="1" x14ac:dyDescent="0.25">
      <c r="A1134" s="180" t="s">
        <v>321</v>
      </c>
      <c r="D1134" s="189">
        <v>0</v>
      </c>
      <c r="G1134" s="189">
        <v>0</v>
      </c>
    </row>
    <row r="1135" spans="1:10" hidden="1" x14ac:dyDescent="0.25"/>
    <row r="1136" spans="1:10" hidden="1" x14ac:dyDescent="0.25"/>
    <row r="1137" spans="2:12" x14ac:dyDescent="0.25">
      <c r="G1137" s="190" t="s">
        <v>322</v>
      </c>
      <c r="H1137" s="190"/>
    </row>
    <row r="1138" spans="2:12" x14ac:dyDescent="0.25">
      <c r="B1138" s="176" t="s">
        <v>323</v>
      </c>
      <c r="C1138" s="181" t="s">
        <v>311</v>
      </c>
      <c r="D1138" s="181" t="s">
        <v>312</v>
      </c>
      <c r="E1138" s="181" t="s">
        <v>311</v>
      </c>
      <c r="F1138" s="181" t="s">
        <v>312</v>
      </c>
      <c r="G1138" s="181" t="s">
        <v>324</v>
      </c>
      <c r="H1138" s="181" t="s">
        <v>325</v>
      </c>
      <c r="J1138" s="191"/>
    </row>
    <row r="1139" spans="2:12" x14ac:dyDescent="0.25">
      <c r="C1139" s="192" t="s">
        <v>326</v>
      </c>
      <c r="D1139" s="192" t="s">
        <v>327</v>
      </c>
      <c r="E1139" s="181" t="s">
        <v>328</v>
      </c>
      <c r="F1139" s="181" t="s">
        <v>328</v>
      </c>
      <c r="G1139" s="192" t="s">
        <v>329</v>
      </c>
      <c r="J1139" s="191"/>
    </row>
    <row r="1140" spans="2:12" x14ac:dyDescent="0.25">
      <c r="B1140" s="176" t="s">
        <v>330</v>
      </c>
      <c r="J1140" s="191"/>
    </row>
    <row r="1141" spans="2:12" x14ac:dyDescent="0.25">
      <c r="B1141" s="176">
        <f>B1076</f>
        <v>0</v>
      </c>
      <c r="C1141" s="193">
        <f>ROUND((D1121+B1141*D1122+B1141*(D1125+D1126+D1127+D1128+D1129+D1130+D1131+D1132))*(1+D1134),2)</f>
        <v>65.599999999999994</v>
      </c>
      <c r="D1141" s="193">
        <f>ROUND(($G$1121+(SUM($G$1122:$G$1132)*B1141))*(1+$G$1134),2)</f>
        <v>98.5</v>
      </c>
      <c r="E1141" s="194"/>
      <c r="F1141" s="194"/>
      <c r="G1141" s="193">
        <f t="shared" ref="G1141:G1171" si="166">D1141-C1141</f>
        <v>32.900000000000006</v>
      </c>
      <c r="H1141" s="195">
        <f t="shared" ref="H1141:H1171" si="167">ROUND(G1141/C1141,4)</f>
        <v>0.50149999999999995</v>
      </c>
      <c r="J1141" s="207"/>
      <c r="L1141" s="197"/>
    </row>
    <row r="1142" spans="2:12" x14ac:dyDescent="0.25">
      <c r="B1142" s="176">
        <f t="shared" ref="B1142:B1171" si="168">B1077</f>
        <v>50</v>
      </c>
      <c r="C1142" s="193">
        <f>ROUND((D1121+B1142*D1122+B1142*(D1125+D1126+D1127+D1128+D1129+D1130+D1131+D1132))*(1+D1134),2)</f>
        <v>76.53</v>
      </c>
      <c r="D1142" s="193">
        <f t="shared" ref="D1142:D1171" si="169">ROUND(($G$1121+(SUM($G$1122:$G$1132)*B1142))*(1+$G$1134),2)</f>
        <v>107.87</v>
      </c>
      <c r="E1142" s="194">
        <f t="shared" ref="E1142:E1171" si="170">+C1142/B1142</f>
        <v>1.5306</v>
      </c>
      <c r="F1142" s="194">
        <f t="shared" ref="F1142:F1171" si="171">+D1142/B1142</f>
        <v>2.1574</v>
      </c>
      <c r="G1142" s="193">
        <f t="shared" si="166"/>
        <v>31.340000000000003</v>
      </c>
      <c r="H1142" s="195">
        <f t="shared" si="167"/>
        <v>0.40949999999999998</v>
      </c>
      <c r="J1142" s="207"/>
      <c r="L1142" s="197"/>
    </row>
    <row r="1143" spans="2:12" x14ac:dyDescent="0.25">
      <c r="B1143" s="176">
        <f t="shared" si="168"/>
        <v>100</v>
      </c>
      <c r="C1143" s="193">
        <f>ROUND((D1121+B1143*D1122+B1143*(D1125+D1126+D1127+D1128+D1129+D1130+D1131+D1132))*(1+D1134),2)</f>
        <v>87.46</v>
      </c>
      <c r="D1143" s="193">
        <f t="shared" si="169"/>
        <v>117.24</v>
      </c>
      <c r="E1143" s="194">
        <f t="shared" si="170"/>
        <v>0.87459999999999993</v>
      </c>
      <c r="F1143" s="194">
        <f t="shared" si="171"/>
        <v>1.1723999999999999</v>
      </c>
      <c r="G1143" s="193">
        <f t="shared" si="166"/>
        <v>29.78</v>
      </c>
      <c r="H1143" s="195">
        <f t="shared" si="167"/>
        <v>0.34050000000000002</v>
      </c>
      <c r="J1143" s="207"/>
      <c r="L1143" s="197"/>
    </row>
    <row r="1144" spans="2:12" x14ac:dyDescent="0.25">
      <c r="B1144" s="176">
        <f t="shared" si="168"/>
        <v>150</v>
      </c>
      <c r="C1144" s="193">
        <f>ROUND((D1121+B1144*D1122+B1144*(D1125+D1126+D1127+D1128+D1129+D1130+D1131+D1132))*(1+D1134),2)</f>
        <v>98.39</v>
      </c>
      <c r="D1144" s="193">
        <f t="shared" si="169"/>
        <v>126.61</v>
      </c>
      <c r="E1144" s="194">
        <f t="shared" si="170"/>
        <v>0.65593333333333337</v>
      </c>
      <c r="F1144" s="194">
        <f t="shared" si="171"/>
        <v>0.84406666666666663</v>
      </c>
      <c r="G1144" s="193">
        <f t="shared" si="166"/>
        <v>28.22</v>
      </c>
      <c r="H1144" s="195">
        <f t="shared" si="167"/>
        <v>0.2868</v>
      </c>
      <c r="J1144" s="207"/>
      <c r="L1144" s="197"/>
    </row>
    <row r="1145" spans="2:12" x14ac:dyDescent="0.25">
      <c r="B1145" s="176">
        <f t="shared" si="168"/>
        <v>200</v>
      </c>
      <c r="C1145" s="193">
        <f>ROUND((D1121+B1145*D1122+B1145*(D1125+D1126+D1127+D1128+D1129+D1130+D1131+D1132))*(1+D1134),2)</f>
        <v>109.31</v>
      </c>
      <c r="D1145" s="193">
        <f t="shared" si="169"/>
        <v>135.97999999999999</v>
      </c>
      <c r="E1145" s="194">
        <f t="shared" si="170"/>
        <v>0.54654999999999998</v>
      </c>
      <c r="F1145" s="194">
        <f t="shared" si="171"/>
        <v>0.67989999999999995</v>
      </c>
      <c r="G1145" s="193">
        <f t="shared" si="166"/>
        <v>26.669999999999987</v>
      </c>
      <c r="H1145" s="195">
        <f t="shared" si="167"/>
        <v>0.24399999999999999</v>
      </c>
      <c r="J1145" s="207"/>
      <c r="L1145" s="197"/>
    </row>
    <row r="1146" spans="2:12" x14ac:dyDescent="0.25">
      <c r="B1146" s="176">
        <f t="shared" si="168"/>
        <v>250</v>
      </c>
      <c r="C1146" s="193">
        <f>ROUND((D1121+B1146*D1122+B1146*(D1125+D1126+D1127+D1128+D1129+D1130+D1131+D1132))*(1+D1134),2)</f>
        <v>120.24</v>
      </c>
      <c r="D1146" s="193">
        <f t="shared" si="169"/>
        <v>145.36000000000001</v>
      </c>
      <c r="E1146" s="194">
        <f t="shared" si="170"/>
        <v>0.48096</v>
      </c>
      <c r="F1146" s="194">
        <f t="shared" si="171"/>
        <v>0.58144000000000007</v>
      </c>
      <c r="G1146" s="193">
        <f t="shared" si="166"/>
        <v>25.120000000000019</v>
      </c>
      <c r="H1146" s="195">
        <f t="shared" si="167"/>
        <v>0.2089</v>
      </c>
      <c r="J1146" s="207"/>
      <c r="L1146" s="197"/>
    </row>
    <row r="1147" spans="2:12" x14ac:dyDescent="0.25">
      <c r="B1147" s="176">
        <f t="shared" si="168"/>
        <v>300</v>
      </c>
      <c r="C1147" s="193">
        <f>ROUND((D1121+B1147*D1122+B1147*(D1125+D1126+D1127+D1128+D1129+D1130+D1131+D1132))*(1+D1134),2)</f>
        <v>131.16999999999999</v>
      </c>
      <c r="D1147" s="193">
        <f t="shared" si="169"/>
        <v>154.72999999999999</v>
      </c>
      <c r="E1147" s="194">
        <f t="shared" si="170"/>
        <v>0.43723333333333331</v>
      </c>
      <c r="F1147" s="194">
        <f t="shared" si="171"/>
        <v>0.5157666666666666</v>
      </c>
      <c r="G1147" s="193">
        <f t="shared" si="166"/>
        <v>23.560000000000002</v>
      </c>
      <c r="H1147" s="195">
        <f t="shared" si="167"/>
        <v>0.17960000000000001</v>
      </c>
      <c r="J1147" s="207"/>
      <c r="L1147" s="197"/>
    </row>
    <row r="1148" spans="2:12" x14ac:dyDescent="0.25">
      <c r="B1148" s="176">
        <f t="shared" si="168"/>
        <v>350</v>
      </c>
      <c r="C1148" s="193">
        <f>ROUND((D1121+B1148*D1122+B1148*(D1125+D1126+D1127+D1128+D1129+D1130+D1131+D1132))*(1+D1134),2)</f>
        <v>142.1</v>
      </c>
      <c r="D1148" s="193">
        <f t="shared" si="169"/>
        <v>164.1</v>
      </c>
      <c r="E1148" s="194">
        <f t="shared" si="170"/>
        <v>0.40599999999999997</v>
      </c>
      <c r="F1148" s="194">
        <f t="shared" si="171"/>
        <v>0.46885714285714286</v>
      </c>
      <c r="G1148" s="193">
        <f t="shared" si="166"/>
        <v>22</v>
      </c>
      <c r="H1148" s="195">
        <f t="shared" si="167"/>
        <v>0.15479999999999999</v>
      </c>
      <c r="J1148" s="207"/>
      <c r="L1148" s="197"/>
    </row>
    <row r="1149" spans="2:12" x14ac:dyDescent="0.25">
      <c r="B1149" s="176">
        <f t="shared" si="168"/>
        <v>400</v>
      </c>
      <c r="C1149" s="193">
        <f>ROUND((D1121+B1149*D1122+B1149*(D1125+D1126+D1127+D1128+D1129+D1130+D1131+D1132))*(1+D1134),2)</f>
        <v>153.03</v>
      </c>
      <c r="D1149" s="193">
        <f t="shared" si="169"/>
        <v>173.47</v>
      </c>
      <c r="E1149" s="194">
        <f t="shared" si="170"/>
        <v>0.382575</v>
      </c>
      <c r="F1149" s="194">
        <f t="shared" si="171"/>
        <v>0.43367499999999998</v>
      </c>
      <c r="G1149" s="193">
        <f t="shared" si="166"/>
        <v>20.439999999999998</v>
      </c>
      <c r="H1149" s="195">
        <f t="shared" si="167"/>
        <v>0.1336</v>
      </c>
      <c r="J1149" s="207"/>
      <c r="L1149" s="197"/>
    </row>
    <row r="1150" spans="2:12" x14ac:dyDescent="0.25">
      <c r="B1150" s="176">
        <f t="shared" si="168"/>
        <v>450</v>
      </c>
      <c r="C1150" s="193">
        <f>ROUND((D1121+B1150*D1122+B1150*(D1125+D1126+D1127+D1128+D1129+D1130+D1131+D1132))*(1+D1134),2)</f>
        <v>163.96</v>
      </c>
      <c r="D1150" s="193">
        <f t="shared" si="169"/>
        <v>182.84</v>
      </c>
      <c r="E1150" s="194">
        <f t="shared" si="170"/>
        <v>0.3643555555555556</v>
      </c>
      <c r="F1150" s="194">
        <f t="shared" si="171"/>
        <v>0.40631111111111112</v>
      </c>
      <c r="G1150" s="193">
        <f t="shared" si="166"/>
        <v>18.879999999999995</v>
      </c>
      <c r="H1150" s="195">
        <f t="shared" si="167"/>
        <v>0.1152</v>
      </c>
      <c r="J1150" s="207"/>
      <c r="L1150" s="197"/>
    </row>
    <row r="1151" spans="2:12" x14ac:dyDescent="0.25">
      <c r="B1151" s="176">
        <f t="shared" si="168"/>
        <v>500</v>
      </c>
      <c r="C1151" s="193">
        <f>ROUND((D1121+B1151*D1122+B1151*(D1125+D1126+D1127+D1128+D1129+D1130+D1131+D1132))*(1+D1134),2)</f>
        <v>174.89</v>
      </c>
      <c r="D1151" s="193">
        <f t="shared" si="169"/>
        <v>192.21</v>
      </c>
      <c r="E1151" s="194">
        <f t="shared" si="170"/>
        <v>0.34977999999999998</v>
      </c>
      <c r="F1151" s="194">
        <f t="shared" si="171"/>
        <v>0.38442000000000004</v>
      </c>
      <c r="G1151" s="193">
        <f t="shared" si="166"/>
        <v>17.320000000000022</v>
      </c>
      <c r="H1151" s="195">
        <f t="shared" si="167"/>
        <v>9.9000000000000005E-2</v>
      </c>
      <c r="J1151" s="207"/>
      <c r="L1151" s="197"/>
    </row>
    <row r="1152" spans="2:12" x14ac:dyDescent="0.25">
      <c r="B1152" s="176">
        <f t="shared" si="168"/>
        <v>550</v>
      </c>
      <c r="C1152" s="193">
        <f>ROUND((D1121+B1152*D1122+B1152*(D1125+D1126+D1127+D1128+D1129+D1130+D1131+D1132))*(1+D1134),2)</f>
        <v>185.81</v>
      </c>
      <c r="D1152" s="193">
        <f t="shared" si="169"/>
        <v>201.58</v>
      </c>
      <c r="E1152" s="194">
        <f t="shared" si="170"/>
        <v>0.33783636363636366</v>
      </c>
      <c r="F1152" s="194">
        <f t="shared" si="171"/>
        <v>0.36650909090909095</v>
      </c>
      <c r="G1152" s="193">
        <f t="shared" si="166"/>
        <v>15.77000000000001</v>
      </c>
      <c r="H1152" s="195">
        <f t="shared" si="167"/>
        <v>8.4900000000000003E-2</v>
      </c>
      <c r="J1152" s="207"/>
      <c r="L1152" s="197"/>
    </row>
    <row r="1153" spans="2:12" x14ac:dyDescent="0.25">
      <c r="B1153" s="176">
        <f t="shared" si="168"/>
        <v>600</v>
      </c>
      <c r="C1153" s="193">
        <f>ROUND((D1121+B1153*D1122+B1153*(D1125+D1126+D1127+D1128+D1129+D1130+D1131+D1132))*(1+D1134),2)</f>
        <v>196.74</v>
      </c>
      <c r="D1153" s="193">
        <f t="shared" si="169"/>
        <v>210.95</v>
      </c>
      <c r="E1153" s="194">
        <f t="shared" si="170"/>
        <v>0.32790000000000002</v>
      </c>
      <c r="F1153" s="194">
        <f t="shared" si="171"/>
        <v>0.3515833333333333</v>
      </c>
      <c r="G1153" s="193">
        <f t="shared" si="166"/>
        <v>14.20999999999998</v>
      </c>
      <c r="H1153" s="195">
        <f t="shared" si="167"/>
        <v>7.22E-2</v>
      </c>
      <c r="J1153" s="207"/>
      <c r="L1153" s="197"/>
    </row>
    <row r="1154" spans="2:12" x14ac:dyDescent="0.25">
      <c r="B1154" s="176">
        <f t="shared" si="168"/>
        <v>650</v>
      </c>
      <c r="C1154" s="193">
        <f>ROUND((D1121+B1154*D1122+B1154*(D1125+D1126+D1127+D1128+D1129+D1130+D1131+D1132))*(1+D1134),2)</f>
        <v>207.67</v>
      </c>
      <c r="D1154" s="193">
        <f t="shared" si="169"/>
        <v>220.32</v>
      </c>
      <c r="E1154" s="194">
        <f t="shared" si="170"/>
        <v>0.31949230769230769</v>
      </c>
      <c r="F1154" s="194">
        <f t="shared" si="171"/>
        <v>0.33895384615384616</v>
      </c>
      <c r="G1154" s="193">
        <f t="shared" si="166"/>
        <v>12.650000000000006</v>
      </c>
      <c r="H1154" s="195">
        <f t="shared" si="167"/>
        <v>6.0900000000000003E-2</v>
      </c>
      <c r="J1154" s="207"/>
      <c r="L1154" s="197"/>
    </row>
    <row r="1155" spans="2:12" x14ac:dyDescent="0.25">
      <c r="B1155" s="176">
        <f t="shared" si="168"/>
        <v>700</v>
      </c>
      <c r="C1155" s="193">
        <f>ROUND((D1121+B1155*D1122+B1155*(D1125+D1126+D1127+D1128+D1129+D1130+D1131+D1132))*(1+D1134),2)</f>
        <v>218.6</v>
      </c>
      <c r="D1155" s="193">
        <f t="shared" si="169"/>
        <v>229.69</v>
      </c>
      <c r="E1155" s="194">
        <f t="shared" si="170"/>
        <v>0.31228571428571428</v>
      </c>
      <c r="F1155" s="194">
        <f t="shared" si="171"/>
        <v>0.32812857142857144</v>
      </c>
      <c r="G1155" s="193">
        <f t="shared" si="166"/>
        <v>11.090000000000003</v>
      </c>
      <c r="H1155" s="195">
        <f t="shared" si="167"/>
        <v>5.0700000000000002E-2</v>
      </c>
      <c r="J1155" s="207"/>
      <c r="L1155" s="197"/>
    </row>
    <row r="1156" spans="2:12" x14ac:dyDescent="0.25">
      <c r="B1156" s="176">
        <f t="shared" si="168"/>
        <v>750</v>
      </c>
      <c r="C1156" s="193">
        <f>ROUND((D1121+B1156*D1122+B1156*(D1125+D1126+D1127+D1128+D1129+D1130+D1131+D1132))*(1+D1134),2)</f>
        <v>229.53</v>
      </c>
      <c r="D1156" s="193">
        <f t="shared" si="169"/>
        <v>239.07</v>
      </c>
      <c r="E1156" s="194">
        <f t="shared" si="170"/>
        <v>0.30603999999999998</v>
      </c>
      <c r="F1156" s="194">
        <f t="shared" si="171"/>
        <v>0.31875999999999999</v>
      </c>
      <c r="G1156" s="193">
        <f t="shared" si="166"/>
        <v>9.539999999999992</v>
      </c>
      <c r="H1156" s="195">
        <f t="shared" si="167"/>
        <v>4.1599999999999998E-2</v>
      </c>
      <c r="J1156" s="207"/>
      <c r="L1156" s="197"/>
    </row>
    <row r="1157" spans="2:12" x14ac:dyDescent="0.25">
      <c r="B1157" s="176">
        <f t="shared" si="168"/>
        <v>800</v>
      </c>
      <c r="C1157" s="193">
        <f>ROUND((D1121+B1157*D1122+B1157*(D1125+D1126+D1127+D1128+D1129+D1130+D1131+D1132))*(1+D1134),2)</f>
        <v>240.46</v>
      </c>
      <c r="D1157" s="193">
        <f t="shared" si="169"/>
        <v>248.44</v>
      </c>
      <c r="E1157" s="194">
        <f t="shared" si="170"/>
        <v>0.30057500000000004</v>
      </c>
      <c r="F1157" s="194">
        <f t="shared" si="171"/>
        <v>0.31054999999999999</v>
      </c>
      <c r="G1157" s="193">
        <f t="shared" si="166"/>
        <v>7.9799999999999898</v>
      </c>
      <c r="H1157" s="195">
        <f t="shared" si="167"/>
        <v>3.32E-2</v>
      </c>
      <c r="J1157" s="207"/>
      <c r="L1157" s="197"/>
    </row>
    <row r="1158" spans="2:12" x14ac:dyDescent="0.25">
      <c r="B1158" s="176">
        <f t="shared" si="168"/>
        <v>850</v>
      </c>
      <c r="C1158" s="193">
        <f>ROUND((D1121+B1158*D1122+B1158*(D1125+D1126+D1127+D1128+D1129+D1130+D1131+D1132))*(1+D1134),2)</f>
        <v>251.38</v>
      </c>
      <c r="D1158" s="193">
        <f t="shared" si="169"/>
        <v>257.81</v>
      </c>
      <c r="E1158" s="194">
        <f t="shared" si="170"/>
        <v>0.29574117647058823</v>
      </c>
      <c r="F1158" s="194">
        <f t="shared" si="171"/>
        <v>0.3033058823529412</v>
      </c>
      <c r="G1158" s="193">
        <f t="shared" si="166"/>
        <v>6.4300000000000068</v>
      </c>
      <c r="H1158" s="195">
        <f t="shared" si="167"/>
        <v>2.5600000000000001E-2</v>
      </c>
      <c r="J1158" s="207"/>
      <c r="L1158" s="197"/>
    </row>
    <row r="1159" spans="2:12" x14ac:dyDescent="0.25">
      <c r="B1159" s="176">
        <f t="shared" si="168"/>
        <v>900</v>
      </c>
      <c r="C1159" s="193">
        <f>ROUND((D1121+B1159*D1122+B1159*(D1125+D1126+D1127+D1128+D1129+D1130+D1131+D1132))*(1+D1134),2)</f>
        <v>262.31</v>
      </c>
      <c r="D1159" s="193">
        <f t="shared" si="169"/>
        <v>267.18</v>
      </c>
      <c r="E1159" s="194">
        <f t="shared" si="170"/>
        <v>0.29145555555555558</v>
      </c>
      <c r="F1159" s="194">
        <f t="shared" si="171"/>
        <v>0.29686666666666667</v>
      </c>
      <c r="G1159" s="193">
        <f t="shared" si="166"/>
        <v>4.8700000000000045</v>
      </c>
      <c r="H1159" s="195">
        <f t="shared" si="167"/>
        <v>1.8599999999999998E-2</v>
      </c>
      <c r="J1159" s="207"/>
      <c r="L1159" s="197"/>
    </row>
    <row r="1160" spans="2:12" x14ac:dyDescent="0.25">
      <c r="B1160" s="176">
        <f t="shared" si="168"/>
        <v>950</v>
      </c>
      <c r="C1160" s="193">
        <f>ROUND((D1121+B1160*D1122+B1160*(D1125+D1126+D1127+D1128+D1129+D1130+D1131+D1132))*(1+D1134),2)</f>
        <v>273.24</v>
      </c>
      <c r="D1160" s="193">
        <f t="shared" si="169"/>
        <v>276.55</v>
      </c>
      <c r="E1160" s="194">
        <f t="shared" si="170"/>
        <v>0.28762105263157894</v>
      </c>
      <c r="F1160" s="194">
        <f t="shared" si="171"/>
        <v>0.29110526315789476</v>
      </c>
      <c r="G1160" s="193">
        <f t="shared" si="166"/>
        <v>3.3100000000000023</v>
      </c>
      <c r="H1160" s="195">
        <f t="shared" si="167"/>
        <v>1.21E-2</v>
      </c>
      <c r="J1160" s="207"/>
      <c r="L1160" s="197"/>
    </row>
    <row r="1161" spans="2:12" x14ac:dyDescent="0.25">
      <c r="B1161" s="176">
        <f t="shared" si="168"/>
        <v>1000</v>
      </c>
      <c r="C1161" s="193">
        <f>ROUND((D1121+B1161*D1122+B1161*(D1125+D1126+D1127+D1128+D1129+D1130+D1131+D1132))*(1+D1134),2)</f>
        <v>284.17</v>
      </c>
      <c r="D1161" s="193">
        <f t="shared" si="169"/>
        <v>285.92</v>
      </c>
      <c r="E1161" s="194">
        <f t="shared" si="170"/>
        <v>0.28417000000000003</v>
      </c>
      <c r="F1161" s="194">
        <f t="shared" si="171"/>
        <v>0.28592000000000001</v>
      </c>
      <c r="G1161" s="193">
        <f t="shared" si="166"/>
        <v>1.75</v>
      </c>
      <c r="H1161" s="195">
        <f t="shared" si="167"/>
        <v>6.1999999999999998E-3</v>
      </c>
      <c r="J1161" s="207"/>
      <c r="L1161" s="197"/>
    </row>
    <row r="1162" spans="2:12" x14ac:dyDescent="0.25">
      <c r="B1162" s="176">
        <f t="shared" si="168"/>
        <v>1050</v>
      </c>
      <c r="C1162" s="193">
        <f>ROUND((D1121+B1162*D1122+B1162*(D1125+D1126+D1127+D1128+D1129+D1130+D1131+D1132))*(1+D1134),2)</f>
        <v>295.10000000000002</v>
      </c>
      <c r="D1162" s="193">
        <f t="shared" si="169"/>
        <v>295.29000000000002</v>
      </c>
      <c r="E1162" s="194">
        <f t="shared" si="170"/>
        <v>0.28104761904761905</v>
      </c>
      <c r="F1162" s="194">
        <f t="shared" si="171"/>
        <v>0.28122857142857144</v>
      </c>
      <c r="G1162" s="193">
        <f t="shared" si="166"/>
        <v>0.18999999999999773</v>
      </c>
      <c r="H1162" s="195">
        <f t="shared" si="167"/>
        <v>5.9999999999999995E-4</v>
      </c>
      <c r="J1162" s="207"/>
      <c r="L1162" s="197"/>
    </row>
    <row r="1163" spans="2:12" x14ac:dyDescent="0.25">
      <c r="B1163" s="176">
        <f t="shared" si="168"/>
        <v>1100</v>
      </c>
      <c r="C1163" s="193">
        <f>ROUND((D1121+B1163*D1122+B1163*(D1125+D1126+D1127+D1128+D1129+D1130+D1131+D1132))*(1+D1134),2)</f>
        <v>306.02999999999997</v>
      </c>
      <c r="D1163" s="193">
        <f t="shared" si="169"/>
        <v>304.66000000000003</v>
      </c>
      <c r="E1163" s="194">
        <f t="shared" si="170"/>
        <v>0.27820909090909091</v>
      </c>
      <c r="F1163" s="194">
        <f t="shared" si="171"/>
        <v>0.27696363636363641</v>
      </c>
      <c r="G1163" s="193">
        <f t="shared" si="166"/>
        <v>-1.3699999999999477</v>
      </c>
      <c r="H1163" s="195">
        <f t="shared" si="167"/>
        <v>-4.4999999999999997E-3</v>
      </c>
      <c r="J1163" s="207"/>
      <c r="L1163" s="197"/>
    </row>
    <row r="1164" spans="2:12" x14ac:dyDescent="0.25">
      <c r="B1164" s="176">
        <f t="shared" si="168"/>
        <v>1150</v>
      </c>
      <c r="C1164" s="193">
        <f>ROUND((D1121+B1164*D1122+B1164*(D1125+D1126+D1127+D1128+D1129+D1130+D1131+D1132))*(1+D1134),2)</f>
        <v>316.95999999999998</v>
      </c>
      <c r="D1164" s="193">
        <f t="shared" si="169"/>
        <v>314.02999999999997</v>
      </c>
      <c r="E1164" s="194">
        <f t="shared" si="170"/>
        <v>0.27561739130434781</v>
      </c>
      <c r="F1164" s="194">
        <f t="shared" si="171"/>
        <v>0.27306956521739129</v>
      </c>
      <c r="G1164" s="193">
        <f t="shared" si="166"/>
        <v>-2.9300000000000068</v>
      </c>
      <c r="H1164" s="195">
        <f t="shared" si="167"/>
        <v>-9.1999999999999998E-3</v>
      </c>
      <c r="J1164" s="207"/>
      <c r="L1164" s="197"/>
    </row>
    <row r="1165" spans="2:12" x14ac:dyDescent="0.25">
      <c r="B1165" s="176">
        <f t="shared" si="168"/>
        <v>1200</v>
      </c>
      <c r="C1165" s="193">
        <f>ROUND((D1121+B1165*D1122+B1165*(D1125+D1126+D1127+D1128+D1129+D1130+D1131+D1132))*(1+D1134),2)</f>
        <v>327.88</v>
      </c>
      <c r="D1165" s="193">
        <f t="shared" si="169"/>
        <v>323.39999999999998</v>
      </c>
      <c r="E1165" s="194">
        <f t="shared" si="170"/>
        <v>0.27323333333333333</v>
      </c>
      <c r="F1165" s="194">
        <f t="shared" si="171"/>
        <v>0.26949999999999996</v>
      </c>
      <c r="G1165" s="193">
        <f t="shared" si="166"/>
        <v>-4.4800000000000182</v>
      </c>
      <c r="H1165" s="195">
        <f t="shared" si="167"/>
        <v>-1.37E-2</v>
      </c>
      <c r="J1165" s="207"/>
      <c r="L1165" s="197"/>
    </row>
    <row r="1166" spans="2:12" x14ac:dyDescent="0.25">
      <c r="B1166" s="176">
        <f t="shared" si="168"/>
        <v>1250</v>
      </c>
      <c r="C1166" s="193">
        <f>ROUND((D1121+B1166*D1122+B1166*(D1125+D1126+D1127+D1128+D1129+D1130+D1131+D1132))*(1+D1134),2)</f>
        <v>338.81</v>
      </c>
      <c r="D1166" s="193">
        <f t="shared" si="169"/>
        <v>332.78</v>
      </c>
      <c r="E1166" s="194">
        <f t="shared" si="170"/>
        <v>0.27104800000000001</v>
      </c>
      <c r="F1166" s="194">
        <f t="shared" si="171"/>
        <v>0.26622399999999996</v>
      </c>
      <c r="G1166" s="193">
        <f t="shared" si="166"/>
        <v>-6.0300000000000296</v>
      </c>
      <c r="H1166" s="195">
        <f t="shared" si="167"/>
        <v>-1.78E-2</v>
      </c>
      <c r="J1166" s="207"/>
      <c r="L1166" s="197"/>
    </row>
    <row r="1167" spans="2:12" x14ac:dyDescent="0.25">
      <c r="B1167" s="176">
        <f t="shared" si="168"/>
        <v>1300</v>
      </c>
      <c r="C1167" s="193">
        <f>ROUND((D1121+B1167*D1122+B1167*(D1125+D1126+D1127+D1128+D1129+D1130+D1131+D1132))*(1+D1134),2)</f>
        <v>349.74</v>
      </c>
      <c r="D1167" s="193">
        <f t="shared" si="169"/>
        <v>342.15</v>
      </c>
      <c r="E1167" s="194">
        <f t="shared" si="170"/>
        <v>0.26903076923076924</v>
      </c>
      <c r="F1167" s="194">
        <f t="shared" si="171"/>
        <v>0.26319230769230767</v>
      </c>
      <c r="G1167" s="193">
        <f t="shared" si="166"/>
        <v>-7.5900000000000318</v>
      </c>
      <c r="H1167" s="195">
        <f t="shared" si="167"/>
        <v>-2.1700000000000001E-2</v>
      </c>
      <c r="J1167" s="207"/>
      <c r="L1167" s="197"/>
    </row>
    <row r="1168" spans="2:12" x14ac:dyDescent="0.25">
      <c r="B1168" s="176">
        <f t="shared" si="168"/>
        <v>1350</v>
      </c>
      <c r="C1168" s="193">
        <f>ROUND((D1121+B1168*D1122+B1168*(D1125+D1126+D1127+D1128+D1129+D1130+D1131+D1132))*(1+D1134),2)</f>
        <v>360.67</v>
      </c>
      <c r="D1168" s="193">
        <f t="shared" si="169"/>
        <v>351.52</v>
      </c>
      <c r="E1168" s="194">
        <f t="shared" si="170"/>
        <v>0.26716296296296299</v>
      </c>
      <c r="F1168" s="194">
        <f t="shared" si="171"/>
        <v>0.26038518518518516</v>
      </c>
      <c r="G1168" s="193">
        <f t="shared" si="166"/>
        <v>-9.1500000000000341</v>
      </c>
      <c r="H1168" s="195">
        <f t="shared" si="167"/>
        <v>-2.5399999999999999E-2</v>
      </c>
      <c r="J1168" s="207"/>
      <c r="L1168" s="197"/>
    </row>
    <row r="1169" spans="1:12" x14ac:dyDescent="0.25">
      <c r="B1169" s="176">
        <f t="shared" si="168"/>
        <v>1400</v>
      </c>
      <c r="C1169" s="193">
        <f>ROUND((D1121+B1169*D1122+B1169*(D1125+D1126+D1127+D1128+D1129+D1130+D1131+D1132))*(1+D1134),2)</f>
        <v>371.6</v>
      </c>
      <c r="D1169" s="193">
        <f t="shared" si="169"/>
        <v>360.89</v>
      </c>
      <c r="E1169" s="194">
        <f t="shared" si="170"/>
        <v>0.26542857142857146</v>
      </c>
      <c r="F1169" s="194">
        <f t="shared" si="171"/>
        <v>0.25777857142857141</v>
      </c>
      <c r="G1169" s="193">
        <f t="shared" si="166"/>
        <v>-10.710000000000036</v>
      </c>
      <c r="H1169" s="195">
        <f t="shared" si="167"/>
        <v>-2.8799999999999999E-2</v>
      </c>
      <c r="J1169" s="207"/>
      <c r="L1169" s="197"/>
    </row>
    <row r="1170" spans="1:12" x14ac:dyDescent="0.25">
      <c r="B1170" s="176">
        <f t="shared" si="168"/>
        <v>1450</v>
      </c>
      <c r="C1170" s="231">
        <f>ROUND((D1121+B1170*D1122+B1170*(D1125+D1126+D1127+D1128+D1129+D1130+D1131+D1132))*(1+D1134),2)</f>
        <v>382.53</v>
      </c>
      <c r="D1170" s="231">
        <f t="shared" si="169"/>
        <v>370.26</v>
      </c>
      <c r="E1170" s="194">
        <f t="shared" si="170"/>
        <v>0.26381379310344827</v>
      </c>
      <c r="F1170" s="194">
        <f t="shared" si="171"/>
        <v>0.255351724137931</v>
      </c>
      <c r="G1170" s="231">
        <f t="shared" si="166"/>
        <v>-12.269999999999982</v>
      </c>
      <c r="H1170" s="232">
        <f t="shared" si="167"/>
        <v>-3.2099999999999997E-2</v>
      </c>
      <c r="J1170" s="207"/>
      <c r="L1170" s="197"/>
    </row>
    <row r="1171" spans="1:12" x14ac:dyDescent="0.25">
      <c r="B1171" s="176">
        <f t="shared" si="168"/>
        <v>1500</v>
      </c>
      <c r="C1171" s="231">
        <f>ROUND((D1121+B1171*D1122+B1171*(D1125+D1126+D1127+D1128+D1129+D1130+D1131+D1132))*(1+D1134),2)</f>
        <v>393.46</v>
      </c>
      <c r="D1171" s="231">
        <f t="shared" si="169"/>
        <v>379.63</v>
      </c>
      <c r="E1171" s="194">
        <f t="shared" si="170"/>
        <v>0.26230666666666663</v>
      </c>
      <c r="F1171" s="194">
        <f t="shared" si="171"/>
        <v>0.25308666666666668</v>
      </c>
      <c r="G1171" s="231">
        <f t="shared" si="166"/>
        <v>-13.829999999999984</v>
      </c>
      <c r="H1171" s="232">
        <f t="shared" si="167"/>
        <v>-3.5099999999999999E-2</v>
      </c>
      <c r="J1171" s="207"/>
      <c r="L1171" s="197"/>
    </row>
    <row r="1172" spans="1:12" x14ac:dyDescent="0.25">
      <c r="C1172" s="193"/>
      <c r="D1172" s="193"/>
      <c r="E1172" s="194"/>
      <c r="F1172" s="194"/>
      <c r="G1172" s="193"/>
      <c r="H1172" s="195"/>
      <c r="J1172" s="207"/>
      <c r="L1172" s="197"/>
    </row>
    <row r="1173" spans="1:12" hidden="1" x14ac:dyDescent="0.25">
      <c r="C1173" s="193"/>
      <c r="D1173" s="193"/>
      <c r="E1173" s="194"/>
      <c r="F1173" s="194"/>
      <c r="G1173" s="193"/>
      <c r="H1173" s="195"/>
      <c r="J1173" s="207"/>
      <c r="L1173" s="197"/>
    </row>
    <row r="1174" spans="1:12" hidden="1" x14ac:dyDescent="0.25">
      <c r="C1174" s="193"/>
      <c r="D1174" s="193"/>
      <c r="E1174" s="194"/>
      <c r="F1174" s="194"/>
      <c r="G1174" s="193"/>
      <c r="H1174" s="195"/>
      <c r="J1174" s="207"/>
      <c r="L1174" s="197"/>
    </row>
    <row r="1175" spans="1:12" hidden="1" x14ac:dyDescent="0.25">
      <c r="C1175" s="193"/>
      <c r="D1175" s="193"/>
      <c r="E1175" s="194"/>
      <c r="F1175" s="194"/>
      <c r="G1175" s="193"/>
      <c r="H1175" s="195"/>
      <c r="J1175" s="207"/>
      <c r="L1175" s="197"/>
    </row>
    <row r="1176" spans="1:12" hidden="1" x14ac:dyDescent="0.25">
      <c r="C1176" s="193"/>
      <c r="D1176" s="193"/>
      <c r="E1176" s="194"/>
      <c r="F1176" s="194"/>
      <c r="G1176" s="193"/>
      <c r="H1176" s="195"/>
      <c r="J1176" s="207"/>
      <c r="L1176" s="197"/>
    </row>
    <row r="1177" spans="1:12" hidden="1" x14ac:dyDescent="0.25">
      <c r="C1177" s="193"/>
      <c r="D1177" s="193"/>
      <c r="E1177" s="194"/>
      <c r="F1177" s="194"/>
      <c r="G1177" s="193"/>
      <c r="H1177" s="195"/>
      <c r="J1177" s="207"/>
      <c r="L1177" s="197"/>
    </row>
    <row r="1178" spans="1:12" hidden="1" x14ac:dyDescent="0.25">
      <c r="A1178" s="180" t="s">
        <v>21</v>
      </c>
      <c r="B1178" s="179"/>
      <c r="C1178" s="179"/>
      <c r="D1178" s="179"/>
      <c r="E1178" s="179"/>
      <c r="F1178" s="179"/>
      <c r="G1178" s="179"/>
      <c r="H1178" s="179"/>
      <c r="I1178" s="180"/>
    </row>
    <row r="1179" spans="1:12" hidden="1" x14ac:dyDescent="0.25">
      <c r="A1179" s="180" t="s">
        <v>22</v>
      </c>
      <c r="B1179" s="179"/>
      <c r="C1179" s="179"/>
      <c r="D1179" s="179"/>
      <c r="E1179" s="179"/>
      <c r="F1179" s="179"/>
      <c r="G1179" s="179"/>
      <c r="H1179" s="179"/>
      <c r="I1179" s="180"/>
    </row>
    <row r="1180" spans="1:12" hidden="1" x14ac:dyDescent="0.25">
      <c r="A1180" s="180" t="s">
        <v>310</v>
      </c>
      <c r="B1180" s="179"/>
      <c r="C1180" s="179"/>
      <c r="D1180" s="179"/>
      <c r="E1180" s="179"/>
      <c r="F1180" s="179"/>
      <c r="G1180" s="179"/>
      <c r="H1180" s="179"/>
      <c r="I1180" s="180"/>
    </row>
    <row r="1181" spans="1:12" x14ac:dyDescent="0.25">
      <c r="A1181" s="599" t="s">
        <v>361</v>
      </c>
      <c r="B1181" s="179"/>
      <c r="C1181" s="179"/>
      <c r="D1181" s="179"/>
      <c r="E1181" s="179"/>
      <c r="F1181" s="179"/>
      <c r="G1181" s="179"/>
      <c r="H1181" s="179"/>
      <c r="I1181" s="180"/>
      <c r="J1181" s="177" t="s">
        <v>392</v>
      </c>
    </row>
    <row r="1182" spans="1:12" x14ac:dyDescent="0.25">
      <c r="E1182" s="194"/>
      <c r="F1182" s="194"/>
    </row>
    <row r="1183" spans="1:12" hidden="1" x14ac:dyDescent="0.25">
      <c r="E1183" s="194"/>
      <c r="F1183" s="194"/>
    </row>
    <row r="1184" spans="1:12" x14ac:dyDescent="0.25">
      <c r="D1184" s="181" t="s">
        <v>311</v>
      </c>
      <c r="E1184" s="194"/>
      <c r="F1184" s="194"/>
      <c r="G1184" s="181" t="s">
        <v>312</v>
      </c>
    </row>
    <row r="1185" spans="1:10" x14ac:dyDescent="0.25">
      <c r="D1185" s="182" t="s">
        <v>313</v>
      </c>
      <c r="E1185" s="194"/>
      <c r="F1185" s="194"/>
      <c r="G1185" s="182" t="s">
        <v>313</v>
      </c>
    </row>
    <row r="1186" spans="1:10" x14ac:dyDescent="0.25">
      <c r="A1186" s="180" t="s">
        <v>314</v>
      </c>
      <c r="D1186" s="183">
        <v>201.91</v>
      </c>
      <c r="E1186" s="194"/>
      <c r="F1186" s="194"/>
      <c r="G1186" s="183">
        <f>VLOOKUP(J1186,'EXHIBIT JDT-3 IND'!D:N,7,FALSE)</f>
        <v>303</v>
      </c>
      <c r="J1186" s="225" t="s">
        <v>118</v>
      </c>
    </row>
    <row r="1187" spans="1:10" x14ac:dyDescent="0.25">
      <c r="A1187" s="180" t="s">
        <v>337</v>
      </c>
      <c r="C1187" s="184">
        <v>3000</v>
      </c>
      <c r="D1187" s="185">
        <v>0.14948</v>
      </c>
      <c r="E1187" s="194"/>
      <c r="F1187" s="194"/>
      <c r="G1187" s="185"/>
      <c r="J1187" s="225" t="s">
        <v>119</v>
      </c>
    </row>
    <row r="1188" spans="1:10" x14ac:dyDescent="0.25">
      <c r="A1188" s="180" t="s">
        <v>338</v>
      </c>
      <c r="C1188" s="184">
        <v>17000</v>
      </c>
      <c r="D1188" s="185">
        <v>0.10999000000000003</v>
      </c>
      <c r="E1188" s="194"/>
      <c r="F1188" s="194"/>
      <c r="G1188" s="185"/>
      <c r="J1188" s="225" t="s">
        <v>120</v>
      </c>
    </row>
    <row r="1189" spans="1:10" x14ac:dyDescent="0.25">
      <c r="A1189" s="180" t="s">
        <v>315</v>
      </c>
      <c r="C1189" s="184">
        <v>9999999999</v>
      </c>
      <c r="D1189" s="185">
        <v>7.9079999999999984E-2</v>
      </c>
      <c r="E1189" s="194"/>
      <c r="F1189" s="194"/>
      <c r="G1189" s="185"/>
      <c r="J1189" s="225" t="s">
        <v>122</v>
      </c>
    </row>
    <row r="1190" spans="1:10" x14ac:dyDescent="0.25">
      <c r="C1190" s="184"/>
      <c r="D1190" s="185"/>
      <c r="E1190" s="194"/>
      <c r="F1190" s="194"/>
      <c r="G1190" s="185">
        <f>VLOOKUP(J1190,'EXHIBIT JDT-3 IND'!D:N,7,FALSE)/10</f>
        <v>0.11674999999999999</v>
      </c>
      <c r="J1190" s="223" t="s">
        <v>350</v>
      </c>
    </row>
    <row r="1191" spans="1:10" hidden="1" x14ac:dyDescent="0.25">
      <c r="C1191" s="184"/>
      <c r="D1191" s="185"/>
      <c r="E1191" s="194"/>
      <c r="F1191" s="194"/>
      <c r="G1191" s="183"/>
      <c r="J1191" s="223"/>
    </row>
    <row r="1192" spans="1:10" hidden="1" x14ac:dyDescent="0.25">
      <c r="A1192" s="180" t="s">
        <v>316</v>
      </c>
      <c r="D1192" s="185">
        <v>0</v>
      </c>
      <c r="G1192" s="185">
        <f>D1192</f>
        <v>0</v>
      </c>
      <c r="J1192" s="188" t="s">
        <v>370</v>
      </c>
    </row>
    <row r="1193" spans="1:10" hidden="1" x14ac:dyDescent="0.25">
      <c r="A1193" s="180" t="s">
        <v>317</v>
      </c>
      <c r="D1193" s="185">
        <v>0</v>
      </c>
      <c r="G1193" s="185">
        <f t="shared" ref="G1193:G1195" si="172">D1193</f>
        <v>0</v>
      </c>
      <c r="J1193" s="188" t="s">
        <v>370</v>
      </c>
    </row>
    <row r="1194" spans="1:10" hidden="1" x14ac:dyDescent="0.25">
      <c r="A1194" s="180" t="s">
        <v>318</v>
      </c>
      <c r="D1194" s="185">
        <v>0</v>
      </c>
      <c r="G1194" s="185">
        <f t="shared" si="172"/>
        <v>0</v>
      </c>
      <c r="J1194" s="188" t="s">
        <v>370</v>
      </c>
    </row>
    <row r="1195" spans="1:10" hidden="1" x14ac:dyDescent="0.25">
      <c r="A1195" s="180" t="s">
        <v>319</v>
      </c>
      <c r="D1195" s="185">
        <v>0</v>
      </c>
      <c r="G1195" s="185">
        <f t="shared" si="172"/>
        <v>0</v>
      </c>
      <c r="J1195" s="188" t="s">
        <v>370</v>
      </c>
    </row>
    <row r="1196" spans="1:10" x14ac:dyDescent="0.25">
      <c r="A1196" s="180" t="s">
        <v>320</v>
      </c>
      <c r="D1196" s="185">
        <v>1.99665585E-3</v>
      </c>
      <c r="G1196" s="185">
        <f>VLOOKUP(J1196,'EXHIBIT JDT-3 IND'!D:N,7,FALSE)/10</f>
        <v>4.45E-3</v>
      </c>
      <c r="J1196" s="188" t="s">
        <v>289</v>
      </c>
    </row>
    <row r="1197" spans="1:10" x14ac:dyDescent="0.25">
      <c r="A1197" s="180" t="s">
        <v>341</v>
      </c>
      <c r="D1197" s="185">
        <v>1.0499999999999999E-2</v>
      </c>
      <c r="G1197" s="185">
        <f>VLOOKUP(J1197,'EXHIBIT JDT-3 IND'!D:N,7,FALSE)/10</f>
        <v>1.149E-2</v>
      </c>
      <c r="J1197" s="188" t="s">
        <v>286</v>
      </c>
    </row>
    <row r="1198" spans="1:10" hidden="1" x14ac:dyDescent="0.25">
      <c r="A1198" s="180" t="s">
        <v>342</v>
      </c>
      <c r="D1198" s="185">
        <v>0</v>
      </c>
      <c r="G1198" s="185">
        <v>0</v>
      </c>
      <c r="J1198" s="188" t="s">
        <v>370</v>
      </c>
    </row>
    <row r="1199" spans="1:10" hidden="1" x14ac:dyDescent="0.25">
      <c r="A1199" s="180" t="s">
        <v>343</v>
      </c>
      <c r="D1199" s="185">
        <v>0</v>
      </c>
      <c r="G1199" s="185">
        <v>0</v>
      </c>
      <c r="J1199" s="188" t="s">
        <v>370</v>
      </c>
    </row>
    <row r="1200" spans="1:10" hidden="1" x14ac:dyDescent="0.25"/>
    <row r="1201" spans="1:25" hidden="1" x14ac:dyDescent="0.25">
      <c r="A1201" s="180" t="s">
        <v>321</v>
      </c>
      <c r="D1201" s="195">
        <f>$D$23</f>
        <v>0</v>
      </c>
      <c r="G1201" s="195">
        <v>0</v>
      </c>
    </row>
    <row r="1202" spans="1:25" hidden="1" x14ac:dyDescent="0.25"/>
    <row r="1204" spans="1:25" x14ac:dyDescent="0.25">
      <c r="G1204" s="190" t="s">
        <v>322</v>
      </c>
      <c r="H1204" s="190"/>
    </row>
    <row r="1205" spans="1:25" x14ac:dyDescent="0.25">
      <c r="B1205" s="176" t="s">
        <v>323</v>
      </c>
      <c r="C1205" s="181" t="s">
        <v>311</v>
      </c>
      <c r="D1205" s="181" t="s">
        <v>312</v>
      </c>
      <c r="E1205" s="181" t="s">
        <v>311</v>
      </c>
      <c r="F1205" s="181" t="s">
        <v>312</v>
      </c>
      <c r="G1205" s="181" t="s">
        <v>324</v>
      </c>
      <c r="H1205" s="181" t="s">
        <v>325</v>
      </c>
      <c r="J1205" s="191"/>
    </row>
    <row r="1206" spans="1:25" x14ac:dyDescent="0.25">
      <c r="C1206" s="192" t="s">
        <v>326</v>
      </c>
      <c r="D1206" s="192" t="s">
        <v>327</v>
      </c>
      <c r="E1206" s="181" t="s">
        <v>328</v>
      </c>
      <c r="F1206" s="181" t="s">
        <v>328</v>
      </c>
      <c r="G1206" s="192" t="s">
        <v>329</v>
      </c>
    </row>
    <row r="1207" spans="1:25" x14ac:dyDescent="0.25">
      <c r="E1207" s="194"/>
      <c r="F1207" s="194"/>
    </row>
    <row r="1208" spans="1:25" s="227" customFormat="1" x14ac:dyDescent="0.25">
      <c r="A1208" s="600"/>
      <c r="B1208" s="176">
        <v>0</v>
      </c>
      <c r="C1208" s="193">
        <f>ROUND((D1186+MINA(B1208,C1187)*D1187+MINA(C1188,MAXA(B1208-C1187,0))*D1188+MAXA(B1208-C1187-C1188,0)*D1189+B1208*(D1192+D1193+D1194+D1195+D1196+D1197+D1198+D1199))*(1+D1201),2)</f>
        <v>201.91</v>
      </c>
      <c r="D1208" s="193">
        <f>ROUND((G1186+(SUM(G1190:G1199)*B1208))*(1+G1201),2)</f>
        <v>303</v>
      </c>
      <c r="E1208" s="193"/>
      <c r="F1208" s="193"/>
      <c r="G1208" s="193">
        <f t="shared" ref="G1208:G1238" si="173">D1208-C1208</f>
        <v>101.09</v>
      </c>
      <c r="H1208" s="195">
        <f t="shared" ref="H1208:H1238" si="174">ROUND(G1208/C1208,4)</f>
        <v>0.50070000000000003</v>
      </c>
      <c r="J1208" s="177"/>
      <c r="Y1208" s="571"/>
    </row>
    <row r="1209" spans="1:25" s="227" customFormat="1" x14ac:dyDescent="0.25">
      <c r="A1209" s="601"/>
      <c r="B1209" s="176">
        <f>B1208+250</f>
        <v>250</v>
      </c>
      <c r="C1209" s="193">
        <f>ROUND((D1186+MINA(B1209,C1187)*D1187+MINA(C1188,MAXA(B1209-C1187,0))*D1188+MAXA(B1209-C1187-C1188,0)*D1189+B1209*(D1192+D1193+D1194+D1195+D1196+D1197+D1198+D1199))*(1+D1201),2)</f>
        <v>242.4</v>
      </c>
      <c r="D1209" s="193">
        <f>ROUND((G1186+(SUM(G1190:G1199)*B1209))*(1+G1201),2)</f>
        <v>336.17</v>
      </c>
      <c r="E1209" s="194">
        <f t="shared" ref="E1209:E1238" si="175">+C1209/B1209</f>
        <v>0.96960000000000002</v>
      </c>
      <c r="F1209" s="194">
        <f t="shared" ref="F1209:F1238" si="176">+D1209/B1209</f>
        <v>1.3446800000000001</v>
      </c>
      <c r="G1209" s="193">
        <f t="shared" si="173"/>
        <v>93.77000000000001</v>
      </c>
      <c r="H1209" s="195">
        <f t="shared" si="174"/>
        <v>0.38679999999999998</v>
      </c>
      <c r="J1209" s="177"/>
      <c r="Y1209" s="571"/>
    </row>
    <row r="1210" spans="1:25" s="227" customFormat="1" x14ac:dyDescent="0.25">
      <c r="A1210" s="601"/>
      <c r="B1210" s="176">
        <f t="shared" ref="B1210:B1236" si="177">B1209+250</f>
        <v>500</v>
      </c>
      <c r="C1210" s="193">
        <f>ROUND((D1186+MINA(B1210,C1187)*D1187+MINA(C1188,MAXA(B1210-C1187,0))*D1188+MAXA(B1210-C1187-C1188,0)*D1189+B1210*(D1192+D1193+D1194+D1195+D1196+D1197+D1198+D1199))*(1+D1201),2)</f>
        <v>282.89999999999998</v>
      </c>
      <c r="D1210" s="193">
        <f>ROUND((G1186+(SUM(G1190:G1199)*B1210))*(1+G1201),2)</f>
        <v>369.35</v>
      </c>
      <c r="E1210" s="194">
        <f t="shared" si="175"/>
        <v>0.56579999999999997</v>
      </c>
      <c r="F1210" s="194">
        <f t="shared" si="176"/>
        <v>0.73870000000000002</v>
      </c>
      <c r="G1210" s="193">
        <f t="shared" si="173"/>
        <v>86.450000000000045</v>
      </c>
      <c r="H1210" s="195">
        <f t="shared" si="174"/>
        <v>0.30559999999999998</v>
      </c>
      <c r="J1210" s="177"/>
      <c r="Y1210" s="571"/>
    </row>
    <row r="1211" spans="1:25" s="227" customFormat="1" x14ac:dyDescent="0.25">
      <c r="A1211" s="601"/>
      <c r="B1211" s="176">
        <f t="shared" si="177"/>
        <v>750</v>
      </c>
      <c r="C1211" s="193">
        <f>ROUND((D1186+MINA(B1211,C1187)*D1187+MINA(C1188,MAXA(B1211-C1187,0))*D1188+MAXA(B1211-C1187-C1188,0)*D1189+B1211*(D1192+D1193+D1194+D1195+D1196+D1197+D1198+D1199))*(1+D1201),2)</f>
        <v>323.39</v>
      </c>
      <c r="D1211" s="193">
        <f>ROUND((G1186+(SUM(G1190:G1199)*B1211))*(1+G1201),2)</f>
        <v>402.52</v>
      </c>
      <c r="E1211" s="194">
        <f t="shared" si="175"/>
        <v>0.43118666666666666</v>
      </c>
      <c r="F1211" s="194">
        <f t="shared" si="176"/>
        <v>0.53669333333333336</v>
      </c>
      <c r="G1211" s="193">
        <f t="shared" si="173"/>
        <v>79.13</v>
      </c>
      <c r="H1211" s="195">
        <f t="shared" si="174"/>
        <v>0.2447</v>
      </c>
      <c r="J1211" s="177"/>
      <c r="Y1211" s="571"/>
    </row>
    <row r="1212" spans="1:25" s="227" customFormat="1" x14ac:dyDescent="0.25">
      <c r="A1212" s="601"/>
      <c r="B1212" s="176">
        <f t="shared" si="177"/>
        <v>1000</v>
      </c>
      <c r="C1212" s="193">
        <f>ROUND((D1186+MINA(B1212,C1187)*D1187+MINA(C1188,MAXA(B1212-C1187,0))*D1188+MAXA(B1212-C1187-C1188,0)*D1189+B1212*(D1192+D1193+D1194+D1195+D1196+D1197+D1198+D1199))*(1+D1201),2)</f>
        <v>363.89</v>
      </c>
      <c r="D1212" s="193">
        <f>ROUND((G1186+(SUM(G1190:G1199)*B1212))*(1+G1201),2)</f>
        <v>435.69</v>
      </c>
      <c r="E1212" s="194">
        <f t="shared" si="175"/>
        <v>0.36388999999999999</v>
      </c>
      <c r="F1212" s="194">
        <f t="shared" si="176"/>
        <v>0.43569000000000002</v>
      </c>
      <c r="G1212" s="193">
        <f t="shared" si="173"/>
        <v>71.800000000000011</v>
      </c>
      <c r="H1212" s="195">
        <f t="shared" si="174"/>
        <v>0.1973</v>
      </c>
      <c r="J1212" s="177"/>
      <c r="Y1212" s="571"/>
    </row>
    <row r="1213" spans="1:25" s="227" customFormat="1" x14ac:dyDescent="0.25">
      <c r="A1213" s="601"/>
      <c r="B1213" s="176">
        <f t="shared" si="177"/>
        <v>1250</v>
      </c>
      <c r="C1213" s="193">
        <f>ROUND((D1186+MINA(B1213,C1187)*D1187+MINA(C1188,MAXA(B1213-C1187,0))*D1188+MAXA(B1213-C1187-C1188,0)*D1189+B1213*(D1192+D1193+D1194+D1195+D1196+D1197+D1198+D1199))*(1+D1201),2)</f>
        <v>404.38</v>
      </c>
      <c r="D1213" s="193">
        <f>ROUND((G1186+(SUM(G1190:G1199)*B1213))*(1+G1201),2)</f>
        <v>468.86</v>
      </c>
      <c r="E1213" s="194">
        <f t="shared" si="175"/>
        <v>0.32350400000000001</v>
      </c>
      <c r="F1213" s="194">
        <f t="shared" si="176"/>
        <v>0.37508800000000003</v>
      </c>
      <c r="G1213" s="193">
        <f t="shared" si="173"/>
        <v>64.480000000000018</v>
      </c>
      <c r="H1213" s="195">
        <f t="shared" si="174"/>
        <v>0.1595</v>
      </c>
      <c r="J1213" s="177"/>
      <c r="Y1213" s="571"/>
    </row>
    <row r="1214" spans="1:25" s="227" customFormat="1" x14ac:dyDescent="0.25">
      <c r="A1214" s="601"/>
      <c r="B1214" s="176">
        <f t="shared" si="177"/>
        <v>1500</v>
      </c>
      <c r="C1214" s="193">
        <f>ROUND((D1186+MINA(B1214,C1187)*D1187+MINA(C1188,MAXA(B1214-C1187,0))*D1188+MAXA(B1214-C1187-C1188,0)*D1189+B1214*(D1192+D1193+D1194+D1195+D1196+D1197+D1198+D1199))*(1+D1201),2)</f>
        <v>444.87</v>
      </c>
      <c r="D1214" s="193">
        <f>ROUND((G1186+(SUM(G1190:G1199)*B1214))*(1+G1201),2)</f>
        <v>502.04</v>
      </c>
      <c r="E1214" s="194">
        <f t="shared" si="175"/>
        <v>0.29658000000000001</v>
      </c>
      <c r="F1214" s="194">
        <f t="shared" si="176"/>
        <v>0.33469333333333334</v>
      </c>
      <c r="G1214" s="193">
        <f t="shared" si="173"/>
        <v>57.170000000000016</v>
      </c>
      <c r="H1214" s="195">
        <f t="shared" si="174"/>
        <v>0.1285</v>
      </c>
      <c r="J1214" s="177"/>
      <c r="Y1214" s="571"/>
    </row>
    <row r="1215" spans="1:25" s="227" customFormat="1" x14ac:dyDescent="0.25">
      <c r="A1215" s="601"/>
      <c r="B1215" s="176">
        <f t="shared" si="177"/>
        <v>1750</v>
      </c>
      <c r="C1215" s="193">
        <f>ROUND((D1186+MINA(B1215,C1187)*D1187+MINA(C1188,MAXA(B1215-C1187,0))*D1188+MAXA(B1215-C1187-C1188,0)*D1189+B1215*(D1192+D1193+D1194+D1195+D1196+D1197+D1198+D1199))*(1+D1201),2)</f>
        <v>485.37</v>
      </c>
      <c r="D1215" s="193">
        <f>ROUND((G1186+(SUM(G1190:G1199)*B1215))*(1+G1201),2)</f>
        <v>535.21</v>
      </c>
      <c r="E1215" s="194">
        <f t="shared" si="175"/>
        <v>0.27735428571428572</v>
      </c>
      <c r="F1215" s="194">
        <f t="shared" si="176"/>
        <v>0.30583428571428573</v>
      </c>
      <c r="G1215" s="193">
        <f t="shared" si="173"/>
        <v>49.840000000000032</v>
      </c>
      <c r="H1215" s="195">
        <f t="shared" si="174"/>
        <v>0.1027</v>
      </c>
      <c r="J1215" s="177"/>
      <c r="Y1215" s="571"/>
    </row>
    <row r="1216" spans="1:25" s="227" customFormat="1" x14ac:dyDescent="0.25">
      <c r="A1216" s="601"/>
      <c r="B1216" s="176">
        <f t="shared" si="177"/>
        <v>2000</v>
      </c>
      <c r="C1216" s="193">
        <f>ROUND((D1186+MINA(B1216,C1187)*D1187+MINA(C1188,MAXA(B1216-C1187,0))*D1188+MAXA(B1216-C1187-C1188,0)*D1189+B1216*(D1192+D1193+D1194+D1195+D1196+D1197+D1198+D1199))*(1+D1201),2)</f>
        <v>525.86</v>
      </c>
      <c r="D1216" s="193">
        <f>ROUND((G1186+(SUM(G1190:G1199)*B1216))*(1+G1201),2)</f>
        <v>568.38</v>
      </c>
      <c r="E1216" s="194">
        <f t="shared" si="175"/>
        <v>0.26293</v>
      </c>
      <c r="F1216" s="194">
        <f t="shared" si="176"/>
        <v>0.28419</v>
      </c>
      <c r="G1216" s="193">
        <f t="shared" si="173"/>
        <v>42.519999999999982</v>
      </c>
      <c r="H1216" s="195">
        <f t="shared" si="174"/>
        <v>8.09E-2</v>
      </c>
      <c r="J1216" s="177"/>
      <c r="Y1216" s="571"/>
    </row>
    <row r="1217" spans="1:25" s="227" customFormat="1" x14ac:dyDescent="0.25">
      <c r="A1217" s="601"/>
      <c r="B1217" s="176">
        <f t="shared" si="177"/>
        <v>2250</v>
      </c>
      <c r="C1217" s="193">
        <f>ROUND((D1186+MINA(B1217,C1187)*D1187+MINA(C1188,MAXA(B1217-C1187,0))*D1188+MAXA(B1217-C1187-C1188,0)*D1189+B1217*(D1192+D1193+D1194+D1195+D1196+D1197+D1198+D1199))*(1+D1201),2)</f>
        <v>566.36</v>
      </c>
      <c r="D1217" s="193">
        <f>ROUND((G1186+(SUM(G1190:G1199)*B1217))*(1+G1201),2)</f>
        <v>601.54999999999995</v>
      </c>
      <c r="E1217" s="194">
        <f t="shared" si="175"/>
        <v>0.25171555555555558</v>
      </c>
      <c r="F1217" s="194">
        <f t="shared" si="176"/>
        <v>0.26735555555555551</v>
      </c>
      <c r="G1217" s="193">
        <f t="shared" si="173"/>
        <v>35.189999999999941</v>
      </c>
      <c r="H1217" s="195">
        <f t="shared" si="174"/>
        <v>6.2100000000000002E-2</v>
      </c>
      <c r="J1217" s="177"/>
      <c r="Y1217" s="571"/>
    </row>
    <row r="1218" spans="1:25" s="227" customFormat="1" x14ac:dyDescent="0.25">
      <c r="A1218" s="601"/>
      <c r="B1218" s="176">
        <f t="shared" si="177"/>
        <v>2500</v>
      </c>
      <c r="C1218" s="193">
        <f>ROUND((D1186+MINA(B1218,C1187)*D1187+MINA(C1188,MAXA(B1218-C1187,0))*D1188+MAXA(B1218-C1187-C1188,0)*D1189+B1218*(D1192+D1193+D1194+D1195+D1196+D1197+D1198+D1199))*(1+D1201),2)</f>
        <v>606.85</v>
      </c>
      <c r="D1218" s="193">
        <f>ROUND((G1186+(SUM(G1190:G1199)*B1218))*(1+G1201),2)</f>
        <v>634.73</v>
      </c>
      <c r="E1218" s="194">
        <f t="shared" si="175"/>
        <v>0.24274000000000001</v>
      </c>
      <c r="F1218" s="194">
        <f t="shared" si="176"/>
        <v>0.25389200000000001</v>
      </c>
      <c r="G1218" s="193">
        <f t="shared" si="173"/>
        <v>27.879999999999995</v>
      </c>
      <c r="H1218" s="195">
        <f t="shared" si="174"/>
        <v>4.5900000000000003E-2</v>
      </c>
      <c r="J1218" s="177"/>
      <c r="Y1218" s="571"/>
    </row>
    <row r="1219" spans="1:25" s="227" customFormat="1" x14ac:dyDescent="0.25">
      <c r="A1219" s="601"/>
      <c r="B1219" s="176">
        <f t="shared" si="177"/>
        <v>2750</v>
      </c>
      <c r="C1219" s="193">
        <f>ROUND((D1186+MINA(B1219,C1187)*D1187+MINA(C1188,MAXA(B1219-C1187,0))*D1188+MAXA(B1219-C1187-C1188,0)*D1189+B1219*(D1192+D1193+D1194+D1195+D1196+D1197+D1198+D1199))*(1+D1201),2)</f>
        <v>647.35</v>
      </c>
      <c r="D1219" s="193">
        <f>ROUND((G1186+(SUM(G1190:G1199)*B1219))*(1+G1201),2)</f>
        <v>667.9</v>
      </c>
      <c r="E1219" s="194">
        <f t="shared" si="175"/>
        <v>0.2354</v>
      </c>
      <c r="F1219" s="194">
        <f t="shared" si="176"/>
        <v>0.24287272727272727</v>
      </c>
      <c r="G1219" s="193">
        <f t="shared" si="173"/>
        <v>20.549999999999955</v>
      </c>
      <c r="H1219" s="195">
        <f t="shared" si="174"/>
        <v>3.1699999999999999E-2</v>
      </c>
      <c r="J1219" s="177"/>
      <c r="Y1219" s="571"/>
    </row>
    <row r="1220" spans="1:25" s="227" customFormat="1" x14ac:dyDescent="0.25">
      <c r="A1220" s="601"/>
      <c r="B1220" s="176">
        <f t="shared" si="177"/>
        <v>3000</v>
      </c>
      <c r="C1220" s="193">
        <f>ROUND((D1186+MINA(B1220,C1187)*D1187+MINA(C1188,MAXA(B1220-C1187,0))*D1188+MAXA(B1220-C1187-C1188,0)*D1189+B1220*(D1192+D1193+D1194+D1195+D1196+D1197+D1198+D1199))*(1+D1201),2)</f>
        <v>687.84</v>
      </c>
      <c r="D1220" s="193">
        <f>ROUND((G1186+(SUM(G1190:G1199)*B1220))*(1+G1201),2)</f>
        <v>701.07</v>
      </c>
      <c r="E1220" s="194">
        <f t="shared" si="175"/>
        <v>0.22928000000000001</v>
      </c>
      <c r="F1220" s="194">
        <f t="shared" si="176"/>
        <v>0.23369000000000001</v>
      </c>
      <c r="G1220" s="193">
        <f t="shared" si="173"/>
        <v>13.230000000000018</v>
      </c>
      <c r="H1220" s="195">
        <f t="shared" si="174"/>
        <v>1.9199999999999998E-2</v>
      </c>
      <c r="J1220" s="177"/>
      <c r="Y1220" s="571"/>
    </row>
    <row r="1221" spans="1:25" s="227" customFormat="1" x14ac:dyDescent="0.25">
      <c r="A1221" s="601"/>
      <c r="B1221" s="176">
        <f t="shared" si="177"/>
        <v>3250</v>
      </c>
      <c r="C1221" s="193">
        <f>ROUND((D1186+MINA(B1221,C1187)*D1187+MINA(C1188,MAXA(B1221-C1187,0))*D1188+MAXA(B1221-C1187-C1188,0)*D1189+B1221*(D1192+D1193+D1194+D1195+D1196+D1197+D1198+D1199))*(1+D1201),2)</f>
        <v>718.46</v>
      </c>
      <c r="D1221" s="193">
        <f>ROUND((G1186+(SUM(G1190:G1199)*B1221))*(1+G1201),2)</f>
        <v>734.24</v>
      </c>
      <c r="E1221" s="194">
        <f t="shared" si="175"/>
        <v>0.22106461538461539</v>
      </c>
      <c r="F1221" s="194">
        <f t="shared" si="176"/>
        <v>0.22592000000000001</v>
      </c>
      <c r="G1221" s="193">
        <f t="shared" si="173"/>
        <v>15.779999999999973</v>
      </c>
      <c r="H1221" s="195">
        <f t="shared" si="174"/>
        <v>2.1999999999999999E-2</v>
      </c>
      <c r="J1221" s="177"/>
      <c r="Y1221" s="571"/>
    </row>
    <row r="1222" spans="1:25" s="227" customFormat="1" x14ac:dyDescent="0.25">
      <c r="A1222" s="601"/>
      <c r="B1222" s="176">
        <f t="shared" si="177"/>
        <v>3500</v>
      </c>
      <c r="C1222" s="193">
        <f>ROUND((D1186+MINA(B1222,C1187)*D1187+MINA(C1188,MAXA(B1222-C1187,0))*D1188+MAXA(B1222-C1187-C1188,0)*D1189+B1222*(D1192+D1193+D1194+D1195+D1196+D1197+D1198+D1199))*(1+D1201),2)</f>
        <v>749.08</v>
      </c>
      <c r="D1222" s="193">
        <f>ROUND((G1186+(SUM(G1190:G1199)*B1222))*(1+G1201),2)</f>
        <v>767.42</v>
      </c>
      <c r="E1222" s="194">
        <f t="shared" si="175"/>
        <v>0.21402285714285715</v>
      </c>
      <c r="F1222" s="194">
        <f t="shared" si="176"/>
        <v>0.21926285714285712</v>
      </c>
      <c r="G1222" s="193">
        <f t="shared" si="173"/>
        <v>18.339999999999918</v>
      </c>
      <c r="H1222" s="195">
        <f t="shared" si="174"/>
        <v>2.4500000000000001E-2</v>
      </c>
      <c r="J1222" s="177"/>
      <c r="Y1222" s="571"/>
    </row>
    <row r="1223" spans="1:25" s="227" customFormat="1" x14ac:dyDescent="0.25">
      <c r="A1223" s="601"/>
      <c r="B1223" s="176">
        <f t="shared" si="177"/>
        <v>3750</v>
      </c>
      <c r="C1223" s="193">
        <f>ROUND((D1186+MINA(B1223,C1187)*D1187+MINA(C1188,MAXA(B1223-C1187,0))*D1188+MAXA(B1223-C1187-C1188,0)*D1189+B1223*(D1192+D1193+D1194+D1195+D1196+D1197+D1198+D1199))*(1+D1201),2)</f>
        <v>779.7</v>
      </c>
      <c r="D1223" s="193">
        <f>ROUND((G1186+(SUM(G1190:G1199)*B1223))*(1+G1201),2)</f>
        <v>800.59</v>
      </c>
      <c r="E1223" s="194">
        <f t="shared" si="175"/>
        <v>0.20792000000000002</v>
      </c>
      <c r="F1223" s="194">
        <f t="shared" si="176"/>
        <v>0.21349066666666666</v>
      </c>
      <c r="G1223" s="193">
        <f t="shared" si="173"/>
        <v>20.889999999999986</v>
      </c>
      <c r="H1223" s="195">
        <f t="shared" si="174"/>
        <v>2.6800000000000001E-2</v>
      </c>
      <c r="J1223" s="177"/>
      <c r="Y1223" s="571"/>
    </row>
    <row r="1224" spans="1:25" s="227" customFormat="1" x14ac:dyDescent="0.25">
      <c r="A1224" s="601"/>
      <c r="B1224" s="176">
        <f t="shared" si="177"/>
        <v>4000</v>
      </c>
      <c r="C1224" s="193">
        <f>ROUND((D1186+MINA(B1224,C1187)*D1187+MINA(C1188,MAXA(B1224-C1187,0))*D1188+MAXA(B1224-C1187-C1188,0)*D1189+B1224*(D1192+D1193+D1194+D1195+D1196+D1197+D1198+D1199))*(1+D1201),2)</f>
        <v>810.33</v>
      </c>
      <c r="D1224" s="193">
        <f>ROUND((G1186+(SUM(G1190:G1199)*B1224))*(1+G1201),2)</f>
        <v>833.76</v>
      </c>
      <c r="E1224" s="194">
        <f t="shared" si="175"/>
        <v>0.2025825</v>
      </c>
      <c r="F1224" s="194">
        <f t="shared" si="176"/>
        <v>0.20843999999999999</v>
      </c>
      <c r="G1224" s="193">
        <f t="shared" si="173"/>
        <v>23.42999999999995</v>
      </c>
      <c r="H1224" s="195">
        <f t="shared" si="174"/>
        <v>2.8899999999999999E-2</v>
      </c>
      <c r="J1224" s="177"/>
      <c r="Y1224" s="571"/>
    </row>
    <row r="1225" spans="1:25" x14ac:dyDescent="0.25">
      <c r="A1225" s="601"/>
      <c r="B1225" s="176">
        <f t="shared" si="177"/>
        <v>4250</v>
      </c>
      <c r="C1225" s="193">
        <f>ROUND((D1186+MINA(B1225,C1187)*D1187+MINA(C1188,MAXA(B1225-C1187,0))*D1188+MAXA(B1225-C1187-C1188,0)*D1189+B1225*(D1192+D1193+D1194+D1195+D1196+D1197+D1198+D1199))*(1+D1201),2)</f>
        <v>840.95</v>
      </c>
      <c r="D1225" s="193">
        <f>ROUND((G1186+(SUM(G1190:G1199)*B1225))*(1+G1201),2)</f>
        <v>866.93</v>
      </c>
      <c r="E1225" s="194">
        <f t="shared" si="175"/>
        <v>0.19787058823529413</v>
      </c>
      <c r="F1225" s="194">
        <f t="shared" si="176"/>
        <v>0.2039835294117647</v>
      </c>
      <c r="G1225" s="193">
        <f t="shared" si="173"/>
        <v>25.979999999999905</v>
      </c>
      <c r="H1225" s="195">
        <f t="shared" si="174"/>
        <v>3.09E-2</v>
      </c>
    </row>
    <row r="1226" spans="1:25" x14ac:dyDescent="0.25">
      <c r="A1226" s="601"/>
      <c r="B1226" s="176">
        <f t="shared" si="177"/>
        <v>4500</v>
      </c>
      <c r="C1226" s="193">
        <f>ROUND((D1186+MINA(B1226,C1187)*D1187+MINA(C1188,MAXA(B1226-C1187,0))*D1188+MAXA(B1226-C1187-C1188,0)*D1189+B1226*(D1192+D1193+D1194+D1195+D1196+D1197+D1198+D1199))*(1+D1201),2)</f>
        <v>871.57</v>
      </c>
      <c r="D1226" s="193">
        <f>ROUND((G1186+(SUM(G1190:G1199)*B1226))*(1+G1201),2)</f>
        <v>900.11</v>
      </c>
      <c r="E1226" s="194">
        <f t="shared" si="175"/>
        <v>0.19368222222222223</v>
      </c>
      <c r="F1226" s="194">
        <f t="shared" si="176"/>
        <v>0.20002444444444445</v>
      </c>
      <c r="G1226" s="193">
        <f t="shared" si="173"/>
        <v>28.539999999999964</v>
      </c>
      <c r="H1226" s="195">
        <f t="shared" si="174"/>
        <v>3.27E-2</v>
      </c>
    </row>
    <row r="1227" spans="1:25" x14ac:dyDescent="0.25">
      <c r="A1227" s="601"/>
      <c r="B1227" s="176">
        <f t="shared" si="177"/>
        <v>4750</v>
      </c>
      <c r="C1227" s="193">
        <f>ROUND((D1186+MINA(B1227,C1187)*D1187+MINA(C1188,MAXA(B1227-C1187,0))*D1188+MAXA(B1227-C1187-C1188,0)*D1189+B1227*(D1192+D1193+D1194+D1195+D1196+D1197+D1198+D1199))*(1+D1201),2)</f>
        <v>902.19</v>
      </c>
      <c r="D1227" s="193">
        <f>ROUND((G1186+(SUM(G1190:G1199)*B1227))*(1+G1201),2)</f>
        <v>933.28</v>
      </c>
      <c r="E1227" s="194">
        <f t="shared" si="175"/>
        <v>0.18993473684210527</v>
      </c>
      <c r="F1227" s="194">
        <f t="shared" si="176"/>
        <v>0.19647999999999999</v>
      </c>
      <c r="G1227" s="193">
        <f t="shared" si="173"/>
        <v>31.089999999999918</v>
      </c>
      <c r="H1227" s="195">
        <f t="shared" si="174"/>
        <v>3.4500000000000003E-2</v>
      </c>
    </row>
    <row r="1228" spans="1:25" x14ac:dyDescent="0.25">
      <c r="A1228" s="601"/>
      <c r="B1228" s="176">
        <f t="shared" si="177"/>
        <v>5000</v>
      </c>
      <c r="C1228" s="193">
        <f>ROUND((D1186+MINA(B1228,C1187)*D1187+MINA(C1188,MAXA(B1228-C1187,0))*D1188+MAXA(B1228-C1187-C1188,0)*D1189+B1228*(D1192+D1193+D1194+D1195+D1196+D1197+D1198+D1199))*(1+D1201),2)</f>
        <v>932.81</v>
      </c>
      <c r="D1228" s="193">
        <f>ROUND((G1186+(SUM(G1190:G1199)*B1228))*(1+G1201),2)</f>
        <v>966.45</v>
      </c>
      <c r="E1228" s="194">
        <f t="shared" si="175"/>
        <v>0.18656199999999998</v>
      </c>
      <c r="F1228" s="194">
        <f t="shared" si="176"/>
        <v>0.19329000000000002</v>
      </c>
      <c r="G1228" s="193">
        <f t="shared" si="173"/>
        <v>33.6400000000001</v>
      </c>
      <c r="H1228" s="195">
        <f t="shared" si="174"/>
        <v>3.61E-2</v>
      </c>
    </row>
    <row r="1229" spans="1:25" x14ac:dyDescent="0.25">
      <c r="A1229" s="601"/>
      <c r="B1229" s="176">
        <f t="shared" si="177"/>
        <v>5250</v>
      </c>
      <c r="C1229" s="193">
        <f>ROUND((D1186+MINA(B1229,C1187)*D1187+MINA(C1188,MAXA(B1229-C1187,0))*D1188+MAXA(B1229-C1187-C1188,0)*D1189+B1229*(D1192+D1193+D1194+D1195+D1196+D1197+D1198+D1199))*(1+D1201),2)</f>
        <v>963.43</v>
      </c>
      <c r="D1229" s="193">
        <f>ROUND((G1186+(SUM(G1190:G1199)*B1229))*(1+G1201),2)</f>
        <v>999.62</v>
      </c>
      <c r="E1229" s="194">
        <f t="shared" si="175"/>
        <v>0.18351047619047617</v>
      </c>
      <c r="F1229" s="194">
        <f t="shared" si="176"/>
        <v>0.19040380952380953</v>
      </c>
      <c r="G1229" s="193">
        <f t="shared" si="173"/>
        <v>36.190000000000055</v>
      </c>
      <c r="H1229" s="195">
        <f t="shared" si="174"/>
        <v>3.7600000000000001E-2</v>
      </c>
    </row>
    <row r="1230" spans="1:25" x14ac:dyDescent="0.25">
      <c r="A1230" s="601"/>
      <c r="B1230" s="176">
        <f t="shared" si="177"/>
        <v>5500</v>
      </c>
      <c r="C1230" s="193">
        <f>ROUND((D1186+MINA(B1230,C1187)*D1187+MINA(C1188,MAXA(B1230-C1187,0))*D1188+MAXA(B1230-C1187-C1188,0)*D1189+B1230*(D1192+D1193+D1194+D1195+D1196+D1197+D1198+D1199))*(1+D1201),2)</f>
        <v>994.06</v>
      </c>
      <c r="D1230" s="193">
        <f>ROUND((G1186+(SUM(G1190:G1199)*B1230))*(1+G1201),2)</f>
        <v>1032.8</v>
      </c>
      <c r="E1230" s="194">
        <f t="shared" si="175"/>
        <v>0.1807381818181818</v>
      </c>
      <c r="F1230" s="194">
        <f t="shared" si="176"/>
        <v>0.18778181818181816</v>
      </c>
      <c r="G1230" s="193">
        <f t="shared" si="173"/>
        <v>38.740000000000009</v>
      </c>
      <c r="H1230" s="195">
        <f t="shared" si="174"/>
        <v>3.9E-2</v>
      </c>
    </row>
    <row r="1231" spans="1:25" x14ac:dyDescent="0.25">
      <c r="A1231" s="601"/>
      <c r="B1231" s="176">
        <f t="shared" si="177"/>
        <v>5750</v>
      </c>
      <c r="C1231" s="193">
        <f>ROUND((D1186+MINA(B1231,C1187)*D1187+MINA(C1188,MAXA(B1231-C1187,0))*D1188+MAXA(B1231-C1187-C1188,0)*D1189+B1231*(D1192+D1193+D1194+D1195+D1196+D1197+D1198+D1199))*(1+D1201),2)</f>
        <v>1024.68</v>
      </c>
      <c r="D1231" s="193">
        <f>ROUND((G1186+(SUM(G1190:G1199)*B1231))*(1+G1201),2)</f>
        <v>1065.97</v>
      </c>
      <c r="E1231" s="194">
        <f t="shared" si="175"/>
        <v>0.17820521739130435</v>
      </c>
      <c r="F1231" s="194">
        <f t="shared" si="176"/>
        <v>0.18538608695652176</v>
      </c>
      <c r="G1231" s="193">
        <f t="shared" si="173"/>
        <v>41.289999999999964</v>
      </c>
      <c r="H1231" s="195">
        <f t="shared" si="174"/>
        <v>4.0300000000000002E-2</v>
      </c>
    </row>
    <row r="1232" spans="1:25" x14ac:dyDescent="0.25">
      <c r="A1232" s="601"/>
      <c r="B1232" s="176">
        <f t="shared" si="177"/>
        <v>6000</v>
      </c>
      <c r="C1232" s="193">
        <f>ROUND((D1186+MINA(B1232,C1187)*D1187+MINA(C1188,MAXA(B1232-C1187,0))*D1188+MAXA(B1232-C1187-C1188,0)*D1189+B1232*(D1192+D1193+D1194+D1195+D1196+D1197+D1198+D1199))*(1+D1201),2)</f>
        <v>1055.3</v>
      </c>
      <c r="D1232" s="193">
        <f>ROUND((G1186+(SUM(G1190:G1199)*B1232))*(1+G1201),2)</f>
        <v>1099.1400000000001</v>
      </c>
      <c r="E1232" s="194">
        <f t="shared" si="175"/>
        <v>0.17588333333333334</v>
      </c>
      <c r="F1232" s="194">
        <f t="shared" si="176"/>
        <v>0.18319000000000002</v>
      </c>
      <c r="G1232" s="193">
        <f t="shared" si="173"/>
        <v>43.840000000000146</v>
      </c>
      <c r="H1232" s="195">
        <f t="shared" si="174"/>
        <v>4.1500000000000002E-2</v>
      </c>
    </row>
    <row r="1233" spans="1:9" x14ac:dyDescent="0.25">
      <c r="A1233" s="601"/>
      <c r="B1233" s="176">
        <f t="shared" si="177"/>
        <v>6250</v>
      </c>
      <c r="C1233" s="193">
        <f>ROUND((D1186+MINA(B1233,C1187)*D1187+MINA(C1188,MAXA(B1233-C1187,0))*D1188+MAXA(B1233-C1187-C1188,0)*D1189+B1233*(D1192+D1193+D1194+D1195+D1196+D1197+D1198+D1199))*(1+D1201),2)</f>
        <v>1085.92</v>
      </c>
      <c r="D1233" s="193">
        <f>ROUND((G1186+(SUM(G1190:G1199)*B1233))*(1+G1201),2)</f>
        <v>1132.31</v>
      </c>
      <c r="E1233" s="194">
        <f t="shared" si="175"/>
        <v>0.17374720000000002</v>
      </c>
      <c r="F1233" s="194">
        <f t="shared" si="176"/>
        <v>0.18116959999999999</v>
      </c>
      <c r="G1233" s="193">
        <f t="shared" si="173"/>
        <v>46.389999999999873</v>
      </c>
      <c r="H1233" s="195">
        <f t="shared" si="174"/>
        <v>4.2700000000000002E-2</v>
      </c>
    </row>
    <row r="1234" spans="1:9" x14ac:dyDescent="0.25">
      <c r="A1234" s="601"/>
      <c r="B1234" s="176">
        <f t="shared" si="177"/>
        <v>6500</v>
      </c>
      <c r="C1234" s="193">
        <f>ROUND((D1186+MINA(B1234,C1187)*D1187+MINA(C1188,MAXA(B1234-C1187,0))*D1188+MAXA(B1234-C1187-C1188,0)*D1189+B1234*(D1192+D1193+D1194+D1195+D1196+D1197+D1198+D1199))*(1+D1201),2)</f>
        <v>1116.54</v>
      </c>
      <c r="D1234" s="193">
        <f>ROUND((G1186+(SUM(G1190:G1199)*B1234))*(1+G1201),2)</f>
        <v>1165.49</v>
      </c>
      <c r="E1234" s="194">
        <f t="shared" si="175"/>
        <v>0.17177538461538461</v>
      </c>
      <c r="F1234" s="194">
        <f t="shared" si="176"/>
        <v>0.17930615384615384</v>
      </c>
      <c r="G1234" s="193">
        <f t="shared" si="173"/>
        <v>48.950000000000045</v>
      </c>
      <c r="H1234" s="195">
        <f t="shared" si="174"/>
        <v>4.3799999999999999E-2</v>
      </c>
    </row>
    <row r="1235" spans="1:9" x14ac:dyDescent="0.25">
      <c r="A1235" s="601"/>
      <c r="B1235" s="176">
        <f t="shared" si="177"/>
        <v>6750</v>
      </c>
      <c r="C1235" s="193">
        <f>ROUND((D1186+MINA(B1235,C1187)*D1187+MINA(C1188,MAXA(B1235-C1187,0))*D1188+MAXA(B1235-C1187-C1188,0)*D1189+B1235*(D1192+D1193+D1194+D1195+D1196+D1197+D1198+D1199))*(1+D1201),2)</f>
        <v>1147.1600000000001</v>
      </c>
      <c r="D1235" s="193">
        <f>ROUND((G1186+(SUM(G1190:G1199)*B1235))*(1+G1201),2)</f>
        <v>1198.6600000000001</v>
      </c>
      <c r="E1235" s="194">
        <f t="shared" si="175"/>
        <v>0.16994962962962964</v>
      </c>
      <c r="F1235" s="194">
        <f t="shared" si="176"/>
        <v>0.17757925925925927</v>
      </c>
      <c r="G1235" s="193">
        <f t="shared" si="173"/>
        <v>51.5</v>
      </c>
      <c r="H1235" s="195">
        <f t="shared" si="174"/>
        <v>4.4900000000000002E-2</v>
      </c>
    </row>
    <row r="1236" spans="1:9" x14ac:dyDescent="0.25">
      <c r="A1236" s="601"/>
      <c r="B1236" s="176">
        <f t="shared" si="177"/>
        <v>7000</v>
      </c>
      <c r="C1236" s="193">
        <f>ROUND((D1186+MINA(B1236,C1187)*D1187+MINA(C1188,MAXA(B1236-C1187,0))*D1188+MAXA(B1236-C1187-C1188,0)*D1189+B1236*(D1192+D1193+D1194+D1195+D1196+D1197+D1198+D1199))*(1+D1201),2)</f>
        <v>1177.79</v>
      </c>
      <c r="D1236" s="193">
        <f>ROUND((G1186+(SUM(G1190:G1199)*B1236))*(1+G1201),2)</f>
        <v>1231.83</v>
      </c>
      <c r="E1236" s="194">
        <f t="shared" si="175"/>
        <v>0.16825571428571429</v>
      </c>
      <c r="F1236" s="194">
        <f t="shared" si="176"/>
        <v>0.17597571428571426</v>
      </c>
      <c r="G1236" s="193">
        <f t="shared" si="173"/>
        <v>54.039999999999964</v>
      </c>
      <c r="H1236" s="195">
        <f t="shared" si="174"/>
        <v>4.5900000000000003E-2</v>
      </c>
    </row>
    <row r="1237" spans="1:9" x14ac:dyDescent="0.25">
      <c r="A1237" s="601"/>
      <c r="B1237" s="176">
        <f>B1236+250</f>
        <v>7250</v>
      </c>
      <c r="C1237" s="193">
        <f>ROUND((D1186+MINA(B1237,C1187)*D1187+MINA(C1188,MAXA(B1237-C1187,0))*D1188+MAXA(B1237-C1187-C1188,0)*D1189+B1237*(D1192+D1193+D1194+D1195+D1196+D1197+D1198+D1199))*(1+D1201),2)</f>
        <v>1208.4100000000001</v>
      </c>
      <c r="D1237" s="193">
        <f>ROUND((G1186+(SUM(G1190:G1199)*B1237))*(1+G1201),2)</f>
        <v>1265</v>
      </c>
      <c r="E1237" s="194">
        <f t="shared" si="175"/>
        <v>0.16667724137931036</v>
      </c>
      <c r="F1237" s="194">
        <f t="shared" si="176"/>
        <v>0.17448275862068965</v>
      </c>
      <c r="G1237" s="193">
        <f t="shared" si="173"/>
        <v>56.589999999999918</v>
      </c>
      <c r="H1237" s="195">
        <f t="shared" si="174"/>
        <v>4.6800000000000001E-2</v>
      </c>
    </row>
    <row r="1238" spans="1:9" x14ac:dyDescent="0.25">
      <c r="A1238" s="601"/>
      <c r="B1238" s="176">
        <f t="shared" ref="B1238" si="178">B1237+250</f>
        <v>7500</v>
      </c>
      <c r="C1238" s="193">
        <f>ROUND((D1186+MINA(B1238,C1187)*D1187+MINA(C1188,MAXA(B1238-C1187,0))*D1188+MAXA(B1238-C1187-C1188,0)*D1189+B1238*(D1192+D1193+D1194+D1195+D1196+D1197+D1198+D1199))*(1+D1201),2)</f>
        <v>1239.03</v>
      </c>
      <c r="D1238" s="193">
        <f>ROUND((G1186+(SUM(G1190:G1199)*B1238))*(1+G1201),2)</f>
        <v>1298.18</v>
      </c>
      <c r="E1238" s="194">
        <f t="shared" si="175"/>
        <v>0.16520399999999999</v>
      </c>
      <c r="F1238" s="194">
        <f t="shared" si="176"/>
        <v>0.17309066666666667</v>
      </c>
      <c r="G1238" s="193">
        <f t="shared" si="173"/>
        <v>59.150000000000091</v>
      </c>
      <c r="H1238" s="195">
        <f t="shared" si="174"/>
        <v>4.7699999999999999E-2</v>
      </c>
    </row>
    <row r="1239" spans="1:9" x14ac:dyDescent="0.25">
      <c r="A1239" s="601"/>
      <c r="C1239" s="193"/>
      <c r="D1239" s="193"/>
      <c r="E1239" s="194"/>
      <c r="F1239" s="194"/>
      <c r="G1239" s="193"/>
      <c r="H1239" s="195"/>
    </row>
    <row r="1240" spans="1:9" hidden="1" x14ac:dyDescent="0.25">
      <c r="A1240" s="601"/>
      <c r="C1240" s="193"/>
      <c r="D1240" s="193"/>
      <c r="E1240" s="194"/>
      <c r="F1240" s="194"/>
      <c r="G1240" s="193"/>
      <c r="H1240" s="195"/>
    </row>
    <row r="1241" spans="1:9" hidden="1" x14ac:dyDescent="0.25">
      <c r="A1241" s="601"/>
      <c r="C1241" s="193"/>
      <c r="D1241" s="193"/>
      <c r="E1241" s="194"/>
      <c r="F1241" s="194"/>
      <c r="G1241" s="193"/>
      <c r="H1241" s="195"/>
    </row>
    <row r="1242" spans="1:9" hidden="1" x14ac:dyDescent="0.25">
      <c r="A1242" s="601"/>
      <c r="C1242" s="193"/>
      <c r="D1242" s="193"/>
      <c r="E1242" s="194"/>
      <c r="F1242" s="194"/>
      <c r="G1242" s="193"/>
      <c r="H1242" s="195"/>
    </row>
    <row r="1243" spans="1:9" hidden="1" x14ac:dyDescent="0.25"/>
    <row r="1244" spans="1:9" hidden="1" x14ac:dyDescent="0.25"/>
    <row r="1245" spans="1:9" hidden="1" x14ac:dyDescent="0.25"/>
    <row r="1246" spans="1:9" hidden="1" x14ac:dyDescent="0.25">
      <c r="A1246" s="180" t="s">
        <v>21</v>
      </c>
      <c r="B1246" s="179"/>
      <c r="C1246" s="179"/>
      <c r="D1246" s="179"/>
      <c r="E1246" s="179"/>
      <c r="F1246" s="179"/>
      <c r="G1246" s="179"/>
      <c r="H1246" s="179"/>
      <c r="I1246" s="180"/>
    </row>
    <row r="1247" spans="1:9" hidden="1" x14ac:dyDescent="0.25">
      <c r="A1247" s="180" t="s">
        <v>22</v>
      </c>
      <c r="B1247" s="179"/>
      <c r="C1247" s="179"/>
      <c r="D1247" s="179"/>
      <c r="E1247" s="179"/>
      <c r="F1247" s="179"/>
      <c r="G1247" s="179"/>
      <c r="H1247" s="179"/>
      <c r="I1247" s="180"/>
    </row>
    <row r="1248" spans="1:9" hidden="1" x14ac:dyDescent="0.25">
      <c r="A1248" s="180" t="s">
        <v>310</v>
      </c>
      <c r="B1248" s="179"/>
      <c r="C1248" s="179"/>
      <c r="D1248" s="179"/>
      <c r="E1248" s="179"/>
      <c r="F1248" s="179"/>
      <c r="G1248" s="179"/>
      <c r="H1248" s="179"/>
      <c r="I1248" s="180"/>
    </row>
    <row r="1249" spans="1:10" x14ac:dyDescent="0.25">
      <c r="A1249" s="599" t="s">
        <v>362</v>
      </c>
      <c r="B1249" s="179"/>
      <c r="C1249" s="179"/>
      <c r="D1249" s="179"/>
      <c r="E1249" s="179"/>
      <c r="F1249" s="179"/>
      <c r="G1249" s="179"/>
      <c r="H1249" s="179"/>
      <c r="I1249" s="180"/>
    </row>
    <row r="1250" spans="1:10" x14ac:dyDescent="0.25">
      <c r="E1250" s="194"/>
      <c r="F1250" s="194"/>
    </row>
    <row r="1251" spans="1:10" hidden="1" x14ac:dyDescent="0.25">
      <c r="E1251" s="194"/>
      <c r="F1251" s="194"/>
    </row>
    <row r="1252" spans="1:10" x14ac:dyDescent="0.25">
      <c r="D1252" s="181" t="s">
        <v>311</v>
      </c>
      <c r="E1252" s="194"/>
      <c r="F1252" s="194"/>
      <c r="G1252" s="181" t="s">
        <v>312</v>
      </c>
    </row>
    <row r="1253" spans="1:10" x14ac:dyDescent="0.25">
      <c r="D1253" s="182" t="s">
        <v>313</v>
      </c>
      <c r="E1253" s="194"/>
      <c r="F1253" s="194"/>
      <c r="G1253" s="182" t="s">
        <v>313</v>
      </c>
    </row>
    <row r="1254" spans="1:10" x14ac:dyDescent="0.25">
      <c r="A1254" s="180" t="s">
        <v>314</v>
      </c>
      <c r="D1254" s="183">
        <v>201.91</v>
      </c>
      <c r="E1254" s="194"/>
      <c r="F1254" s="194"/>
      <c r="G1254" s="183">
        <f>VLOOKUP(J1254,'EXHIBIT JDT-3 IND'!D:N,7,FALSE)</f>
        <v>303</v>
      </c>
      <c r="J1254" s="225" t="s">
        <v>118</v>
      </c>
    </row>
    <row r="1255" spans="1:10" x14ac:dyDescent="0.25">
      <c r="A1255" s="180" t="s">
        <v>337</v>
      </c>
      <c r="C1255" s="184">
        <v>3000</v>
      </c>
      <c r="D1255" s="186">
        <v>0.14948</v>
      </c>
      <c r="E1255" s="194"/>
      <c r="F1255" s="194"/>
      <c r="G1255" s="185"/>
      <c r="J1255" s="225" t="s">
        <v>119</v>
      </c>
    </row>
    <row r="1256" spans="1:10" x14ac:dyDescent="0.25">
      <c r="A1256" s="180" t="s">
        <v>338</v>
      </c>
      <c r="C1256" s="184">
        <v>17000</v>
      </c>
      <c r="D1256" s="186">
        <v>0.10999000000000003</v>
      </c>
      <c r="E1256" s="194"/>
      <c r="F1256" s="194"/>
      <c r="G1256" s="185"/>
      <c r="J1256" s="225" t="s">
        <v>120</v>
      </c>
    </row>
    <row r="1257" spans="1:10" x14ac:dyDescent="0.25">
      <c r="A1257" s="180" t="s">
        <v>315</v>
      </c>
      <c r="C1257" s="184">
        <v>9999999999</v>
      </c>
      <c r="D1257" s="186">
        <v>7.9079999999999984E-2</v>
      </c>
      <c r="E1257" s="194"/>
      <c r="F1257" s="194"/>
      <c r="G1257" s="185"/>
      <c r="J1257" s="225" t="s">
        <v>122</v>
      </c>
    </row>
    <row r="1258" spans="1:10" x14ac:dyDescent="0.25">
      <c r="C1258" s="184"/>
      <c r="D1258" s="185"/>
      <c r="E1258" s="194"/>
      <c r="F1258" s="194"/>
      <c r="G1258" s="185">
        <f>VLOOKUP(J1258,'EXHIBIT JDT-3 IND'!D:N,7,FALSE)/10</f>
        <v>0.11674999999999999</v>
      </c>
      <c r="J1258" s="223" t="s">
        <v>350</v>
      </c>
    </row>
    <row r="1259" spans="1:10" x14ac:dyDescent="0.25">
      <c r="C1259" s="184"/>
      <c r="D1259" s="185"/>
      <c r="E1259" s="194"/>
      <c r="F1259" s="194"/>
      <c r="G1259" s="183"/>
      <c r="J1259" s="223"/>
    </row>
    <row r="1260" spans="1:10" hidden="1" x14ac:dyDescent="0.25">
      <c r="A1260" s="180" t="s">
        <v>316</v>
      </c>
      <c r="D1260" s="185">
        <v>0</v>
      </c>
      <c r="G1260" s="185">
        <f>D1260</f>
        <v>0</v>
      </c>
      <c r="J1260" s="188" t="s">
        <v>370</v>
      </c>
    </row>
    <row r="1261" spans="1:10" hidden="1" x14ac:dyDescent="0.25">
      <c r="A1261" s="180" t="s">
        <v>317</v>
      </c>
      <c r="D1261" s="185">
        <v>0</v>
      </c>
      <c r="G1261" s="185">
        <f t="shared" ref="G1261:G1263" si="179">D1261</f>
        <v>0</v>
      </c>
      <c r="J1261" s="188" t="s">
        <v>370</v>
      </c>
    </row>
    <row r="1262" spans="1:10" hidden="1" x14ac:dyDescent="0.25">
      <c r="A1262" s="180" t="s">
        <v>318</v>
      </c>
      <c r="D1262" s="185">
        <v>0</v>
      </c>
      <c r="G1262" s="185">
        <f t="shared" si="179"/>
        <v>0</v>
      </c>
      <c r="J1262" s="188"/>
    </row>
    <row r="1263" spans="1:10" hidden="1" x14ac:dyDescent="0.25">
      <c r="A1263" s="180" t="s">
        <v>319</v>
      </c>
      <c r="D1263" s="185">
        <v>0</v>
      </c>
      <c r="G1263" s="185">
        <f t="shared" si="179"/>
        <v>0</v>
      </c>
      <c r="J1263" s="188"/>
    </row>
    <row r="1264" spans="1:10" hidden="1" x14ac:dyDescent="0.25">
      <c r="A1264" s="180" t="s">
        <v>320</v>
      </c>
      <c r="D1264" s="185">
        <v>0</v>
      </c>
      <c r="G1264" s="185">
        <f>IFERROR(VLOOKUP(J1264,'EXHIBIT JDT-3 IND'!D:N,7,FALSE)/10,)</f>
        <v>0</v>
      </c>
      <c r="J1264" s="188"/>
    </row>
    <row r="1265" spans="1:25" hidden="1" x14ac:dyDescent="0.25">
      <c r="A1265" s="180" t="s">
        <v>341</v>
      </c>
      <c r="D1265" s="185">
        <v>0</v>
      </c>
      <c r="G1265" s="185">
        <f>IFERROR(VLOOKUP(J1265,'EXHIBIT JDT-3 IND'!D:N,7,FALSE)/10,)</f>
        <v>0</v>
      </c>
      <c r="J1265" s="188"/>
    </row>
    <row r="1266" spans="1:25" hidden="1" x14ac:dyDescent="0.25">
      <c r="A1266" s="180" t="s">
        <v>342</v>
      </c>
      <c r="D1266" s="185">
        <v>0</v>
      </c>
      <c r="G1266" s="185">
        <v>0</v>
      </c>
      <c r="J1266" s="188" t="s">
        <v>370</v>
      </c>
    </row>
    <row r="1267" spans="1:25" hidden="1" x14ac:dyDescent="0.25">
      <c r="A1267" s="180" t="s">
        <v>343</v>
      </c>
      <c r="D1267" s="185">
        <v>0</v>
      </c>
      <c r="G1267" s="185">
        <v>0</v>
      </c>
      <c r="J1267" s="188" t="s">
        <v>370</v>
      </c>
    </row>
    <row r="1268" spans="1:25" hidden="1" x14ac:dyDescent="0.25"/>
    <row r="1269" spans="1:25" hidden="1" x14ac:dyDescent="0.25">
      <c r="A1269" s="180" t="s">
        <v>321</v>
      </c>
      <c r="D1269" s="195">
        <f>$D$23</f>
        <v>0</v>
      </c>
      <c r="G1269" s="195">
        <v>0</v>
      </c>
    </row>
    <row r="1270" spans="1:25" hidden="1" x14ac:dyDescent="0.25"/>
    <row r="1271" spans="1:25" hidden="1" x14ac:dyDescent="0.25"/>
    <row r="1272" spans="1:25" x14ac:dyDescent="0.25">
      <c r="G1272" s="190" t="s">
        <v>322</v>
      </c>
      <c r="H1272" s="190"/>
    </row>
    <row r="1273" spans="1:25" x14ac:dyDescent="0.25">
      <c r="B1273" s="176" t="s">
        <v>323</v>
      </c>
      <c r="C1273" s="181" t="s">
        <v>311</v>
      </c>
      <c r="D1273" s="181" t="s">
        <v>312</v>
      </c>
      <c r="E1273" s="181" t="s">
        <v>311</v>
      </c>
      <c r="F1273" s="181" t="s">
        <v>312</v>
      </c>
      <c r="G1273" s="181" t="s">
        <v>324</v>
      </c>
      <c r="H1273" s="181" t="s">
        <v>325</v>
      </c>
      <c r="J1273" s="191"/>
    </row>
    <row r="1274" spans="1:25" x14ac:dyDescent="0.25">
      <c r="C1274" s="192" t="s">
        <v>326</v>
      </c>
      <c r="D1274" s="192" t="s">
        <v>327</v>
      </c>
      <c r="E1274" s="181" t="s">
        <v>328</v>
      </c>
      <c r="F1274" s="181" t="s">
        <v>328</v>
      </c>
      <c r="G1274" s="192" t="s">
        <v>329</v>
      </c>
    </row>
    <row r="1275" spans="1:25" x14ac:dyDescent="0.25">
      <c r="E1275" s="194"/>
      <c r="F1275" s="194"/>
    </row>
    <row r="1276" spans="1:25" s="227" customFormat="1" x14ac:dyDescent="0.25">
      <c r="A1276" s="600"/>
      <c r="B1276" s="176">
        <v>0</v>
      </c>
      <c r="C1276" s="193">
        <f>ROUND((D1254+MINA(B1276,C1255)*D1255+MINA(C1256,MAXA(B1276-C1255,0))*D1256+MAXA(B1276-C1255-C1256,0)*D1257+B1276*(D1260+D1261+D1262+D1263+D1264+D1265+D1266+D1267))*(1+D1269),2)</f>
        <v>201.91</v>
      </c>
      <c r="D1276" s="193">
        <f>ROUND((G1254+(SUM(G1258:G1267)*B1276))*(1+G1269),2)</f>
        <v>303</v>
      </c>
      <c r="E1276" s="193"/>
      <c r="F1276" s="193"/>
      <c r="G1276" s="193">
        <f t="shared" ref="G1276:G1305" si="180">D1276-C1276</f>
        <v>101.09</v>
      </c>
      <c r="H1276" s="195">
        <f t="shared" ref="H1276:H1305" si="181">ROUND(G1276/C1276,4)</f>
        <v>0.50070000000000003</v>
      </c>
      <c r="J1276" s="177"/>
      <c r="Y1276" s="571"/>
    </row>
    <row r="1277" spans="1:25" s="227" customFormat="1" x14ac:dyDescent="0.25">
      <c r="A1277" s="600"/>
      <c r="B1277" s="176">
        <f>B1276+100</f>
        <v>100</v>
      </c>
      <c r="C1277" s="193">
        <f>ROUND((D1254+MINA(B1277,C1255)*D1255+MINA(C1256,MAXA(B1277-C1255,0))*D1256+MAXA(B1277-C1255-C1256,0)*D1257+B1277*(D1260+D1261+D1262+D1263+D1264+D1265+D1266+D1267))*(1+D1269),2)</f>
        <v>216.86</v>
      </c>
      <c r="D1277" s="193">
        <f>ROUND((G1254+(SUM(G1258:G1267)*B1277))*(1+G1269),2)</f>
        <v>314.68</v>
      </c>
      <c r="E1277" s="194">
        <f t="shared" ref="E1277:E1305" si="182">+C1277/B1277</f>
        <v>2.1686000000000001</v>
      </c>
      <c r="F1277" s="194">
        <f t="shared" ref="F1277:F1305" si="183">+D1277/B1277</f>
        <v>3.1468000000000003</v>
      </c>
      <c r="G1277" s="193">
        <f t="shared" si="180"/>
        <v>97.82</v>
      </c>
      <c r="H1277" s="195">
        <f t="shared" si="181"/>
        <v>0.4511</v>
      </c>
      <c r="J1277" s="177"/>
      <c r="Y1277" s="571"/>
    </row>
    <row r="1278" spans="1:25" s="227" customFormat="1" x14ac:dyDescent="0.25">
      <c r="A1278" s="600"/>
      <c r="B1278" s="176">
        <f t="shared" ref="B1278:B1304" si="184">B1277+100</f>
        <v>200</v>
      </c>
      <c r="C1278" s="193">
        <f>ROUND((D1254+MINA(B1278,C1255)*D1255+MINA(C1256,MAXA(B1278-C1255,0))*D1256+MAXA(B1278-C1255-C1256,0)*D1257+B1278*(D1260+D1261+D1262+D1263+D1264+D1265+D1266+D1267))*(1+D1269),2)</f>
        <v>231.81</v>
      </c>
      <c r="D1278" s="193">
        <f>ROUND((G1254+(SUM(G1258:G1267)*B1278))*(1+G1269),2)</f>
        <v>326.35000000000002</v>
      </c>
      <c r="E1278" s="194">
        <f t="shared" si="182"/>
        <v>1.1590499999999999</v>
      </c>
      <c r="F1278" s="194">
        <f t="shared" si="183"/>
        <v>1.63175</v>
      </c>
      <c r="G1278" s="193">
        <f t="shared" si="180"/>
        <v>94.54000000000002</v>
      </c>
      <c r="H1278" s="195">
        <f t="shared" si="181"/>
        <v>0.4078</v>
      </c>
      <c r="J1278" s="177"/>
      <c r="Y1278" s="571"/>
    </row>
    <row r="1279" spans="1:25" s="227" customFormat="1" x14ac:dyDescent="0.25">
      <c r="A1279" s="600"/>
      <c r="B1279" s="176">
        <f t="shared" si="184"/>
        <v>300</v>
      </c>
      <c r="C1279" s="193">
        <f>ROUND((D1254+MINA(B1279,C1255)*D1255+MINA(C1256,MAXA(B1279-C1255,0))*D1256+MAXA(B1279-C1255-C1256,0)*D1257+B1279*(D1260+D1261+D1262+D1263+D1264+D1265+D1266+D1267))*(1+D1269),2)</f>
        <v>246.75</v>
      </c>
      <c r="D1279" s="193">
        <f>ROUND((G1254+(SUM(G1258:G1267)*B1279))*(1+G1269),2)</f>
        <v>338.03</v>
      </c>
      <c r="E1279" s="194">
        <f t="shared" si="182"/>
        <v>0.82250000000000001</v>
      </c>
      <c r="F1279" s="194">
        <f t="shared" si="183"/>
        <v>1.1267666666666665</v>
      </c>
      <c r="G1279" s="193">
        <f t="shared" si="180"/>
        <v>91.279999999999973</v>
      </c>
      <c r="H1279" s="195">
        <f t="shared" si="181"/>
        <v>0.36990000000000001</v>
      </c>
      <c r="J1279" s="177"/>
      <c r="Y1279" s="571"/>
    </row>
    <row r="1280" spans="1:25" s="227" customFormat="1" x14ac:dyDescent="0.25">
      <c r="A1280" s="600"/>
      <c r="B1280" s="176">
        <f t="shared" si="184"/>
        <v>400</v>
      </c>
      <c r="C1280" s="193">
        <f>ROUND((D1254+MINA(B1280,C1255)*D1255+MINA(C1256,MAXA(B1280-C1255,0))*D1256+MAXA(B1280-C1255-C1256,0)*D1257+B1280*(D1260+D1261+D1262+D1263+D1264+D1265+D1266+D1267))*(1+D1269),2)</f>
        <v>261.7</v>
      </c>
      <c r="D1280" s="193">
        <f>ROUND((G1254+(SUM(G1258:G1267)*B1280))*(1+G1269),2)</f>
        <v>349.7</v>
      </c>
      <c r="E1280" s="194">
        <f t="shared" si="182"/>
        <v>0.65425</v>
      </c>
      <c r="F1280" s="194">
        <f t="shared" si="183"/>
        <v>0.87424999999999997</v>
      </c>
      <c r="G1280" s="193">
        <f t="shared" si="180"/>
        <v>88</v>
      </c>
      <c r="H1280" s="195">
        <f t="shared" si="181"/>
        <v>0.33629999999999999</v>
      </c>
      <c r="J1280" s="177"/>
      <c r="Y1280" s="571"/>
    </row>
    <row r="1281" spans="1:25" s="227" customFormat="1" x14ac:dyDescent="0.25">
      <c r="A1281" s="600"/>
      <c r="B1281" s="176">
        <f t="shared" si="184"/>
        <v>500</v>
      </c>
      <c r="C1281" s="193">
        <f>ROUND((D1254+MINA(B1281,C1255)*D1255+MINA(C1256,MAXA(B1281-C1255,0))*D1256+MAXA(B1281-C1255-C1256,0)*D1257+B1281*(D1260+D1261+D1262+D1263+D1264+D1265+D1266+D1267))*(1+D1269),2)</f>
        <v>276.64999999999998</v>
      </c>
      <c r="D1281" s="193">
        <f>ROUND((G1254+(SUM(G1258:G1267)*B1281))*(1+G1269),2)</f>
        <v>361.38</v>
      </c>
      <c r="E1281" s="194">
        <f t="shared" si="182"/>
        <v>0.5532999999999999</v>
      </c>
      <c r="F1281" s="194">
        <f t="shared" si="183"/>
        <v>0.72275999999999996</v>
      </c>
      <c r="G1281" s="193">
        <f t="shared" si="180"/>
        <v>84.730000000000018</v>
      </c>
      <c r="H1281" s="195">
        <f t="shared" si="181"/>
        <v>0.30630000000000002</v>
      </c>
      <c r="J1281" s="177"/>
      <c r="Y1281" s="571"/>
    </row>
    <row r="1282" spans="1:25" s="227" customFormat="1" x14ac:dyDescent="0.25">
      <c r="A1282" s="600"/>
      <c r="B1282" s="176">
        <f t="shared" si="184"/>
        <v>600</v>
      </c>
      <c r="C1282" s="193">
        <f>ROUND((D1254+MINA(B1282,C1255)*D1255+MINA(C1256,MAXA(B1282-C1255,0))*D1256+MAXA(B1282-C1255-C1256,0)*D1257+B1282*(D1260+D1261+D1262+D1263+D1264+D1265+D1266+D1267))*(1+D1269),2)</f>
        <v>291.60000000000002</v>
      </c>
      <c r="D1282" s="193">
        <f>ROUND((G1254+(SUM(G1258:G1267)*B1282))*(1+G1269),2)</f>
        <v>373.05</v>
      </c>
      <c r="E1282" s="194">
        <f t="shared" si="182"/>
        <v>0.48600000000000004</v>
      </c>
      <c r="F1282" s="194">
        <f t="shared" si="183"/>
        <v>0.62175000000000002</v>
      </c>
      <c r="G1282" s="193">
        <f t="shared" si="180"/>
        <v>81.449999999999989</v>
      </c>
      <c r="H1282" s="195">
        <f t="shared" si="181"/>
        <v>0.27929999999999999</v>
      </c>
      <c r="J1282" s="177"/>
      <c r="Y1282" s="571"/>
    </row>
    <row r="1283" spans="1:25" s="227" customFormat="1" x14ac:dyDescent="0.25">
      <c r="A1283" s="600"/>
      <c r="B1283" s="176">
        <f t="shared" si="184"/>
        <v>700</v>
      </c>
      <c r="C1283" s="193">
        <f>ROUND((D1254+MINA(B1283,C1255)*D1255+MINA(C1256,MAXA(B1283-C1255,0))*D1256+MAXA(B1283-C1255-C1256,0)*D1257+B1283*(D1260+D1261+D1262+D1263+D1264+D1265+D1266+D1267))*(1+D1269),2)</f>
        <v>306.55</v>
      </c>
      <c r="D1283" s="193">
        <f>ROUND((G1254+(SUM(G1258:G1267)*B1283))*(1+G1269),2)</f>
        <v>384.73</v>
      </c>
      <c r="E1283" s="194">
        <f t="shared" si="182"/>
        <v>0.43792857142857144</v>
      </c>
      <c r="F1283" s="194">
        <f t="shared" si="183"/>
        <v>0.54961428571428572</v>
      </c>
      <c r="G1283" s="193">
        <f t="shared" si="180"/>
        <v>78.180000000000007</v>
      </c>
      <c r="H1283" s="195">
        <f t="shared" si="181"/>
        <v>0.255</v>
      </c>
      <c r="J1283" s="177"/>
      <c r="Y1283" s="571"/>
    </row>
    <row r="1284" spans="1:25" s="227" customFormat="1" x14ac:dyDescent="0.25">
      <c r="A1284" s="600"/>
      <c r="B1284" s="176">
        <f t="shared" si="184"/>
        <v>800</v>
      </c>
      <c r="C1284" s="193">
        <f>ROUND((D1254+MINA(B1284,C1255)*D1255+MINA(C1256,MAXA(B1284-C1255,0))*D1256+MAXA(B1284-C1255-C1256,0)*D1257+B1284*(D1260+D1261+D1262+D1263+D1264+D1265+D1266+D1267))*(1+D1269),2)</f>
        <v>321.49</v>
      </c>
      <c r="D1284" s="193">
        <f>ROUND((G1254+(SUM(G1258:G1267)*B1284))*(1+G1269),2)</f>
        <v>396.4</v>
      </c>
      <c r="E1284" s="194">
        <f t="shared" si="182"/>
        <v>0.40186250000000001</v>
      </c>
      <c r="F1284" s="194">
        <f t="shared" si="183"/>
        <v>0.4955</v>
      </c>
      <c r="G1284" s="193">
        <f t="shared" si="180"/>
        <v>74.909999999999968</v>
      </c>
      <c r="H1284" s="195">
        <f t="shared" si="181"/>
        <v>0.23300000000000001</v>
      </c>
      <c r="J1284" s="177"/>
      <c r="Y1284" s="571"/>
    </row>
    <row r="1285" spans="1:25" s="227" customFormat="1" x14ac:dyDescent="0.25">
      <c r="A1285" s="600"/>
      <c r="B1285" s="176">
        <f t="shared" si="184"/>
        <v>900</v>
      </c>
      <c r="C1285" s="193">
        <f>ROUND((D1254+MINA(B1285,C1255)*D1255+MINA(C1256,MAXA(B1285-C1255,0))*D1256+MAXA(B1285-C1255-C1256,0)*D1257+B1285*(D1260+D1261+D1262+D1263+D1264+D1265+D1266+D1267))*(1+D1269),2)</f>
        <v>336.44</v>
      </c>
      <c r="D1285" s="193">
        <f>ROUND((G1254+(SUM(G1258:G1267)*B1285))*(1+G1269),2)</f>
        <v>408.08</v>
      </c>
      <c r="E1285" s="194">
        <f t="shared" si="182"/>
        <v>0.37382222222222222</v>
      </c>
      <c r="F1285" s="194">
        <f t="shared" si="183"/>
        <v>0.45342222222222223</v>
      </c>
      <c r="G1285" s="193">
        <f t="shared" si="180"/>
        <v>71.639999999999986</v>
      </c>
      <c r="H1285" s="195">
        <f t="shared" si="181"/>
        <v>0.21290000000000001</v>
      </c>
      <c r="J1285" s="177"/>
      <c r="Y1285" s="571"/>
    </row>
    <row r="1286" spans="1:25" s="227" customFormat="1" x14ac:dyDescent="0.25">
      <c r="A1286" s="600"/>
      <c r="B1286" s="176">
        <f t="shared" si="184"/>
        <v>1000</v>
      </c>
      <c r="C1286" s="193">
        <f>ROUND((D1254+MINA(B1286,C1255)*D1255+MINA(C1256,MAXA(B1286-C1255,0))*D1256+MAXA(B1286-C1255-C1256,0)*D1257+B1286*(D1260+D1261+D1262+D1263+D1264+D1265+D1266+D1267))*(1+D1269),2)</f>
        <v>351.39</v>
      </c>
      <c r="D1286" s="193">
        <f>ROUND((G1254+(SUM(G1258:G1267)*B1286))*(1+G1269),2)</f>
        <v>419.75</v>
      </c>
      <c r="E1286" s="194">
        <f t="shared" si="182"/>
        <v>0.35138999999999998</v>
      </c>
      <c r="F1286" s="194">
        <f t="shared" si="183"/>
        <v>0.41975000000000001</v>
      </c>
      <c r="G1286" s="193">
        <f t="shared" si="180"/>
        <v>68.360000000000014</v>
      </c>
      <c r="H1286" s="195">
        <f t="shared" si="181"/>
        <v>0.19450000000000001</v>
      </c>
      <c r="J1286" s="177"/>
      <c r="Y1286" s="571"/>
    </row>
    <row r="1287" spans="1:25" s="227" customFormat="1" x14ac:dyDescent="0.25">
      <c r="A1287" s="600"/>
      <c r="B1287" s="176">
        <f t="shared" si="184"/>
        <v>1100</v>
      </c>
      <c r="C1287" s="193">
        <f>ROUND((D1254+MINA(B1287,C1255)*D1255+MINA(C1256,MAXA(B1287-C1255,0))*D1256+MAXA(B1287-C1255-C1256,0)*D1257+B1287*(D1260+D1261+D1262+D1263+D1264+D1265+D1266+D1267))*(1+D1269),2)</f>
        <v>366.34</v>
      </c>
      <c r="D1287" s="193">
        <f>ROUND((G1254+(SUM(G1258:G1267)*B1287))*(1+G1269),2)</f>
        <v>431.43</v>
      </c>
      <c r="E1287" s="194">
        <f t="shared" si="182"/>
        <v>0.33303636363636363</v>
      </c>
      <c r="F1287" s="194">
        <f t="shared" si="183"/>
        <v>0.3922090909090909</v>
      </c>
      <c r="G1287" s="193">
        <f t="shared" si="180"/>
        <v>65.090000000000032</v>
      </c>
      <c r="H1287" s="195">
        <f t="shared" si="181"/>
        <v>0.1777</v>
      </c>
      <c r="J1287" s="177"/>
      <c r="Y1287" s="571"/>
    </row>
    <row r="1288" spans="1:25" s="227" customFormat="1" x14ac:dyDescent="0.25">
      <c r="A1288" s="600"/>
      <c r="B1288" s="176">
        <f t="shared" si="184"/>
        <v>1200</v>
      </c>
      <c r="C1288" s="193">
        <f>ROUND((D1254+MINA(B1288,C1255)*D1255+MINA(C1256,MAXA(B1288-C1255,0))*D1256+MAXA(B1288-C1255-C1256,0)*D1257+B1288*(D1260+D1261+D1262+D1263+D1264+D1265+D1266+D1267))*(1+D1269),2)</f>
        <v>381.29</v>
      </c>
      <c r="D1288" s="193">
        <f>ROUND((G1254+(SUM(G1258:G1267)*B1288))*(1+G1269),2)</f>
        <v>443.1</v>
      </c>
      <c r="E1288" s="194">
        <f t="shared" si="182"/>
        <v>0.3177416666666667</v>
      </c>
      <c r="F1288" s="194">
        <f t="shared" si="183"/>
        <v>0.36925000000000002</v>
      </c>
      <c r="G1288" s="193">
        <f t="shared" si="180"/>
        <v>61.81</v>
      </c>
      <c r="H1288" s="195">
        <f t="shared" si="181"/>
        <v>0.16209999999999999</v>
      </c>
      <c r="J1288" s="177"/>
      <c r="Y1288" s="571"/>
    </row>
    <row r="1289" spans="1:25" s="227" customFormat="1" x14ac:dyDescent="0.25">
      <c r="A1289" s="600"/>
      <c r="B1289" s="176">
        <f t="shared" si="184"/>
        <v>1300</v>
      </c>
      <c r="C1289" s="193">
        <f>ROUND((D1254+MINA(B1289,C1255)*D1255+MINA(C1256,MAXA(B1289-C1255,0))*D1256+MAXA(B1289-C1255-C1256,0)*D1257+B1289*(D1260+D1261+D1262+D1263+D1264+D1265+D1266+D1267))*(1+D1269),2)</f>
        <v>396.23</v>
      </c>
      <c r="D1289" s="193">
        <f>ROUND((G1254+(SUM(G1258:G1267)*B1289))*(1+G1269),2)</f>
        <v>454.78</v>
      </c>
      <c r="E1289" s="194">
        <f t="shared" si="182"/>
        <v>0.3047923076923077</v>
      </c>
      <c r="F1289" s="194">
        <f t="shared" si="183"/>
        <v>0.34983076923076922</v>
      </c>
      <c r="G1289" s="193">
        <f t="shared" si="180"/>
        <v>58.549999999999955</v>
      </c>
      <c r="H1289" s="195">
        <f t="shared" si="181"/>
        <v>0.14779999999999999</v>
      </c>
      <c r="J1289" s="177"/>
      <c r="Y1289" s="571"/>
    </row>
    <row r="1290" spans="1:25" s="227" customFormat="1" x14ac:dyDescent="0.25">
      <c r="A1290" s="600"/>
      <c r="B1290" s="176">
        <f t="shared" si="184"/>
        <v>1400</v>
      </c>
      <c r="C1290" s="193">
        <f>ROUND((D1254+MINA(B1290,C1255)*D1255+MINA(C1256,MAXA(B1290-C1255,0))*D1256+MAXA(B1290-C1255-C1256,0)*D1257+B1290*(D1260+D1261+D1262+D1263+D1264+D1265+D1266+D1267))*(1+D1269),2)</f>
        <v>411.18</v>
      </c>
      <c r="D1290" s="193">
        <f>ROUND((G1254+(SUM(G1258:G1267)*B1290))*(1+G1269),2)</f>
        <v>466.45</v>
      </c>
      <c r="E1290" s="194">
        <f t="shared" si="182"/>
        <v>0.29370000000000002</v>
      </c>
      <c r="F1290" s="194">
        <f t="shared" si="183"/>
        <v>0.33317857142857144</v>
      </c>
      <c r="G1290" s="193">
        <f t="shared" si="180"/>
        <v>55.269999999999982</v>
      </c>
      <c r="H1290" s="195">
        <f t="shared" si="181"/>
        <v>0.13439999999999999</v>
      </c>
      <c r="J1290" s="177"/>
      <c r="Y1290" s="571"/>
    </row>
    <row r="1291" spans="1:25" s="227" customFormat="1" x14ac:dyDescent="0.25">
      <c r="A1291" s="600"/>
      <c r="B1291" s="176">
        <f t="shared" si="184"/>
        <v>1500</v>
      </c>
      <c r="C1291" s="193">
        <f>ROUND((D1254+MINA(B1291,C1255)*D1255+MINA(C1256,MAXA(B1291-C1255,0))*D1256+MAXA(B1291-C1255-C1256,0)*D1257+B1291*(D1260+D1261+D1262+D1263+D1264+D1265+D1266+D1267))*(1+D1269),2)</f>
        <v>426.13</v>
      </c>
      <c r="D1291" s="193">
        <f>ROUND((G1254+(SUM(G1258:G1267)*B1291))*(1+G1269),2)</f>
        <v>478.13</v>
      </c>
      <c r="E1291" s="194">
        <f t="shared" si="182"/>
        <v>0.28408666666666665</v>
      </c>
      <c r="F1291" s="194">
        <f t="shared" si="183"/>
        <v>0.31875333333333333</v>
      </c>
      <c r="G1291" s="193">
        <f t="shared" si="180"/>
        <v>52</v>
      </c>
      <c r="H1291" s="195">
        <f t="shared" si="181"/>
        <v>0.122</v>
      </c>
      <c r="J1291" s="177"/>
      <c r="Y1291" s="571"/>
    </row>
    <row r="1292" spans="1:25" s="227" customFormat="1" x14ac:dyDescent="0.25">
      <c r="A1292" s="600"/>
      <c r="B1292" s="176">
        <f t="shared" si="184"/>
        <v>1600</v>
      </c>
      <c r="C1292" s="193">
        <f>ROUND((D1254+MINA(B1292,C1255)*D1255+MINA(C1256,MAXA(B1292-C1255,0))*D1256+MAXA(B1292-C1255-C1256,0)*D1257+B1292*(D1260+D1261+D1262+D1263+D1264+D1265+D1266+D1267))*(1+D1269),2)</f>
        <v>441.08</v>
      </c>
      <c r="D1292" s="193">
        <f>ROUND((G1254+(SUM(G1258:G1267)*B1292))*(1+G1269),2)</f>
        <v>489.8</v>
      </c>
      <c r="E1292" s="194">
        <f t="shared" si="182"/>
        <v>0.275675</v>
      </c>
      <c r="F1292" s="194">
        <f t="shared" si="183"/>
        <v>0.30612499999999998</v>
      </c>
      <c r="G1292" s="193">
        <f t="shared" si="180"/>
        <v>48.720000000000027</v>
      </c>
      <c r="H1292" s="195">
        <f t="shared" si="181"/>
        <v>0.1105</v>
      </c>
      <c r="J1292" s="177"/>
      <c r="Y1292" s="571"/>
    </row>
    <row r="1293" spans="1:25" x14ac:dyDescent="0.25">
      <c r="B1293" s="176">
        <f t="shared" si="184"/>
        <v>1700</v>
      </c>
      <c r="C1293" s="193">
        <f>ROUND((D1254+MINA(B1293,C1255)*D1255+MINA(C1256,MAXA(B1293-C1255,0))*D1256+MAXA(B1293-C1255-C1256,0)*D1257+B1293*(D1260+D1261+D1262+D1263+D1264+D1265+D1266+D1267))*(1+D1269),2)</f>
        <v>456.03</v>
      </c>
      <c r="D1293" s="193">
        <f>ROUND((G1254+(SUM(G1258:G1267)*B1293))*(1+G1269),2)</f>
        <v>501.48</v>
      </c>
      <c r="E1293" s="194">
        <f t="shared" si="182"/>
        <v>0.26825294117647058</v>
      </c>
      <c r="F1293" s="194">
        <f t="shared" si="183"/>
        <v>0.29498823529411766</v>
      </c>
      <c r="G1293" s="193">
        <f t="shared" si="180"/>
        <v>45.450000000000045</v>
      </c>
      <c r="H1293" s="195">
        <f t="shared" si="181"/>
        <v>9.9699999999999997E-2</v>
      </c>
    </row>
    <row r="1294" spans="1:25" x14ac:dyDescent="0.25">
      <c r="B1294" s="176">
        <f t="shared" si="184"/>
        <v>1800</v>
      </c>
      <c r="C1294" s="193">
        <f>ROUND((D1254+MINA(B1294,C1255)*D1255+MINA(C1256,MAXA(B1294-C1255,0))*D1256+MAXA(B1294-C1255-C1256,0)*D1257+B1294*(D1260+D1261+D1262+D1263+D1264+D1265+D1266+D1267))*(1+D1269),2)</f>
        <v>470.97</v>
      </c>
      <c r="D1294" s="193">
        <f>ROUND((G1254+(SUM(G1258:G1267)*B1294))*(1+G1269),2)</f>
        <v>513.15</v>
      </c>
      <c r="E1294" s="194">
        <f t="shared" si="182"/>
        <v>0.26164999999999999</v>
      </c>
      <c r="F1294" s="194">
        <f t="shared" si="183"/>
        <v>0.2850833333333333</v>
      </c>
      <c r="G1294" s="193">
        <f t="shared" si="180"/>
        <v>42.17999999999995</v>
      </c>
      <c r="H1294" s="195">
        <f t="shared" si="181"/>
        <v>8.9599999999999999E-2</v>
      </c>
    </row>
    <row r="1295" spans="1:25" x14ac:dyDescent="0.25">
      <c r="B1295" s="176">
        <f t="shared" si="184"/>
        <v>1900</v>
      </c>
      <c r="C1295" s="193">
        <f>ROUND((D1254+MINA(B1295,C1255)*D1255+MINA(C1256,MAXA(B1295-C1255,0))*D1256+MAXA(B1295-C1255-C1256,0)*D1257+B1295*(D1260+D1261+D1262+D1263+D1264+D1265+D1266+D1267))*(1+D1269),2)</f>
        <v>485.92</v>
      </c>
      <c r="D1295" s="193">
        <f>ROUND((G1254+(SUM(G1258:G1267)*B1295))*(1+G1269),2)</f>
        <v>524.83000000000004</v>
      </c>
      <c r="E1295" s="194">
        <f t="shared" si="182"/>
        <v>0.25574736842105267</v>
      </c>
      <c r="F1295" s="194">
        <f t="shared" si="183"/>
        <v>0.27622631578947371</v>
      </c>
      <c r="G1295" s="193">
        <f t="shared" si="180"/>
        <v>38.910000000000025</v>
      </c>
      <c r="H1295" s="195">
        <f t="shared" si="181"/>
        <v>8.0100000000000005E-2</v>
      </c>
    </row>
    <row r="1296" spans="1:25" x14ac:dyDescent="0.25">
      <c r="B1296" s="176">
        <f t="shared" si="184"/>
        <v>2000</v>
      </c>
      <c r="C1296" s="193">
        <f>ROUND((D1254+MINA(B1296,C1255)*D1255+MINA(C1256,MAXA(B1296-C1255,0))*D1256+MAXA(B1296-C1255-C1256,0)*D1257+B1296*(D1260+D1261+D1262+D1263+D1264+D1265+D1266+D1267))*(1+D1269),2)</f>
        <v>500.87</v>
      </c>
      <c r="D1296" s="193">
        <f>ROUND((G1254+(SUM(G1258:G1267)*B1296))*(1+G1269),2)</f>
        <v>536.5</v>
      </c>
      <c r="E1296" s="194">
        <f t="shared" si="182"/>
        <v>0.25043500000000002</v>
      </c>
      <c r="F1296" s="194">
        <f t="shared" si="183"/>
        <v>0.26824999999999999</v>
      </c>
      <c r="G1296" s="193">
        <f t="shared" si="180"/>
        <v>35.629999999999995</v>
      </c>
      <c r="H1296" s="195">
        <f t="shared" si="181"/>
        <v>7.1099999999999997E-2</v>
      </c>
    </row>
    <row r="1297" spans="1:25" x14ac:dyDescent="0.25">
      <c r="B1297" s="176">
        <f t="shared" si="184"/>
        <v>2100</v>
      </c>
      <c r="C1297" s="193">
        <f>ROUND((D1254+MINA(B1297,C1255)*D1255+MINA(C1256,MAXA(B1297-C1255,0))*D1256+MAXA(B1297-C1255-C1256,0)*D1257+B1297*(D1260+D1261+D1262+D1263+D1264+D1265+D1266+D1267))*(1+D1269),2)</f>
        <v>515.82000000000005</v>
      </c>
      <c r="D1297" s="193">
        <f>ROUND((G1254+(SUM(G1258:G1267)*B1297))*(1+G1269),2)</f>
        <v>548.17999999999995</v>
      </c>
      <c r="E1297" s="194">
        <f t="shared" si="182"/>
        <v>0.24562857142857145</v>
      </c>
      <c r="F1297" s="194">
        <f t="shared" si="183"/>
        <v>0.26103809523809524</v>
      </c>
      <c r="G1297" s="193">
        <f t="shared" si="180"/>
        <v>32.3599999999999</v>
      </c>
      <c r="H1297" s="195">
        <f t="shared" si="181"/>
        <v>6.2700000000000006E-2</v>
      </c>
    </row>
    <row r="1298" spans="1:25" x14ac:dyDescent="0.25">
      <c r="B1298" s="176">
        <f t="shared" si="184"/>
        <v>2200</v>
      </c>
      <c r="C1298" s="193">
        <f>ROUND((D1254+MINA(B1298,C1255)*D1255+MINA(C1256,MAXA(B1298-C1255,0))*D1256+MAXA(B1298-C1255-C1256,0)*D1257+B1298*(D1260+D1261+D1262+D1263+D1264+D1265+D1266+D1267))*(1+D1269),2)</f>
        <v>530.77</v>
      </c>
      <c r="D1298" s="193">
        <f>ROUND((G1254+(SUM(G1258:G1267)*B1298))*(1+G1269),2)</f>
        <v>559.85</v>
      </c>
      <c r="E1298" s="194">
        <f t="shared" si="182"/>
        <v>0.2412590909090909</v>
      </c>
      <c r="F1298" s="194">
        <f t="shared" si="183"/>
        <v>0.25447727272727272</v>
      </c>
      <c r="G1298" s="193">
        <f t="shared" si="180"/>
        <v>29.080000000000041</v>
      </c>
      <c r="H1298" s="195">
        <f t="shared" si="181"/>
        <v>5.4800000000000001E-2</v>
      </c>
    </row>
    <row r="1299" spans="1:25" x14ac:dyDescent="0.25">
      <c r="B1299" s="176">
        <f t="shared" si="184"/>
        <v>2300</v>
      </c>
      <c r="C1299" s="193">
        <f>ROUND((D1254+MINA(B1299,C1255)*D1255+MINA(C1256,MAXA(B1299-C1255,0))*D1256+MAXA(B1299-C1255-C1256,0)*D1257+B1299*(D1260+D1261+D1262+D1263+D1264+D1265+D1266+D1267))*(1+D1269),2)</f>
        <v>545.71</v>
      </c>
      <c r="D1299" s="193">
        <f>ROUND((G1254+(SUM(G1258:G1267)*B1299))*(1+G1269),2)</f>
        <v>571.53</v>
      </c>
      <c r="E1299" s="194">
        <f t="shared" si="182"/>
        <v>0.23726521739130435</v>
      </c>
      <c r="F1299" s="194">
        <f t="shared" si="183"/>
        <v>0.24849130434782607</v>
      </c>
      <c r="G1299" s="193">
        <f t="shared" si="180"/>
        <v>25.819999999999936</v>
      </c>
      <c r="H1299" s="195">
        <f t="shared" si="181"/>
        <v>4.7300000000000002E-2</v>
      </c>
    </row>
    <row r="1300" spans="1:25" x14ac:dyDescent="0.25">
      <c r="B1300" s="176">
        <f t="shared" si="184"/>
        <v>2400</v>
      </c>
      <c r="C1300" s="193">
        <f>ROUND((D1254+MINA(B1300,C1255)*D1255+MINA(C1256,MAXA(B1300-C1255,0))*D1256+MAXA(B1300-C1255-C1256,0)*D1257+B1300*(D1260+D1261+D1262+D1263+D1264+D1265+D1266+D1267))*(1+D1269),2)</f>
        <v>560.66</v>
      </c>
      <c r="D1300" s="193">
        <f>ROUND((G1254+(SUM(G1258:G1267)*B1300))*(1+G1269),2)</f>
        <v>583.20000000000005</v>
      </c>
      <c r="E1300" s="194">
        <f t="shared" si="182"/>
        <v>0.23360833333333331</v>
      </c>
      <c r="F1300" s="194">
        <f t="shared" si="183"/>
        <v>0.24300000000000002</v>
      </c>
      <c r="G1300" s="193">
        <f t="shared" si="180"/>
        <v>22.540000000000077</v>
      </c>
      <c r="H1300" s="195">
        <f t="shared" si="181"/>
        <v>4.02E-2</v>
      </c>
    </row>
    <row r="1301" spans="1:25" x14ac:dyDescent="0.25">
      <c r="B1301" s="176">
        <f t="shared" si="184"/>
        <v>2500</v>
      </c>
      <c r="C1301" s="193">
        <f>ROUND((D1254+MINA(B1301,C1255)*D1255+MINA(C1256,MAXA(B1301-C1255,0))*D1256+MAXA(B1301-C1255-C1256,0)*D1257+B1301*(D1260+D1261+D1262+D1263+D1264+D1265+D1266+D1267))*(1+D1269),2)</f>
        <v>575.61</v>
      </c>
      <c r="D1301" s="193">
        <f>ROUND((G1254+(SUM(G1258:G1267)*B1301))*(1+G1269),2)</f>
        <v>594.88</v>
      </c>
      <c r="E1301" s="194">
        <f t="shared" si="182"/>
        <v>0.230244</v>
      </c>
      <c r="F1301" s="194">
        <f t="shared" si="183"/>
        <v>0.237952</v>
      </c>
      <c r="G1301" s="193">
        <f t="shared" si="180"/>
        <v>19.269999999999982</v>
      </c>
      <c r="H1301" s="195">
        <f t="shared" si="181"/>
        <v>3.3500000000000002E-2</v>
      </c>
    </row>
    <row r="1302" spans="1:25" x14ac:dyDescent="0.25">
      <c r="B1302" s="176">
        <f t="shared" si="184"/>
        <v>2600</v>
      </c>
      <c r="C1302" s="193">
        <f>ROUND((D1254+MINA(B1302,C1255)*D1255+MINA(C1256,MAXA(B1302-C1255,0))*D1256+MAXA(B1302-C1255-C1256,0)*D1257+B1302*(D1260+D1261+D1262+D1263+D1264+D1265+D1266+D1267))*(1+D1269),2)</f>
        <v>590.55999999999995</v>
      </c>
      <c r="D1302" s="193">
        <f>ROUND((G1254+(SUM(G1258:G1267)*B1302))*(1+G1269),2)</f>
        <v>606.54999999999995</v>
      </c>
      <c r="E1302" s="194">
        <f t="shared" si="182"/>
        <v>0.22713846153846151</v>
      </c>
      <c r="F1302" s="194">
        <f t="shared" si="183"/>
        <v>0.23328846153846153</v>
      </c>
      <c r="G1302" s="193">
        <f t="shared" si="180"/>
        <v>15.990000000000009</v>
      </c>
      <c r="H1302" s="195">
        <f t="shared" si="181"/>
        <v>2.7099999999999999E-2</v>
      </c>
    </row>
    <row r="1303" spans="1:25" x14ac:dyDescent="0.25">
      <c r="B1303" s="176">
        <f t="shared" si="184"/>
        <v>2700</v>
      </c>
      <c r="C1303" s="193">
        <f>ROUND((D1254+MINA(B1303,C1255)*D1255+MINA(C1256,MAXA(B1303-C1255,0))*D1256+MAXA(B1303-C1255-C1256,0)*D1257+B1303*(D1260+D1261+D1262+D1263+D1264+D1265+D1266+D1267))*(1+D1269),2)</f>
        <v>605.51</v>
      </c>
      <c r="D1303" s="193">
        <f>ROUND((G1254+(SUM(G1258:G1267)*B1303))*(1+G1269),2)</f>
        <v>618.23</v>
      </c>
      <c r="E1303" s="194">
        <f t="shared" si="182"/>
        <v>0.22426296296296297</v>
      </c>
      <c r="F1303" s="194">
        <f t="shared" si="183"/>
        <v>0.22897407407407408</v>
      </c>
      <c r="G1303" s="193">
        <f t="shared" si="180"/>
        <v>12.720000000000027</v>
      </c>
      <c r="H1303" s="195">
        <f t="shared" si="181"/>
        <v>2.1000000000000001E-2</v>
      </c>
    </row>
    <row r="1304" spans="1:25" x14ac:dyDescent="0.25">
      <c r="B1304" s="176">
        <f t="shared" si="184"/>
        <v>2800</v>
      </c>
      <c r="C1304" s="193">
        <f>ROUND((D1254+MINA(B1304,C1255)*D1255+MINA(C1256,MAXA(B1304-C1255,0))*D1256+MAXA(B1304-C1255-C1256,0)*D1257+B1304*(D1260+D1261+D1262+D1263+D1264+D1265+D1266+D1267))*(1+D1269),2)</f>
        <v>620.45000000000005</v>
      </c>
      <c r="D1304" s="193">
        <f>ROUND((G1254+(SUM(G1258:G1267)*B1304))*(1+G1269),2)</f>
        <v>629.9</v>
      </c>
      <c r="E1304" s="194">
        <f t="shared" si="182"/>
        <v>0.22158928571428574</v>
      </c>
      <c r="F1304" s="194">
        <f t="shared" si="183"/>
        <v>0.2249642857142857</v>
      </c>
      <c r="G1304" s="193">
        <f t="shared" si="180"/>
        <v>9.4499999999999318</v>
      </c>
      <c r="H1304" s="195">
        <f t="shared" si="181"/>
        <v>1.52E-2</v>
      </c>
    </row>
    <row r="1305" spans="1:25" x14ac:dyDescent="0.25">
      <c r="B1305" s="176">
        <f>B1304+100</f>
        <v>2900</v>
      </c>
      <c r="C1305" s="193">
        <f>ROUND(($D$1254+MINA(B1305,$C$1255)*$D$1255+MINA($C$1256,MAXA(B1305-$C$1255,0))*$D$1256+MAXA(B1305-$C$1255-$C$1256,0)*$D$1257+B1305*($D$1260+$D$1261+$D$1262+$D$1263+$D$1264+$D$1265+$D$1266+$D$1267))*(1+$D$1269),2)</f>
        <v>635.4</v>
      </c>
      <c r="D1305" s="193">
        <f>ROUND(($G$1254+(SUM($G$1258:$G$1267)*B1305))*(1+$G$1269),2)</f>
        <v>641.58000000000004</v>
      </c>
      <c r="E1305" s="194">
        <f t="shared" si="182"/>
        <v>0.21910344827586206</v>
      </c>
      <c r="F1305" s="194">
        <f t="shared" si="183"/>
        <v>0.2212344827586207</v>
      </c>
      <c r="G1305" s="193">
        <f t="shared" si="180"/>
        <v>6.1800000000000637</v>
      </c>
      <c r="H1305" s="195">
        <f t="shared" si="181"/>
        <v>9.7000000000000003E-3</v>
      </c>
    </row>
    <row r="1306" spans="1:25" s="227" customFormat="1" x14ac:dyDescent="0.25">
      <c r="A1306" s="600"/>
      <c r="B1306" s="176">
        <f>B1305+100</f>
        <v>3000</v>
      </c>
      <c r="C1306" s="193">
        <f>ROUND(($D$1254+MINA(B1306,$C$1255)*$D$1255+MINA($C$1256,MAXA(B1306-$C$1255,0))*$D$1256+MAXA(B1306-$C$1255-$C$1256,0)*$D$1257+B1306*($D$1260+$D$1261+$D$1262+$D$1263+$D$1264+$D$1265+$D$1266+$D$1267))*(1+$D$1269),2)</f>
        <v>650.35</v>
      </c>
      <c r="D1306" s="193">
        <f>ROUND(($G$1254+(SUM($G$1258:$G$1267)*B1306))*(1+$G$1269),2)</f>
        <v>653.25</v>
      </c>
      <c r="E1306" s="194">
        <f t="shared" ref="E1306" si="185">+C1306/B1306</f>
        <v>0.21678333333333333</v>
      </c>
      <c r="F1306" s="194">
        <f t="shared" ref="F1306" si="186">+D1306/B1306</f>
        <v>0.21775</v>
      </c>
      <c r="G1306" s="193">
        <f t="shared" ref="G1306" si="187">D1306-C1306</f>
        <v>2.8999999999999773</v>
      </c>
      <c r="H1306" s="195">
        <f t="shared" ref="H1306" si="188">ROUND(G1306/C1306,4)</f>
        <v>4.4999999999999997E-3</v>
      </c>
      <c r="J1306" s="177"/>
      <c r="Y1306" s="571"/>
    </row>
    <row r="1307" spans="1:25" s="227" customFormat="1" x14ac:dyDescent="0.25">
      <c r="A1307" s="600"/>
      <c r="B1307" s="176"/>
      <c r="C1307" s="193"/>
      <c r="D1307" s="193"/>
      <c r="E1307" s="194"/>
      <c r="F1307" s="194"/>
      <c r="G1307" s="193"/>
      <c r="H1307" s="195"/>
      <c r="J1307" s="177"/>
      <c r="Y1307" s="571"/>
    </row>
    <row r="1308" spans="1:25" s="227" customFormat="1" hidden="1" x14ac:dyDescent="0.25">
      <c r="A1308" s="600"/>
      <c r="B1308" s="176"/>
      <c r="C1308" s="193"/>
      <c r="D1308" s="193"/>
      <c r="E1308" s="194"/>
      <c r="F1308" s="194"/>
      <c r="G1308" s="193"/>
      <c r="H1308" s="195"/>
      <c r="J1308" s="177"/>
      <c r="Y1308" s="571"/>
    </row>
    <row r="1309" spans="1:25" s="227" customFormat="1" hidden="1" x14ac:dyDescent="0.25">
      <c r="A1309" s="600"/>
      <c r="B1309" s="176"/>
      <c r="C1309" s="193"/>
      <c r="D1309" s="193"/>
      <c r="E1309" s="194"/>
      <c r="F1309" s="194"/>
      <c r="G1309" s="193"/>
      <c r="H1309" s="195"/>
      <c r="J1309" s="177"/>
      <c r="Y1309" s="571"/>
    </row>
    <row r="1310" spans="1:25" s="227" customFormat="1" hidden="1" x14ac:dyDescent="0.25">
      <c r="A1310" s="600"/>
      <c r="B1310" s="176"/>
      <c r="C1310" s="193"/>
      <c r="D1310" s="193"/>
      <c r="E1310" s="194"/>
      <c r="F1310" s="194"/>
      <c r="G1310" s="193"/>
      <c r="H1310" s="195"/>
      <c r="J1310" s="177"/>
      <c r="Y1310" s="571"/>
    </row>
    <row r="1311" spans="1:25" hidden="1" x14ac:dyDescent="0.25">
      <c r="E1311" s="194"/>
      <c r="F1311" s="194"/>
    </row>
    <row r="1312" spans="1:25" hidden="1" x14ac:dyDescent="0.25">
      <c r="E1312" s="194"/>
      <c r="F1312" s="194"/>
    </row>
    <row r="1313" spans="1:10" hidden="1" x14ac:dyDescent="0.25">
      <c r="A1313" s="180" t="s">
        <v>21</v>
      </c>
      <c r="B1313" s="179"/>
      <c r="C1313" s="179"/>
      <c r="D1313" s="179"/>
      <c r="E1313" s="179"/>
      <c r="F1313" s="179"/>
      <c r="G1313" s="179"/>
      <c r="H1313" s="179"/>
      <c r="I1313" s="180"/>
    </row>
    <row r="1314" spans="1:10" hidden="1" x14ac:dyDescent="0.25">
      <c r="A1314" s="180" t="s">
        <v>22</v>
      </c>
      <c r="B1314" s="179"/>
      <c r="C1314" s="179"/>
      <c r="D1314" s="179"/>
      <c r="E1314" s="179"/>
      <c r="F1314" s="179"/>
      <c r="G1314" s="179"/>
      <c r="H1314" s="179"/>
      <c r="I1314" s="180"/>
    </row>
    <row r="1315" spans="1:10" hidden="1" x14ac:dyDescent="0.25">
      <c r="A1315" s="180" t="s">
        <v>310</v>
      </c>
      <c r="B1315" s="179"/>
      <c r="C1315" s="179"/>
      <c r="D1315" s="179"/>
      <c r="E1315" s="179"/>
      <c r="F1315" s="179"/>
      <c r="G1315" s="179"/>
      <c r="H1315" s="179"/>
      <c r="I1315" s="180"/>
    </row>
    <row r="1316" spans="1:10" x14ac:dyDescent="0.25">
      <c r="A1316" s="599" t="s">
        <v>363</v>
      </c>
      <c r="B1316" s="179"/>
      <c r="C1316" s="179"/>
      <c r="D1316" s="179"/>
      <c r="E1316" s="179"/>
      <c r="F1316" s="179"/>
      <c r="G1316" s="179"/>
      <c r="H1316" s="179"/>
      <c r="I1316" s="180"/>
    </row>
    <row r="1318" spans="1:10" hidden="1" x14ac:dyDescent="0.25"/>
    <row r="1319" spans="1:10" x14ac:dyDescent="0.25">
      <c r="D1319" s="181" t="s">
        <v>311</v>
      </c>
      <c r="G1319" s="181" t="s">
        <v>312</v>
      </c>
    </row>
    <row r="1320" spans="1:10" x14ac:dyDescent="0.25">
      <c r="D1320" s="182" t="s">
        <v>313</v>
      </c>
      <c r="G1320" s="182" t="s">
        <v>313</v>
      </c>
    </row>
    <row r="1321" spans="1:10" x14ac:dyDescent="0.25">
      <c r="A1321" s="180" t="s">
        <v>314</v>
      </c>
      <c r="D1321" s="183">
        <v>201.91</v>
      </c>
      <c r="G1321" s="183">
        <f>VLOOKUP(J1321,'EXHIBIT JDT-3 IND'!D:N,7,FALSE)</f>
        <v>303</v>
      </c>
      <c r="J1321" s="177" t="s">
        <v>118</v>
      </c>
    </row>
    <row r="1322" spans="1:10" x14ac:dyDescent="0.25">
      <c r="A1322" s="180" t="s">
        <v>315</v>
      </c>
      <c r="C1322" s="184">
        <v>9999999999</v>
      </c>
      <c r="D1322" s="185">
        <v>0.10903999999999998</v>
      </c>
      <c r="G1322" s="185">
        <f>VLOOKUP(J1322,'EXHIBIT JDT-3 IND'!D:N,7,FALSE)/10</f>
        <v>0.11674999999999999</v>
      </c>
      <c r="J1322" s="177" t="s">
        <v>131</v>
      </c>
    </row>
    <row r="1323" spans="1:10" x14ac:dyDescent="0.25">
      <c r="C1323" s="184"/>
      <c r="D1323" s="185"/>
      <c r="G1323" s="185"/>
    </row>
    <row r="1324" spans="1:10" hidden="1" x14ac:dyDescent="0.25">
      <c r="C1324" s="184"/>
      <c r="D1324" s="185"/>
      <c r="G1324" s="185"/>
    </row>
    <row r="1325" spans="1:10" hidden="1" x14ac:dyDescent="0.25">
      <c r="A1325" s="180" t="s">
        <v>316</v>
      </c>
      <c r="D1325" s="185">
        <v>0</v>
      </c>
      <c r="E1325" s="186"/>
      <c r="F1325" s="186"/>
      <c r="G1325" s="185">
        <f>D1325</f>
        <v>0</v>
      </c>
      <c r="J1325" s="187" t="s">
        <v>370</v>
      </c>
    </row>
    <row r="1326" spans="1:10" hidden="1" x14ac:dyDescent="0.25">
      <c r="A1326" s="180" t="s">
        <v>152</v>
      </c>
      <c r="D1326" s="185">
        <v>0</v>
      </c>
      <c r="E1326" s="186"/>
      <c r="F1326" s="186"/>
      <c r="G1326" s="185">
        <f t="shared" ref="G1326:G1328" si="189">D1326</f>
        <v>0</v>
      </c>
      <c r="J1326" s="188" t="s">
        <v>370</v>
      </c>
    </row>
    <row r="1327" spans="1:10" hidden="1" x14ac:dyDescent="0.25">
      <c r="A1327" s="180" t="s">
        <v>318</v>
      </c>
      <c r="D1327" s="185">
        <v>0</v>
      </c>
      <c r="E1327" s="186"/>
      <c r="F1327" s="186"/>
      <c r="G1327" s="185">
        <f t="shared" si="189"/>
        <v>0</v>
      </c>
      <c r="J1327" s="187"/>
    </row>
    <row r="1328" spans="1:10" hidden="1" x14ac:dyDescent="0.25">
      <c r="A1328" s="180" t="s">
        <v>319</v>
      </c>
      <c r="D1328" s="185">
        <v>0</v>
      </c>
      <c r="E1328" s="186"/>
      <c r="F1328" s="186"/>
      <c r="G1328" s="185">
        <f t="shared" si="189"/>
        <v>0</v>
      </c>
      <c r="J1328" s="187"/>
    </row>
    <row r="1329" spans="1:25" hidden="1" x14ac:dyDescent="0.25">
      <c r="A1329" s="180" t="s">
        <v>320</v>
      </c>
      <c r="D1329" s="185">
        <v>0</v>
      </c>
      <c r="E1329" s="186"/>
      <c r="F1329" s="186"/>
      <c r="G1329" s="185">
        <f>IFERROR(VLOOKUP(J1329,'EXHIBIT JDT-3 IND'!D:N,7,FALSE)/10,0)</f>
        <v>0</v>
      </c>
      <c r="J1329" s="187"/>
    </row>
    <row r="1330" spans="1:25" hidden="1" x14ac:dyDescent="0.25">
      <c r="A1330" s="180" t="s">
        <v>341</v>
      </c>
      <c r="D1330" s="185">
        <v>0</v>
      </c>
      <c r="E1330" s="186"/>
      <c r="F1330" s="186"/>
      <c r="G1330" s="185">
        <f>IFERROR(VLOOKUP(J1330,'EXHIBIT JDT-3 IND'!D:N,7,FALSE)/10,0)</f>
        <v>0</v>
      </c>
      <c r="J1330" s="187"/>
    </row>
    <row r="1331" spans="1:25" hidden="1" x14ac:dyDescent="0.25">
      <c r="A1331" s="180" t="s">
        <v>342</v>
      </c>
      <c r="D1331" s="185">
        <v>0</v>
      </c>
      <c r="E1331" s="186"/>
      <c r="F1331" s="186"/>
      <c r="G1331" s="185">
        <v>0</v>
      </c>
      <c r="J1331" s="188" t="s">
        <v>370</v>
      </c>
    </row>
    <row r="1332" spans="1:25" hidden="1" x14ac:dyDescent="0.25">
      <c r="A1332" s="180" t="s">
        <v>343</v>
      </c>
      <c r="D1332" s="185">
        <v>0</v>
      </c>
      <c r="E1332" s="186"/>
      <c r="F1332" s="186"/>
      <c r="G1332" s="185">
        <v>0</v>
      </c>
      <c r="J1332" s="188" t="s">
        <v>370</v>
      </c>
    </row>
    <row r="1333" spans="1:25" hidden="1" x14ac:dyDescent="0.25">
      <c r="E1333" s="186"/>
      <c r="F1333" s="186"/>
      <c r="G1333" s="186"/>
    </row>
    <row r="1334" spans="1:25" hidden="1" x14ac:dyDescent="0.25">
      <c r="A1334" s="180" t="s">
        <v>321</v>
      </c>
      <c r="D1334" s="189">
        <v>0</v>
      </c>
      <c r="G1334" s="189">
        <v>0</v>
      </c>
    </row>
    <row r="1335" spans="1:25" hidden="1" x14ac:dyDescent="0.25"/>
    <row r="1336" spans="1:25" hidden="1" x14ac:dyDescent="0.25"/>
    <row r="1337" spans="1:25" x14ac:dyDescent="0.25">
      <c r="G1337" s="190" t="s">
        <v>322</v>
      </c>
      <c r="H1337" s="190"/>
    </row>
    <row r="1338" spans="1:25" x14ac:dyDescent="0.25">
      <c r="B1338" s="176" t="s">
        <v>323</v>
      </c>
      <c r="C1338" s="181" t="s">
        <v>311</v>
      </c>
      <c r="D1338" s="181" t="s">
        <v>312</v>
      </c>
      <c r="E1338" s="181" t="s">
        <v>311</v>
      </c>
      <c r="F1338" s="181" t="s">
        <v>312</v>
      </c>
      <c r="G1338" s="181" t="s">
        <v>324</v>
      </c>
      <c r="H1338" s="181" t="s">
        <v>325</v>
      </c>
      <c r="J1338" s="191"/>
    </row>
    <row r="1339" spans="1:25" x14ac:dyDescent="0.25">
      <c r="C1339" s="192" t="s">
        <v>326</v>
      </c>
      <c r="D1339" s="192" t="s">
        <v>327</v>
      </c>
      <c r="E1339" s="181" t="s">
        <v>328</v>
      </c>
      <c r="F1339" s="181" t="s">
        <v>328</v>
      </c>
      <c r="G1339" s="192" t="s">
        <v>329</v>
      </c>
      <c r="J1339" s="191"/>
    </row>
    <row r="1340" spans="1:25" x14ac:dyDescent="0.25">
      <c r="B1340" s="176" t="s">
        <v>330</v>
      </c>
      <c r="J1340" s="191"/>
    </row>
    <row r="1341" spans="1:25" s="227" customFormat="1" x14ac:dyDescent="0.25">
      <c r="A1341" s="600"/>
      <c r="B1341" s="176">
        <v>0</v>
      </c>
      <c r="C1341" s="193">
        <f>ROUND((D1321+B1341*D1322+B1341*(D1325+D1326+D1327+D1328+D1329+D1330+D1331+D1332))*(1+D1334),2)</f>
        <v>201.91</v>
      </c>
      <c r="D1341" s="193">
        <f>ROUND(($G$1321+(SUM($G$1322:$G$1332)*B1341))*(1+$G$1334),2)</f>
        <v>303</v>
      </c>
      <c r="E1341" s="194"/>
      <c r="F1341" s="194"/>
      <c r="G1341" s="193">
        <f t="shared" ref="G1341:G1371" si="190">D1341-C1341</f>
        <v>101.09</v>
      </c>
      <c r="H1341" s="195">
        <f t="shared" ref="H1341:H1371" si="191">ROUND(G1341/C1341,4)</f>
        <v>0.50070000000000003</v>
      </c>
      <c r="J1341" s="207"/>
      <c r="L1341" s="228"/>
      <c r="Y1341" s="571"/>
    </row>
    <row r="1342" spans="1:25" s="227" customFormat="1" x14ac:dyDescent="0.25">
      <c r="A1342" s="600"/>
      <c r="B1342" s="176">
        <f>B1341+1000</f>
        <v>1000</v>
      </c>
      <c r="C1342" s="193">
        <f>ROUND((D1321+B1342*D1322+B1342*(D1325+D1326+D1327+D1328+D1329+D1330+D1331+D1332))*(1+D1334),2)</f>
        <v>310.95</v>
      </c>
      <c r="D1342" s="193">
        <f t="shared" ref="D1342:D1371" si="192">ROUND(($G$1321+(SUM($G$1322:$G$1332)*B1342))*(1+$G$1334),2)</f>
        <v>419.75</v>
      </c>
      <c r="E1342" s="194">
        <f t="shared" ref="E1342:E1371" si="193">+C1342/B1342</f>
        <v>0.31095</v>
      </c>
      <c r="F1342" s="194">
        <f t="shared" ref="F1342:F1371" si="194">+D1342/B1342</f>
        <v>0.41975000000000001</v>
      </c>
      <c r="G1342" s="193">
        <f t="shared" si="190"/>
        <v>108.80000000000001</v>
      </c>
      <c r="H1342" s="195">
        <f t="shared" si="191"/>
        <v>0.34989999999999999</v>
      </c>
      <c r="J1342" s="207"/>
      <c r="L1342" s="228"/>
      <c r="Y1342" s="571"/>
    </row>
    <row r="1343" spans="1:25" s="227" customFormat="1" x14ac:dyDescent="0.25">
      <c r="A1343" s="600"/>
      <c r="B1343" s="176">
        <f t="shared" ref="B1343:B1370" si="195">B1342+1000</f>
        <v>2000</v>
      </c>
      <c r="C1343" s="193">
        <f>ROUND((D1321+B1343*D1322+B1343*(D1325+D1326+D1327+D1328+D1329+D1330+D1331+D1332))*(1+D1334),2)</f>
        <v>419.99</v>
      </c>
      <c r="D1343" s="193">
        <f t="shared" si="192"/>
        <v>536.5</v>
      </c>
      <c r="E1343" s="194">
        <f t="shared" si="193"/>
        <v>0.20999500000000001</v>
      </c>
      <c r="F1343" s="194">
        <f t="shared" si="194"/>
        <v>0.26824999999999999</v>
      </c>
      <c r="G1343" s="193">
        <f t="shared" si="190"/>
        <v>116.50999999999999</v>
      </c>
      <c r="H1343" s="195">
        <f t="shared" si="191"/>
        <v>0.27739999999999998</v>
      </c>
      <c r="J1343" s="207"/>
      <c r="L1343" s="228"/>
      <c r="Y1343" s="571"/>
    </row>
    <row r="1344" spans="1:25" s="227" customFormat="1" x14ac:dyDescent="0.25">
      <c r="A1344" s="600"/>
      <c r="B1344" s="176">
        <f t="shared" si="195"/>
        <v>3000</v>
      </c>
      <c r="C1344" s="193">
        <f>ROUND((D1321+B1344*D1322+B1344*(D1325+D1326+D1327+D1328+D1329+D1330+D1331+D1332))*(1+D1334),2)</f>
        <v>529.03</v>
      </c>
      <c r="D1344" s="193">
        <f t="shared" si="192"/>
        <v>653.25</v>
      </c>
      <c r="E1344" s="194">
        <f t="shared" si="193"/>
        <v>0.17634333333333332</v>
      </c>
      <c r="F1344" s="194">
        <f t="shared" si="194"/>
        <v>0.21775</v>
      </c>
      <c r="G1344" s="193">
        <f t="shared" si="190"/>
        <v>124.22000000000003</v>
      </c>
      <c r="H1344" s="195">
        <f t="shared" si="191"/>
        <v>0.23480000000000001</v>
      </c>
      <c r="J1344" s="207"/>
      <c r="L1344" s="228"/>
      <c r="Y1344" s="571"/>
    </row>
    <row r="1345" spans="1:25" s="227" customFormat="1" x14ac:dyDescent="0.25">
      <c r="A1345" s="600"/>
      <c r="B1345" s="176">
        <f t="shared" si="195"/>
        <v>4000</v>
      </c>
      <c r="C1345" s="193">
        <f>ROUND((D1321+B1345*D1322+B1345*(D1325+D1326+D1327+D1328+D1329+D1330+D1331+D1332))*(1+D1334),2)</f>
        <v>638.07000000000005</v>
      </c>
      <c r="D1345" s="193">
        <f t="shared" si="192"/>
        <v>770</v>
      </c>
      <c r="E1345" s="194">
        <f t="shared" si="193"/>
        <v>0.15951750000000001</v>
      </c>
      <c r="F1345" s="194">
        <f t="shared" si="194"/>
        <v>0.1925</v>
      </c>
      <c r="G1345" s="193">
        <f t="shared" si="190"/>
        <v>131.92999999999995</v>
      </c>
      <c r="H1345" s="195">
        <f t="shared" si="191"/>
        <v>0.20680000000000001</v>
      </c>
      <c r="J1345" s="207"/>
      <c r="L1345" s="228"/>
      <c r="Y1345" s="571"/>
    </row>
    <row r="1346" spans="1:25" s="227" customFormat="1" x14ac:dyDescent="0.25">
      <c r="A1346" s="600"/>
      <c r="B1346" s="176">
        <f t="shared" si="195"/>
        <v>5000</v>
      </c>
      <c r="C1346" s="193">
        <f>ROUND((D1321+B1346*D1322+B1346*(D1325+D1326+D1327+D1328+D1329+D1330+D1331+D1332))*(1+D1334),2)</f>
        <v>747.11</v>
      </c>
      <c r="D1346" s="193">
        <f t="shared" si="192"/>
        <v>886.75</v>
      </c>
      <c r="E1346" s="194">
        <f t="shared" si="193"/>
        <v>0.149422</v>
      </c>
      <c r="F1346" s="194">
        <f t="shared" si="194"/>
        <v>0.17735000000000001</v>
      </c>
      <c r="G1346" s="193">
        <f t="shared" si="190"/>
        <v>139.63999999999999</v>
      </c>
      <c r="H1346" s="195">
        <f t="shared" si="191"/>
        <v>0.18690000000000001</v>
      </c>
      <c r="J1346" s="207"/>
      <c r="L1346" s="228"/>
      <c r="Y1346" s="571"/>
    </row>
    <row r="1347" spans="1:25" s="227" customFormat="1" x14ac:dyDescent="0.25">
      <c r="A1347" s="600"/>
      <c r="B1347" s="176">
        <f t="shared" si="195"/>
        <v>6000</v>
      </c>
      <c r="C1347" s="193">
        <f>ROUND((D1321+B1347*D1322+B1347*(D1325+D1326+D1327+D1328+D1329+D1330+D1331+D1332))*(1+D1334),2)</f>
        <v>856.15</v>
      </c>
      <c r="D1347" s="193">
        <f t="shared" si="192"/>
        <v>1003.5</v>
      </c>
      <c r="E1347" s="194">
        <f t="shared" si="193"/>
        <v>0.14269166666666666</v>
      </c>
      <c r="F1347" s="194">
        <f t="shared" si="194"/>
        <v>0.16725000000000001</v>
      </c>
      <c r="G1347" s="193">
        <f t="shared" si="190"/>
        <v>147.35000000000002</v>
      </c>
      <c r="H1347" s="195">
        <f t="shared" si="191"/>
        <v>0.1721</v>
      </c>
      <c r="J1347" s="207"/>
      <c r="L1347" s="228"/>
      <c r="Y1347" s="571"/>
    </row>
    <row r="1348" spans="1:25" s="227" customFormat="1" x14ac:dyDescent="0.25">
      <c r="A1348" s="600"/>
      <c r="B1348" s="176">
        <f t="shared" si="195"/>
        <v>7000</v>
      </c>
      <c r="C1348" s="193">
        <f>ROUND((D1321+B1348*D1322+B1348*(D1325+D1326+D1327+D1328+D1329+D1330+D1331+D1332))*(1+D1334),2)</f>
        <v>965.19</v>
      </c>
      <c r="D1348" s="193">
        <f t="shared" si="192"/>
        <v>1120.25</v>
      </c>
      <c r="E1348" s="194">
        <f t="shared" si="193"/>
        <v>0.13788428571428571</v>
      </c>
      <c r="F1348" s="194">
        <f t="shared" si="194"/>
        <v>0.16003571428571428</v>
      </c>
      <c r="G1348" s="193">
        <f t="shared" si="190"/>
        <v>155.05999999999995</v>
      </c>
      <c r="H1348" s="195">
        <f t="shared" si="191"/>
        <v>0.16070000000000001</v>
      </c>
      <c r="J1348" s="207"/>
      <c r="L1348" s="228"/>
      <c r="Y1348" s="571"/>
    </row>
    <row r="1349" spans="1:25" s="227" customFormat="1" x14ac:dyDescent="0.25">
      <c r="A1349" s="600"/>
      <c r="B1349" s="176">
        <f t="shared" si="195"/>
        <v>8000</v>
      </c>
      <c r="C1349" s="193">
        <f>ROUND((D1321+B1349*D1322+B1349*(D1325+D1326+D1327+D1328+D1329+D1330+D1331+D1332))*(1+D1334),2)</f>
        <v>1074.23</v>
      </c>
      <c r="D1349" s="193">
        <f t="shared" si="192"/>
        <v>1237</v>
      </c>
      <c r="E1349" s="194">
        <f t="shared" si="193"/>
        <v>0.13427875</v>
      </c>
      <c r="F1349" s="194">
        <f t="shared" si="194"/>
        <v>0.15462500000000001</v>
      </c>
      <c r="G1349" s="193">
        <f t="shared" si="190"/>
        <v>162.76999999999998</v>
      </c>
      <c r="H1349" s="195">
        <f t="shared" si="191"/>
        <v>0.1515</v>
      </c>
      <c r="J1349" s="207"/>
      <c r="L1349" s="228"/>
      <c r="Y1349" s="571"/>
    </row>
    <row r="1350" spans="1:25" s="227" customFormat="1" x14ac:dyDescent="0.25">
      <c r="A1350" s="600"/>
      <c r="B1350" s="176">
        <f t="shared" si="195"/>
        <v>9000</v>
      </c>
      <c r="C1350" s="193">
        <f>ROUND((D1321+B1350*D1322+B1350*(D1325+D1326+D1327+D1328+D1329+D1330+D1331+D1332))*(1+D1334),2)</f>
        <v>1183.27</v>
      </c>
      <c r="D1350" s="193">
        <f t="shared" si="192"/>
        <v>1353.75</v>
      </c>
      <c r="E1350" s="194">
        <f t="shared" si="193"/>
        <v>0.13147444444444445</v>
      </c>
      <c r="F1350" s="194">
        <f t="shared" si="194"/>
        <v>0.15041666666666667</v>
      </c>
      <c r="G1350" s="193">
        <f t="shared" si="190"/>
        <v>170.48000000000002</v>
      </c>
      <c r="H1350" s="195">
        <f t="shared" si="191"/>
        <v>0.14410000000000001</v>
      </c>
      <c r="J1350" s="207"/>
      <c r="L1350" s="228"/>
      <c r="Y1350" s="571"/>
    </row>
    <row r="1351" spans="1:25" s="227" customFormat="1" x14ac:dyDescent="0.25">
      <c r="A1351" s="600"/>
      <c r="B1351" s="176">
        <f t="shared" si="195"/>
        <v>10000</v>
      </c>
      <c r="C1351" s="193">
        <f>ROUND((D1321+B1351*D1322+B1351*(D1325+D1326+D1327+D1328+D1329+D1330+D1331+D1332))*(1+D1334),2)</f>
        <v>1292.31</v>
      </c>
      <c r="D1351" s="193">
        <f t="shared" si="192"/>
        <v>1470.5</v>
      </c>
      <c r="E1351" s="194">
        <f t="shared" si="193"/>
        <v>0.12923099999999998</v>
      </c>
      <c r="F1351" s="194">
        <f t="shared" si="194"/>
        <v>0.14704999999999999</v>
      </c>
      <c r="G1351" s="193">
        <f t="shared" si="190"/>
        <v>178.19000000000005</v>
      </c>
      <c r="H1351" s="195">
        <f t="shared" si="191"/>
        <v>0.13789999999999999</v>
      </c>
      <c r="J1351" s="207"/>
      <c r="L1351" s="228"/>
      <c r="Y1351" s="571"/>
    </row>
    <row r="1352" spans="1:25" s="227" customFormat="1" x14ac:dyDescent="0.25">
      <c r="A1352" s="600"/>
      <c r="B1352" s="176">
        <f t="shared" si="195"/>
        <v>11000</v>
      </c>
      <c r="C1352" s="193">
        <f>ROUND((D1321+B1352*D1322+B1352*(D1325+D1326+D1327+D1328+D1329+D1330+D1331+D1332))*(1+D1334),2)</f>
        <v>1401.35</v>
      </c>
      <c r="D1352" s="193">
        <f t="shared" si="192"/>
        <v>1587.25</v>
      </c>
      <c r="E1352" s="194">
        <f t="shared" si="193"/>
        <v>0.12739545454545453</v>
      </c>
      <c r="F1352" s="194">
        <f t="shared" si="194"/>
        <v>0.14429545454545453</v>
      </c>
      <c r="G1352" s="193">
        <f t="shared" si="190"/>
        <v>185.90000000000009</v>
      </c>
      <c r="H1352" s="195">
        <f t="shared" si="191"/>
        <v>0.13270000000000001</v>
      </c>
      <c r="J1352" s="207"/>
      <c r="L1352" s="228"/>
      <c r="Y1352" s="571"/>
    </row>
    <row r="1353" spans="1:25" s="227" customFormat="1" x14ac:dyDescent="0.25">
      <c r="A1353" s="600"/>
      <c r="B1353" s="176">
        <f t="shared" si="195"/>
        <v>12000</v>
      </c>
      <c r="C1353" s="193">
        <f>ROUND((D1321+B1353*D1322+B1353*(D1325+D1326+D1327+D1328+D1329+D1330+D1331+D1332))*(1+D1334),2)</f>
        <v>1510.39</v>
      </c>
      <c r="D1353" s="193">
        <f t="shared" si="192"/>
        <v>1704</v>
      </c>
      <c r="E1353" s="194">
        <f t="shared" si="193"/>
        <v>0.12586583333333334</v>
      </c>
      <c r="F1353" s="194">
        <f t="shared" si="194"/>
        <v>0.14199999999999999</v>
      </c>
      <c r="G1353" s="193">
        <f t="shared" si="190"/>
        <v>193.6099999999999</v>
      </c>
      <c r="H1353" s="195">
        <f t="shared" si="191"/>
        <v>0.12820000000000001</v>
      </c>
      <c r="J1353" s="207"/>
      <c r="L1353" s="228"/>
      <c r="Y1353" s="571"/>
    </row>
    <row r="1354" spans="1:25" s="227" customFormat="1" x14ac:dyDescent="0.25">
      <c r="A1354" s="600"/>
      <c r="B1354" s="176">
        <f t="shared" si="195"/>
        <v>13000</v>
      </c>
      <c r="C1354" s="193">
        <f>ROUND((D1321+B1354*D1322+B1354*(D1325+D1326+D1327+D1328+D1329+D1330+D1331+D1332))*(1+D1334),2)</f>
        <v>1619.43</v>
      </c>
      <c r="D1354" s="193">
        <f t="shared" si="192"/>
        <v>1820.75</v>
      </c>
      <c r="E1354" s="194">
        <f t="shared" si="193"/>
        <v>0.12457153846153847</v>
      </c>
      <c r="F1354" s="194">
        <f t="shared" si="194"/>
        <v>0.1400576923076923</v>
      </c>
      <c r="G1354" s="193">
        <f t="shared" si="190"/>
        <v>201.31999999999994</v>
      </c>
      <c r="H1354" s="195">
        <f t="shared" si="191"/>
        <v>0.12429999999999999</v>
      </c>
      <c r="J1354" s="207"/>
      <c r="L1354" s="228"/>
      <c r="Y1354" s="571"/>
    </row>
    <row r="1355" spans="1:25" s="227" customFormat="1" x14ac:dyDescent="0.25">
      <c r="A1355" s="600"/>
      <c r="B1355" s="176">
        <f t="shared" si="195"/>
        <v>14000</v>
      </c>
      <c r="C1355" s="193">
        <f>ROUND((D1321+B1355*D1322+B1355*(D1325+D1326+D1327+D1328+D1329+D1330+D1331+D1332))*(1+D1334),2)</f>
        <v>1728.47</v>
      </c>
      <c r="D1355" s="193">
        <f t="shared" si="192"/>
        <v>1937.5</v>
      </c>
      <c r="E1355" s="194">
        <f t="shared" si="193"/>
        <v>0.12346214285714285</v>
      </c>
      <c r="F1355" s="194">
        <f t="shared" si="194"/>
        <v>0.13839285714285715</v>
      </c>
      <c r="G1355" s="193">
        <f t="shared" si="190"/>
        <v>209.02999999999997</v>
      </c>
      <c r="H1355" s="195">
        <f t="shared" si="191"/>
        <v>0.12089999999999999</v>
      </c>
      <c r="J1355" s="207"/>
      <c r="L1355" s="228"/>
      <c r="Y1355" s="571"/>
    </row>
    <row r="1356" spans="1:25" s="227" customFormat="1" x14ac:dyDescent="0.25">
      <c r="A1356" s="600"/>
      <c r="B1356" s="176">
        <f t="shared" si="195"/>
        <v>15000</v>
      </c>
      <c r="C1356" s="193">
        <f>ROUND((D1321+B1356*D1322+B1356*(D1325+D1326+D1327+D1328+D1329+D1330+D1331+D1332))*(1+D1334),2)</f>
        <v>1837.51</v>
      </c>
      <c r="D1356" s="193">
        <f t="shared" si="192"/>
        <v>2054.25</v>
      </c>
      <c r="E1356" s="194">
        <f t="shared" si="193"/>
        <v>0.12250066666666666</v>
      </c>
      <c r="F1356" s="194">
        <f t="shared" si="194"/>
        <v>0.13694999999999999</v>
      </c>
      <c r="G1356" s="193">
        <f t="shared" si="190"/>
        <v>216.74</v>
      </c>
      <c r="H1356" s="195">
        <f t="shared" si="191"/>
        <v>0.11799999999999999</v>
      </c>
      <c r="J1356" s="207"/>
      <c r="L1356" s="228"/>
      <c r="Y1356" s="571"/>
    </row>
    <row r="1357" spans="1:25" s="227" customFormat="1" x14ac:dyDescent="0.25">
      <c r="A1357" s="600"/>
      <c r="B1357" s="176">
        <f t="shared" si="195"/>
        <v>16000</v>
      </c>
      <c r="C1357" s="193">
        <f>ROUND((D1321+B1357*D1322+B1357*(D1325+D1326+D1327+D1328+D1329+D1330+D1331+D1332))*(1+D1334),2)</f>
        <v>1946.55</v>
      </c>
      <c r="D1357" s="193">
        <f t="shared" si="192"/>
        <v>2171</v>
      </c>
      <c r="E1357" s="194">
        <f t="shared" si="193"/>
        <v>0.121659375</v>
      </c>
      <c r="F1357" s="194">
        <f t="shared" si="194"/>
        <v>0.13568749999999999</v>
      </c>
      <c r="G1357" s="193">
        <f t="shared" si="190"/>
        <v>224.45000000000005</v>
      </c>
      <c r="H1357" s="195">
        <f t="shared" si="191"/>
        <v>0.1153</v>
      </c>
      <c r="J1357" s="207"/>
      <c r="L1357" s="228"/>
      <c r="Y1357" s="571"/>
    </row>
    <row r="1358" spans="1:25" x14ac:dyDescent="0.25">
      <c r="B1358" s="176">
        <f t="shared" si="195"/>
        <v>17000</v>
      </c>
      <c r="C1358" s="193">
        <f>ROUND((D1321+B1358*D1322+B1358*(D1325+D1326+D1327+D1328+D1329+D1330+D1331+D1332))*(1+D1334),2)</f>
        <v>2055.59</v>
      </c>
      <c r="D1358" s="193">
        <f t="shared" si="192"/>
        <v>2287.75</v>
      </c>
      <c r="E1358" s="194">
        <f t="shared" si="193"/>
        <v>0.12091705882352942</v>
      </c>
      <c r="F1358" s="194">
        <f t="shared" si="194"/>
        <v>0.1345735294117647</v>
      </c>
      <c r="G1358" s="193">
        <f t="shared" si="190"/>
        <v>232.15999999999985</v>
      </c>
      <c r="H1358" s="195">
        <f t="shared" si="191"/>
        <v>0.1129</v>
      </c>
      <c r="J1358" s="207"/>
      <c r="L1358" s="197"/>
    </row>
    <row r="1359" spans="1:25" x14ac:dyDescent="0.25">
      <c r="B1359" s="176">
        <f t="shared" si="195"/>
        <v>18000</v>
      </c>
      <c r="C1359" s="193">
        <f>ROUND((D1321+B1359*D1322+B1359*(D1325+D1326+D1327+D1328+D1329+D1330+D1331+D1332))*(1+D1334),2)</f>
        <v>2164.63</v>
      </c>
      <c r="D1359" s="193">
        <f t="shared" si="192"/>
        <v>2404.5</v>
      </c>
      <c r="E1359" s="194">
        <f t="shared" si="193"/>
        <v>0.12025722222222222</v>
      </c>
      <c r="F1359" s="194">
        <f t="shared" si="194"/>
        <v>0.13358333333333333</v>
      </c>
      <c r="G1359" s="193">
        <f t="shared" si="190"/>
        <v>239.86999999999989</v>
      </c>
      <c r="H1359" s="195">
        <f t="shared" si="191"/>
        <v>0.1108</v>
      </c>
      <c r="J1359" s="207"/>
      <c r="L1359" s="197"/>
    </row>
    <row r="1360" spans="1:25" x14ac:dyDescent="0.25">
      <c r="B1360" s="176">
        <f t="shared" si="195"/>
        <v>19000</v>
      </c>
      <c r="C1360" s="193">
        <f>ROUND((D1321+B1360*D1322+B1360*(D1325+D1326+D1327+D1328+D1329+D1330+D1331+D1332))*(1+D1334),2)</f>
        <v>2273.67</v>
      </c>
      <c r="D1360" s="193">
        <f t="shared" si="192"/>
        <v>2521.25</v>
      </c>
      <c r="E1360" s="194">
        <f t="shared" si="193"/>
        <v>0.11966684210526315</v>
      </c>
      <c r="F1360" s="194">
        <f t="shared" si="194"/>
        <v>0.13269736842105262</v>
      </c>
      <c r="G1360" s="193">
        <f t="shared" si="190"/>
        <v>247.57999999999993</v>
      </c>
      <c r="H1360" s="195">
        <f t="shared" si="191"/>
        <v>0.1089</v>
      </c>
      <c r="J1360" s="207"/>
      <c r="L1360" s="197"/>
    </row>
    <row r="1361" spans="1:25" x14ac:dyDescent="0.25">
      <c r="B1361" s="176">
        <f t="shared" si="195"/>
        <v>20000</v>
      </c>
      <c r="C1361" s="193">
        <f>ROUND((D1321+B1361*D1322+B1361*(D1325+D1326+D1327+D1328+D1329+D1330+D1331+D1332))*(1+D1334),2)</f>
        <v>2382.71</v>
      </c>
      <c r="D1361" s="193">
        <f t="shared" si="192"/>
        <v>2638</v>
      </c>
      <c r="E1361" s="194">
        <f t="shared" si="193"/>
        <v>0.11913550000000001</v>
      </c>
      <c r="F1361" s="194">
        <f t="shared" si="194"/>
        <v>0.13189999999999999</v>
      </c>
      <c r="G1361" s="193">
        <f t="shared" si="190"/>
        <v>255.28999999999996</v>
      </c>
      <c r="H1361" s="195">
        <f t="shared" si="191"/>
        <v>0.1071</v>
      </c>
      <c r="J1361" s="207"/>
      <c r="L1361" s="197"/>
    </row>
    <row r="1362" spans="1:25" x14ac:dyDescent="0.25">
      <c r="B1362" s="176">
        <f t="shared" si="195"/>
        <v>21000</v>
      </c>
      <c r="C1362" s="193">
        <f>ROUND((D1321+B1362*D1322+B1362*(D1325+D1326+D1327+D1328+D1329+D1330+D1331+D1332))*(1+D1334),2)</f>
        <v>2491.75</v>
      </c>
      <c r="D1362" s="193">
        <f t="shared" si="192"/>
        <v>2754.75</v>
      </c>
      <c r="E1362" s="194">
        <f t="shared" si="193"/>
        <v>0.1186547619047619</v>
      </c>
      <c r="F1362" s="194">
        <f t="shared" si="194"/>
        <v>0.13117857142857142</v>
      </c>
      <c r="G1362" s="193">
        <f t="shared" si="190"/>
        <v>263</v>
      </c>
      <c r="H1362" s="195">
        <f t="shared" si="191"/>
        <v>0.1055</v>
      </c>
      <c r="J1362" s="207"/>
      <c r="L1362" s="197"/>
    </row>
    <row r="1363" spans="1:25" x14ac:dyDescent="0.25">
      <c r="B1363" s="176">
        <f t="shared" si="195"/>
        <v>22000</v>
      </c>
      <c r="C1363" s="193">
        <f>ROUND((D1321+B1363*D1322+B1363*(D1325+D1326+D1327+D1328+D1329+D1330+D1331+D1332))*(1+D1334),2)</f>
        <v>2600.79</v>
      </c>
      <c r="D1363" s="193">
        <f t="shared" si="192"/>
        <v>2871.5</v>
      </c>
      <c r="E1363" s="194">
        <f t="shared" si="193"/>
        <v>0.11821772727272727</v>
      </c>
      <c r="F1363" s="194">
        <f t="shared" si="194"/>
        <v>0.13052272727272726</v>
      </c>
      <c r="G1363" s="193">
        <f t="shared" si="190"/>
        <v>270.71000000000004</v>
      </c>
      <c r="H1363" s="195">
        <f t="shared" si="191"/>
        <v>0.1041</v>
      </c>
      <c r="J1363" s="207"/>
      <c r="L1363" s="197"/>
    </row>
    <row r="1364" spans="1:25" x14ac:dyDescent="0.25">
      <c r="B1364" s="176">
        <f t="shared" si="195"/>
        <v>23000</v>
      </c>
      <c r="C1364" s="193">
        <f>ROUND((D1321+B1364*D1322+B1364*(D1325+D1326+D1327+D1328+D1329+D1330+D1331+D1332))*(1+D1334),2)</f>
        <v>2709.83</v>
      </c>
      <c r="D1364" s="193">
        <f t="shared" si="192"/>
        <v>2988.25</v>
      </c>
      <c r="E1364" s="194">
        <f t="shared" si="193"/>
        <v>0.11781869565217391</v>
      </c>
      <c r="F1364" s="194">
        <f t="shared" si="194"/>
        <v>0.12992391304347825</v>
      </c>
      <c r="G1364" s="193">
        <f t="shared" si="190"/>
        <v>278.42000000000007</v>
      </c>
      <c r="H1364" s="195">
        <f t="shared" si="191"/>
        <v>0.1027</v>
      </c>
      <c r="J1364" s="207"/>
      <c r="L1364" s="197"/>
    </row>
    <row r="1365" spans="1:25" x14ac:dyDescent="0.25">
      <c r="B1365" s="176">
        <f t="shared" si="195"/>
        <v>24000</v>
      </c>
      <c r="C1365" s="193">
        <f>ROUND((D1321+B1365*D1322+B1365*(D1325+D1326+D1327+D1328+D1329+D1330+D1331+D1332))*(1+D1334),2)</f>
        <v>2818.87</v>
      </c>
      <c r="D1365" s="193">
        <f t="shared" si="192"/>
        <v>3105</v>
      </c>
      <c r="E1365" s="194">
        <f t="shared" si="193"/>
        <v>0.11745291666666666</v>
      </c>
      <c r="F1365" s="194">
        <f t="shared" si="194"/>
        <v>0.12937499999999999</v>
      </c>
      <c r="G1365" s="193">
        <f t="shared" si="190"/>
        <v>286.13000000000011</v>
      </c>
      <c r="H1365" s="195">
        <f t="shared" si="191"/>
        <v>0.10150000000000001</v>
      </c>
      <c r="J1365" s="207"/>
      <c r="L1365" s="197"/>
    </row>
    <row r="1366" spans="1:25" x14ac:dyDescent="0.25">
      <c r="B1366" s="176">
        <f t="shared" si="195"/>
        <v>25000</v>
      </c>
      <c r="C1366" s="193">
        <f>ROUND((D1321+B1366*D1322+B1366*(D1325+D1326+D1327+D1328+D1329+D1330+D1331+D1332))*(1+D1334),2)</f>
        <v>2927.91</v>
      </c>
      <c r="D1366" s="193">
        <f t="shared" si="192"/>
        <v>3221.75</v>
      </c>
      <c r="E1366" s="194">
        <f t="shared" si="193"/>
        <v>0.1171164</v>
      </c>
      <c r="F1366" s="194">
        <f t="shared" si="194"/>
        <v>0.12887000000000001</v>
      </c>
      <c r="G1366" s="193">
        <f t="shared" si="190"/>
        <v>293.84000000000015</v>
      </c>
      <c r="H1366" s="195">
        <f t="shared" si="191"/>
        <v>0.1004</v>
      </c>
      <c r="J1366" s="207"/>
      <c r="L1366" s="197"/>
    </row>
    <row r="1367" spans="1:25" x14ac:dyDescent="0.25">
      <c r="B1367" s="176">
        <f t="shared" si="195"/>
        <v>26000</v>
      </c>
      <c r="C1367" s="193">
        <f>ROUND((D1321+B1367*D1322+B1367*(D1325+D1326+D1327+D1328+D1329+D1330+D1331+D1332))*(1+D1334),2)</f>
        <v>3036.95</v>
      </c>
      <c r="D1367" s="193">
        <f t="shared" si="192"/>
        <v>3338.5</v>
      </c>
      <c r="E1367" s="194">
        <f t="shared" si="193"/>
        <v>0.11680576923076923</v>
      </c>
      <c r="F1367" s="194">
        <f t="shared" si="194"/>
        <v>0.12840384615384615</v>
      </c>
      <c r="G1367" s="193">
        <f t="shared" si="190"/>
        <v>301.55000000000018</v>
      </c>
      <c r="H1367" s="195">
        <f t="shared" si="191"/>
        <v>9.9299999999999999E-2</v>
      </c>
      <c r="J1367" s="207"/>
      <c r="L1367" s="197"/>
    </row>
    <row r="1368" spans="1:25" x14ac:dyDescent="0.25">
      <c r="B1368" s="176">
        <f t="shared" si="195"/>
        <v>27000</v>
      </c>
      <c r="C1368" s="193">
        <f>ROUND((D1321+B1368*D1322+B1368*(D1325+D1326+D1327+D1328+D1329+D1330+D1331+D1332))*(1+D1334),2)</f>
        <v>3145.99</v>
      </c>
      <c r="D1368" s="193">
        <f t="shared" si="192"/>
        <v>3455.25</v>
      </c>
      <c r="E1368" s="194">
        <f t="shared" si="193"/>
        <v>0.11651814814814813</v>
      </c>
      <c r="F1368" s="194">
        <f t="shared" si="194"/>
        <v>0.12797222222222221</v>
      </c>
      <c r="G1368" s="193">
        <f t="shared" si="190"/>
        <v>309.26000000000022</v>
      </c>
      <c r="H1368" s="195">
        <f t="shared" si="191"/>
        <v>9.8299999999999998E-2</v>
      </c>
      <c r="J1368" s="207"/>
      <c r="L1368" s="197"/>
    </row>
    <row r="1369" spans="1:25" x14ac:dyDescent="0.25">
      <c r="B1369" s="176">
        <f t="shared" si="195"/>
        <v>28000</v>
      </c>
      <c r="C1369" s="193">
        <f>ROUND((D1321+B1369*D1322+B1369*(D1325+D1326+D1327+D1328+D1329+D1330+D1331+D1332))*(1+D1334),2)</f>
        <v>3255.03</v>
      </c>
      <c r="D1369" s="193">
        <f t="shared" si="192"/>
        <v>3572</v>
      </c>
      <c r="E1369" s="194">
        <f t="shared" si="193"/>
        <v>0.11625107142857144</v>
      </c>
      <c r="F1369" s="194">
        <f t="shared" si="194"/>
        <v>0.12757142857142856</v>
      </c>
      <c r="G1369" s="193">
        <f t="shared" si="190"/>
        <v>316.9699999999998</v>
      </c>
      <c r="H1369" s="195">
        <f t="shared" si="191"/>
        <v>9.74E-2</v>
      </c>
      <c r="J1369" s="207"/>
      <c r="L1369" s="197"/>
    </row>
    <row r="1370" spans="1:25" x14ac:dyDescent="0.25">
      <c r="B1370" s="176">
        <f t="shared" si="195"/>
        <v>29000</v>
      </c>
      <c r="C1370" s="193">
        <f>ROUND((D1321+B1370*D1322+B1370*(D1325+D1326+D1327+D1328+D1329+D1330+D1331+D1332))*(1+D1334),2)</f>
        <v>3364.07</v>
      </c>
      <c r="D1370" s="193">
        <f t="shared" si="192"/>
        <v>3688.75</v>
      </c>
      <c r="E1370" s="194">
        <f t="shared" si="193"/>
        <v>0.11600241379310346</v>
      </c>
      <c r="F1370" s="194">
        <f t="shared" si="194"/>
        <v>0.12719827586206897</v>
      </c>
      <c r="G1370" s="193">
        <f t="shared" si="190"/>
        <v>324.67999999999984</v>
      </c>
      <c r="H1370" s="195">
        <f t="shared" si="191"/>
        <v>9.6500000000000002E-2</v>
      </c>
      <c r="J1370" s="207"/>
      <c r="L1370" s="197"/>
    </row>
    <row r="1371" spans="1:25" s="227" customFormat="1" x14ac:dyDescent="0.25">
      <c r="A1371" s="600"/>
      <c r="B1371" s="176">
        <f>B1370+1000</f>
        <v>30000</v>
      </c>
      <c r="C1371" s="193">
        <f>ROUND((D1321+B1371*D1322+B1371*(D1325+D1326+D1327+D1328+D1329+D1330+D1331+D1332))*(1+D1334),2)</f>
        <v>3473.11</v>
      </c>
      <c r="D1371" s="193">
        <f t="shared" si="192"/>
        <v>3805.5</v>
      </c>
      <c r="E1371" s="194">
        <f t="shared" si="193"/>
        <v>0.11577033333333334</v>
      </c>
      <c r="F1371" s="194">
        <f t="shared" si="194"/>
        <v>0.12684999999999999</v>
      </c>
      <c r="G1371" s="193">
        <f t="shared" si="190"/>
        <v>332.38999999999987</v>
      </c>
      <c r="H1371" s="195">
        <f t="shared" si="191"/>
        <v>9.5699999999999993E-2</v>
      </c>
      <c r="J1371" s="207"/>
      <c r="L1371" s="228"/>
      <c r="Y1371" s="571"/>
    </row>
    <row r="1372" spans="1:25" s="227" customFormat="1" x14ac:dyDescent="0.25">
      <c r="A1372" s="600"/>
      <c r="B1372" s="176"/>
      <c r="C1372" s="193"/>
      <c r="D1372" s="193"/>
      <c r="E1372" s="194"/>
      <c r="F1372" s="194"/>
      <c r="G1372" s="193"/>
      <c r="H1372" s="195"/>
      <c r="J1372" s="207"/>
      <c r="L1372" s="228"/>
      <c r="Y1372" s="571"/>
    </row>
    <row r="1373" spans="1:25" s="227" customFormat="1" hidden="1" x14ac:dyDescent="0.25">
      <c r="A1373" s="600"/>
      <c r="B1373" s="176"/>
      <c r="C1373" s="193"/>
      <c r="D1373" s="193"/>
      <c r="E1373" s="194"/>
      <c r="F1373" s="194"/>
      <c r="G1373" s="193"/>
      <c r="H1373" s="195"/>
      <c r="J1373" s="207"/>
      <c r="L1373" s="228"/>
      <c r="Y1373" s="571"/>
    </row>
    <row r="1374" spans="1:25" s="227" customFormat="1" hidden="1" x14ac:dyDescent="0.25">
      <c r="A1374" s="600"/>
      <c r="B1374" s="176"/>
      <c r="C1374" s="193"/>
      <c r="D1374" s="193"/>
      <c r="E1374" s="194"/>
      <c r="F1374" s="194"/>
      <c r="G1374" s="193"/>
      <c r="H1374" s="195"/>
      <c r="J1374" s="207"/>
      <c r="L1374" s="228"/>
      <c r="Y1374" s="571"/>
    </row>
    <row r="1375" spans="1:25" s="227" customFormat="1" hidden="1" x14ac:dyDescent="0.25">
      <c r="A1375" s="600"/>
      <c r="B1375" s="176"/>
      <c r="C1375" s="193"/>
      <c r="D1375" s="193"/>
      <c r="E1375" s="194"/>
      <c r="F1375" s="194"/>
      <c r="G1375" s="193"/>
      <c r="H1375" s="195"/>
      <c r="J1375" s="207"/>
      <c r="L1375" s="228"/>
      <c r="Y1375" s="571"/>
    </row>
    <row r="1376" spans="1:25" hidden="1" x14ac:dyDescent="0.25">
      <c r="C1376" s="193"/>
      <c r="D1376" s="193"/>
      <c r="E1376" s="194"/>
      <c r="F1376" s="194"/>
      <c r="G1376" s="193"/>
      <c r="H1376" s="195"/>
      <c r="J1376" s="207"/>
      <c r="L1376" s="197"/>
    </row>
    <row r="1377" spans="1:12" hidden="1" x14ac:dyDescent="0.25">
      <c r="C1377" s="193"/>
      <c r="D1377" s="193"/>
      <c r="E1377" s="194"/>
      <c r="F1377" s="194"/>
      <c r="G1377" s="193"/>
      <c r="H1377" s="195"/>
      <c r="J1377" s="207"/>
      <c r="L1377" s="197"/>
    </row>
    <row r="1378" spans="1:12" hidden="1" x14ac:dyDescent="0.25">
      <c r="A1378" s="180" t="s">
        <v>21</v>
      </c>
      <c r="B1378" s="179"/>
      <c r="C1378" s="179"/>
      <c r="D1378" s="179"/>
      <c r="E1378" s="179"/>
      <c r="F1378" s="179"/>
      <c r="G1378" s="179"/>
      <c r="H1378" s="179"/>
      <c r="I1378" s="180"/>
    </row>
    <row r="1379" spans="1:12" hidden="1" x14ac:dyDescent="0.25">
      <c r="A1379" s="180" t="s">
        <v>22</v>
      </c>
      <c r="B1379" s="179"/>
      <c r="C1379" s="179"/>
      <c r="D1379" s="179"/>
      <c r="E1379" s="179"/>
      <c r="F1379" s="179"/>
      <c r="G1379" s="179"/>
      <c r="H1379" s="179"/>
      <c r="I1379" s="180"/>
    </row>
    <row r="1380" spans="1:12" hidden="1" x14ac:dyDescent="0.25">
      <c r="A1380" s="180" t="s">
        <v>310</v>
      </c>
      <c r="B1380" s="179"/>
      <c r="C1380" s="179"/>
      <c r="D1380" s="179"/>
      <c r="E1380" s="179"/>
      <c r="F1380" s="179"/>
      <c r="G1380" s="179"/>
      <c r="H1380" s="179"/>
      <c r="I1380" s="180"/>
    </row>
    <row r="1381" spans="1:12" x14ac:dyDescent="0.25">
      <c r="A1381" s="599" t="s">
        <v>364</v>
      </c>
      <c r="B1381" s="179"/>
      <c r="C1381" s="179"/>
      <c r="D1381" s="179"/>
      <c r="E1381" s="179"/>
      <c r="F1381" s="179"/>
      <c r="G1381" s="179"/>
      <c r="H1381" s="179"/>
      <c r="I1381" s="180"/>
    </row>
    <row r="1383" spans="1:12" hidden="1" x14ac:dyDescent="0.25"/>
    <row r="1384" spans="1:12" x14ac:dyDescent="0.25">
      <c r="D1384" s="181" t="s">
        <v>311</v>
      </c>
      <c r="G1384" s="181" t="s">
        <v>312</v>
      </c>
    </row>
    <row r="1385" spans="1:12" x14ac:dyDescent="0.25">
      <c r="D1385" s="182" t="s">
        <v>313</v>
      </c>
      <c r="G1385" s="182" t="s">
        <v>313</v>
      </c>
    </row>
    <row r="1386" spans="1:12" x14ac:dyDescent="0.25">
      <c r="A1386" s="180" t="s">
        <v>314</v>
      </c>
      <c r="D1386" s="183">
        <v>201.91</v>
      </c>
      <c r="G1386" s="183">
        <f>VLOOKUP(J1386,'EXHIBIT JDT-3 IND'!D:N,7,FALSE)</f>
        <v>303</v>
      </c>
      <c r="J1386" s="177" t="s">
        <v>118</v>
      </c>
    </row>
    <row r="1387" spans="1:12" x14ac:dyDescent="0.25">
      <c r="A1387" s="180" t="s">
        <v>315</v>
      </c>
      <c r="C1387" s="184">
        <v>9999999999</v>
      </c>
      <c r="D1387" s="185">
        <v>0.10704</v>
      </c>
      <c r="G1387" s="185">
        <f>VLOOKUP(J1387,'EXHIBIT JDT-3 IND'!D:N,7,FALSE)/10</f>
        <v>0.11674999999999999</v>
      </c>
      <c r="J1387" s="177" t="s">
        <v>132</v>
      </c>
    </row>
    <row r="1388" spans="1:12" hidden="1" x14ac:dyDescent="0.25">
      <c r="C1388" s="184"/>
      <c r="D1388" s="185"/>
      <c r="G1388" s="185"/>
    </row>
    <row r="1389" spans="1:12" hidden="1" x14ac:dyDescent="0.25">
      <c r="C1389" s="184"/>
      <c r="D1389" s="185"/>
      <c r="G1389" s="185"/>
    </row>
    <row r="1390" spans="1:12" hidden="1" x14ac:dyDescent="0.25">
      <c r="A1390" s="180" t="s">
        <v>316</v>
      </c>
      <c r="D1390" s="185">
        <v>0</v>
      </c>
      <c r="E1390" s="186"/>
      <c r="F1390" s="186"/>
      <c r="G1390" s="185">
        <f>D1390</f>
        <v>0</v>
      </c>
      <c r="J1390" s="187" t="s">
        <v>370</v>
      </c>
    </row>
    <row r="1391" spans="1:12" hidden="1" x14ac:dyDescent="0.25">
      <c r="A1391" s="180" t="s">
        <v>152</v>
      </c>
      <c r="D1391" s="185">
        <v>0</v>
      </c>
      <c r="E1391" s="186"/>
      <c r="F1391" s="186"/>
      <c r="G1391" s="185">
        <f t="shared" ref="G1391:G1393" si="196">D1391</f>
        <v>0</v>
      </c>
      <c r="J1391" s="188" t="s">
        <v>370</v>
      </c>
    </row>
    <row r="1392" spans="1:12" hidden="1" x14ac:dyDescent="0.25">
      <c r="A1392" s="180" t="s">
        <v>318</v>
      </c>
      <c r="D1392" s="185">
        <v>0</v>
      </c>
      <c r="E1392" s="186"/>
      <c r="F1392" s="186"/>
      <c r="G1392" s="185">
        <f t="shared" si="196"/>
        <v>0</v>
      </c>
      <c r="J1392" s="187"/>
    </row>
    <row r="1393" spans="1:25" hidden="1" x14ac:dyDescent="0.25">
      <c r="A1393" s="180" t="s">
        <v>319</v>
      </c>
      <c r="D1393" s="185">
        <v>0</v>
      </c>
      <c r="E1393" s="186"/>
      <c r="F1393" s="186"/>
      <c r="G1393" s="185">
        <f t="shared" si="196"/>
        <v>0</v>
      </c>
      <c r="J1393" s="187"/>
    </row>
    <row r="1394" spans="1:25" hidden="1" x14ac:dyDescent="0.25">
      <c r="A1394" s="180" t="s">
        <v>320</v>
      </c>
      <c r="D1394" s="185">
        <v>0</v>
      </c>
      <c r="E1394" s="186"/>
      <c r="F1394" s="186"/>
      <c r="G1394" s="185">
        <f>IFERROR(VLOOKUP(J1394,'EXHIBIT JDT-3 IND'!D:N,7,FALSE)/10,0)</f>
        <v>0</v>
      </c>
      <c r="J1394" s="187"/>
    </row>
    <row r="1395" spans="1:25" hidden="1" x14ac:dyDescent="0.25">
      <c r="A1395" s="180" t="s">
        <v>341</v>
      </c>
      <c r="D1395" s="185">
        <v>0</v>
      </c>
      <c r="E1395" s="186"/>
      <c r="F1395" s="186"/>
      <c r="G1395" s="185">
        <f>IFERROR(VLOOKUP(J1395,'EXHIBIT JDT-3 IND'!D:N,7,FALSE)/10,0)</f>
        <v>0</v>
      </c>
      <c r="J1395" s="187"/>
    </row>
    <row r="1396" spans="1:25" hidden="1" x14ac:dyDescent="0.25">
      <c r="A1396" s="180" t="s">
        <v>342</v>
      </c>
      <c r="D1396" s="185">
        <v>0</v>
      </c>
      <c r="E1396" s="186"/>
      <c r="F1396" s="186"/>
      <c r="G1396" s="185">
        <v>0</v>
      </c>
      <c r="J1396" s="188" t="s">
        <v>370</v>
      </c>
    </row>
    <row r="1397" spans="1:25" hidden="1" x14ac:dyDescent="0.25">
      <c r="A1397" s="180" t="s">
        <v>343</v>
      </c>
      <c r="D1397" s="185">
        <v>0</v>
      </c>
      <c r="E1397" s="186"/>
      <c r="F1397" s="186"/>
      <c r="G1397" s="185">
        <v>0</v>
      </c>
      <c r="J1397" s="188" t="s">
        <v>370</v>
      </c>
    </row>
    <row r="1398" spans="1:25" hidden="1" x14ac:dyDescent="0.25">
      <c r="E1398" s="186"/>
      <c r="F1398" s="186"/>
      <c r="G1398" s="186"/>
    </row>
    <row r="1399" spans="1:25" hidden="1" x14ac:dyDescent="0.25">
      <c r="A1399" s="180" t="s">
        <v>321</v>
      </c>
      <c r="D1399" s="189">
        <v>0</v>
      </c>
      <c r="G1399" s="189">
        <v>0</v>
      </c>
    </row>
    <row r="1400" spans="1:25" hidden="1" x14ac:dyDescent="0.25"/>
    <row r="1402" spans="1:25" x14ac:dyDescent="0.25">
      <c r="G1402" s="190" t="s">
        <v>322</v>
      </c>
      <c r="H1402" s="190"/>
    </row>
    <row r="1403" spans="1:25" x14ac:dyDescent="0.25">
      <c r="B1403" s="176" t="s">
        <v>323</v>
      </c>
      <c r="C1403" s="181" t="s">
        <v>311</v>
      </c>
      <c r="D1403" s="181" t="s">
        <v>312</v>
      </c>
      <c r="E1403" s="181" t="s">
        <v>311</v>
      </c>
      <c r="F1403" s="181" t="s">
        <v>312</v>
      </c>
      <c r="G1403" s="181" t="s">
        <v>324</v>
      </c>
      <c r="H1403" s="181" t="s">
        <v>325</v>
      </c>
      <c r="J1403" s="191"/>
    </row>
    <row r="1404" spans="1:25" x14ac:dyDescent="0.25">
      <c r="C1404" s="192" t="s">
        <v>326</v>
      </c>
      <c r="D1404" s="192" t="s">
        <v>327</v>
      </c>
      <c r="E1404" s="181" t="s">
        <v>328</v>
      </c>
      <c r="F1404" s="181" t="s">
        <v>328</v>
      </c>
      <c r="G1404" s="192" t="s">
        <v>329</v>
      </c>
      <c r="J1404" s="191"/>
    </row>
    <row r="1405" spans="1:25" x14ac:dyDescent="0.25">
      <c r="B1405" s="176" t="s">
        <v>330</v>
      </c>
      <c r="J1405" s="191"/>
    </row>
    <row r="1406" spans="1:25" s="227" customFormat="1" x14ac:dyDescent="0.25">
      <c r="A1406" s="600"/>
      <c r="B1406" s="176">
        <v>0</v>
      </c>
      <c r="C1406" s="193">
        <f>ROUND((D1386+B1406*D1387+B1406*(D1390+D1391+D1392+D1393+D1394+D1395+D1396+D1397))*(1+D1399),2)</f>
        <v>201.91</v>
      </c>
      <c r="D1406" s="193">
        <f>ROUND(G1386+(SUM(G1387:G1397)*B1406)*(1+G1399),2)</f>
        <v>303</v>
      </c>
      <c r="E1406" s="194"/>
      <c r="F1406" s="194"/>
      <c r="G1406" s="193">
        <f t="shared" ref="G1406:G1436" si="197">D1406-C1406</f>
        <v>101.09</v>
      </c>
      <c r="H1406" s="195">
        <f t="shared" ref="H1406:H1436" si="198">ROUND(G1406/C1406,4)</f>
        <v>0.50070000000000003</v>
      </c>
      <c r="J1406" s="207"/>
      <c r="L1406" s="228"/>
      <c r="Y1406" s="571"/>
    </row>
    <row r="1407" spans="1:25" s="227" customFormat="1" x14ac:dyDescent="0.25">
      <c r="A1407" s="600"/>
      <c r="B1407" s="176">
        <f>B1406+2000</f>
        <v>2000</v>
      </c>
      <c r="C1407" s="193">
        <f>ROUND((D1386+B1407*D1387+B1407*(D1390+D1391+D1392+D1393+D1394+D1395+D1396+D1397))*(1+D1399),2)</f>
        <v>415.99</v>
      </c>
      <c r="D1407" s="193">
        <f>ROUND(G1386+(SUM(G1387:G1397)*B1407)*(1+G1399),2)</f>
        <v>536.5</v>
      </c>
      <c r="E1407" s="194">
        <f t="shared" ref="E1407:E1436" si="199">+C1407/B1407</f>
        <v>0.20799500000000001</v>
      </c>
      <c r="F1407" s="194">
        <f t="shared" ref="F1407:F1436" si="200">+D1407/B1407</f>
        <v>0.26824999999999999</v>
      </c>
      <c r="G1407" s="193">
        <f t="shared" si="197"/>
        <v>120.50999999999999</v>
      </c>
      <c r="H1407" s="195">
        <f t="shared" si="198"/>
        <v>0.28970000000000001</v>
      </c>
      <c r="J1407" s="207"/>
      <c r="L1407" s="228"/>
      <c r="Y1407" s="571"/>
    </row>
    <row r="1408" spans="1:25" s="227" customFormat="1" x14ac:dyDescent="0.25">
      <c r="A1408" s="600"/>
      <c r="B1408" s="176">
        <f t="shared" ref="B1408:B1435" si="201">B1407+2000</f>
        <v>4000</v>
      </c>
      <c r="C1408" s="193">
        <f>ROUND((D1386+B1408*D1387+B1408*(D1390+D1391+D1392+D1393+D1394+D1395+D1396+D1397))*(1+D1399),2)</f>
        <v>630.07000000000005</v>
      </c>
      <c r="D1408" s="193">
        <f>ROUND(G1386+(SUM(G1387:G1397)*B1408)*(1+G1399),2)</f>
        <v>770</v>
      </c>
      <c r="E1408" s="194">
        <f t="shared" si="199"/>
        <v>0.1575175</v>
      </c>
      <c r="F1408" s="194">
        <f t="shared" si="200"/>
        <v>0.1925</v>
      </c>
      <c r="G1408" s="193">
        <f t="shared" si="197"/>
        <v>139.92999999999995</v>
      </c>
      <c r="H1408" s="195">
        <f t="shared" si="198"/>
        <v>0.22209999999999999</v>
      </c>
      <c r="J1408" s="207"/>
      <c r="L1408" s="228"/>
      <c r="Y1408" s="571"/>
    </row>
    <row r="1409" spans="1:25" s="227" customFormat="1" x14ac:dyDescent="0.25">
      <c r="A1409" s="600"/>
      <c r="B1409" s="176">
        <f t="shared" si="201"/>
        <v>6000</v>
      </c>
      <c r="C1409" s="193">
        <f>ROUND((D1386+B1409*D1387+B1409*(D1390+D1391+D1392+D1393+D1394+D1395+D1396+D1397))*(1+D1399),2)</f>
        <v>844.15</v>
      </c>
      <c r="D1409" s="193">
        <f>ROUND(G1386+(SUM(G1387:G1397)*B1409)*(1+G1399),2)</f>
        <v>1003.5</v>
      </c>
      <c r="E1409" s="194">
        <f t="shared" si="199"/>
        <v>0.14069166666666666</v>
      </c>
      <c r="F1409" s="194">
        <f t="shared" si="200"/>
        <v>0.16725000000000001</v>
      </c>
      <c r="G1409" s="193">
        <f t="shared" si="197"/>
        <v>159.35000000000002</v>
      </c>
      <c r="H1409" s="195">
        <f t="shared" si="198"/>
        <v>0.1888</v>
      </c>
      <c r="J1409" s="207"/>
      <c r="L1409" s="228"/>
      <c r="Y1409" s="571"/>
    </row>
    <row r="1410" spans="1:25" s="227" customFormat="1" x14ac:dyDescent="0.25">
      <c r="A1410" s="600"/>
      <c r="B1410" s="176">
        <f t="shared" si="201"/>
        <v>8000</v>
      </c>
      <c r="C1410" s="193">
        <f>ROUND((D1386+B1410*D1387+B1410*(D1390+D1391+D1392+D1393+D1394+D1395+D1396+D1397))*(1+D1399),2)</f>
        <v>1058.23</v>
      </c>
      <c r="D1410" s="193">
        <f>ROUND(G1386+(SUM(G1387:G1397)*B1410)*(1+G1399),2)</f>
        <v>1237</v>
      </c>
      <c r="E1410" s="194">
        <f t="shared" si="199"/>
        <v>0.13227875</v>
      </c>
      <c r="F1410" s="194">
        <f t="shared" si="200"/>
        <v>0.15462500000000001</v>
      </c>
      <c r="G1410" s="193">
        <f t="shared" si="197"/>
        <v>178.76999999999998</v>
      </c>
      <c r="H1410" s="195">
        <f t="shared" si="198"/>
        <v>0.16889999999999999</v>
      </c>
      <c r="J1410" s="207"/>
      <c r="L1410" s="228"/>
      <c r="Y1410" s="571"/>
    </row>
    <row r="1411" spans="1:25" s="227" customFormat="1" x14ac:dyDescent="0.25">
      <c r="A1411" s="600"/>
      <c r="B1411" s="176">
        <f t="shared" si="201"/>
        <v>10000</v>
      </c>
      <c r="C1411" s="193">
        <f>ROUND((D1386+B1411*D1387+B1411*(D1390+D1391+D1392+D1393+D1394+D1395+D1396+D1397))*(1+D1399),2)</f>
        <v>1272.31</v>
      </c>
      <c r="D1411" s="193">
        <f>ROUND(G1386+(SUM(G1387:G1397)*B1411)*(1+G1399),2)</f>
        <v>1470.5</v>
      </c>
      <c r="E1411" s="194">
        <f t="shared" si="199"/>
        <v>0.12723099999999998</v>
      </c>
      <c r="F1411" s="194">
        <f t="shared" si="200"/>
        <v>0.14704999999999999</v>
      </c>
      <c r="G1411" s="193">
        <f t="shared" si="197"/>
        <v>198.19000000000005</v>
      </c>
      <c r="H1411" s="195">
        <f t="shared" si="198"/>
        <v>0.15579999999999999</v>
      </c>
      <c r="J1411" s="207"/>
      <c r="L1411" s="228"/>
      <c r="Y1411" s="571"/>
    </row>
    <row r="1412" spans="1:25" s="227" customFormat="1" x14ac:dyDescent="0.25">
      <c r="A1412" s="600"/>
      <c r="B1412" s="176">
        <f t="shared" si="201"/>
        <v>12000</v>
      </c>
      <c r="C1412" s="193">
        <f>ROUND((D1386+B1412*D1387+B1412*(D1390+D1391+D1392+D1393+D1394+D1395+D1396+D1397))*(1+D1399),2)</f>
        <v>1486.39</v>
      </c>
      <c r="D1412" s="193">
        <f>ROUND(G1386+(SUM(G1387:G1397)*B1412)*(1+G1399),2)</f>
        <v>1704</v>
      </c>
      <c r="E1412" s="194">
        <f t="shared" si="199"/>
        <v>0.12386583333333334</v>
      </c>
      <c r="F1412" s="194">
        <f t="shared" si="200"/>
        <v>0.14199999999999999</v>
      </c>
      <c r="G1412" s="193">
        <f t="shared" si="197"/>
        <v>217.6099999999999</v>
      </c>
      <c r="H1412" s="195">
        <f t="shared" si="198"/>
        <v>0.1464</v>
      </c>
      <c r="J1412" s="207"/>
      <c r="L1412" s="228"/>
      <c r="Y1412" s="571"/>
    </row>
    <row r="1413" spans="1:25" s="227" customFormat="1" x14ac:dyDescent="0.25">
      <c r="A1413" s="600"/>
      <c r="B1413" s="176">
        <f t="shared" si="201"/>
        <v>14000</v>
      </c>
      <c r="C1413" s="193">
        <f>ROUND((D1386+B1413*D1387+B1413*(D1390+D1391+D1392+D1393+D1394+D1395+D1396+D1397))*(1+D1399),2)</f>
        <v>1700.47</v>
      </c>
      <c r="D1413" s="193">
        <f>ROUND(G1386+(SUM(G1387:G1397)*B1413)*(1+G1399),2)</f>
        <v>1937.5</v>
      </c>
      <c r="E1413" s="194">
        <f t="shared" si="199"/>
        <v>0.12146214285714287</v>
      </c>
      <c r="F1413" s="194">
        <f t="shared" si="200"/>
        <v>0.13839285714285715</v>
      </c>
      <c r="G1413" s="193">
        <f t="shared" si="197"/>
        <v>237.02999999999997</v>
      </c>
      <c r="H1413" s="195">
        <f t="shared" si="198"/>
        <v>0.1394</v>
      </c>
      <c r="J1413" s="207"/>
      <c r="L1413" s="228"/>
      <c r="Y1413" s="571"/>
    </row>
    <row r="1414" spans="1:25" s="227" customFormat="1" x14ac:dyDescent="0.25">
      <c r="A1414" s="600"/>
      <c r="B1414" s="176">
        <f t="shared" si="201"/>
        <v>16000</v>
      </c>
      <c r="C1414" s="193">
        <f>ROUND((D1386+B1414*D1387+B1414*(D1390+D1391+D1392+D1393+D1394+D1395+D1396+D1397))*(1+D1399),2)</f>
        <v>1914.55</v>
      </c>
      <c r="D1414" s="193">
        <f>ROUND(G1386+(SUM(G1387:G1397)*B1414)*(1+G1399),2)</f>
        <v>2171</v>
      </c>
      <c r="E1414" s="194">
        <f t="shared" si="199"/>
        <v>0.119659375</v>
      </c>
      <c r="F1414" s="194">
        <f t="shared" si="200"/>
        <v>0.13568749999999999</v>
      </c>
      <c r="G1414" s="193">
        <f t="shared" si="197"/>
        <v>256.45000000000005</v>
      </c>
      <c r="H1414" s="195">
        <f t="shared" si="198"/>
        <v>0.13389999999999999</v>
      </c>
      <c r="J1414" s="207"/>
      <c r="L1414" s="228"/>
      <c r="Y1414" s="571"/>
    </row>
    <row r="1415" spans="1:25" s="227" customFormat="1" x14ac:dyDescent="0.25">
      <c r="A1415" s="600"/>
      <c r="B1415" s="176">
        <f t="shared" si="201"/>
        <v>18000</v>
      </c>
      <c r="C1415" s="193">
        <f>ROUND((D1386+B1415*D1387+B1415*(D1390+D1391+D1392+D1393+D1394+D1395+D1396+D1397))*(1+D1399),2)</f>
        <v>2128.63</v>
      </c>
      <c r="D1415" s="193">
        <f>ROUND(G1386+(SUM(G1387:G1397)*B1415)*(1+G1399),2)</f>
        <v>2404.5</v>
      </c>
      <c r="E1415" s="194">
        <f t="shared" si="199"/>
        <v>0.11825722222222222</v>
      </c>
      <c r="F1415" s="194">
        <f t="shared" si="200"/>
        <v>0.13358333333333333</v>
      </c>
      <c r="G1415" s="193">
        <f t="shared" si="197"/>
        <v>275.86999999999989</v>
      </c>
      <c r="H1415" s="195">
        <f t="shared" si="198"/>
        <v>0.12959999999999999</v>
      </c>
      <c r="J1415" s="207"/>
      <c r="L1415" s="228"/>
      <c r="Y1415" s="571"/>
    </row>
    <row r="1416" spans="1:25" s="227" customFormat="1" x14ac:dyDescent="0.25">
      <c r="A1416" s="600"/>
      <c r="B1416" s="176">
        <f t="shared" si="201"/>
        <v>20000</v>
      </c>
      <c r="C1416" s="193">
        <f>ROUND((D1386+B1416*D1387+B1416*(D1390+D1391+D1392+D1393+D1394+D1395+D1396+D1397))*(1+D1399),2)</f>
        <v>2342.71</v>
      </c>
      <c r="D1416" s="193">
        <f>ROUND(G1386+(SUM(G1387:G1397)*B1416)*(1+G1399),2)</f>
        <v>2638</v>
      </c>
      <c r="E1416" s="194">
        <f t="shared" si="199"/>
        <v>0.1171355</v>
      </c>
      <c r="F1416" s="194">
        <f t="shared" si="200"/>
        <v>0.13189999999999999</v>
      </c>
      <c r="G1416" s="193">
        <f t="shared" si="197"/>
        <v>295.28999999999996</v>
      </c>
      <c r="H1416" s="195">
        <f t="shared" si="198"/>
        <v>0.126</v>
      </c>
      <c r="J1416" s="207"/>
      <c r="L1416" s="228"/>
      <c r="Y1416" s="571"/>
    </row>
    <row r="1417" spans="1:25" s="227" customFormat="1" x14ac:dyDescent="0.25">
      <c r="A1417" s="600"/>
      <c r="B1417" s="176">
        <f t="shared" si="201"/>
        <v>22000</v>
      </c>
      <c r="C1417" s="193">
        <f>ROUND((D1386+B1417*D1387+B1417*(D1390+D1391+D1392+D1393+D1394+D1395+D1396+D1397))*(1+D1399),2)</f>
        <v>2556.79</v>
      </c>
      <c r="D1417" s="193">
        <f>ROUND(G1386+(SUM(G1387:G1397)*B1417)*(1+G1399),2)</f>
        <v>2871.5</v>
      </c>
      <c r="E1417" s="194">
        <f t="shared" si="199"/>
        <v>0.11621772727272726</v>
      </c>
      <c r="F1417" s="194">
        <f t="shared" si="200"/>
        <v>0.13052272727272726</v>
      </c>
      <c r="G1417" s="193">
        <f t="shared" si="197"/>
        <v>314.71000000000004</v>
      </c>
      <c r="H1417" s="195">
        <f t="shared" si="198"/>
        <v>0.1231</v>
      </c>
      <c r="J1417" s="207"/>
      <c r="L1417" s="228"/>
      <c r="Y1417" s="571"/>
    </row>
    <row r="1418" spans="1:25" s="227" customFormat="1" x14ac:dyDescent="0.25">
      <c r="A1418" s="600"/>
      <c r="B1418" s="176">
        <f t="shared" si="201"/>
        <v>24000</v>
      </c>
      <c r="C1418" s="193">
        <f>ROUND((D1386+B1418*D1387+B1418*(D1390+D1391+D1392+D1393+D1394+D1395+D1396+D1397))*(1+D1399),2)</f>
        <v>2770.87</v>
      </c>
      <c r="D1418" s="193">
        <f>ROUND(G1386+(SUM(G1387:G1397)*B1418)*(1+G1399),2)</f>
        <v>3105</v>
      </c>
      <c r="E1418" s="194">
        <f t="shared" si="199"/>
        <v>0.11545291666666667</v>
      </c>
      <c r="F1418" s="194">
        <f t="shared" si="200"/>
        <v>0.12937499999999999</v>
      </c>
      <c r="G1418" s="193">
        <f t="shared" si="197"/>
        <v>334.13000000000011</v>
      </c>
      <c r="H1418" s="195">
        <f t="shared" si="198"/>
        <v>0.1206</v>
      </c>
      <c r="J1418" s="207"/>
      <c r="L1418" s="228"/>
      <c r="Y1418" s="571"/>
    </row>
    <row r="1419" spans="1:25" s="227" customFormat="1" x14ac:dyDescent="0.25">
      <c r="A1419" s="600"/>
      <c r="B1419" s="176">
        <f t="shared" si="201"/>
        <v>26000</v>
      </c>
      <c r="C1419" s="193">
        <f>ROUND((D1386+B1419*D1387+B1419*(D1390+D1391+D1392+D1393+D1394+D1395+D1396+D1397))*(1+D1399),2)</f>
        <v>2984.95</v>
      </c>
      <c r="D1419" s="193">
        <f>ROUND(G1386+(SUM(G1387:G1397)*B1419)*(1+G1399),2)</f>
        <v>3338.5</v>
      </c>
      <c r="E1419" s="194">
        <f t="shared" si="199"/>
        <v>0.11480576923076923</v>
      </c>
      <c r="F1419" s="194">
        <f t="shared" si="200"/>
        <v>0.12840384615384615</v>
      </c>
      <c r="G1419" s="193">
        <f t="shared" si="197"/>
        <v>353.55000000000018</v>
      </c>
      <c r="H1419" s="195">
        <f t="shared" si="198"/>
        <v>0.11840000000000001</v>
      </c>
      <c r="J1419" s="207"/>
      <c r="L1419" s="228"/>
      <c r="Y1419" s="571"/>
    </row>
    <row r="1420" spans="1:25" s="227" customFormat="1" x14ac:dyDescent="0.25">
      <c r="A1420" s="600"/>
      <c r="B1420" s="176">
        <f t="shared" si="201"/>
        <v>28000</v>
      </c>
      <c r="C1420" s="193">
        <f>ROUND((D1386+B1420*D1387+B1420*(D1390+D1391+D1392+D1393+D1394+D1395+D1396+D1397))*(1+D1399),2)</f>
        <v>3199.03</v>
      </c>
      <c r="D1420" s="193">
        <f>ROUND(G1386+(SUM(G1387:G1397)*B1420)*(1+G1399),2)</f>
        <v>3572</v>
      </c>
      <c r="E1420" s="194">
        <f t="shared" si="199"/>
        <v>0.11425107142857144</v>
      </c>
      <c r="F1420" s="194">
        <f t="shared" si="200"/>
        <v>0.12757142857142856</v>
      </c>
      <c r="G1420" s="193">
        <f t="shared" si="197"/>
        <v>372.9699999999998</v>
      </c>
      <c r="H1420" s="195">
        <f t="shared" si="198"/>
        <v>0.1166</v>
      </c>
      <c r="J1420" s="207"/>
      <c r="L1420" s="228"/>
      <c r="Y1420" s="571"/>
    </row>
    <row r="1421" spans="1:25" s="227" customFormat="1" x14ac:dyDescent="0.25">
      <c r="A1421" s="600"/>
      <c r="B1421" s="176">
        <f t="shared" si="201"/>
        <v>30000</v>
      </c>
      <c r="C1421" s="193">
        <f>ROUND((D1386+B1421*D1387+B1421*(D1390+D1391+D1392+D1393+D1394+D1395+D1396+D1397))*(1+D1399),2)</f>
        <v>3413.11</v>
      </c>
      <c r="D1421" s="193">
        <f>ROUND(G1386+(SUM(G1387:G1397)*B1421)*(1+G1399),2)</f>
        <v>3805.5</v>
      </c>
      <c r="E1421" s="194">
        <f t="shared" si="199"/>
        <v>0.11377033333333333</v>
      </c>
      <c r="F1421" s="194">
        <f t="shared" si="200"/>
        <v>0.12684999999999999</v>
      </c>
      <c r="G1421" s="193">
        <f t="shared" si="197"/>
        <v>392.38999999999987</v>
      </c>
      <c r="H1421" s="195">
        <f t="shared" si="198"/>
        <v>0.115</v>
      </c>
      <c r="J1421" s="207"/>
      <c r="L1421" s="228"/>
      <c r="Y1421" s="571"/>
    </row>
    <row r="1422" spans="1:25" x14ac:dyDescent="0.25">
      <c r="B1422" s="176">
        <f t="shared" si="201"/>
        <v>32000</v>
      </c>
      <c r="C1422" s="193">
        <f>ROUND((D1386+B1422*D1387+B1422*(D1390+D1391+D1392+D1393+D1394+D1395+D1396+D1397))*(1+D1399),2)</f>
        <v>3627.19</v>
      </c>
      <c r="D1422" s="193">
        <f>ROUND(G1386+(SUM(G1387:G1397)*B1422)*(1+G1399),2)</f>
        <v>4039</v>
      </c>
      <c r="E1422" s="194">
        <f t="shared" si="199"/>
        <v>0.1133496875</v>
      </c>
      <c r="F1422" s="194">
        <f t="shared" si="200"/>
        <v>0.12621874999999999</v>
      </c>
      <c r="G1422" s="193">
        <f t="shared" si="197"/>
        <v>411.80999999999995</v>
      </c>
      <c r="H1422" s="195">
        <f t="shared" si="198"/>
        <v>0.1135</v>
      </c>
      <c r="J1422" s="207"/>
      <c r="L1422" s="197"/>
    </row>
    <row r="1423" spans="1:25" x14ac:dyDescent="0.25">
      <c r="B1423" s="176">
        <f t="shared" si="201"/>
        <v>34000</v>
      </c>
      <c r="C1423" s="193">
        <f>ROUND((D1386+B1423*D1387+B1423*(D1390+D1391+D1392+D1393+D1394+D1395+D1396+D1397))*(1+D1399),2)</f>
        <v>3841.27</v>
      </c>
      <c r="D1423" s="193">
        <f>ROUND(G1386+(SUM(G1387:G1397)*B1423)*(1+G1399),2)</f>
        <v>4272.5</v>
      </c>
      <c r="E1423" s="194">
        <f t="shared" si="199"/>
        <v>0.1129785294117647</v>
      </c>
      <c r="F1423" s="194">
        <f t="shared" si="200"/>
        <v>0.12566176470588236</v>
      </c>
      <c r="G1423" s="193">
        <f t="shared" si="197"/>
        <v>431.23</v>
      </c>
      <c r="H1423" s="195">
        <f t="shared" si="198"/>
        <v>0.1123</v>
      </c>
      <c r="J1423" s="207"/>
      <c r="L1423" s="197"/>
    </row>
    <row r="1424" spans="1:25" x14ac:dyDescent="0.25">
      <c r="B1424" s="176">
        <f t="shared" si="201"/>
        <v>36000</v>
      </c>
      <c r="C1424" s="193">
        <f>ROUND((D1386+B1424*D1387+B1424*(D1390+D1391+D1392+D1393+D1394+D1395+D1396+D1397))*(1+D1399),2)</f>
        <v>4055.35</v>
      </c>
      <c r="D1424" s="193">
        <f>ROUND(G1386+(SUM(G1387:G1397)*B1424)*(1+G1399),2)</f>
        <v>4506</v>
      </c>
      <c r="E1424" s="194">
        <f t="shared" si="199"/>
        <v>0.1126486111111111</v>
      </c>
      <c r="F1424" s="194">
        <f t="shared" si="200"/>
        <v>0.12516666666666668</v>
      </c>
      <c r="G1424" s="193">
        <f t="shared" si="197"/>
        <v>450.65000000000009</v>
      </c>
      <c r="H1424" s="195">
        <f t="shared" si="198"/>
        <v>0.1111</v>
      </c>
      <c r="J1424" s="207"/>
      <c r="L1424" s="197"/>
    </row>
    <row r="1425" spans="1:25" x14ac:dyDescent="0.25">
      <c r="B1425" s="176">
        <f t="shared" si="201"/>
        <v>38000</v>
      </c>
      <c r="C1425" s="193">
        <f>ROUND((D1386+B1425*D1387+B1425*(D1390+D1391+D1392+D1393+D1394+D1395+D1396+D1397))*(1+D1399),2)</f>
        <v>4269.43</v>
      </c>
      <c r="D1425" s="193">
        <f>ROUND(G1386+(SUM(G1387:G1397)*B1425)*(1+G1399),2)</f>
        <v>4739.5</v>
      </c>
      <c r="E1425" s="194">
        <f t="shared" si="199"/>
        <v>0.11235342105263159</v>
      </c>
      <c r="F1425" s="194">
        <f t="shared" si="200"/>
        <v>0.12472368421052632</v>
      </c>
      <c r="G1425" s="193">
        <f t="shared" si="197"/>
        <v>470.06999999999971</v>
      </c>
      <c r="H1425" s="195">
        <f t="shared" si="198"/>
        <v>0.1101</v>
      </c>
      <c r="J1425" s="207"/>
      <c r="L1425" s="197"/>
    </row>
    <row r="1426" spans="1:25" x14ac:dyDescent="0.25">
      <c r="B1426" s="176">
        <f t="shared" si="201"/>
        <v>40000</v>
      </c>
      <c r="C1426" s="193">
        <f>ROUND((D1386+B1426*D1387+B1426*(D1390+D1391+D1392+D1393+D1394+D1395+D1396+D1397))*(1+D1399),2)</f>
        <v>4483.51</v>
      </c>
      <c r="D1426" s="193">
        <f>ROUND(G1386+(SUM(G1387:G1397)*B1426)*(1+G1399),2)</f>
        <v>4973</v>
      </c>
      <c r="E1426" s="194">
        <f t="shared" si="199"/>
        <v>0.11208775</v>
      </c>
      <c r="F1426" s="194">
        <f t="shared" si="200"/>
        <v>0.124325</v>
      </c>
      <c r="G1426" s="193">
        <f t="shared" si="197"/>
        <v>489.48999999999978</v>
      </c>
      <c r="H1426" s="195">
        <f t="shared" si="198"/>
        <v>0.10920000000000001</v>
      </c>
      <c r="J1426" s="207"/>
      <c r="L1426" s="197"/>
    </row>
    <row r="1427" spans="1:25" x14ac:dyDescent="0.25">
      <c r="B1427" s="176">
        <f t="shared" si="201"/>
        <v>42000</v>
      </c>
      <c r="C1427" s="193">
        <f>ROUND((D1386+B1427*D1387+B1427*(D1390+D1391+D1392+D1393+D1394+D1395+D1396+D1397))*(1+D1399),2)</f>
        <v>4697.59</v>
      </c>
      <c r="D1427" s="193">
        <f>ROUND(G1386+(SUM(G1387:G1397)*B1427)*(1+G1399),2)</f>
        <v>5206.5</v>
      </c>
      <c r="E1427" s="194">
        <f t="shared" si="199"/>
        <v>0.11184738095238096</v>
      </c>
      <c r="F1427" s="194">
        <f t="shared" si="200"/>
        <v>0.12396428571428571</v>
      </c>
      <c r="G1427" s="193">
        <f t="shared" si="197"/>
        <v>508.90999999999985</v>
      </c>
      <c r="H1427" s="195">
        <f t="shared" si="198"/>
        <v>0.10829999999999999</v>
      </c>
      <c r="J1427" s="207"/>
      <c r="L1427" s="197"/>
    </row>
    <row r="1428" spans="1:25" x14ac:dyDescent="0.25">
      <c r="B1428" s="176">
        <f t="shared" si="201"/>
        <v>44000</v>
      </c>
      <c r="C1428" s="193">
        <f>ROUND((D1386+B1428*D1387+B1428*(D1390+D1391+D1392+D1393+D1394+D1395+D1396+D1397))*(1+D1399),2)</f>
        <v>4911.67</v>
      </c>
      <c r="D1428" s="193">
        <f>ROUND(G1386+(SUM(G1387:G1397)*B1428)*(1+G1399),2)</f>
        <v>5440</v>
      </c>
      <c r="E1428" s="194">
        <f t="shared" si="199"/>
        <v>0.11162886363636364</v>
      </c>
      <c r="F1428" s="194">
        <f t="shared" si="200"/>
        <v>0.12363636363636364</v>
      </c>
      <c r="G1428" s="193">
        <f t="shared" si="197"/>
        <v>528.32999999999993</v>
      </c>
      <c r="H1428" s="195">
        <f t="shared" si="198"/>
        <v>0.1076</v>
      </c>
      <c r="J1428" s="207"/>
      <c r="L1428" s="197"/>
    </row>
    <row r="1429" spans="1:25" x14ac:dyDescent="0.25">
      <c r="B1429" s="176">
        <f t="shared" si="201"/>
        <v>46000</v>
      </c>
      <c r="C1429" s="193">
        <f>ROUND((D1386+B1429*D1387+B1429*(D1390+D1391+D1392+D1393+D1394+D1395+D1396+D1397))*(1+D1399),2)</f>
        <v>5125.75</v>
      </c>
      <c r="D1429" s="193">
        <f>ROUND(G1386+(SUM(G1387:G1397)*B1429)*(1+G1399),2)</f>
        <v>5673.5</v>
      </c>
      <c r="E1429" s="194">
        <f t="shared" si="199"/>
        <v>0.11142934782608696</v>
      </c>
      <c r="F1429" s="194">
        <f t="shared" si="200"/>
        <v>0.12333695652173914</v>
      </c>
      <c r="G1429" s="193">
        <f t="shared" si="197"/>
        <v>547.75</v>
      </c>
      <c r="H1429" s="195">
        <f t="shared" si="198"/>
        <v>0.1069</v>
      </c>
      <c r="J1429" s="207"/>
      <c r="L1429" s="197"/>
    </row>
    <row r="1430" spans="1:25" x14ac:dyDescent="0.25">
      <c r="B1430" s="176">
        <f t="shared" si="201"/>
        <v>48000</v>
      </c>
      <c r="C1430" s="193">
        <f>ROUND((D1386+B1430*D1387+B1430*(D1390+D1391+D1392+D1393+D1394+D1395+D1396+D1397))*(1+D1399),2)</f>
        <v>5339.83</v>
      </c>
      <c r="D1430" s="193">
        <f>ROUND(G1386+(SUM(G1387:G1397)*B1430)*(1+G1399),2)</f>
        <v>5907</v>
      </c>
      <c r="E1430" s="194">
        <f t="shared" si="199"/>
        <v>0.11124645833333333</v>
      </c>
      <c r="F1430" s="194">
        <f t="shared" si="200"/>
        <v>0.12306250000000001</v>
      </c>
      <c r="G1430" s="193">
        <f t="shared" si="197"/>
        <v>567.17000000000007</v>
      </c>
      <c r="H1430" s="195">
        <f t="shared" si="198"/>
        <v>0.1062</v>
      </c>
      <c r="J1430" s="207"/>
      <c r="L1430" s="197"/>
    </row>
    <row r="1431" spans="1:25" x14ac:dyDescent="0.25">
      <c r="B1431" s="176">
        <f t="shared" si="201"/>
        <v>50000</v>
      </c>
      <c r="C1431" s="193">
        <f>ROUND((D1386+B1431*D1387+B1431*(D1390+D1391+D1392+D1393+D1394+D1395+D1396+D1397))*(1+D1399),2)</f>
        <v>5553.91</v>
      </c>
      <c r="D1431" s="193">
        <f>ROUND(G1386+(SUM(G1387:G1397)*B1431)*(1+G1399),2)</f>
        <v>6140.5</v>
      </c>
      <c r="E1431" s="194">
        <f t="shared" si="199"/>
        <v>0.1110782</v>
      </c>
      <c r="F1431" s="194">
        <f t="shared" si="200"/>
        <v>0.12281</v>
      </c>
      <c r="G1431" s="193">
        <f t="shared" si="197"/>
        <v>586.59000000000015</v>
      </c>
      <c r="H1431" s="195">
        <f t="shared" si="198"/>
        <v>0.1056</v>
      </c>
      <c r="J1431" s="207"/>
      <c r="L1431" s="197"/>
    </row>
    <row r="1432" spans="1:25" x14ac:dyDescent="0.25">
      <c r="B1432" s="176">
        <f t="shared" si="201"/>
        <v>52000</v>
      </c>
      <c r="C1432" s="193">
        <f>ROUND((D1386+B1432*D1387+B1432*(D1390+D1391+D1392+D1393+D1394+D1395+D1396+D1397))*(1+D1399),2)</f>
        <v>5767.99</v>
      </c>
      <c r="D1432" s="193">
        <f>ROUND(G1386+(SUM(G1387:G1397)*B1432)*(1+G1399),2)</f>
        <v>6374</v>
      </c>
      <c r="E1432" s="194">
        <f t="shared" si="199"/>
        <v>0.11092288461538462</v>
      </c>
      <c r="F1432" s="194">
        <f t="shared" si="200"/>
        <v>0.12257692307692308</v>
      </c>
      <c r="G1432" s="193">
        <f t="shared" si="197"/>
        <v>606.01000000000022</v>
      </c>
      <c r="H1432" s="195">
        <f t="shared" si="198"/>
        <v>0.1051</v>
      </c>
      <c r="J1432" s="207"/>
      <c r="L1432" s="197"/>
    </row>
    <row r="1433" spans="1:25" x14ac:dyDescent="0.25">
      <c r="B1433" s="176">
        <f t="shared" si="201"/>
        <v>54000</v>
      </c>
      <c r="C1433" s="193">
        <f>ROUND((D1386+B1433*D1387+B1433*(D1390+D1391+D1392+D1393+D1394+D1395+D1396+D1397))*(1+D1399),2)</f>
        <v>5982.07</v>
      </c>
      <c r="D1433" s="193">
        <f>ROUND(G1386+(SUM(G1387:G1397)*B1433)*(1+G1399),2)</f>
        <v>6607.5</v>
      </c>
      <c r="E1433" s="194">
        <f t="shared" si="199"/>
        <v>0.11077907407407407</v>
      </c>
      <c r="F1433" s="194">
        <f t="shared" si="200"/>
        <v>0.12236111111111111</v>
      </c>
      <c r="G1433" s="193">
        <f t="shared" si="197"/>
        <v>625.43000000000029</v>
      </c>
      <c r="H1433" s="195">
        <f t="shared" si="198"/>
        <v>0.1046</v>
      </c>
      <c r="J1433" s="207"/>
      <c r="L1433" s="197"/>
    </row>
    <row r="1434" spans="1:25" x14ac:dyDescent="0.25">
      <c r="B1434" s="176">
        <f t="shared" si="201"/>
        <v>56000</v>
      </c>
      <c r="C1434" s="193">
        <f>ROUND((D1386+B1434*D1387+B1434*(D1390+D1391+D1392+D1393+D1394+D1395+D1396+D1397))*(1+D1399),2)</f>
        <v>6196.15</v>
      </c>
      <c r="D1434" s="193">
        <f>ROUND(G1386+(SUM(G1387:G1397)*B1434)*(1+G1399),2)</f>
        <v>6841</v>
      </c>
      <c r="E1434" s="194">
        <f t="shared" si="199"/>
        <v>0.1106455357142857</v>
      </c>
      <c r="F1434" s="194">
        <f t="shared" si="200"/>
        <v>0.12216071428571429</v>
      </c>
      <c r="G1434" s="193">
        <f t="shared" si="197"/>
        <v>644.85000000000036</v>
      </c>
      <c r="H1434" s="195">
        <f t="shared" si="198"/>
        <v>0.1041</v>
      </c>
      <c r="J1434" s="207"/>
      <c r="L1434" s="197"/>
    </row>
    <row r="1435" spans="1:25" x14ac:dyDescent="0.25">
      <c r="B1435" s="176">
        <f t="shared" si="201"/>
        <v>58000</v>
      </c>
      <c r="C1435" s="193">
        <f>ROUND((D1386+B1435*D1387+B1435*(D1390+D1391+D1392+D1393+D1394+D1395+D1396+D1397))*(1+D1399),2)</f>
        <v>6410.23</v>
      </c>
      <c r="D1435" s="193">
        <f>ROUND(G1386+(SUM(G1387:G1397)*B1435)*(1+G1399),2)</f>
        <v>7074.5</v>
      </c>
      <c r="E1435" s="194">
        <f t="shared" si="199"/>
        <v>0.11052120689655172</v>
      </c>
      <c r="F1435" s="194">
        <f t="shared" si="200"/>
        <v>0.12197413793103448</v>
      </c>
      <c r="G1435" s="193">
        <f t="shared" si="197"/>
        <v>664.27000000000044</v>
      </c>
      <c r="H1435" s="195">
        <f t="shared" si="198"/>
        <v>0.1036</v>
      </c>
      <c r="J1435" s="207"/>
      <c r="L1435" s="197"/>
    </row>
    <row r="1436" spans="1:25" s="227" customFormat="1" x14ac:dyDescent="0.25">
      <c r="A1436" s="600"/>
      <c r="B1436" s="176">
        <f>B1435+2000</f>
        <v>60000</v>
      </c>
      <c r="C1436" s="193">
        <f>ROUND((D1386+B1436*D1387+B1436*(D1390+D1391+D1392+D1393+D1394+D1395+D1396+D1397))*(1+D1399),2)</f>
        <v>6624.31</v>
      </c>
      <c r="D1436" s="193">
        <f>ROUND(G1386+(SUM(G1387:G1397)*B1436)*(1+G1399),2)</f>
        <v>7308</v>
      </c>
      <c r="E1436" s="194">
        <f t="shared" si="199"/>
        <v>0.11040516666666668</v>
      </c>
      <c r="F1436" s="194">
        <f t="shared" si="200"/>
        <v>0.12180000000000001</v>
      </c>
      <c r="G1436" s="193">
        <f t="shared" si="197"/>
        <v>683.6899999999996</v>
      </c>
      <c r="H1436" s="195">
        <f t="shared" si="198"/>
        <v>0.1032</v>
      </c>
      <c r="J1436" s="207"/>
      <c r="L1436" s="228"/>
      <c r="Y1436" s="571"/>
    </row>
    <row r="1437" spans="1:25" s="227" customFormat="1" x14ac:dyDescent="0.25">
      <c r="A1437" s="600"/>
      <c r="B1437" s="176"/>
      <c r="C1437" s="193"/>
      <c r="D1437" s="193"/>
      <c r="E1437" s="194"/>
      <c r="F1437" s="194"/>
      <c r="G1437" s="193"/>
      <c r="H1437" s="195"/>
      <c r="J1437" s="207"/>
      <c r="L1437" s="228"/>
      <c r="Y1437" s="571"/>
    </row>
    <row r="1438" spans="1:25" s="227" customFormat="1" hidden="1" x14ac:dyDescent="0.25">
      <c r="A1438" s="600"/>
      <c r="B1438" s="176"/>
      <c r="C1438" s="193"/>
      <c r="D1438" s="193"/>
      <c r="E1438" s="194"/>
      <c r="F1438" s="194"/>
      <c r="G1438" s="193"/>
      <c r="H1438" s="195"/>
      <c r="J1438" s="207"/>
      <c r="L1438" s="228"/>
      <c r="Y1438" s="571"/>
    </row>
    <row r="1439" spans="1:25" s="227" customFormat="1" hidden="1" x14ac:dyDescent="0.25">
      <c r="A1439" s="600"/>
      <c r="B1439" s="176"/>
      <c r="C1439" s="193"/>
      <c r="D1439" s="193"/>
      <c r="E1439" s="194"/>
      <c r="F1439" s="194"/>
      <c r="G1439" s="193"/>
      <c r="H1439" s="195"/>
      <c r="J1439" s="207"/>
      <c r="L1439" s="228"/>
      <c r="Y1439" s="571"/>
    </row>
    <row r="1440" spans="1:25" s="227" customFormat="1" hidden="1" x14ac:dyDescent="0.25">
      <c r="A1440" s="600"/>
      <c r="B1440" s="176"/>
      <c r="C1440" s="193"/>
      <c r="D1440" s="193"/>
      <c r="E1440" s="194"/>
      <c r="F1440" s="194"/>
      <c r="G1440" s="193"/>
      <c r="H1440" s="195"/>
      <c r="J1440" s="207"/>
      <c r="L1440" s="228"/>
      <c r="Y1440" s="571"/>
    </row>
    <row r="1441" spans="1:12" hidden="1" x14ac:dyDescent="0.25">
      <c r="C1441" s="193"/>
      <c r="D1441" s="193"/>
      <c r="E1441" s="194"/>
      <c r="F1441" s="194"/>
      <c r="G1441" s="193"/>
      <c r="H1441" s="195"/>
      <c r="J1441" s="207"/>
      <c r="L1441" s="197"/>
    </row>
    <row r="1442" spans="1:12" hidden="1" x14ac:dyDescent="0.25">
      <c r="C1442" s="193"/>
      <c r="D1442" s="193"/>
      <c r="E1442" s="194"/>
      <c r="F1442" s="194"/>
      <c r="G1442" s="193"/>
      <c r="H1442" s="195"/>
      <c r="J1442" s="207"/>
      <c r="L1442" s="197"/>
    </row>
    <row r="1443" spans="1:12" hidden="1" x14ac:dyDescent="0.25">
      <c r="A1443" s="180" t="s">
        <v>21</v>
      </c>
      <c r="B1443" s="179"/>
      <c r="C1443" s="179"/>
      <c r="D1443" s="179"/>
      <c r="E1443" s="179"/>
      <c r="F1443" s="179"/>
      <c r="G1443" s="179"/>
      <c r="H1443" s="179"/>
      <c r="I1443" s="180"/>
    </row>
    <row r="1444" spans="1:12" hidden="1" x14ac:dyDescent="0.25">
      <c r="A1444" s="180" t="s">
        <v>22</v>
      </c>
      <c r="B1444" s="179"/>
      <c r="C1444" s="179"/>
      <c r="D1444" s="179"/>
      <c r="E1444" s="179"/>
      <c r="F1444" s="179"/>
      <c r="G1444" s="179"/>
      <c r="H1444" s="179"/>
      <c r="I1444" s="180"/>
    </row>
    <row r="1445" spans="1:12" hidden="1" x14ac:dyDescent="0.25">
      <c r="A1445" s="180" t="s">
        <v>310</v>
      </c>
      <c r="B1445" s="179"/>
      <c r="C1445" s="179"/>
      <c r="D1445" s="179"/>
      <c r="E1445" s="179"/>
      <c r="F1445" s="179"/>
      <c r="G1445" s="179"/>
      <c r="H1445" s="179"/>
      <c r="I1445" s="180"/>
    </row>
    <row r="1446" spans="1:12" x14ac:dyDescent="0.25">
      <c r="A1446" s="599" t="s">
        <v>365</v>
      </c>
      <c r="B1446" s="179"/>
      <c r="C1446" s="179"/>
      <c r="D1446" s="179"/>
      <c r="E1446" s="179"/>
      <c r="F1446" s="179"/>
      <c r="G1446" s="179"/>
      <c r="H1446" s="179"/>
      <c r="I1446" s="180"/>
    </row>
    <row r="1448" spans="1:12" hidden="1" x14ac:dyDescent="0.25"/>
    <row r="1449" spans="1:12" x14ac:dyDescent="0.25">
      <c r="D1449" s="181" t="s">
        <v>311</v>
      </c>
      <c r="G1449" s="181" t="s">
        <v>312</v>
      </c>
    </row>
    <row r="1450" spans="1:12" x14ac:dyDescent="0.25">
      <c r="D1450" s="182" t="s">
        <v>313</v>
      </c>
      <c r="G1450" s="182" t="s">
        <v>313</v>
      </c>
    </row>
    <row r="1451" spans="1:12" x14ac:dyDescent="0.25">
      <c r="A1451" s="180" t="s">
        <v>314</v>
      </c>
      <c r="D1451" s="183">
        <v>809</v>
      </c>
      <c r="G1451" s="183">
        <f>VLOOKUP(J1451,'EXHIBIT JDT-3 IND'!D:N,7,FALSE)</f>
        <v>1213.5</v>
      </c>
      <c r="J1451" s="223" t="s">
        <v>123</v>
      </c>
    </row>
    <row r="1452" spans="1:12" x14ac:dyDescent="0.25">
      <c r="A1452" s="180" t="s">
        <v>315</v>
      </c>
      <c r="C1452" s="184">
        <v>9999999999</v>
      </c>
      <c r="D1452" s="185">
        <v>8.2859999999999989E-2</v>
      </c>
      <c r="E1452" s="186"/>
      <c r="F1452" s="186"/>
      <c r="G1452" s="185">
        <f>VLOOKUP(J1452,'EXHIBIT JDT-3 IND'!D:N,7,FALSE)/10</f>
        <v>9.0549999999999992E-2</v>
      </c>
      <c r="J1452" s="223" t="s">
        <v>133</v>
      </c>
    </row>
    <row r="1453" spans="1:12" x14ac:dyDescent="0.25">
      <c r="C1453" s="184"/>
      <c r="D1453" s="185"/>
      <c r="E1453" s="186"/>
      <c r="F1453" s="186"/>
      <c r="G1453" s="185"/>
      <c r="J1453" s="223"/>
    </row>
    <row r="1454" spans="1:12" hidden="1" x14ac:dyDescent="0.25">
      <c r="A1454" s="180" t="s">
        <v>316</v>
      </c>
      <c r="D1454" s="185">
        <v>0</v>
      </c>
      <c r="G1454" s="185">
        <f>D1454</f>
        <v>0</v>
      </c>
      <c r="J1454" s="188" t="s">
        <v>370</v>
      </c>
    </row>
    <row r="1455" spans="1:12" hidden="1" x14ac:dyDescent="0.25">
      <c r="A1455" s="180" t="s">
        <v>152</v>
      </c>
      <c r="D1455" s="185">
        <v>0</v>
      </c>
      <c r="E1455" s="226"/>
      <c r="F1455" s="226"/>
      <c r="G1455" s="185">
        <f t="shared" ref="G1455:G1457" si="202">D1455</f>
        <v>0</v>
      </c>
      <c r="J1455" s="188" t="s">
        <v>370</v>
      </c>
    </row>
    <row r="1456" spans="1:12" hidden="1" x14ac:dyDescent="0.25">
      <c r="A1456" s="180" t="s">
        <v>318</v>
      </c>
      <c r="D1456" s="185">
        <v>0</v>
      </c>
      <c r="E1456" s="226"/>
      <c r="F1456" s="226"/>
      <c r="G1456" s="185">
        <f t="shared" si="202"/>
        <v>0</v>
      </c>
      <c r="J1456" s="188"/>
    </row>
    <row r="1457" spans="1:25" hidden="1" x14ac:dyDescent="0.25">
      <c r="A1457" s="180" t="s">
        <v>319</v>
      </c>
      <c r="D1457" s="185">
        <v>0</v>
      </c>
      <c r="E1457" s="226"/>
      <c r="F1457" s="226"/>
      <c r="G1457" s="185">
        <f t="shared" si="202"/>
        <v>0</v>
      </c>
      <c r="J1457" s="188"/>
    </row>
    <row r="1458" spans="1:25" hidden="1" x14ac:dyDescent="0.25">
      <c r="A1458" s="180" t="s">
        <v>320</v>
      </c>
      <c r="D1458" s="185">
        <v>0</v>
      </c>
      <c r="E1458" s="226"/>
      <c r="F1458" s="226"/>
      <c r="G1458" s="185">
        <f>IFERROR(VLOOKUP(J1458,'EXHIBIT JDT-3 IND'!D:N,7,FALSE)/10,0)</f>
        <v>0</v>
      </c>
      <c r="J1458" s="188"/>
    </row>
    <row r="1459" spans="1:25" hidden="1" x14ac:dyDescent="0.25">
      <c r="A1459" s="180" t="s">
        <v>341</v>
      </c>
      <c r="D1459" s="185">
        <v>0</v>
      </c>
      <c r="E1459" s="226"/>
      <c r="F1459" s="226"/>
      <c r="G1459" s="185">
        <f>IFERROR(VLOOKUP(J1459,'EXHIBIT JDT-3 IND'!D:N,7,FALSE)/10,0)</f>
        <v>0</v>
      </c>
      <c r="J1459" s="188"/>
    </row>
    <row r="1460" spans="1:25" hidden="1" x14ac:dyDescent="0.25">
      <c r="A1460" s="180" t="s">
        <v>342</v>
      </c>
      <c r="D1460" s="185">
        <v>0</v>
      </c>
      <c r="E1460" s="226"/>
      <c r="F1460" s="226"/>
      <c r="G1460" s="185">
        <v>0</v>
      </c>
      <c r="J1460" s="188" t="s">
        <v>370</v>
      </c>
    </row>
    <row r="1461" spans="1:25" hidden="1" x14ac:dyDescent="0.25">
      <c r="A1461" s="180" t="s">
        <v>343</v>
      </c>
      <c r="D1461" s="185">
        <v>0</v>
      </c>
      <c r="E1461" s="226"/>
      <c r="F1461" s="226"/>
      <c r="G1461" s="185">
        <v>0</v>
      </c>
      <c r="J1461" s="188" t="s">
        <v>370</v>
      </c>
    </row>
    <row r="1462" spans="1:25" hidden="1" x14ac:dyDescent="0.25"/>
    <row r="1463" spans="1:25" hidden="1" x14ac:dyDescent="0.25">
      <c r="A1463" s="180" t="s">
        <v>321</v>
      </c>
      <c r="D1463" s="195">
        <f>$D$23</f>
        <v>0</v>
      </c>
      <c r="G1463" s="195">
        <f>$G$23</f>
        <v>0</v>
      </c>
    </row>
    <row r="1464" spans="1:25" hidden="1" x14ac:dyDescent="0.25">
      <c r="E1464" s="194"/>
    </row>
    <row r="1465" spans="1:25" hidden="1" x14ac:dyDescent="0.25"/>
    <row r="1466" spans="1:25" x14ac:dyDescent="0.25">
      <c r="G1466" s="190" t="s">
        <v>322</v>
      </c>
      <c r="H1466" s="190"/>
    </row>
    <row r="1467" spans="1:25" x14ac:dyDescent="0.25">
      <c r="B1467" s="176" t="s">
        <v>323</v>
      </c>
      <c r="C1467" s="181" t="s">
        <v>311</v>
      </c>
      <c r="D1467" s="181" t="s">
        <v>312</v>
      </c>
      <c r="E1467" s="181" t="s">
        <v>311</v>
      </c>
      <c r="F1467" s="181" t="s">
        <v>312</v>
      </c>
      <c r="G1467" s="181" t="s">
        <v>324</v>
      </c>
      <c r="H1467" s="181" t="s">
        <v>325</v>
      </c>
      <c r="J1467" s="191"/>
    </row>
    <row r="1468" spans="1:25" x14ac:dyDescent="0.25">
      <c r="C1468" s="192" t="s">
        <v>326</v>
      </c>
      <c r="D1468" s="192" t="s">
        <v>327</v>
      </c>
      <c r="E1468" s="181" t="s">
        <v>328</v>
      </c>
      <c r="F1468" s="181" t="s">
        <v>328</v>
      </c>
      <c r="G1468" s="192" t="s">
        <v>329</v>
      </c>
    </row>
    <row r="1469" spans="1:25" x14ac:dyDescent="0.25">
      <c r="E1469" s="194"/>
      <c r="F1469" s="194"/>
    </row>
    <row r="1470" spans="1:25" s="227" customFormat="1" x14ac:dyDescent="0.25">
      <c r="A1470" s="600"/>
      <c r="B1470" s="176">
        <v>0</v>
      </c>
      <c r="C1470" s="193">
        <f>ROUND((D$1451+$B1470*D$1452+$B1470*(D$1454+D$1455+D$1456+D$1457+D$1458+D$1459+D$1460+D$1461))*(1+D$1463),2)</f>
        <v>809</v>
      </c>
      <c r="D1470" s="193">
        <f>ROUND((G$1451+(SUM(G$1452:G$1461)*B1470))*(1+G$1463),2)</f>
        <v>1213.5</v>
      </c>
      <c r="E1470" s="193"/>
      <c r="F1470" s="193"/>
      <c r="G1470" s="193">
        <f t="shared" ref="G1470:G1500" si="203">D1470-C1470</f>
        <v>404.5</v>
      </c>
      <c r="H1470" s="195">
        <f t="shared" ref="H1470:H1500" si="204">ROUND(G1470/C1470,4)</f>
        <v>0.5</v>
      </c>
      <c r="J1470" s="177"/>
      <c r="Y1470" s="571"/>
    </row>
    <row r="1471" spans="1:25" s="227" customFormat="1" x14ac:dyDescent="0.25">
      <c r="A1471" s="600"/>
      <c r="B1471" s="176">
        <f>B1470+5000</f>
        <v>5000</v>
      </c>
      <c r="C1471" s="193">
        <f t="shared" ref="C1471:C1500" si="205">ROUND((D$1451+$B1471*D$1452+$B1471*(D$1454+D$1455+D$1456+D$1457+D$1458+D$1459+D$1460+D$1461))*(1+D$1463),2)</f>
        <v>1223.3</v>
      </c>
      <c r="D1471" s="193">
        <f t="shared" ref="D1471:D1500" si="206">ROUND((G$1451+(SUM(G$1452:G$1461)*B1471))*(1+G$1463),2)</f>
        <v>1666.25</v>
      </c>
      <c r="E1471" s="194">
        <f t="shared" ref="E1471:E1500" si="207">+C1471/B1471</f>
        <v>0.24465999999999999</v>
      </c>
      <c r="F1471" s="194">
        <f t="shared" ref="F1471:F1500" si="208">+D1471/B1471</f>
        <v>0.33324999999999999</v>
      </c>
      <c r="G1471" s="193">
        <f t="shared" si="203"/>
        <v>442.95000000000005</v>
      </c>
      <c r="H1471" s="195">
        <f t="shared" si="204"/>
        <v>0.36209999999999998</v>
      </c>
      <c r="J1471" s="177"/>
      <c r="Y1471" s="571"/>
    </row>
    <row r="1472" spans="1:25" s="227" customFormat="1" x14ac:dyDescent="0.25">
      <c r="A1472" s="600"/>
      <c r="B1472" s="176">
        <f t="shared" ref="B1472:B1499" si="209">B1471+5000</f>
        <v>10000</v>
      </c>
      <c r="C1472" s="193">
        <f t="shared" si="205"/>
        <v>1637.6</v>
      </c>
      <c r="D1472" s="193">
        <f t="shared" si="206"/>
        <v>2119</v>
      </c>
      <c r="E1472" s="194">
        <f t="shared" si="207"/>
        <v>0.16375999999999999</v>
      </c>
      <c r="F1472" s="194">
        <f t="shared" si="208"/>
        <v>0.21190000000000001</v>
      </c>
      <c r="G1472" s="193">
        <f t="shared" si="203"/>
        <v>481.40000000000009</v>
      </c>
      <c r="H1472" s="195">
        <f t="shared" si="204"/>
        <v>0.29399999999999998</v>
      </c>
      <c r="J1472" s="177"/>
      <c r="Y1472" s="571"/>
    </row>
    <row r="1473" spans="1:25" s="227" customFormat="1" x14ac:dyDescent="0.25">
      <c r="A1473" s="600"/>
      <c r="B1473" s="176">
        <f t="shared" si="209"/>
        <v>15000</v>
      </c>
      <c r="C1473" s="193">
        <f t="shared" si="205"/>
        <v>2051.9</v>
      </c>
      <c r="D1473" s="193">
        <f t="shared" si="206"/>
        <v>2571.75</v>
      </c>
      <c r="E1473" s="194">
        <f t="shared" si="207"/>
        <v>0.13679333333333335</v>
      </c>
      <c r="F1473" s="194">
        <f t="shared" si="208"/>
        <v>0.17144999999999999</v>
      </c>
      <c r="G1473" s="193">
        <f t="shared" si="203"/>
        <v>519.84999999999991</v>
      </c>
      <c r="H1473" s="195">
        <f t="shared" si="204"/>
        <v>0.25340000000000001</v>
      </c>
      <c r="J1473" s="177"/>
      <c r="Y1473" s="571"/>
    </row>
    <row r="1474" spans="1:25" s="227" customFormat="1" x14ac:dyDescent="0.25">
      <c r="A1474" s="600"/>
      <c r="B1474" s="176">
        <f t="shared" si="209"/>
        <v>20000</v>
      </c>
      <c r="C1474" s="193">
        <f t="shared" si="205"/>
        <v>2466.1999999999998</v>
      </c>
      <c r="D1474" s="193">
        <f t="shared" si="206"/>
        <v>3024.5</v>
      </c>
      <c r="E1474" s="194">
        <f t="shared" si="207"/>
        <v>0.12330999999999999</v>
      </c>
      <c r="F1474" s="194">
        <f t="shared" si="208"/>
        <v>0.151225</v>
      </c>
      <c r="G1474" s="193">
        <f t="shared" si="203"/>
        <v>558.30000000000018</v>
      </c>
      <c r="H1474" s="195">
        <f t="shared" si="204"/>
        <v>0.22639999999999999</v>
      </c>
      <c r="J1474" s="177"/>
      <c r="Y1474" s="571"/>
    </row>
    <row r="1475" spans="1:25" s="227" customFormat="1" x14ac:dyDescent="0.25">
      <c r="A1475" s="600"/>
      <c r="B1475" s="176">
        <f t="shared" si="209"/>
        <v>25000</v>
      </c>
      <c r="C1475" s="193">
        <f t="shared" si="205"/>
        <v>2880.5</v>
      </c>
      <c r="D1475" s="193">
        <f t="shared" si="206"/>
        <v>3477.25</v>
      </c>
      <c r="E1475" s="194">
        <f t="shared" si="207"/>
        <v>0.11522</v>
      </c>
      <c r="F1475" s="194">
        <f t="shared" si="208"/>
        <v>0.13908999999999999</v>
      </c>
      <c r="G1475" s="193">
        <f t="shared" si="203"/>
        <v>596.75</v>
      </c>
      <c r="H1475" s="195">
        <f t="shared" si="204"/>
        <v>0.2072</v>
      </c>
      <c r="J1475" s="177"/>
      <c r="Y1475" s="571"/>
    </row>
    <row r="1476" spans="1:25" s="227" customFormat="1" x14ac:dyDescent="0.25">
      <c r="A1476" s="600"/>
      <c r="B1476" s="176">
        <f t="shared" si="209"/>
        <v>30000</v>
      </c>
      <c r="C1476" s="193">
        <f t="shared" si="205"/>
        <v>3294.8</v>
      </c>
      <c r="D1476" s="193">
        <f t="shared" si="206"/>
        <v>3930</v>
      </c>
      <c r="E1476" s="194">
        <f t="shared" si="207"/>
        <v>0.10982666666666667</v>
      </c>
      <c r="F1476" s="194">
        <f t="shared" si="208"/>
        <v>0.13100000000000001</v>
      </c>
      <c r="G1476" s="193">
        <f t="shared" si="203"/>
        <v>635.19999999999982</v>
      </c>
      <c r="H1476" s="195">
        <f t="shared" si="204"/>
        <v>0.1928</v>
      </c>
      <c r="J1476" s="177"/>
      <c r="Y1476" s="571"/>
    </row>
    <row r="1477" spans="1:25" s="227" customFormat="1" x14ac:dyDescent="0.25">
      <c r="A1477" s="600"/>
      <c r="B1477" s="176">
        <f t="shared" si="209"/>
        <v>35000</v>
      </c>
      <c r="C1477" s="193">
        <f t="shared" si="205"/>
        <v>3709.1</v>
      </c>
      <c r="D1477" s="193">
        <f t="shared" si="206"/>
        <v>4382.75</v>
      </c>
      <c r="E1477" s="194">
        <f t="shared" si="207"/>
        <v>0.10597428571428572</v>
      </c>
      <c r="F1477" s="194">
        <f t="shared" si="208"/>
        <v>0.12522142857142857</v>
      </c>
      <c r="G1477" s="193">
        <f t="shared" si="203"/>
        <v>673.65000000000009</v>
      </c>
      <c r="H1477" s="195">
        <f t="shared" si="204"/>
        <v>0.18160000000000001</v>
      </c>
      <c r="J1477" s="177"/>
      <c r="Y1477" s="571"/>
    </row>
    <row r="1478" spans="1:25" s="227" customFormat="1" x14ac:dyDescent="0.25">
      <c r="A1478" s="600"/>
      <c r="B1478" s="176">
        <f t="shared" si="209"/>
        <v>40000</v>
      </c>
      <c r="C1478" s="193">
        <f t="shared" si="205"/>
        <v>4123.3999999999996</v>
      </c>
      <c r="D1478" s="193">
        <f t="shared" si="206"/>
        <v>4835.5</v>
      </c>
      <c r="E1478" s="194">
        <f t="shared" si="207"/>
        <v>0.103085</v>
      </c>
      <c r="F1478" s="194">
        <f t="shared" si="208"/>
        <v>0.12088749999999999</v>
      </c>
      <c r="G1478" s="193">
        <f t="shared" si="203"/>
        <v>712.10000000000036</v>
      </c>
      <c r="H1478" s="195">
        <f t="shared" si="204"/>
        <v>0.17269999999999999</v>
      </c>
      <c r="J1478" s="177"/>
      <c r="Y1478" s="571"/>
    </row>
    <row r="1479" spans="1:25" s="227" customFormat="1" x14ac:dyDescent="0.25">
      <c r="A1479" s="600"/>
      <c r="B1479" s="176">
        <f t="shared" si="209"/>
        <v>45000</v>
      </c>
      <c r="C1479" s="193">
        <f t="shared" si="205"/>
        <v>4537.7</v>
      </c>
      <c r="D1479" s="193">
        <f t="shared" si="206"/>
        <v>5288.25</v>
      </c>
      <c r="E1479" s="194">
        <f t="shared" si="207"/>
        <v>0.10083777777777778</v>
      </c>
      <c r="F1479" s="194">
        <f t="shared" si="208"/>
        <v>0.11751666666666667</v>
      </c>
      <c r="G1479" s="193">
        <f t="shared" si="203"/>
        <v>750.55000000000018</v>
      </c>
      <c r="H1479" s="195">
        <f t="shared" si="204"/>
        <v>0.16539999999999999</v>
      </c>
      <c r="J1479" s="177"/>
      <c r="Y1479" s="571"/>
    </row>
    <row r="1480" spans="1:25" s="227" customFormat="1" x14ac:dyDescent="0.25">
      <c r="A1480" s="600"/>
      <c r="B1480" s="176">
        <f t="shared" si="209"/>
        <v>50000</v>
      </c>
      <c r="C1480" s="193">
        <f t="shared" si="205"/>
        <v>4952</v>
      </c>
      <c r="D1480" s="193">
        <f t="shared" si="206"/>
        <v>5741</v>
      </c>
      <c r="E1480" s="194">
        <f t="shared" si="207"/>
        <v>9.9040000000000003E-2</v>
      </c>
      <c r="F1480" s="194">
        <f t="shared" si="208"/>
        <v>0.11482000000000001</v>
      </c>
      <c r="G1480" s="193">
        <f t="shared" si="203"/>
        <v>789</v>
      </c>
      <c r="H1480" s="195">
        <f t="shared" si="204"/>
        <v>0.1593</v>
      </c>
      <c r="J1480" s="177"/>
      <c r="Y1480" s="571"/>
    </row>
    <row r="1481" spans="1:25" s="227" customFormat="1" x14ac:dyDescent="0.25">
      <c r="A1481" s="600"/>
      <c r="B1481" s="176">
        <f t="shared" si="209"/>
        <v>55000</v>
      </c>
      <c r="C1481" s="193">
        <f t="shared" si="205"/>
        <v>5366.3</v>
      </c>
      <c r="D1481" s="193">
        <f t="shared" si="206"/>
        <v>6193.75</v>
      </c>
      <c r="E1481" s="194">
        <f t="shared" si="207"/>
        <v>9.7569090909090911E-2</v>
      </c>
      <c r="F1481" s="194">
        <f t="shared" si="208"/>
        <v>0.11261363636363636</v>
      </c>
      <c r="G1481" s="193">
        <f t="shared" si="203"/>
        <v>827.44999999999982</v>
      </c>
      <c r="H1481" s="195">
        <f t="shared" si="204"/>
        <v>0.1542</v>
      </c>
      <c r="J1481" s="177"/>
      <c r="Y1481" s="571"/>
    </row>
    <row r="1482" spans="1:25" s="227" customFormat="1" x14ac:dyDescent="0.25">
      <c r="A1482" s="600"/>
      <c r="B1482" s="176">
        <f t="shared" si="209"/>
        <v>60000</v>
      </c>
      <c r="C1482" s="193">
        <f t="shared" si="205"/>
        <v>5780.6</v>
      </c>
      <c r="D1482" s="193">
        <f t="shared" si="206"/>
        <v>6646.5</v>
      </c>
      <c r="E1482" s="194">
        <f t="shared" si="207"/>
        <v>9.6343333333333336E-2</v>
      </c>
      <c r="F1482" s="194">
        <f t="shared" si="208"/>
        <v>0.110775</v>
      </c>
      <c r="G1482" s="193">
        <f t="shared" si="203"/>
        <v>865.89999999999964</v>
      </c>
      <c r="H1482" s="195">
        <f t="shared" si="204"/>
        <v>0.14979999999999999</v>
      </c>
      <c r="J1482" s="177"/>
      <c r="Y1482" s="571"/>
    </row>
    <row r="1483" spans="1:25" s="227" customFormat="1" x14ac:dyDescent="0.25">
      <c r="A1483" s="600"/>
      <c r="B1483" s="176">
        <f t="shared" si="209"/>
        <v>65000</v>
      </c>
      <c r="C1483" s="193">
        <f t="shared" si="205"/>
        <v>6194.9</v>
      </c>
      <c r="D1483" s="193">
        <f t="shared" si="206"/>
        <v>7099.25</v>
      </c>
      <c r="E1483" s="194">
        <f t="shared" si="207"/>
        <v>9.5306153846153846E-2</v>
      </c>
      <c r="F1483" s="194">
        <f t="shared" si="208"/>
        <v>0.10921923076923076</v>
      </c>
      <c r="G1483" s="193">
        <f t="shared" si="203"/>
        <v>904.35000000000036</v>
      </c>
      <c r="H1483" s="195">
        <f t="shared" si="204"/>
        <v>0.14599999999999999</v>
      </c>
      <c r="J1483" s="177"/>
      <c r="Y1483" s="571"/>
    </row>
    <row r="1484" spans="1:25" s="227" customFormat="1" x14ac:dyDescent="0.25">
      <c r="A1484" s="600"/>
      <c r="B1484" s="176">
        <f t="shared" si="209"/>
        <v>70000</v>
      </c>
      <c r="C1484" s="193">
        <f t="shared" si="205"/>
        <v>6609.2</v>
      </c>
      <c r="D1484" s="193">
        <f t="shared" si="206"/>
        <v>7552</v>
      </c>
      <c r="E1484" s="194">
        <f t="shared" si="207"/>
        <v>9.4417142857142852E-2</v>
      </c>
      <c r="F1484" s="194">
        <f t="shared" si="208"/>
        <v>0.10788571428571428</v>
      </c>
      <c r="G1484" s="193">
        <f t="shared" si="203"/>
        <v>942.80000000000018</v>
      </c>
      <c r="H1484" s="195">
        <f t="shared" si="204"/>
        <v>0.1426</v>
      </c>
      <c r="J1484" s="177"/>
      <c r="Y1484" s="571"/>
    </row>
    <row r="1485" spans="1:25" s="227" customFormat="1" x14ac:dyDescent="0.25">
      <c r="A1485" s="600"/>
      <c r="B1485" s="176">
        <f t="shared" si="209"/>
        <v>75000</v>
      </c>
      <c r="C1485" s="193">
        <f t="shared" si="205"/>
        <v>7023.5</v>
      </c>
      <c r="D1485" s="193">
        <f t="shared" si="206"/>
        <v>8004.75</v>
      </c>
      <c r="E1485" s="194">
        <f t="shared" si="207"/>
        <v>9.364666666666667E-2</v>
      </c>
      <c r="F1485" s="194">
        <f t="shared" si="208"/>
        <v>0.10673000000000001</v>
      </c>
      <c r="G1485" s="193">
        <f t="shared" si="203"/>
        <v>981.25</v>
      </c>
      <c r="H1485" s="195">
        <f t="shared" si="204"/>
        <v>0.13969999999999999</v>
      </c>
      <c r="J1485" s="177"/>
      <c r="Y1485" s="571"/>
    </row>
    <row r="1486" spans="1:25" s="227" customFormat="1" x14ac:dyDescent="0.25">
      <c r="A1486" s="600"/>
      <c r="B1486" s="176">
        <f t="shared" si="209"/>
        <v>80000</v>
      </c>
      <c r="C1486" s="193">
        <f t="shared" si="205"/>
        <v>7437.8</v>
      </c>
      <c r="D1486" s="193">
        <f t="shared" si="206"/>
        <v>8457.5</v>
      </c>
      <c r="E1486" s="194">
        <f t="shared" si="207"/>
        <v>9.29725E-2</v>
      </c>
      <c r="F1486" s="194">
        <f t="shared" si="208"/>
        <v>0.10571875</v>
      </c>
      <c r="G1486" s="193">
        <f t="shared" si="203"/>
        <v>1019.6999999999998</v>
      </c>
      <c r="H1486" s="195">
        <f t="shared" si="204"/>
        <v>0.1371</v>
      </c>
      <c r="J1486" s="177"/>
      <c r="Y1486" s="571"/>
    </row>
    <row r="1487" spans="1:25" s="227" customFormat="1" x14ac:dyDescent="0.25">
      <c r="A1487" s="600"/>
      <c r="B1487" s="176">
        <f t="shared" si="209"/>
        <v>85000</v>
      </c>
      <c r="C1487" s="193">
        <f t="shared" si="205"/>
        <v>7852.1</v>
      </c>
      <c r="D1487" s="193">
        <f t="shared" si="206"/>
        <v>8910.25</v>
      </c>
      <c r="E1487" s="194">
        <f t="shared" si="207"/>
        <v>9.2377647058823537E-2</v>
      </c>
      <c r="F1487" s="194">
        <f t="shared" si="208"/>
        <v>0.1048264705882353</v>
      </c>
      <c r="G1487" s="193">
        <f t="shared" si="203"/>
        <v>1058.1499999999996</v>
      </c>
      <c r="H1487" s="195">
        <f t="shared" si="204"/>
        <v>0.1348</v>
      </c>
      <c r="J1487" s="177"/>
      <c r="Y1487" s="571"/>
    </row>
    <row r="1488" spans="1:25" s="227" customFormat="1" x14ac:dyDescent="0.25">
      <c r="A1488" s="600"/>
      <c r="B1488" s="176">
        <f t="shared" si="209"/>
        <v>90000</v>
      </c>
      <c r="C1488" s="193">
        <f t="shared" si="205"/>
        <v>8266.4</v>
      </c>
      <c r="D1488" s="193">
        <f t="shared" si="206"/>
        <v>9363</v>
      </c>
      <c r="E1488" s="194">
        <f t="shared" si="207"/>
        <v>9.1848888888888883E-2</v>
      </c>
      <c r="F1488" s="194">
        <f t="shared" si="208"/>
        <v>0.10403333333333334</v>
      </c>
      <c r="G1488" s="193">
        <f t="shared" si="203"/>
        <v>1096.6000000000004</v>
      </c>
      <c r="H1488" s="195">
        <f t="shared" si="204"/>
        <v>0.13270000000000001</v>
      </c>
      <c r="J1488" s="177"/>
      <c r="Y1488" s="571"/>
    </row>
    <row r="1489" spans="1:25" s="227" customFormat="1" x14ac:dyDescent="0.25">
      <c r="A1489" s="600"/>
      <c r="B1489" s="176">
        <f t="shared" si="209"/>
        <v>95000</v>
      </c>
      <c r="C1489" s="193">
        <f t="shared" si="205"/>
        <v>8680.7000000000007</v>
      </c>
      <c r="D1489" s="193">
        <f t="shared" si="206"/>
        <v>9815.75</v>
      </c>
      <c r="E1489" s="194">
        <f t="shared" si="207"/>
        <v>9.1375789473684216E-2</v>
      </c>
      <c r="F1489" s="194">
        <f t="shared" si="208"/>
        <v>0.10332368421052632</v>
      </c>
      <c r="G1489" s="193">
        <f t="shared" si="203"/>
        <v>1135.0499999999993</v>
      </c>
      <c r="H1489" s="195">
        <f t="shared" si="204"/>
        <v>0.1308</v>
      </c>
      <c r="J1489" s="177"/>
      <c r="Y1489" s="571"/>
    </row>
    <row r="1490" spans="1:25" x14ac:dyDescent="0.25">
      <c r="B1490" s="176">
        <f t="shared" si="209"/>
        <v>100000</v>
      </c>
      <c r="C1490" s="193">
        <f t="shared" si="205"/>
        <v>9095</v>
      </c>
      <c r="D1490" s="193">
        <f t="shared" si="206"/>
        <v>10268.5</v>
      </c>
      <c r="E1490" s="194">
        <f t="shared" si="207"/>
        <v>9.0950000000000003E-2</v>
      </c>
      <c r="F1490" s="194">
        <f t="shared" si="208"/>
        <v>0.102685</v>
      </c>
      <c r="G1490" s="193">
        <f t="shared" si="203"/>
        <v>1173.5</v>
      </c>
      <c r="H1490" s="195">
        <f t="shared" si="204"/>
        <v>0.129</v>
      </c>
    </row>
    <row r="1491" spans="1:25" x14ac:dyDescent="0.25">
      <c r="B1491" s="176">
        <f>B1490+5000</f>
        <v>105000</v>
      </c>
      <c r="C1491" s="193">
        <f t="shared" si="205"/>
        <v>9509.2999999999993</v>
      </c>
      <c r="D1491" s="193">
        <f t="shared" si="206"/>
        <v>10721.25</v>
      </c>
      <c r="E1491" s="194">
        <f t="shared" si="207"/>
        <v>9.0564761904761898E-2</v>
      </c>
      <c r="F1491" s="194">
        <f t="shared" si="208"/>
        <v>0.10210714285714285</v>
      </c>
      <c r="G1491" s="193">
        <f t="shared" si="203"/>
        <v>1211.9500000000007</v>
      </c>
      <c r="H1491" s="195">
        <f t="shared" si="204"/>
        <v>0.12740000000000001</v>
      </c>
    </row>
    <row r="1492" spans="1:25" x14ac:dyDescent="0.25">
      <c r="B1492" s="176">
        <f t="shared" si="209"/>
        <v>110000</v>
      </c>
      <c r="C1492" s="193">
        <f t="shared" si="205"/>
        <v>9923.6</v>
      </c>
      <c r="D1492" s="193">
        <f t="shared" si="206"/>
        <v>11174</v>
      </c>
      <c r="E1492" s="194">
        <f t="shared" si="207"/>
        <v>9.0214545454545464E-2</v>
      </c>
      <c r="F1492" s="194">
        <f t="shared" si="208"/>
        <v>0.10158181818181818</v>
      </c>
      <c r="G1492" s="193">
        <f t="shared" si="203"/>
        <v>1250.3999999999996</v>
      </c>
      <c r="H1492" s="195">
        <f t="shared" si="204"/>
        <v>0.126</v>
      </c>
    </row>
    <row r="1493" spans="1:25" x14ac:dyDescent="0.25">
      <c r="B1493" s="176">
        <f t="shared" si="209"/>
        <v>115000</v>
      </c>
      <c r="C1493" s="193">
        <f t="shared" si="205"/>
        <v>10337.9</v>
      </c>
      <c r="D1493" s="193">
        <f t="shared" si="206"/>
        <v>11626.75</v>
      </c>
      <c r="E1493" s="194">
        <f t="shared" si="207"/>
        <v>8.9894782608695656E-2</v>
      </c>
      <c r="F1493" s="194">
        <f t="shared" si="208"/>
        <v>0.10110217391304348</v>
      </c>
      <c r="G1493" s="193">
        <f t="shared" si="203"/>
        <v>1288.8500000000004</v>
      </c>
      <c r="H1493" s="195">
        <f t="shared" si="204"/>
        <v>0.12470000000000001</v>
      </c>
    </row>
    <row r="1494" spans="1:25" x14ac:dyDescent="0.25">
      <c r="B1494" s="176">
        <f t="shared" si="209"/>
        <v>120000</v>
      </c>
      <c r="C1494" s="193">
        <f t="shared" si="205"/>
        <v>10752.2</v>
      </c>
      <c r="D1494" s="193">
        <f t="shared" si="206"/>
        <v>12079.5</v>
      </c>
      <c r="E1494" s="194">
        <f t="shared" si="207"/>
        <v>8.9601666666666677E-2</v>
      </c>
      <c r="F1494" s="194">
        <f t="shared" si="208"/>
        <v>0.1006625</v>
      </c>
      <c r="G1494" s="193">
        <f t="shared" si="203"/>
        <v>1327.2999999999993</v>
      </c>
      <c r="H1494" s="195">
        <f t="shared" si="204"/>
        <v>0.1234</v>
      </c>
    </row>
    <row r="1495" spans="1:25" x14ac:dyDescent="0.25">
      <c r="B1495" s="176">
        <f t="shared" si="209"/>
        <v>125000</v>
      </c>
      <c r="C1495" s="193">
        <f t="shared" si="205"/>
        <v>11166.5</v>
      </c>
      <c r="D1495" s="193">
        <f t="shared" si="206"/>
        <v>12532.25</v>
      </c>
      <c r="E1495" s="194">
        <f t="shared" si="207"/>
        <v>8.9331999999999995E-2</v>
      </c>
      <c r="F1495" s="194">
        <f t="shared" si="208"/>
        <v>0.100258</v>
      </c>
      <c r="G1495" s="193">
        <f t="shared" si="203"/>
        <v>1365.75</v>
      </c>
      <c r="H1495" s="195">
        <f t="shared" si="204"/>
        <v>0.12230000000000001</v>
      </c>
    </row>
    <row r="1496" spans="1:25" x14ac:dyDescent="0.25">
      <c r="B1496" s="176">
        <f t="shared" si="209"/>
        <v>130000</v>
      </c>
      <c r="C1496" s="193">
        <f t="shared" si="205"/>
        <v>11580.8</v>
      </c>
      <c r="D1496" s="193">
        <f t="shared" si="206"/>
        <v>12985</v>
      </c>
      <c r="E1496" s="194">
        <f t="shared" si="207"/>
        <v>8.9083076923076918E-2</v>
      </c>
      <c r="F1496" s="194">
        <f t="shared" si="208"/>
        <v>9.9884615384615391E-2</v>
      </c>
      <c r="G1496" s="193">
        <f t="shared" si="203"/>
        <v>1404.2000000000007</v>
      </c>
      <c r="H1496" s="195">
        <f t="shared" si="204"/>
        <v>0.12130000000000001</v>
      </c>
    </row>
    <row r="1497" spans="1:25" x14ac:dyDescent="0.25">
      <c r="B1497" s="176">
        <f t="shared" si="209"/>
        <v>135000</v>
      </c>
      <c r="C1497" s="193">
        <f t="shared" si="205"/>
        <v>11995.1</v>
      </c>
      <c r="D1497" s="193">
        <f t="shared" si="206"/>
        <v>13437.75</v>
      </c>
      <c r="E1497" s="194">
        <f t="shared" si="207"/>
        <v>8.8852592592592594E-2</v>
      </c>
      <c r="F1497" s="194">
        <f t="shared" si="208"/>
        <v>9.9538888888888885E-2</v>
      </c>
      <c r="G1497" s="193">
        <f t="shared" si="203"/>
        <v>1442.6499999999996</v>
      </c>
      <c r="H1497" s="195">
        <f t="shared" si="204"/>
        <v>0.1203</v>
      </c>
    </row>
    <row r="1498" spans="1:25" x14ac:dyDescent="0.25">
      <c r="B1498" s="176">
        <f t="shared" si="209"/>
        <v>140000</v>
      </c>
      <c r="C1498" s="193">
        <f t="shared" si="205"/>
        <v>12409.4</v>
      </c>
      <c r="D1498" s="193">
        <f t="shared" si="206"/>
        <v>13890.5</v>
      </c>
      <c r="E1498" s="194">
        <f t="shared" si="207"/>
        <v>8.8638571428571428E-2</v>
      </c>
      <c r="F1498" s="194">
        <f t="shared" si="208"/>
        <v>9.9217857142857149E-2</v>
      </c>
      <c r="G1498" s="193">
        <f t="shared" si="203"/>
        <v>1481.1000000000004</v>
      </c>
      <c r="H1498" s="195">
        <f t="shared" si="204"/>
        <v>0.11940000000000001</v>
      </c>
    </row>
    <row r="1499" spans="1:25" x14ac:dyDescent="0.25">
      <c r="B1499" s="176">
        <f t="shared" si="209"/>
        <v>145000</v>
      </c>
      <c r="C1499" s="193">
        <f t="shared" si="205"/>
        <v>12823.7</v>
      </c>
      <c r="D1499" s="193">
        <f t="shared" si="206"/>
        <v>14343.25</v>
      </c>
      <c r="E1499" s="194">
        <f t="shared" si="207"/>
        <v>8.843931034482759E-2</v>
      </c>
      <c r="F1499" s="194">
        <f t="shared" si="208"/>
        <v>9.8918965517241386E-2</v>
      </c>
      <c r="G1499" s="193">
        <f t="shared" si="203"/>
        <v>1519.5499999999993</v>
      </c>
      <c r="H1499" s="195">
        <f t="shared" si="204"/>
        <v>0.11849999999999999</v>
      </c>
    </row>
    <row r="1500" spans="1:25" x14ac:dyDescent="0.25">
      <c r="B1500" s="176">
        <f>B1499+5000</f>
        <v>150000</v>
      </c>
      <c r="C1500" s="193">
        <f t="shared" si="205"/>
        <v>13238</v>
      </c>
      <c r="D1500" s="193">
        <f t="shared" si="206"/>
        <v>14796</v>
      </c>
      <c r="E1500" s="194">
        <f t="shared" si="207"/>
        <v>8.8253333333333336E-2</v>
      </c>
      <c r="F1500" s="194">
        <f t="shared" si="208"/>
        <v>9.8640000000000005E-2</v>
      </c>
      <c r="G1500" s="193">
        <f t="shared" si="203"/>
        <v>1558</v>
      </c>
      <c r="H1500" s="195">
        <f t="shared" si="204"/>
        <v>0.1177</v>
      </c>
    </row>
    <row r="1501" spans="1:25" x14ac:dyDescent="0.25">
      <c r="C1501" s="193"/>
      <c r="D1501" s="193"/>
      <c r="E1501" s="194"/>
      <c r="F1501" s="194"/>
      <c r="G1501" s="193"/>
      <c r="H1501" s="195"/>
    </row>
    <row r="1502" spans="1:25" hidden="1" x14ac:dyDescent="0.25">
      <c r="C1502" s="193"/>
      <c r="D1502" s="193"/>
      <c r="E1502" s="194"/>
      <c r="F1502" s="194"/>
      <c r="G1502" s="193"/>
      <c r="H1502" s="195"/>
    </row>
    <row r="1503" spans="1:25" hidden="1" x14ac:dyDescent="0.25">
      <c r="C1503" s="193"/>
      <c r="D1503" s="193"/>
      <c r="E1503" s="194"/>
      <c r="F1503" s="194"/>
      <c r="G1503" s="193"/>
      <c r="H1503" s="195"/>
    </row>
    <row r="1504" spans="1:25" hidden="1" x14ac:dyDescent="0.25">
      <c r="C1504" s="193"/>
      <c r="D1504" s="193"/>
      <c r="E1504" s="194"/>
      <c r="F1504" s="194"/>
      <c r="G1504" s="193"/>
      <c r="H1504" s="195"/>
    </row>
    <row r="1505" spans="1:10" hidden="1" x14ac:dyDescent="0.25">
      <c r="C1505" s="193"/>
      <c r="D1505" s="193"/>
      <c r="E1505" s="194"/>
      <c r="F1505" s="194"/>
      <c r="G1505" s="193"/>
      <c r="H1505" s="195"/>
    </row>
    <row r="1506" spans="1:10" hidden="1" x14ac:dyDescent="0.25">
      <c r="C1506" s="193"/>
      <c r="D1506" s="193"/>
      <c r="E1506" s="194"/>
      <c r="F1506" s="194"/>
      <c r="G1506" s="193"/>
      <c r="H1506" s="195"/>
    </row>
    <row r="1507" spans="1:10" hidden="1" x14ac:dyDescent="0.25"/>
    <row r="1508" spans="1:10" hidden="1" x14ac:dyDescent="0.25"/>
    <row r="1509" spans="1:10" hidden="1" x14ac:dyDescent="0.25"/>
    <row r="1510" spans="1:10" hidden="1" x14ac:dyDescent="0.25">
      <c r="A1510" s="180" t="s">
        <v>21</v>
      </c>
      <c r="B1510" s="179"/>
      <c r="C1510" s="179"/>
      <c r="D1510" s="179"/>
      <c r="E1510" s="179"/>
      <c r="F1510" s="179"/>
      <c r="G1510" s="179"/>
      <c r="H1510" s="179"/>
      <c r="I1510" s="180"/>
    </row>
    <row r="1511" spans="1:10" hidden="1" x14ac:dyDescent="0.25">
      <c r="A1511" s="180" t="s">
        <v>22</v>
      </c>
      <c r="B1511" s="179"/>
      <c r="C1511" s="179"/>
      <c r="D1511" s="179"/>
      <c r="E1511" s="179"/>
      <c r="F1511" s="179"/>
      <c r="G1511" s="179"/>
      <c r="H1511" s="179"/>
      <c r="I1511" s="180"/>
    </row>
    <row r="1512" spans="1:10" hidden="1" x14ac:dyDescent="0.25">
      <c r="A1512" s="180" t="s">
        <v>310</v>
      </c>
      <c r="B1512" s="179"/>
      <c r="C1512" s="179"/>
      <c r="D1512" s="179"/>
      <c r="E1512" s="179"/>
      <c r="F1512" s="179"/>
      <c r="G1512" s="179"/>
      <c r="H1512" s="179"/>
      <c r="I1512" s="180"/>
    </row>
    <row r="1513" spans="1:10" x14ac:dyDescent="0.25">
      <c r="A1513" s="599" t="s">
        <v>366</v>
      </c>
      <c r="B1513" s="179"/>
      <c r="C1513" s="179"/>
      <c r="D1513" s="179"/>
      <c r="E1513" s="179"/>
      <c r="F1513" s="179"/>
      <c r="G1513" s="179"/>
      <c r="H1513" s="179"/>
      <c r="I1513" s="180"/>
    </row>
    <row r="1515" spans="1:10" hidden="1" x14ac:dyDescent="0.25"/>
    <row r="1516" spans="1:10" x14ac:dyDescent="0.25">
      <c r="D1516" s="181" t="s">
        <v>311</v>
      </c>
      <c r="G1516" s="181" t="s">
        <v>312</v>
      </c>
    </row>
    <row r="1517" spans="1:10" x14ac:dyDescent="0.25">
      <c r="D1517" s="182" t="s">
        <v>313</v>
      </c>
      <c r="G1517" s="182" t="s">
        <v>313</v>
      </c>
    </row>
    <row r="1518" spans="1:10" x14ac:dyDescent="0.25">
      <c r="A1518" s="180" t="s">
        <v>314</v>
      </c>
      <c r="D1518" s="183">
        <v>809</v>
      </c>
      <c r="G1518" s="183">
        <f>VLOOKUP(J1518,'EXHIBIT JDT-3 IND'!D:N,7,FALSE)</f>
        <v>1213.5</v>
      </c>
      <c r="J1518" s="177" t="s">
        <v>123</v>
      </c>
    </row>
    <row r="1519" spans="1:10" x14ac:dyDescent="0.25">
      <c r="A1519" s="180" t="s">
        <v>315</v>
      </c>
      <c r="C1519" s="184">
        <v>9999999999</v>
      </c>
      <c r="D1519" s="185">
        <v>8.0860000000000001E-2</v>
      </c>
      <c r="G1519" s="185">
        <f>VLOOKUP(J1519,'EXHIBIT JDT-3 IND'!D:N,7,FALSE)/10</f>
        <v>9.0549999999999992E-2</v>
      </c>
      <c r="J1519" s="177" t="s">
        <v>134</v>
      </c>
    </row>
    <row r="1520" spans="1:10" hidden="1" x14ac:dyDescent="0.25">
      <c r="C1520" s="184"/>
      <c r="D1520" s="185"/>
      <c r="G1520" s="185"/>
    </row>
    <row r="1521" spans="1:10" x14ac:dyDescent="0.25">
      <c r="C1521" s="184"/>
      <c r="D1521" s="185"/>
      <c r="G1521" s="185"/>
    </row>
    <row r="1522" spans="1:10" hidden="1" x14ac:dyDescent="0.25">
      <c r="A1522" s="180" t="s">
        <v>316</v>
      </c>
      <c r="D1522" s="185">
        <v>0</v>
      </c>
      <c r="E1522" s="186"/>
      <c r="F1522" s="186"/>
      <c r="G1522" s="185">
        <f>D1522</f>
        <v>0</v>
      </c>
      <c r="J1522" s="187" t="s">
        <v>370</v>
      </c>
    </row>
    <row r="1523" spans="1:10" hidden="1" x14ac:dyDescent="0.25">
      <c r="A1523" s="180" t="s">
        <v>152</v>
      </c>
      <c r="D1523" s="185">
        <v>0</v>
      </c>
      <c r="E1523" s="186"/>
      <c r="F1523" s="186"/>
      <c r="G1523" s="185">
        <f t="shared" ref="G1523:G1525" si="210">D1523</f>
        <v>0</v>
      </c>
      <c r="J1523" s="188" t="s">
        <v>370</v>
      </c>
    </row>
    <row r="1524" spans="1:10" hidden="1" x14ac:dyDescent="0.25">
      <c r="A1524" s="180" t="s">
        <v>318</v>
      </c>
      <c r="D1524" s="185">
        <v>0</v>
      </c>
      <c r="E1524" s="186"/>
      <c r="F1524" s="186"/>
      <c r="G1524" s="185">
        <f t="shared" si="210"/>
        <v>0</v>
      </c>
      <c r="J1524" s="187"/>
    </row>
    <row r="1525" spans="1:10" hidden="1" x14ac:dyDescent="0.25">
      <c r="A1525" s="180" t="s">
        <v>319</v>
      </c>
      <c r="D1525" s="185">
        <v>0</v>
      </c>
      <c r="E1525" s="186"/>
      <c r="F1525" s="186"/>
      <c r="G1525" s="185">
        <f t="shared" si="210"/>
        <v>0</v>
      </c>
      <c r="J1525" s="187"/>
    </row>
    <row r="1526" spans="1:10" hidden="1" x14ac:dyDescent="0.25">
      <c r="A1526" s="180" t="s">
        <v>320</v>
      </c>
      <c r="D1526" s="185">
        <v>0</v>
      </c>
      <c r="E1526" s="186"/>
      <c r="F1526" s="186"/>
      <c r="G1526" s="185">
        <f>IFERROR(VLOOKUP(J1526,'EXHIBIT JDT-3 IND'!D:N,7,FALSE)/10,0)</f>
        <v>0</v>
      </c>
      <c r="J1526" s="187"/>
    </row>
    <row r="1527" spans="1:10" hidden="1" x14ac:dyDescent="0.25">
      <c r="A1527" s="180" t="s">
        <v>341</v>
      </c>
      <c r="D1527" s="185">
        <v>0</v>
      </c>
      <c r="E1527" s="186"/>
      <c r="F1527" s="186"/>
      <c r="G1527" s="185">
        <f>IFERROR(VLOOKUP(J1527,'EXHIBIT JDT-3 IND'!D:N,7,FALSE)/10,0)</f>
        <v>0</v>
      </c>
      <c r="J1527" s="187"/>
    </row>
    <row r="1528" spans="1:10" hidden="1" x14ac:dyDescent="0.25">
      <c r="A1528" s="180" t="s">
        <v>342</v>
      </c>
      <c r="D1528" s="185">
        <v>0</v>
      </c>
      <c r="E1528" s="186"/>
      <c r="F1528" s="186"/>
      <c r="G1528" s="185">
        <v>0</v>
      </c>
      <c r="J1528" s="188" t="s">
        <v>370</v>
      </c>
    </row>
    <row r="1529" spans="1:10" hidden="1" x14ac:dyDescent="0.25">
      <c r="A1529" s="180" t="s">
        <v>343</v>
      </c>
      <c r="D1529" s="185">
        <v>0</v>
      </c>
      <c r="E1529" s="186"/>
      <c r="F1529" s="186"/>
      <c r="G1529" s="185">
        <v>0</v>
      </c>
      <c r="J1529" s="188" t="s">
        <v>370</v>
      </c>
    </row>
    <row r="1530" spans="1:10" hidden="1" x14ac:dyDescent="0.25">
      <c r="E1530" s="186"/>
      <c r="F1530" s="186"/>
      <c r="G1530" s="186"/>
    </row>
    <row r="1531" spans="1:10" hidden="1" x14ac:dyDescent="0.25">
      <c r="A1531" s="180" t="s">
        <v>321</v>
      </c>
      <c r="D1531" s="189">
        <v>0</v>
      </c>
      <c r="G1531" s="189">
        <v>0</v>
      </c>
    </row>
    <row r="1532" spans="1:10" hidden="1" x14ac:dyDescent="0.25"/>
    <row r="1533" spans="1:10" hidden="1" x14ac:dyDescent="0.25"/>
    <row r="1534" spans="1:10" x14ac:dyDescent="0.25">
      <c r="G1534" s="190" t="s">
        <v>322</v>
      </c>
      <c r="H1534" s="190"/>
    </row>
    <row r="1535" spans="1:10" x14ac:dyDescent="0.25">
      <c r="B1535" s="176" t="s">
        <v>323</v>
      </c>
      <c r="C1535" s="181" t="s">
        <v>311</v>
      </c>
      <c r="D1535" s="181" t="s">
        <v>312</v>
      </c>
      <c r="E1535" s="181" t="s">
        <v>311</v>
      </c>
      <c r="F1535" s="181" t="s">
        <v>312</v>
      </c>
      <c r="G1535" s="181" t="s">
        <v>324</v>
      </c>
      <c r="H1535" s="181" t="s">
        <v>325</v>
      </c>
      <c r="J1535" s="191"/>
    </row>
    <row r="1536" spans="1:10" x14ac:dyDescent="0.25">
      <c r="C1536" s="192" t="s">
        <v>326</v>
      </c>
      <c r="D1536" s="192" t="s">
        <v>327</v>
      </c>
      <c r="E1536" s="181" t="s">
        <v>328</v>
      </c>
      <c r="F1536" s="181" t="s">
        <v>328</v>
      </c>
      <c r="G1536" s="192" t="s">
        <v>329</v>
      </c>
      <c r="J1536" s="191"/>
    </row>
    <row r="1537" spans="1:25" x14ac:dyDescent="0.25">
      <c r="B1537" s="176" t="s">
        <v>330</v>
      </c>
      <c r="J1537" s="191"/>
    </row>
    <row r="1538" spans="1:25" s="227" customFormat="1" x14ac:dyDescent="0.25">
      <c r="A1538" s="600"/>
      <c r="B1538" s="176">
        <v>0</v>
      </c>
      <c r="C1538" s="193">
        <f>ROUND((D1518+B1538*D1519+B1538*(D1522+D1523+D1524+D1525+D1526+D1527+D1528+D1529))*(1+D1531),2)</f>
        <v>809</v>
      </c>
      <c r="D1538" s="193">
        <f>ROUND(($G$1518+(SUM($G$1519:$G$1529)*B1538))*(1+$G$1531),2)</f>
        <v>1213.5</v>
      </c>
      <c r="E1538" s="194"/>
      <c r="F1538" s="194"/>
      <c r="G1538" s="193">
        <f t="shared" ref="G1538:G1568" si="211">D1538-C1538</f>
        <v>404.5</v>
      </c>
      <c r="H1538" s="195">
        <f t="shared" ref="H1538:H1568" si="212">ROUND(G1538/C1538,4)</f>
        <v>0.5</v>
      </c>
      <c r="J1538" s="207"/>
      <c r="L1538" s="228"/>
      <c r="Y1538" s="571"/>
    </row>
    <row r="1539" spans="1:25" s="227" customFormat="1" x14ac:dyDescent="0.25">
      <c r="A1539" s="600"/>
      <c r="B1539" s="176">
        <f>B1538+10000</f>
        <v>10000</v>
      </c>
      <c r="C1539" s="193">
        <f>ROUND((D1518+B1539*D1519+B1539*(D1522+D1523+D1524+D1525+D1526+D1527+D1528+D1529))*(1+D1531),2)</f>
        <v>1617.6</v>
      </c>
      <c r="D1539" s="193">
        <f t="shared" ref="D1539:D1568" si="213">ROUND(($G$1518+(SUM($G$1519:$G$1529)*B1539))*(1+$G$1531),2)</f>
        <v>2119</v>
      </c>
      <c r="E1539" s="194">
        <f t="shared" ref="E1539:E1568" si="214">+C1539/B1539</f>
        <v>0.16175999999999999</v>
      </c>
      <c r="F1539" s="194">
        <f t="shared" ref="F1539:F1568" si="215">+D1539/B1539</f>
        <v>0.21190000000000001</v>
      </c>
      <c r="G1539" s="193">
        <f t="shared" si="211"/>
        <v>501.40000000000009</v>
      </c>
      <c r="H1539" s="195">
        <f t="shared" si="212"/>
        <v>0.31</v>
      </c>
      <c r="J1539" s="207"/>
      <c r="L1539" s="228"/>
      <c r="Y1539" s="571"/>
    </row>
    <row r="1540" spans="1:25" s="227" customFormat="1" x14ac:dyDescent="0.25">
      <c r="A1540" s="600"/>
      <c r="B1540" s="176">
        <f t="shared" ref="B1540:B1567" si="216">B1539+10000</f>
        <v>20000</v>
      </c>
      <c r="C1540" s="193">
        <f>ROUND((D1518+B1540*D1519+B1540*(D1522+D1523+D1524+D1525+D1526+D1527+D1528+D1529))*(1+D1531),2)</f>
        <v>2426.1999999999998</v>
      </c>
      <c r="D1540" s="193">
        <f t="shared" si="213"/>
        <v>3024.5</v>
      </c>
      <c r="E1540" s="194">
        <f t="shared" si="214"/>
        <v>0.12130999999999999</v>
      </c>
      <c r="F1540" s="194">
        <f t="shared" si="215"/>
        <v>0.151225</v>
      </c>
      <c r="G1540" s="193">
        <f t="shared" si="211"/>
        <v>598.30000000000018</v>
      </c>
      <c r="H1540" s="195">
        <f t="shared" si="212"/>
        <v>0.24660000000000001</v>
      </c>
      <c r="J1540" s="207"/>
      <c r="L1540" s="228"/>
      <c r="Y1540" s="571"/>
    </row>
    <row r="1541" spans="1:25" s="227" customFormat="1" x14ac:dyDescent="0.25">
      <c r="A1541" s="600"/>
      <c r="B1541" s="176">
        <f t="shared" si="216"/>
        <v>30000</v>
      </c>
      <c r="C1541" s="193">
        <f>ROUND((D1518+B1541*D1519+B1541*(D1522+D1523+D1524+D1525+D1526+D1527+D1528+D1529))*(1+D1531),2)</f>
        <v>3234.8</v>
      </c>
      <c r="D1541" s="193">
        <f t="shared" si="213"/>
        <v>3930</v>
      </c>
      <c r="E1541" s="194">
        <f t="shared" si="214"/>
        <v>0.10782666666666667</v>
      </c>
      <c r="F1541" s="194">
        <f t="shared" si="215"/>
        <v>0.13100000000000001</v>
      </c>
      <c r="G1541" s="193">
        <f t="shared" si="211"/>
        <v>695.19999999999982</v>
      </c>
      <c r="H1541" s="195">
        <f t="shared" si="212"/>
        <v>0.21490000000000001</v>
      </c>
      <c r="J1541" s="207"/>
      <c r="L1541" s="228"/>
      <c r="Y1541" s="571"/>
    </row>
    <row r="1542" spans="1:25" s="227" customFormat="1" x14ac:dyDescent="0.25">
      <c r="A1542" s="600"/>
      <c r="B1542" s="176">
        <f t="shared" si="216"/>
        <v>40000</v>
      </c>
      <c r="C1542" s="193">
        <f>ROUND((D1518+B1542*D1519+B1542*(D1522+D1523+D1524+D1525+D1526+D1527+D1528+D1529))*(1+D1531),2)</f>
        <v>4043.4</v>
      </c>
      <c r="D1542" s="193">
        <f t="shared" si="213"/>
        <v>4835.5</v>
      </c>
      <c r="E1542" s="194">
        <f t="shared" si="214"/>
        <v>0.10108500000000001</v>
      </c>
      <c r="F1542" s="194">
        <f t="shared" si="215"/>
        <v>0.12088749999999999</v>
      </c>
      <c r="G1542" s="193">
        <f t="shared" si="211"/>
        <v>792.09999999999991</v>
      </c>
      <c r="H1542" s="195">
        <f t="shared" si="212"/>
        <v>0.19589999999999999</v>
      </c>
      <c r="J1542" s="207"/>
      <c r="L1542" s="228"/>
      <c r="Y1542" s="571"/>
    </row>
    <row r="1543" spans="1:25" s="227" customFormat="1" x14ac:dyDescent="0.25">
      <c r="A1543" s="600"/>
      <c r="B1543" s="176">
        <f t="shared" si="216"/>
        <v>50000</v>
      </c>
      <c r="C1543" s="193">
        <f>ROUND((D1518+B1543*D1519+B1543*(D1522+D1523+D1524+D1525+D1526+D1527+D1528+D1529))*(1+D1531),2)</f>
        <v>4852</v>
      </c>
      <c r="D1543" s="193">
        <f t="shared" si="213"/>
        <v>5741</v>
      </c>
      <c r="E1543" s="194">
        <f t="shared" si="214"/>
        <v>9.7040000000000001E-2</v>
      </c>
      <c r="F1543" s="194">
        <f t="shared" si="215"/>
        <v>0.11482000000000001</v>
      </c>
      <c r="G1543" s="193">
        <f t="shared" si="211"/>
        <v>889</v>
      </c>
      <c r="H1543" s="195">
        <f t="shared" si="212"/>
        <v>0.1832</v>
      </c>
      <c r="J1543" s="207"/>
      <c r="L1543" s="228"/>
      <c r="Y1543" s="571"/>
    </row>
    <row r="1544" spans="1:25" s="227" customFormat="1" x14ac:dyDescent="0.25">
      <c r="A1544" s="600"/>
      <c r="B1544" s="176">
        <f t="shared" si="216"/>
        <v>60000</v>
      </c>
      <c r="C1544" s="193">
        <f>ROUND((D1518+B1544*D1519+B1544*(D1522+D1523+D1524+D1525+D1526+D1527+D1528+D1529))*(1+D1531),2)</f>
        <v>5660.6</v>
      </c>
      <c r="D1544" s="193">
        <f t="shared" si="213"/>
        <v>6646.5</v>
      </c>
      <c r="E1544" s="194">
        <f t="shared" si="214"/>
        <v>9.4343333333333335E-2</v>
      </c>
      <c r="F1544" s="194">
        <f t="shared" si="215"/>
        <v>0.110775</v>
      </c>
      <c r="G1544" s="193">
        <f t="shared" si="211"/>
        <v>985.89999999999964</v>
      </c>
      <c r="H1544" s="195">
        <f t="shared" si="212"/>
        <v>0.17419999999999999</v>
      </c>
      <c r="J1544" s="207"/>
      <c r="L1544" s="228"/>
      <c r="Y1544" s="571"/>
    </row>
    <row r="1545" spans="1:25" s="227" customFormat="1" x14ac:dyDescent="0.25">
      <c r="A1545" s="600"/>
      <c r="B1545" s="176">
        <f t="shared" si="216"/>
        <v>70000</v>
      </c>
      <c r="C1545" s="193">
        <f>ROUND((D1518+B1545*D1519+B1545*(D1522+D1523+D1524+D1525+D1526+D1527+D1528+D1529))*(1+D1531),2)</f>
        <v>6469.2</v>
      </c>
      <c r="D1545" s="193">
        <f t="shared" si="213"/>
        <v>7552</v>
      </c>
      <c r="E1545" s="194">
        <f t="shared" si="214"/>
        <v>9.241714285714285E-2</v>
      </c>
      <c r="F1545" s="194">
        <f t="shared" si="215"/>
        <v>0.10788571428571428</v>
      </c>
      <c r="G1545" s="193">
        <f t="shared" si="211"/>
        <v>1082.8000000000002</v>
      </c>
      <c r="H1545" s="195">
        <f t="shared" si="212"/>
        <v>0.16739999999999999</v>
      </c>
      <c r="J1545" s="207"/>
      <c r="L1545" s="228"/>
      <c r="Y1545" s="571"/>
    </row>
    <row r="1546" spans="1:25" s="227" customFormat="1" x14ac:dyDescent="0.25">
      <c r="A1546" s="600"/>
      <c r="B1546" s="176">
        <f t="shared" si="216"/>
        <v>80000</v>
      </c>
      <c r="C1546" s="193">
        <f>ROUND((D1518+B1546*D1519+B1546*(D1522+D1523+D1524+D1525+D1526+D1527+D1528+D1529))*(1+D1531),2)</f>
        <v>7277.8</v>
      </c>
      <c r="D1546" s="193">
        <f t="shared" si="213"/>
        <v>8457.5</v>
      </c>
      <c r="E1546" s="194">
        <f t="shared" si="214"/>
        <v>9.0972499999999998E-2</v>
      </c>
      <c r="F1546" s="194">
        <f t="shared" si="215"/>
        <v>0.10571875</v>
      </c>
      <c r="G1546" s="193">
        <f t="shared" si="211"/>
        <v>1179.6999999999998</v>
      </c>
      <c r="H1546" s="195">
        <f t="shared" si="212"/>
        <v>0.16209999999999999</v>
      </c>
      <c r="J1546" s="207"/>
      <c r="L1546" s="228"/>
      <c r="Y1546" s="571"/>
    </row>
    <row r="1547" spans="1:25" s="227" customFormat="1" x14ac:dyDescent="0.25">
      <c r="A1547" s="600"/>
      <c r="B1547" s="176">
        <f t="shared" si="216"/>
        <v>90000</v>
      </c>
      <c r="C1547" s="193">
        <f>ROUND((D1518+B1547*D1519+B1547*(D1522+D1523+D1524+D1525+D1526+D1527+D1528+D1529))*(1+D1531),2)</f>
        <v>8086.4</v>
      </c>
      <c r="D1547" s="193">
        <f t="shared" si="213"/>
        <v>9363</v>
      </c>
      <c r="E1547" s="194">
        <f t="shared" si="214"/>
        <v>8.9848888888888881E-2</v>
      </c>
      <c r="F1547" s="194">
        <f t="shared" si="215"/>
        <v>0.10403333333333334</v>
      </c>
      <c r="G1547" s="193">
        <f t="shared" si="211"/>
        <v>1276.6000000000004</v>
      </c>
      <c r="H1547" s="195">
        <f t="shared" si="212"/>
        <v>0.15790000000000001</v>
      </c>
      <c r="J1547" s="207"/>
      <c r="L1547" s="228"/>
      <c r="Y1547" s="571"/>
    </row>
    <row r="1548" spans="1:25" s="227" customFormat="1" x14ac:dyDescent="0.25">
      <c r="A1548" s="600"/>
      <c r="B1548" s="176">
        <f t="shared" si="216"/>
        <v>100000</v>
      </c>
      <c r="C1548" s="193">
        <f>ROUND((D1518+B1548*D1519+B1548*(D1522+D1523+D1524+D1525+D1526+D1527+D1528+D1529))*(1+D1531),2)</f>
        <v>8895</v>
      </c>
      <c r="D1548" s="193">
        <f t="shared" si="213"/>
        <v>10268.5</v>
      </c>
      <c r="E1548" s="194">
        <f t="shared" si="214"/>
        <v>8.8950000000000001E-2</v>
      </c>
      <c r="F1548" s="194">
        <f t="shared" si="215"/>
        <v>0.102685</v>
      </c>
      <c r="G1548" s="193">
        <f t="shared" si="211"/>
        <v>1373.5</v>
      </c>
      <c r="H1548" s="195">
        <f t="shared" si="212"/>
        <v>0.15440000000000001</v>
      </c>
      <c r="J1548" s="207"/>
      <c r="L1548" s="228"/>
      <c r="Y1548" s="571"/>
    </row>
    <row r="1549" spans="1:25" s="227" customFormat="1" x14ac:dyDescent="0.25">
      <c r="A1549" s="600"/>
      <c r="B1549" s="176">
        <f t="shared" si="216"/>
        <v>110000</v>
      </c>
      <c r="C1549" s="193">
        <f>ROUND((D1518+B1549*D1519+B1549*(D1522+D1523+D1524+D1525+D1526+D1527+D1528+D1529))*(1+D1531),2)</f>
        <v>9703.6</v>
      </c>
      <c r="D1549" s="193">
        <f t="shared" si="213"/>
        <v>11174</v>
      </c>
      <c r="E1549" s="194">
        <f t="shared" si="214"/>
        <v>8.8214545454545462E-2</v>
      </c>
      <c r="F1549" s="194">
        <f t="shared" si="215"/>
        <v>0.10158181818181818</v>
      </c>
      <c r="G1549" s="193">
        <f t="shared" si="211"/>
        <v>1470.3999999999996</v>
      </c>
      <c r="H1549" s="195">
        <f t="shared" si="212"/>
        <v>0.1515</v>
      </c>
      <c r="J1549" s="207"/>
      <c r="L1549" s="228"/>
      <c r="Y1549" s="571"/>
    </row>
    <row r="1550" spans="1:25" s="227" customFormat="1" x14ac:dyDescent="0.25">
      <c r="A1550" s="600"/>
      <c r="B1550" s="176">
        <f t="shared" si="216"/>
        <v>120000</v>
      </c>
      <c r="C1550" s="193">
        <f>ROUND((D1518+B1550*D1519+B1550*(D1522+D1523+D1524+D1525+D1526+D1527+D1528+D1529))*(1+D1531),2)</f>
        <v>10512.2</v>
      </c>
      <c r="D1550" s="193">
        <f t="shared" si="213"/>
        <v>12079.5</v>
      </c>
      <c r="E1550" s="194">
        <f t="shared" si="214"/>
        <v>8.7601666666666675E-2</v>
      </c>
      <c r="F1550" s="194">
        <f t="shared" si="215"/>
        <v>0.1006625</v>
      </c>
      <c r="G1550" s="193">
        <f t="shared" si="211"/>
        <v>1567.2999999999993</v>
      </c>
      <c r="H1550" s="195">
        <f t="shared" si="212"/>
        <v>0.14910000000000001</v>
      </c>
      <c r="J1550" s="207"/>
      <c r="L1550" s="228"/>
      <c r="Y1550" s="571"/>
    </row>
    <row r="1551" spans="1:25" s="227" customFormat="1" x14ac:dyDescent="0.25">
      <c r="A1551" s="600"/>
      <c r="B1551" s="176">
        <f t="shared" si="216"/>
        <v>130000</v>
      </c>
      <c r="C1551" s="193">
        <f>ROUND((D1518+B1551*D1519+B1551*(D1522+D1523+D1524+D1525+D1526+D1527+D1528+D1529))*(1+D1531),2)</f>
        <v>11320.8</v>
      </c>
      <c r="D1551" s="193">
        <f t="shared" si="213"/>
        <v>12985</v>
      </c>
      <c r="E1551" s="194">
        <f t="shared" si="214"/>
        <v>8.7083076923076916E-2</v>
      </c>
      <c r="F1551" s="194">
        <f t="shared" si="215"/>
        <v>9.9884615384615391E-2</v>
      </c>
      <c r="G1551" s="193">
        <f t="shared" si="211"/>
        <v>1664.2000000000007</v>
      </c>
      <c r="H1551" s="195">
        <f t="shared" si="212"/>
        <v>0.14699999999999999</v>
      </c>
      <c r="J1551" s="207"/>
      <c r="L1551" s="228"/>
      <c r="Y1551" s="571"/>
    </row>
    <row r="1552" spans="1:25" s="227" customFormat="1" x14ac:dyDescent="0.25">
      <c r="A1552" s="600"/>
      <c r="B1552" s="176">
        <f t="shared" si="216"/>
        <v>140000</v>
      </c>
      <c r="C1552" s="193">
        <f>ROUND((D1518+B1552*D1519+B1552*(D1522+D1523+D1524+D1525+D1526+D1527+D1528+D1529))*(1+D1531),2)</f>
        <v>12129.4</v>
      </c>
      <c r="D1552" s="193">
        <f t="shared" si="213"/>
        <v>13890.5</v>
      </c>
      <c r="E1552" s="194">
        <f t="shared" si="214"/>
        <v>8.6638571428571426E-2</v>
      </c>
      <c r="F1552" s="194">
        <f t="shared" si="215"/>
        <v>9.9217857142857149E-2</v>
      </c>
      <c r="G1552" s="193">
        <f t="shared" si="211"/>
        <v>1761.1000000000004</v>
      </c>
      <c r="H1552" s="195">
        <f t="shared" si="212"/>
        <v>0.1452</v>
      </c>
      <c r="J1552" s="207"/>
      <c r="L1552" s="228"/>
      <c r="Y1552" s="571"/>
    </row>
    <row r="1553" spans="1:25" s="227" customFormat="1" x14ac:dyDescent="0.25">
      <c r="A1553" s="600"/>
      <c r="B1553" s="176">
        <f t="shared" si="216"/>
        <v>150000</v>
      </c>
      <c r="C1553" s="193">
        <f>ROUND((D1518+B1553*D1519+B1553*(D1522+D1523+D1524+D1525+D1526+D1527+D1528+D1529))*(1+D1531),2)</f>
        <v>12938</v>
      </c>
      <c r="D1553" s="193">
        <f t="shared" si="213"/>
        <v>14796</v>
      </c>
      <c r="E1553" s="194">
        <f t="shared" si="214"/>
        <v>8.6253333333333335E-2</v>
      </c>
      <c r="F1553" s="194">
        <f t="shared" si="215"/>
        <v>9.8640000000000005E-2</v>
      </c>
      <c r="G1553" s="193">
        <f t="shared" si="211"/>
        <v>1858</v>
      </c>
      <c r="H1553" s="195">
        <f t="shared" si="212"/>
        <v>0.14360000000000001</v>
      </c>
      <c r="J1553" s="207"/>
      <c r="L1553" s="228"/>
      <c r="Y1553" s="571"/>
    </row>
    <row r="1554" spans="1:25" s="227" customFormat="1" x14ac:dyDescent="0.25">
      <c r="A1554" s="600"/>
      <c r="B1554" s="176">
        <f t="shared" si="216"/>
        <v>160000</v>
      </c>
      <c r="C1554" s="193">
        <f>ROUND((D1518+B1554*D1519+B1554*(D1522+D1523+D1524+D1525+D1526+D1527+D1528+D1529))*(1+D1531),2)</f>
        <v>13746.6</v>
      </c>
      <c r="D1554" s="193">
        <f t="shared" si="213"/>
        <v>15701.5</v>
      </c>
      <c r="E1554" s="194">
        <f t="shared" si="214"/>
        <v>8.591625E-2</v>
      </c>
      <c r="F1554" s="194">
        <f t="shared" si="215"/>
        <v>9.8134374999999996E-2</v>
      </c>
      <c r="G1554" s="193">
        <f t="shared" si="211"/>
        <v>1954.8999999999996</v>
      </c>
      <c r="H1554" s="195">
        <f t="shared" si="212"/>
        <v>0.14219999999999999</v>
      </c>
      <c r="J1554" s="207"/>
      <c r="L1554" s="228"/>
      <c r="Y1554" s="571"/>
    </row>
    <row r="1555" spans="1:25" s="227" customFormat="1" x14ac:dyDescent="0.25">
      <c r="A1555" s="600"/>
      <c r="B1555" s="176">
        <f t="shared" si="216"/>
        <v>170000</v>
      </c>
      <c r="C1555" s="193">
        <f>ROUND((D1518+B1555*D1519+B1555*(D1522+D1523+D1524+D1525+D1526+D1527+D1528+D1529))*(1+D1531),2)</f>
        <v>14555.2</v>
      </c>
      <c r="D1555" s="193">
        <f t="shared" si="213"/>
        <v>16607</v>
      </c>
      <c r="E1555" s="194">
        <f t="shared" si="214"/>
        <v>8.5618823529411775E-2</v>
      </c>
      <c r="F1555" s="194">
        <f t="shared" si="215"/>
        <v>9.7688235294117645E-2</v>
      </c>
      <c r="G1555" s="193">
        <f t="shared" si="211"/>
        <v>2051.7999999999993</v>
      </c>
      <c r="H1555" s="195">
        <f t="shared" si="212"/>
        <v>0.14099999999999999</v>
      </c>
      <c r="J1555" s="207"/>
      <c r="L1555" s="228"/>
      <c r="Y1555" s="571"/>
    </row>
    <row r="1556" spans="1:25" s="227" customFormat="1" x14ac:dyDescent="0.25">
      <c r="A1556" s="600"/>
      <c r="B1556" s="176">
        <f t="shared" si="216"/>
        <v>180000</v>
      </c>
      <c r="C1556" s="193">
        <f>ROUND((D1518+B1556*D1519+B1556*(D1522+D1523+D1524+D1525+D1526+D1527+D1528+D1529))*(1+D1531),2)</f>
        <v>15363.8</v>
      </c>
      <c r="D1556" s="193">
        <f t="shared" si="213"/>
        <v>17512.5</v>
      </c>
      <c r="E1556" s="194">
        <f t="shared" si="214"/>
        <v>8.5354444444444441E-2</v>
      </c>
      <c r="F1556" s="194">
        <f t="shared" si="215"/>
        <v>9.7291666666666665E-2</v>
      </c>
      <c r="G1556" s="193">
        <f t="shared" si="211"/>
        <v>2148.7000000000007</v>
      </c>
      <c r="H1556" s="195">
        <f t="shared" si="212"/>
        <v>0.1399</v>
      </c>
      <c r="J1556" s="207"/>
      <c r="L1556" s="228"/>
      <c r="Y1556" s="571"/>
    </row>
    <row r="1557" spans="1:25" s="227" customFormat="1" x14ac:dyDescent="0.25">
      <c r="A1557" s="600"/>
      <c r="B1557" s="176">
        <f t="shared" si="216"/>
        <v>190000</v>
      </c>
      <c r="C1557" s="193">
        <f>ROUND((D1518+B1557*D1519+B1557*(D1522+D1523+D1524+D1525+D1526+D1527+D1528+D1529))*(1+D1531),2)</f>
        <v>16172.4</v>
      </c>
      <c r="D1557" s="193">
        <f t="shared" si="213"/>
        <v>18418</v>
      </c>
      <c r="E1557" s="194">
        <f t="shared" si="214"/>
        <v>8.5117894736842101E-2</v>
      </c>
      <c r="F1557" s="194">
        <f t="shared" si="215"/>
        <v>9.6936842105263155E-2</v>
      </c>
      <c r="G1557" s="193">
        <f t="shared" si="211"/>
        <v>2245.6000000000004</v>
      </c>
      <c r="H1557" s="195">
        <f t="shared" si="212"/>
        <v>0.1389</v>
      </c>
      <c r="J1557" s="207"/>
      <c r="L1557" s="228"/>
      <c r="Y1557" s="571"/>
    </row>
    <row r="1558" spans="1:25" x14ac:dyDescent="0.25">
      <c r="B1558" s="176">
        <f t="shared" si="216"/>
        <v>200000</v>
      </c>
      <c r="C1558" s="193">
        <f>ROUND((D1518+B1558*D1519+B1558*(D1522+D1523+D1524+D1525+D1526+D1527+D1528+D1529))*(1+D1531),2)</f>
        <v>16981</v>
      </c>
      <c r="D1558" s="193">
        <f t="shared" si="213"/>
        <v>19323.5</v>
      </c>
      <c r="E1558" s="194">
        <f t="shared" si="214"/>
        <v>8.4904999999999994E-2</v>
      </c>
      <c r="F1558" s="194">
        <f t="shared" si="215"/>
        <v>9.6617499999999995E-2</v>
      </c>
      <c r="G1558" s="193">
        <f t="shared" si="211"/>
        <v>2342.5</v>
      </c>
      <c r="H1558" s="195">
        <f t="shared" si="212"/>
        <v>0.13789999999999999</v>
      </c>
      <c r="J1558" s="207"/>
      <c r="L1558" s="197"/>
    </row>
    <row r="1559" spans="1:25" x14ac:dyDescent="0.25">
      <c r="B1559" s="176">
        <f t="shared" si="216"/>
        <v>210000</v>
      </c>
      <c r="C1559" s="193">
        <f>ROUND((D1518+B1559*D1519+B1559*(D1522+D1523+D1524+D1525+D1526+D1527+D1528+D1529))*(1+D1531),2)</f>
        <v>17789.599999999999</v>
      </c>
      <c r="D1559" s="193">
        <f t="shared" si="213"/>
        <v>20229</v>
      </c>
      <c r="E1559" s="194">
        <f t="shared" si="214"/>
        <v>8.4712380952380942E-2</v>
      </c>
      <c r="F1559" s="194">
        <f t="shared" si="215"/>
        <v>9.632857142857143E-2</v>
      </c>
      <c r="G1559" s="193">
        <f t="shared" si="211"/>
        <v>2439.4000000000015</v>
      </c>
      <c r="H1559" s="195">
        <f t="shared" si="212"/>
        <v>0.1371</v>
      </c>
      <c r="J1559" s="207"/>
      <c r="L1559" s="197"/>
    </row>
    <row r="1560" spans="1:25" x14ac:dyDescent="0.25">
      <c r="B1560" s="176">
        <f t="shared" si="216"/>
        <v>220000</v>
      </c>
      <c r="C1560" s="193">
        <f>ROUND((D1518+B1560*D1519+B1560*(D1522+D1523+D1524+D1525+D1526+D1527+D1528+D1529))*(1+D1531),2)</f>
        <v>18598.2</v>
      </c>
      <c r="D1560" s="193">
        <f t="shared" si="213"/>
        <v>21134.5</v>
      </c>
      <c r="E1560" s="194">
        <f t="shared" si="214"/>
        <v>8.4537272727272725E-2</v>
      </c>
      <c r="F1560" s="194">
        <f t="shared" si="215"/>
        <v>9.6065909090909091E-2</v>
      </c>
      <c r="G1560" s="193">
        <f t="shared" si="211"/>
        <v>2536.2999999999993</v>
      </c>
      <c r="H1560" s="195">
        <f t="shared" si="212"/>
        <v>0.13639999999999999</v>
      </c>
      <c r="J1560" s="207"/>
      <c r="L1560" s="197"/>
    </row>
    <row r="1561" spans="1:25" x14ac:dyDescent="0.25">
      <c r="B1561" s="176">
        <f t="shared" si="216"/>
        <v>230000</v>
      </c>
      <c r="C1561" s="193">
        <f>ROUND((D1518+B1561*D1519+B1561*(D1522+D1523+D1524+D1525+D1526+D1527+D1528+D1529))*(1+D1531),2)</f>
        <v>19406.8</v>
      </c>
      <c r="D1561" s="193">
        <f t="shared" si="213"/>
        <v>22040</v>
      </c>
      <c r="E1561" s="194">
        <f t="shared" si="214"/>
        <v>8.4377391304347821E-2</v>
      </c>
      <c r="F1561" s="194">
        <f t="shared" si="215"/>
        <v>9.5826086956521742E-2</v>
      </c>
      <c r="G1561" s="193">
        <f t="shared" si="211"/>
        <v>2633.2000000000007</v>
      </c>
      <c r="H1561" s="195">
        <f t="shared" si="212"/>
        <v>0.13569999999999999</v>
      </c>
      <c r="J1561" s="207"/>
      <c r="L1561" s="197"/>
    </row>
    <row r="1562" spans="1:25" x14ac:dyDescent="0.25">
      <c r="B1562" s="176">
        <f t="shared" si="216"/>
        <v>240000</v>
      </c>
      <c r="C1562" s="193">
        <f>ROUND((D1518+B1562*D1519+B1562*(D1522+D1523+D1524+D1525+D1526+D1527+D1528+D1529))*(1+D1531),2)</f>
        <v>20215.400000000001</v>
      </c>
      <c r="D1562" s="193">
        <f t="shared" si="213"/>
        <v>22945.5</v>
      </c>
      <c r="E1562" s="194">
        <f t="shared" si="214"/>
        <v>8.4230833333333338E-2</v>
      </c>
      <c r="F1562" s="194">
        <f t="shared" si="215"/>
        <v>9.5606250000000004E-2</v>
      </c>
      <c r="G1562" s="193">
        <f t="shared" si="211"/>
        <v>2730.0999999999985</v>
      </c>
      <c r="H1562" s="195">
        <f t="shared" si="212"/>
        <v>0.1351</v>
      </c>
      <c r="J1562" s="207"/>
      <c r="L1562" s="197"/>
    </row>
    <row r="1563" spans="1:25" x14ac:dyDescent="0.25">
      <c r="B1563" s="176">
        <f t="shared" si="216"/>
        <v>250000</v>
      </c>
      <c r="C1563" s="193">
        <f>ROUND((D1518+B1563*D1519+B1563*(D1522+D1523+D1524+D1525+D1526+D1527+D1528+D1529))*(1+D1531),2)</f>
        <v>21024</v>
      </c>
      <c r="D1563" s="193">
        <f t="shared" si="213"/>
        <v>23851</v>
      </c>
      <c r="E1563" s="194">
        <f t="shared" si="214"/>
        <v>8.4096000000000004E-2</v>
      </c>
      <c r="F1563" s="194">
        <f t="shared" si="215"/>
        <v>9.5404000000000003E-2</v>
      </c>
      <c r="G1563" s="193">
        <f t="shared" si="211"/>
        <v>2827</v>
      </c>
      <c r="H1563" s="195">
        <f t="shared" si="212"/>
        <v>0.13450000000000001</v>
      </c>
      <c r="J1563" s="207"/>
      <c r="L1563" s="197"/>
    </row>
    <row r="1564" spans="1:25" x14ac:dyDescent="0.25">
      <c r="B1564" s="176">
        <f t="shared" si="216"/>
        <v>260000</v>
      </c>
      <c r="C1564" s="193">
        <f>ROUND((D1518+B1564*D1519+B1564*(D1522+D1523+D1524+D1525+D1526+D1527+D1528+D1529))*(1+D1531),2)</f>
        <v>21832.6</v>
      </c>
      <c r="D1564" s="193">
        <f t="shared" si="213"/>
        <v>24756.5</v>
      </c>
      <c r="E1564" s="194">
        <f t="shared" si="214"/>
        <v>8.3971538461538459E-2</v>
      </c>
      <c r="F1564" s="194">
        <f t="shared" si="215"/>
        <v>9.5217307692307698E-2</v>
      </c>
      <c r="G1564" s="193">
        <f t="shared" si="211"/>
        <v>2923.9000000000015</v>
      </c>
      <c r="H1564" s="195">
        <f t="shared" si="212"/>
        <v>0.13389999999999999</v>
      </c>
      <c r="J1564" s="207"/>
      <c r="L1564" s="197"/>
    </row>
    <row r="1565" spans="1:25" x14ac:dyDescent="0.25">
      <c r="B1565" s="176">
        <f>B1564+10000</f>
        <v>270000</v>
      </c>
      <c r="C1565" s="193">
        <f>ROUND((D1518+B1565*D1519+B1565*(D1522+D1523+D1524+D1525+D1526+D1527+D1528+D1529))*(1+D1531),2)</f>
        <v>22641.200000000001</v>
      </c>
      <c r="D1565" s="193">
        <f t="shared" si="213"/>
        <v>25662</v>
      </c>
      <c r="E1565" s="194">
        <f t="shared" si="214"/>
        <v>8.3856296296296304E-2</v>
      </c>
      <c r="F1565" s="194">
        <f t="shared" si="215"/>
        <v>9.5044444444444445E-2</v>
      </c>
      <c r="G1565" s="193">
        <f t="shared" si="211"/>
        <v>3020.7999999999993</v>
      </c>
      <c r="H1565" s="195">
        <f t="shared" si="212"/>
        <v>0.13339999999999999</v>
      </c>
      <c r="J1565" s="207"/>
      <c r="L1565" s="197"/>
    </row>
    <row r="1566" spans="1:25" x14ac:dyDescent="0.25">
      <c r="B1566" s="176">
        <f t="shared" si="216"/>
        <v>280000</v>
      </c>
      <c r="C1566" s="193">
        <f>ROUND((D1518+B1566*D1519+B1566*(D1522+D1523+D1524+D1525+D1526+D1527+D1528+D1529))*(1+D1531),2)</f>
        <v>23449.8</v>
      </c>
      <c r="D1566" s="193">
        <f>ROUND(($G$1518+(SUM($G$1519:$G$1529)*B1566))*(1+$G$1531),2)</f>
        <v>26567.5</v>
      </c>
      <c r="E1566" s="194">
        <f t="shared" si="214"/>
        <v>8.3749285714285707E-2</v>
      </c>
      <c r="F1566" s="194">
        <f t="shared" si="215"/>
        <v>9.4883928571428577E-2</v>
      </c>
      <c r="G1566" s="193">
        <f t="shared" si="211"/>
        <v>3117.7000000000007</v>
      </c>
      <c r="H1566" s="195">
        <f t="shared" si="212"/>
        <v>0.13300000000000001</v>
      </c>
      <c r="J1566" s="207"/>
      <c r="L1566" s="197"/>
    </row>
    <row r="1567" spans="1:25" x14ac:dyDescent="0.25">
      <c r="B1567" s="176">
        <f t="shared" si="216"/>
        <v>290000</v>
      </c>
      <c r="C1567" s="193">
        <f>ROUND((D1518+B1567*D1519+B1567*(D1522+D1523+D1524+D1525+D1526+D1527+D1528+D1529))*(1+D1531),2)</f>
        <v>24258.400000000001</v>
      </c>
      <c r="D1567" s="193">
        <f t="shared" si="213"/>
        <v>27473</v>
      </c>
      <c r="E1567" s="194">
        <f t="shared" si="214"/>
        <v>8.3649655172413795E-2</v>
      </c>
      <c r="F1567" s="194">
        <f t="shared" si="215"/>
        <v>9.4734482758620689E-2</v>
      </c>
      <c r="G1567" s="193">
        <f t="shared" si="211"/>
        <v>3214.5999999999985</v>
      </c>
      <c r="H1567" s="195">
        <f t="shared" si="212"/>
        <v>0.13250000000000001</v>
      </c>
      <c r="J1567" s="207"/>
      <c r="L1567" s="197"/>
    </row>
    <row r="1568" spans="1:25" x14ac:dyDescent="0.25">
      <c r="B1568" s="176">
        <f>B1567+10000</f>
        <v>300000</v>
      </c>
      <c r="C1568" s="193">
        <f>ROUND((D1518+B1568*D1519+B1568*(D1522+D1523+D1524+D1525+D1526+D1527+D1528+D1529))*(1+D1531),2)</f>
        <v>25067</v>
      </c>
      <c r="D1568" s="193">
        <f t="shared" si="213"/>
        <v>28378.5</v>
      </c>
      <c r="E1568" s="194">
        <f t="shared" si="214"/>
        <v>8.3556666666666668E-2</v>
      </c>
      <c r="F1568" s="194">
        <f t="shared" si="215"/>
        <v>9.4594999999999999E-2</v>
      </c>
      <c r="G1568" s="193">
        <f t="shared" si="211"/>
        <v>3311.5</v>
      </c>
      <c r="H1568" s="195">
        <f t="shared" si="212"/>
        <v>0.1321</v>
      </c>
      <c r="J1568" s="207"/>
      <c r="L1568" s="197"/>
    </row>
    <row r="1569" spans="1:12" x14ac:dyDescent="0.25">
      <c r="C1569" s="193"/>
      <c r="D1569" s="193"/>
      <c r="E1569" s="194"/>
      <c r="F1569" s="194"/>
      <c r="G1569" s="193"/>
      <c r="H1569" s="195"/>
      <c r="J1569" s="207"/>
      <c r="L1569" s="197"/>
    </row>
    <row r="1570" spans="1:12" hidden="1" x14ac:dyDescent="0.25">
      <c r="C1570" s="193"/>
      <c r="D1570" s="193"/>
      <c r="E1570" s="194"/>
      <c r="F1570" s="194"/>
      <c r="G1570" s="193"/>
      <c r="H1570" s="195"/>
      <c r="J1570" s="207"/>
      <c r="L1570" s="197"/>
    </row>
    <row r="1571" spans="1:12" hidden="1" x14ac:dyDescent="0.25">
      <c r="C1571" s="193"/>
      <c r="D1571" s="193"/>
      <c r="E1571" s="194"/>
      <c r="F1571" s="194"/>
      <c r="G1571" s="193"/>
      <c r="H1571" s="195"/>
      <c r="J1571" s="207"/>
      <c r="L1571" s="197"/>
    </row>
    <row r="1572" spans="1:12" hidden="1" x14ac:dyDescent="0.25">
      <c r="C1572" s="193"/>
      <c r="D1572" s="193"/>
      <c r="E1572" s="194"/>
      <c r="F1572" s="194"/>
      <c r="G1572" s="193"/>
      <c r="H1572" s="195"/>
      <c r="J1572" s="207"/>
      <c r="L1572" s="197"/>
    </row>
    <row r="1573" spans="1:12" hidden="1" x14ac:dyDescent="0.25">
      <c r="C1573" s="193"/>
      <c r="D1573" s="193"/>
      <c r="E1573" s="194"/>
      <c r="F1573" s="194"/>
      <c r="G1573" s="193"/>
      <c r="H1573" s="195"/>
      <c r="J1573" s="207"/>
      <c r="L1573" s="197"/>
    </row>
    <row r="1574" spans="1:12" hidden="1" x14ac:dyDescent="0.25">
      <c r="C1574" s="193"/>
      <c r="D1574" s="193"/>
      <c r="E1574" s="194"/>
      <c r="F1574" s="194"/>
      <c r="G1574" s="193"/>
      <c r="H1574" s="195"/>
      <c r="J1574" s="207"/>
      <c r="L1574" s="197"/>
    </row>
    <row r="1575" spans="1:12" hidden="1" x14ac:dyDescent="0.25">
      <c r="C1575" s="193"/>
      <c r="D1575" s="193"/>
      <c r="E1575" s="194"/>
      <c r="F1575" s="194"/>
      <c r="G1575" s="193"/>
      <c r="H1575" s="195"/>
      <c r="J1575" s="207"/>
      <c r="L1575" s="197"/>
    </row>
    <row r="1576" spans="1:12" hidden="1" x14ac:dyDescent="0.25">
      <c r="C1576" s="193"/>
      <c r="D1576" s="193"/>
      <c r="E1576" s="194"/>
      <c r="F1576" s="194"/>
      <c r="G1576" s="193"/>
      <c r="H1576" s="195"/>
      <c r="J1576" s="207"/>
      <c r="L1576" s="197"/>
    </row>
    <row r="1577" spans="1:12" hidden="1" x14ac:dyDescent="0.25">
      <c r="A1577" s="180" t="s">
        <v>21</v>
      </c>
      <c r="B1577" s="179"/>
      <c r="C1577" s="179"/>
      <c r="D1577" s="179"/>
      <c r="E1577" s="179"/>
      <c r="F1577" s="179"/>
      <c r="G1577" s="179"/>
      <c r="H1577" s="179"/>
      <c r="I1577" s="180"/>
    </row>
    <row r="1578" spans="1:12" hidden="1" x14ac:dyDescent="0.25">
      <c r="A1578" s="180" t="s">
        <v>22</v>
      </c>
      <c r="B1578" s="179"/>
      <c r="C1578" s="179"/>
      <c r="D1578" s="179"/>
      <c r="E1578" s="179"/>
      <c r="F1578" s="179"/>
      <c r="G1578" s="179"/>
      <c r="H1578" s="179"/>
      <c r="I1578" s="180"/>
    </row>
    <row r="1579" spans="1:12" hidden="1" x14ac:dyDescent="0.25">
      <c r="A1579" s="180" t="s">
        <v>310</v>
      </c>
      <c r="B1579" s="179"/>
      <c r="C1579" s="179"/>
      <c r="D1579" s="179"/>
      <c r="E1579" s="179"/>
      <c r="F1579" s="179"/>
      <c r="G1579" s="179"/>
      <c r="H1579" s="179"/>
      <c r="I1579" s="180"/>
    </row>
    <row r="1580" spans="1:12" x14ac:dyDescent="0.25">
      <c r="A1580" s="599" t="s">
        <v>367</v>
      </c>
      <c r="B1580" s="179"/>
      <c r="C1580" s="179"/>
      <c r="D1580" s="179"/>
      <c r="E1580" s="179"/>
      <c r="F1580" s="179"/>
      <c r="G1580" s="179"/>
      <c r="H1580" s="179"/>
      <c r="I1580" s="180"/>
      <c r="J1580" s="177" t="s">
        <v>369</v>
      </c>
    </row>
    <row r="1581" spans="1:12" hidden="1" x14ac:dyDescent="0.25">
      <c r="J1581" s="191">
        <f>200000/12</f>
        <v>16666.666666666668</v>
      </c>
    </row>
    <row r="1583" spans="1:12" x14ac:dyDescent="0.25">
      <c r="D1583" s="181" t="s">
        <v>311</v>
      </c>
      <c r="G1583" s="192" t="s">
        <v>312</v>
      </c>
    </row>
    <row r="1584" spans="1:12" x14ac:dyDescent="0.25">
      <c r="D1584" s="182" t="s">
        <v>313</v>
      </c>
      <c r="G1584" s="182" t="s">
        <v>313</v>
      </c>
    </row>
    <row r="1585" spans="1:10" x14ac:dyDescent="0.25">
      <c r="A1585" s="180" t="s">
        <v>314</v>
      </c>
      <c r="D1585" s="183">
        <v>1029</v>
      </c>
      <c r="G1585" s="183">
        <f>VLOOKUP(J1585,'EXHIBIT JDT-3 IND'!D:N,7,FALSE)</f>
        <v>1543.5</v>
      </c>
      <c r="J1585" s="223" t="s">
        <v>124</v>
      </c>
    </row>
    <row r="1586" spans="1:10" x14ac:dyDescent="0.25">
      <c r="A1586" s="180" t="s">
        <v>315</v>
      </c>
      <c r="C1586" s="184">
        <v>9999999999</v>
      </c>
      <c r="D1586" s="185">
        <v>5.0390000000000004E-2</v>
      </c>
      <c r="G1586" s="185">
        <f>VLOOKUP(J1586,'EXHIBIT JDT-3 IND'!D:N,7,FALSE)/10</f>
        <v>5.5410000000000001E-2</v>
      </c>
      <c r="J1586" s="223" t="s">
        <v>135</v>
      </c>
    </row>
    <row r="1587" spans="1:10" x14ac:dyDescent="0.25">
      <c r="C1587" s="184"/>
      <c r="D1587" s="185"/>
      <c r="G1587" s="185"/>
      <c r="J1587" s="223"/>
    </row>
    <row r="1588" spans="1:10" hidden="1" x14ac:dyDescent="0.25">
      <c r="A1588" s="180" t="s">
        <v>316</v>
      </c>
      <c r="D1588" s="185">
        <v>0</v>
      </c>
      <c r="G1588" s="185">
        <f>D1588</f>
        <v>0</v>
      </c>
      <c r="J1588" s="188" t="s">
        <v>370</v>
      </c>
    </row>
    <row r="1589" spans="1:10" hidden="1" x14ac:dyDescent="0.25">
      <c r="A1589" s="180" t="s">
        <v>152</v>
      </c>
      <c r="D1589" s="185">
        <v>0</v>
      </c>
      <c r="G1589" s="185">
        <f t="shared" ref="G1589:G1591" si="217">D1589</f>
        <v>0</v>
      </c>
      <c r="J1589" s="188" t="s">
        <v>370</v>
      </c>
    </row>
    <row r="1590" spans="1:10" hidden="1" x14ac:dyDescent="0.25">
      <c r="A1590" s="180" t="s">
        <v>318</v>
      </c>
      <c r="D1590" s="185">
        <v>0</v>
      </c>
      <c r="E1590" s="226"/>
      <c r="F1590" s="226"/>
      <c r="G1590" s="185">
        <f t="shared" si="217"/>
        <v>0</v>
      </c>
      <c r="J1590" s="188"/>
    </row>
    <row r="1591" spans="1:10" hidden="1" x14ac:dyDescent="0.25">
      <c r="A1591" s="180" t="s">
        <v>319</v>
      </c>
      <c r="D1591" s="185">
        <v>0</v>
      </c>
      <c r="E1591" s="226"/>
      <c r="F1591" s="226"/>
      <c r="G1591" s="185">
        <f t="shared" si="217"/>
        <v>0</v>
      </c>
      <c r="J1591" s="188"/>
    </row>
    <row r="1592" spans="1:10" hidden="1" x14ac:dyDescent="0.25">
      <c r="A1592" s="180" t="s">
        <v>320</v>
      </c>
      <c r="D1592" s="185">
        <v>0</v>
      </c>
      <c r="E1592" s="226"/>
      <c r="F1592" s="226"/>
      <c r="G1592" s="185">
        <f>IFERROR(VLOOKUP(J1592,'EXHIBIT JDT-3 IND'!D:N,7,FALSE)/10,0)</f>
        <v>0</v>
      </c>
      <c r="J1592" s="188"/>
    </row>
    <row r="1593" spans="1:10" hidden="1" x14ac:dyDescent="0.25">
      <c r="A1593" s="180" t="s">
        <v>341</v>
      </c>
      <c r="D1593" s="185">
        <v>0</v>
      </c>
      <c r="E1593" s="226"/>
      <c r="F1593" s="226"/>
      <c r="G1593" s="185">
        <f>IFERROR(VLOOKUP(J1593,'EXHIBIT JDT-3 IND'!D:N,7,FALSE)/10,0)</f>
        <v>0</v>
      </c>
      <c r="J1593" s="188"/>
    </row>
    <row r="1594" spans="1:10" hidden="1" x14ac:dyDescent="0.25">
      <c r="A1594" s="180" t="s">
        <v>342</v>
      </c>
      <c r="D1594" s="185">
        <v>0</v>
      </c>
      <c r="G1594" s="185">
        <v>0</v>
      </c>
      <c r="J1594" s="188" t="s">
        <v>370</v>
      </c>
    </row>
    <row r="1595" spans="1:10" hidden="1" x14ac:dyDescent="0.25">
      <c r="A1595" s="180" t="s">
        <v>343</v>
      </c>
      <c r="D1595" s="185">
        <v>0</v>
      </c>
      <c r="G1595" s="185">
        <v>0</v>
      </c>
      <c r="J1595" s="188" t="s">
        <v>370</v>
      </c>
    </row>
    <row r="1596" spans="1:10" hidden="1" x14ac:dyDescent="0.25"/>
    <row r="1597" spans="1:10" hidden="1" x14ac:dyDescent="0.25">
      <c r="A1597" s="180" t="s">
        <v>321</v>
      </c>
      <c r="D1597" s="195">
        <f>$D$23</f>
        <v>0</v>
      </c>
      <c r="G1597" s="195">
        <v>0</v>
      </c>
    </row>
    <row r="1598" spans="1:10" hidden="1" x14ac:dyDescent="0.25"/>
    <row r="1599" spans="1:10" hidden="1" x14ac:dyDescent="0.25">
      <c r="D1599" s="185"/>
      <c r="G1599" s="185"/>
    </row>
    <row r="1600" spans="1:10" x14ac:dyDescent="0.25">
      <c r="G1600" s="190" t="s">
        <v>322</v>
      </c>
      <c r="H1600" s="190"/>
    </row>
    <row r="1601" spans="1:25" x14ac:dyDescent="0.25">
      <c r="B1601" s="176" t="s">
        <v>323</v>
      </c>
      <c r="C1601" s="181" t="s">
        <v>311</v>
      </c>
      <c r="D1601" s="181" t="s">
        <v>312</v>
      </c>
      <c r="E1601" s="181" t="s">
        <v>311</v>
      </c>
      <c r="F1601" s="181" t="s">
        <v>312</v>
      </c>
      <c r="G1601" s="181" t="s">
        <v>324</v>
      </c>
      <c r="H1601" s="181" t="s">
        <v>325</v>
      </c>
      <c r="J1601" s="191"/>
    </row>
    <row r="1602" spans="1:25" x14ac:dyDescent="0.25">
      <c r="C1602" s="192" t="s">
        <v>326</v>
      </c>
      <c r="D1602" s="192" t="s">
        <v>327</v>
      </c>
      <c r="E1602" s="181" t="s">
        <v>328</v>
      </c>
      <c r="F1602" s="181" t="s">
        <v>328</v>
      </c>
      <c r="G1602" s="192" t="s">
        <v>329</v>
      </c>
    </row>
    <row r="1603" spans="1:25" x14ac:dyDescent="0.25">
      <c r="E1603" s="194"/>
      <c r="F1603" s="194"/>
    </row>
    <row r="1604" spans="1:25" s="227" customFormat="1" x14ac:dyDescent="0.25">
      <c r="A1604" s="600"/>
      <c r="B1604" s="176">
        <v>0</v>
      </c>
      <c r="C1604" s="193">
        <f>ROUND((D$1585+$B1604*D$1586+$B1604*(D$1588+D$1589+D$1590+D$1591+D$1592+D$1593+D$1594+D$1595))*(1+D$1597),2)</f>
        <v>1029</v>
      </c>
      <c r="D1604" s="193">
        <f>ROUND((G$1585+(SUM(G$1586:G$1595)*B1604))*(1+G$1597),2)</f>
        <v>1543.5</v>
      </c>
      <c r="E1604" s="193"/>
      <c r="F1604" s="193"/>
      <c r="G1604" s="193">
        <f t="shared" ref="G1604:G1634" si="218">D1604-C1604</f>
        <v>514.5</v>
      </c>
      <c r="H1604" s="195">
        <f t="shared" ref="H1604:H1634" si="219">ROUND(G1604/C1604,4)</f>
        <v>0.5</v>
      </c>
      <c r="J1604" s="177"/>
      <c r="Y1604" s="571"/>
    </row>
    <row r="1605" spans="1:25" s="227" customFormat="1" x14ac:dyDescent="0.25">
      <c r="A1605" s="600"/>
      <c r="B1605" s="176">
        <f>B1604+25000</f>
        <v>25000</v>
      </c>
      <c r="C1605" s="193">
        <f t="shared" ref="C1605:C1634" si="220">ROUND((D$1585+$B1605*D$1586+$B1605*(D$1588+D$1589+D$1590+D$1591+D$1592+D$1593+D$1594+D$1595))*(1+D$1597),2)</f>
        <v>2288.75</v>
      </c>
      <c r="D1605" s="193">
        <f t="shared" ref="D1605:D1634" si="221">ROUND((G$1585+(SUM(G$1586:G$1595)*B1605))*(1+G$1597),2)</f>
        <v>2928.75</v>
      </c>
      <c r="E1605" s="194">
        <f t="shared" ref="E1605:E1634" si="222">+C1605/B1605</f>
        <v>9.1550000000000006E-2</v>
      </c>
      <c r="F1605" s="194">
        <f t="shared" ref="F1605:F1634" si="223">+D1605/B1605</f>
        <v>0.11715</v>
      </c>
      <c r="G1605" s="193">
        <f t="shared" si="218"/>
        <v>640</v>
      </c>
      <c r="H1605" s="195">
        <f t="shared" si="219"/>
        <v>0.27960000000000002</v>
      </c>
      <c r="J1605" s="177"/>
      <c r="Y1605" s="571"/>
    </row>
    <row r="1606" spans="1:25" s="227" customFormat="1" x14ac:dyDescent="0.25">
      <c r="A1606" s="600"/>
      <c r="B1606" s="176">
        <f t="shared" ref="B1606:B1634" si="224">B1605+25000</f>
        <v>50000</v>
      </c>
      <c r="C1606" s="193">
        <f t="shared" si="220"/>
        <v>3548.5</v>
      </c>
      <c r="D1606" s="193">
        <f t="shared" si="221"/>
        <v>4314</v>
      </c>
      <c r="E1606" s="194">
        <f t="shared" si="222"/>
        <v>7.0970000000000005E-2</v>
      </c>
      <c r="F1606" s="194">
        <f t="shared" si="223"/>
        <v>8.6279999999999996E-2</v>
      </c>
      <c r="G1606" s="193">
        <f t="shared" si="218"/>
        <v>765.5</v>
      </c>
      <c r="H1606" s="195">
        <f t="shared" si="219"/>
        <v>0.2157</v>
      </c>
      <c r="J1606" s="177"/>
      <c r="Y1606" s="571"/>
    </row>
    <row r="1607" spans="1:25" s="227" customFormat="1" x14ac:dyDescent="0.25">
      <c r="A1607" s="600"/>
      <c r="B1607" s="176">
        <f t="shared" si="224"/>
        <v>75000</v>
      </c>
      <c r="C1607" s="193">
        <f t="shared" si="220"/>
        <v>4808.25</v>
      </c>
      <c r="D1607" s="193">
        <f t="shared" si="221"/>
        <v>5699.25</v>
      </c>
      <c r="E1607" s="194">
        <f t="shared" si="222"/>
        <v>6.411E-2</v>
      </c>
      <c r="F1607" s="194">
        <f t="shared" si="223"/>
        <v>7.5990000000000002E-2</v>
      </c>
      <c r="G1607" s="193">
        <f t="shared" si="218"/>
        <v>891</v>
      </c>
      <c r="H1607" s="195">
        <f t="shared" si="219"/>
        <v>0.18529999999999999</v>
      </c>
      <c r="J1607" s="177"/>
      <c r="Y1607" s="571"/>
    </row>
    <row r="1608" spans="1:25" s="227" customFormat="1" x14ac:dyDescent="0.25">
      <c r="A1608" s="600"/>
      <c r="B1608" s="176">
        <f t="shared" si="224"/>
        <v>100000</v>
      </c>
      <c r="C1608" s="193">
        <f t="shared" si="220"/>
        <v>6068</v>
      </c>
      <c r="D1608" s="193">
        <f t="shared" si="221"/>
        <v>7084.5</v>
      </c>
      <c r="E1608" s="194">
        <f t="shared" si="222"/>
        <v>6.0679999999999998E-2</v>
      </c>
      <c r="F1608" s="194">
        <f t="shared" si="223"/>
        <v>7.0845000000000005E-2</v>
      </c>
      <c r="G1608" s="193">
        <f t="shared" si="218"/>
        <v>1016.5</v>
      </c>
      <c r="H1608" s="195">
        <f t="shared" si="219"/>
        <v>0.16750000000000001</v>
      </c>
      <c r="J1608" s="177"/>
      <c r="Y1608" s="571"/>
    </row>
    <row r="1609" spans="1:25" s="227" customFormat="1" x14ac:dyDescent="0.25">
      <c r="A1609" s="600"/>
      <c r="B1609" s="176">
        <f t="shared" si="224"/>
        <v>125000</v>
      </c>
      <c r="C1609" s="193">
        <f t="shared" si="220"/>
        <v>7327.75</v>
      </c>
      <c r="D1609" s="193">
        <f t="shared" si="221"/>
        <v>8469.75</v>
      </c>
      <c r="E1609" s="194">
        <f t="shared" si="222"/>
        <v>5.8622E-2</v>
      </c>
      <c r="F1609" s="194">
        <f t="shared" si="223"/>
        <v>6.7757999999999999E-2</v>
      </c>
      <c r="G1609" s="193">
        <f t="shared" si="218"/>
        <v>1142</v>
      </c>
      <c r="H1609" s="195">
        <f t="shared" si="219"/>
        <v>0.15579999999999999</v>
      </c>
      <c r="J1609" s="177"/>
      <c r="Y1609" s="571"/>
    </row>
    <row r="1610" spans="1:25" s="227" customFormat="1" x14ac:dyDescent="0.25">
      <c r="A1610" s="600"/>
      <c r="B1610" s="176">
        <f t="shared" si="224"/>
        <v>150000</v>
      </c>
      <c r="C1610" s="193">
        <f t="shared" si="220"/>
        <v>8587.5</v>
      </c>
      <c r="D1610" s="193">
        <f t="shared" si="221"/>
        <v>9855</v>
      </c>
      <c r="E1610" s="194">
        <f t="shared" si="222"/>
        <v>5.7250000000000002E-2</v>
      </c>
      <c r="F1610" s="194">
        <f t="shared" si="223"/>
        <v>6.5699999999999995E-2</v>
      </c>
      <c r="G1610" s="193">
        <f t="shared" si="218"/>
        <v>1267.5</v>
      </c>
      <c r="H1610" s="195">
        <f t="shared" si="219"/>
        <v>0.14760000000000001</v>
      </c>
      <c r="J1610" s="177"/>
      <c r="Y1610" s="571"/>
    </row>
    <row r="1611" spans="1:25" s="227" customFormat="1" x14ac:dyDescent="0.25">
      <c r="A1611" s="600"/>
      <c r="B1611" s="176">
        <f t="shared" si="224"/>
        <v>175000</v>
      </c>
      <c r="C1611" s="193">
        <f t="shared" si="220"/>
        <v>9847.25</v>
      </c>
      <c r="D1611" s="193">
        <f t="shared" si="221"/>
        <v>11240.25</v>
      </c>
      <c r="E1611" s="194">
        <f t="shared" si="222"/>
        <v>5.6270000000000001E-2</v>
      </c>
      <c r="F1611" s="194">
        <f t="shared" si="223"/>
        <v>6.4229999999999995E-2</v>
      </c>
      <c r="G1611" s="193">
        <f t="shared" si="218"/>
        <v>1393</v>
      </c>
      <c r="H1611" s="195">
        <f t="shared" si="219"/>
        <v>0.14149999999999999</v>
      </c>
      <c r="J1611" s="177"/>
      <c r="Y1611" s="571"/>
    </row>
    <row r="1612" spans="1:25" s="227" customFormat="1" x14ac:dyDescent="0.25">
      <c r="A1612" s="600"/>
      <c r="B1612" s="176">
        <f t="shared" si="224"/>
        <v>200000</v>
      </c>
      <c r="C1612" s="193">
        <f t="shared" si="220"/>
        <v>11107</v>
      </c>
      <c r="D1612" s="193">
        <f t="shared" si="221"/>
        <v>12625.5</v>
      </c>
      <c r="E1612" s="194">
        <f t="shared" si="222"/>
        <v>5.5535000000000001E-2</v>
      </c>
      <c r="F1612" s="194">
        <f t="shared" si="223"/>
        <v>6.3127500000000003E-2</v>
      </c>
      <c r="G1612" s="193">
        <f t="shared" si="218"/>
        <v>1518.5</v>
      </c>
      <c r="H1612" s="195">
        <f t="shared" si="219"/>
        <v>0.13669999999999999</v>
      </c>
      <c r="J1612" s="177"/>
      <c r="Y1612" s="571"/>
    </row>
    <row r="1613" spans="1:25" s="227" customFormat="1" x14ac:dyDescent="0.25">
      <c r="A1613" s="600"/>
      <c r="B1613" s="176">
        <f t="shared" si="224"/>
        <v>225000</v>
      </c>
      <c r="C1613" s="193">
        <f t="shared" si="220"/>
        <v>12366.75</v>
      </c>
      <c r="D1613" s="193">
        <f t="shared" si="221"/>
        <v>14010.75</v>
      </c>
      <c r="E1613" s="194">
        <f t="shared" si="222"/>
        <v>5.4963333333333336E-2</v>
      </c>
      <c r="F1613" s="194">
        <f t="shared" si="223"/>
        <v>6.2269999999999999E-2</v>
      </c>
      <c r="G1613" s="193">
        <f t="shared" si="218"/>
        <v>1644</v>
      </c>
      <c r="H1613" s="195">
        <f t="shared" si="219"/>
        <v>0.13289999999999999</v>
      </c>
      <c r="J1613" s="177"/>
      <c r="Y1613" s="571"/>
    </row>
    <row r="1614" spans="1:25" s="227" customFormat="1" x14ac:dyDescent="0.25">
      <c r="A1614" s="600"/>
      <c r="B1614" s="176">
        <f t="shared" si="224"/>
        <v>250000</v>
      </c>
      <c r="C1614" s="193">
        <f t="shared" si="220"/>
        <v>13626.5</v>
      </c>
      <c r="D1614" s="193">
        <f t="shared" si="221"/>
        <v>15396</v>
      </c>
      <c r="E1614" s="194">
        <f t="shared" si="222"/>
        <v>5.4505999999999999E-2</v>
      </c>
      <c r="F1614" s="194">
        <f t="shared" si="223"/>
        <v>6.1584E-2</v>
      </c>
      <c r="G1614" s="193">
        <f t="shared" si="218"/>
        <v>1769.5</v>
      </c>
      <c r="H1614" s="195">
        <f t="shared" si="219"/>
        <v>0.12989999999999999</v>
      </c>
      <c r="J1614" s="177"/>
      <c r="Y1614" s="571"/>
    </row>
    <row r="1615" spans="1:25" x14ac:dyDescent="0.25">
      <c r="B1615" s="176">
        <f t="shared" si="224"/>
        <v>275000</v>
      </c>
      <c r="C1615" s="193">
        <f t="shared" si="220"/>
        <v>14886.25</v>
      </c>
      <c r="D1615" s="193">
        <f t="shared" si="221"/>
        <v>16781.25</v>
      </c>
      <c r="E1615" s="194">
        <f t="shared" si="222"/>
        <v>5.4131818181818184E-2</v>
      </c>
      <c r="F1615" s="194">
        <f t="shared" si="223"/>
        <v>6.102272727272727E-2</v>
      </c>
      <c r="G1615" s="193">
        <f t="shared" si="218"/>
        <v>1895</v>
      </c>
      <c r="H1615" s="195">
        <f t="shared" si="219"/>
        <v>0.1273</v>
      </c>
    </row>
    <row r="1616" spans="1:25" x14ac:dyDescent="0.25">
      <c r="B1616" s="176">
        <f t="shared" si="224"/>
        <v>300000</v>
      </c>
      <c r="C1616" s="193">
        <f t="shared" si="220"/>
        <v>16146</v>
      </c>
      <c r="D1616" s="193">
        <f t="shared" si="221"/>
        <v>18166.5</v>
      </c>
      <c r="E1616" s="194">
        <f t="shared" si="222"/>
        <v>5.382E-2</v>
      </c>
      <c r="F1616" s="194">
        <f t="shared" si="223"/>
        <v>6.0554999999999998E-2</v>
      </c>
      <c r="G1616" s="193">
        <f t="shared" si="218"/>
        <v>2020.5</v>
      </c>
      <c r="H1616" s="195">
        <f t="shared" si="219"/>
        <v>0.12509999999999999</v>
      </c>
    </row>
    <row r="1617" spans="2:8" x14ac:dyDescent="0.25">
      <c r="B1617" s="176">
        <f t="shared" si="224"/>
        <v>325000</v>
      </c>
      <c r="C1617" s="193">
        <f t="shared" si="220"/>
        <v>17405.75</v>
      </c>
      <c r="D1617" s="193">
        <f t="shared" si="221"/>
        <v>19551.75</v>
      </c>
      <c r="E1617" s="194">
        <f t="shared" si="222"/>
        <v>5.3556153846153844E-2</v>
      </c>
      <c r="F1617" s="194">
        <f t="shared" si="223"/>
        <v>6.015923076923077E-2</v>
      </c>
      <c r="G1617" s="193">
        <f t="shared" si="218"/>
        <v>2146</v>
      </c>
      <c r="H1617" s="195">
        <f t="shared" si="219"/>
        <v>0.12330000000000001</v>
      </c>
    </row>
    <row r="1618" spans="2:8" x14ac:dyDescent="0.25">
      <c r="B1618" s="176">
        <f t="shared" si="224"/>
        <v>350000</v>
      </c>
      <c r="C1618" s="193">
        <f t="shared" si="220"/>
        <v>18665.5</v>
      </c>
      <c r="D1618" s="193">
        <f t="shared" si="221"/>
        <v>20937</v>
      </c>
      <c r="E1618" s="194">
        <f t="shared" si="222"/>
        <v>5.3330000000000002E-2</v>
      </c>
      <c r="F1618" s="194">
        <f t="shared" si="223"/>
        <v>5.9819999999999998E-2</v>
      </c>
      <c r="G1618" s="193">
        <f t="shared" si="218"/>
        <v>2271.5</v>
      </c>
      <c r="H1618" s="195">
        <f t="shared" si="219"/>
        <v>0.1217</v>
      </c>
    </row>
    <row r="1619" spans="2:8" x14ac:dyDescent="0.25">
      <c r="B1619" s="176">
        <f t="shared" si="224"/>
        <v>375000</v>
      </c>
      <c r="C1619" s="193">
        <f t="shared" si="220"/>
        <v>19925.25</v>
      </c>
      <c r="D1619" s="193">
        <f t="shared" si="221"/>
        <v>22322.25</v>
      </c>
      <c r="E1619" s="194">
        <f t="shared" si="222"/>
        <v>5.3134000000000001E-2</v>
      </c>
      <c r="F1619" s="194">
        <f t="shared" si="223"/>
        <v>5.9526000000000003E-2</v>
      </c>
      <c r="G1619" s="193">
        <f t="shared" si="218"/>
        <v>2397</v>
      </c>
      <c r="H1619" s="195">
        <f t="shared" si="219"/>
        <v>0.1203</v>
      </c>
    </row>
    <row r="1620" spans="2:8" x14ac:dyDescent="0.25">
      <c r="B1620" s="176">
        <f t="shared" si="224"/>
        <v>400000</v>
      </c>
      <c r="C1620" s="193">
        <f t="shared" si="220"/>
        <v>21185</v>
      </c>
      <c r="D1620" s="193">
        <f t="shared" si="221"/>
        <v>23707.5</v>
      </c>
      <c r="E1620" s="194">
        <f t="shared" si="222"/>
        <v>5.2962500000000003E-2</v>
      </c>
      <c r="F1620" s="194">
        <f t="shared" si="223"/>
        <v>5.9268750000000002E-2</v>
      </c>
      <c r="G1620" s="193">
        <f t="shared" si="218"/>
        <v>2522.5</v>
      </c>
      <c r="H1620" s="195">
        <f t="shared" si="219"/>
        <v>0.1191</v>
      </c>
    </row>
    <row r="1621" spans="2:8" x14ac:dyDescent="0.25">
      <c r="B1621" s="176">
        <f t="shared" si="224"/>
        <v>425000</v>
      </c>
      <c r="C1621" s="193">
        <f t="shared" si="220"/>
        <v>22444.75</v>
      </c>
      <c r="D1621" s="193">
        <f t="shared" si="221"/>
        <v>25092.75</v>
      </c>
      <c r="E1621" s="194">
        <f t="shared" si="222"/>
        <v>5.2811176470588236E-2</v>
      </c>
      <c r="F1621" s="194">
        <f t="shared" si="223"/>
        <v>5.9041764705882356E-2</v>
      </c>
      <c r="G1621" s="193">
        <f t="shared" si="218"/>
        <v>2648</v>
      </c>
      <c r="H1621" s="195">
        <f t="shared" si="219"/>
        <v>0.11799999999999999</v>
      </c>
    </row>
    <row r="1622" spans="2:8" x14ac:dyDescent="0.25">
      <c r="B1622" s="176">
        <f>B1621+25000</f>
        <v>450000</v>
      </c>
      <c r="C1622" s="193">
        <f t="shared" si="220"/>
        <v>23704.5</v>
      </c>
      <c r="D1622" s="193">
        <f t="shared" si="221"/>
        <v>26478</v>
      </c>
      <c r="E1622" s="194">
        <f t="shared" si="222"/>
        <v>5.2676666666666663E-2</v>
      </c>
      <c r="F1622" s="194">
        <f t="shared" si="223"/>
        <v>5.8840000000000003E-2</v>
      </c>
      <c r="G1622" s="193">
        <f t="shared" si="218"/>
        <v>2773.5</v>
      </c>
      <c r="H1622" s="195">
        <f t="shared" si="219"/>
        <v>0.11700000000000001</v>
      </c>
    </row>
    <row r="1623" spans="2:8" x14ac:dyDescent="0.25">
      <c r="B1623" s="176">
        <f t="shared" si="224"/>
        <v>475000</v>
      </c>
      <c r="C1623" s="193">
        <f t="shared" si="220"/>
        <v>24964.25</v>
      </c>
      <c r="D1623" s="193">
        <f t="shared" si="221"/>
        <v>27863.25</v>
      </c>
      <c r="E1623" s="194">
        <f t="shared" si="222"/>
        <v>5.2556315789473687E-2</v>
      </c>
      <c r="F1623" s="194">
        <f t="shared" si="223"/>
        <v>5.8659473684210525E-2</v>
      </c>
      <c r="G1623" s="193">
        <f t="shared" si="218"/>
        <v>2899</v>
      </c>
      <c r="H1623" s="195">
        <f t="shared" si="219"/>
        <v>0.11609999999999999</v>
      </c>
    </row>
    <row r="1624" spans="2:8" x14ac:dyDescent="0.25">
      <c r="B1624" s="176">
        <f t="shared" si="224"/>
        <v>500000</v>
      </c>
      <c r="C1624" s="193">
        <f t="shared" si="220"/>
        <v>26224</v>
      </c>
      <c r="D1624" s="193">
        <f t="shared" si="221"/>
        <v>29248.5</v>
      </c>
      <c r="E1624" s="194">
        <f t="shared" si="222"/>
        <v>5.2448000000000002E-2</v>
      </c>
      <c r="F1624" s="194">
        <f t="shared" si="223"/>
        <v>5.8497E-2</v>
      </c>
      <c r="G1624" s="193">
        <f t="shared" si="218"/>
        <v>3024.5</v>
      </c>
      <c r="H1624" s="195">
        <f t="shared" si="219"/>
        <v>0.1153</v>
      </c>
    </row>
    <row r="1625" spans="2:8" x14ac:dyDescent="0.25">
      <c r="B1625" s="176">
        <f t="shared" si="224"/>
        <v>525000</v>
      </c>
      <c r="C1625" s="193">
        <f t="shared" si="220"/>
        <v>27483.75</v>
      </c>
      <c r="D1625" s="193">
        <f t="shared" si="221"/>
        <v>30633.75</v>
      </c>
      <c r="E1625" s="194">
        <f t="shared" si="222"/>
        <v>5.2350000000000001E-2</v>
      </c>
      <c r="F1625" s="194">
        <f t="shared" si="223"/>
        <v>5.8349999999999999E-2</v>
      </c>
      <c r="G1625" s="193">
        <f t="shared" si="218"/>
        <v>3150</v>
      </c>
      <c r="H1625" s="195">
        <f t="shared" si="219"/>
        <v>0.11459999999999999</v>
      </c>
    </row>
    <row r="1626" spans="2:8" x14ac:dyDescent="0.25">
      <c r="B1626" s="176">
        <f t="shared" si="224"/>
        <v>550000</v>
      </c>
      <c r="C1626" s="193">
        <f t="shared" si="220"/>
        <v>28743.5</v>
      </c>
      <c r="D1626" s="193">
        <f t="shared" si="221"/>
        <v>32019</v>
      </c>
      <c r="E1626" s="194">
        <f t="shared" si="222"/>
        <v>5.2260909090909094E-2</v>
      </c>
      <c r="F1626" s="194">
        <f t="shared" si="223"/>
        <v>5.8216363636363636E-2</v>
      </c>
      <c r="G1626" s="193">
        <f t="shared" si="218"/>
        <v>3275.5</v>
      </c>
      <c r="H1626" s="195">
        <f t="shared" si="219"/>
        <v>0.114</v>
      </c>
    </row>
    <row r="1627" spans="2:8" x14ac:dyDescent="0.25">
      <c r="B1627" s="176">
        <f t="shared" si="224"/>
        <v>575000</v>
      </c>
      <c r="C1627" s="193">
        <f t="shared" si="220"/>
        <v>30003.25</v>
      </c>
      <c r="D1627" s="193">
        <f t="shared" si="221"/>
        <v>33404.25</v>
      </c>
      <c r="E1627" s="194">
        <f t="shared" si="222"/>
        <v>5.2179565217391304E-2</v>
      </c>
      <c r="F1627" s="194">
        <f t="shared" si="223"/>
        <v>5.8094347826086953E-2</v>
      </c>
      <c r="G1627" s="193">
        <f t="shared" si="218"/>
        <v>3401</v>
      </c>
      <c r="H1627" s="195">
        <f t="shared" si="219"/>
        <v>0.1134</v>
      </c>
    </row>
    <row r="1628" spans="2:8" x14ac:dyDescent="0.25">
      <c r="B1628" s="176">
        <f t="shared" si="224"/>
        <v>600000</v>
      </c>
      <c r="C1628" s="193">
        <f t="shared" si="220"/>
        <v>31263</v>
      </c>
      <c r="D1628" s="193">
        <f t="shared" si="221"/>
        <v>34789.5</v>
      </c>
      <c r="E1628" s="194">
        <f t="shared" si="222"/>
        <v>5.2104999999999999E-2</v>
      </c>
      <c r="F1628" s="194">
        <f t="shared" si="223"/>
        <v>5.7982499999999999E-2</v>
      </c>
      <c r="G1628" s="193">
        <f t="shared" si="218"/>
        <v>3526.5</v>
      </c>
      <c r="H1628" s="195">
        <f t="shared" si="219"/>
        <v>0.1128</v>
      </c>
    </row>
    <row r="1629" spans="2:8" x14ac:dyDescent="0.25">
      <c r="B1629" s="176">
        <f t="shared" si="224"/>
        <v>625000</v>
      </c>
      <c r="C1629" s="193">
        <f t="shared" si="220"/>
        <v>32522.75</v>
      </c>
      <c r="D1629" s="193">
        <f t="shared" si="221"/>
        <v>36174.75</v>
      </c>
      <c r="E1629" s="194">
        <f t="shared" si="222"/>
        <v>5.2036399999999997E-2</v>
      </c>
      <c r="F1629" s="194">
        <f t="shared" si="223"/>
        <v>5.7879600000000003E-2</v>
      </c>
      <c r="G1629" s="193">
        <f t="shared" si="218"/>
        <v>3652</v>
      </c>
      <c r="H1629" s="195">
        <f t="shared" si="219"/>
        <v>0.1123</v>
      </c>
    </row>
    <row r="1630" spans="2:8" x14ac:dyDescent="0.25">
      <c r="B1630" s="176">
        <f t="shared" si="224"/>
        <v>650000</v>
      </c>
      <c r="C1630" s="193">
        <f t="shared" si="220"/>
        <v>33782.5</v>
      </c>
      <c r="D1630" s="193">
        <f t="shared" si="221"/>
        <v>37560</v>
      </c>
      <c r="E1630" s="194">
        <f t="shared" si="222"/>
        <v>5.197307692307692E-2</v>
      </c>
      <c r="F1630" s="194">
        <f t="shared" si="223"/>
        <v>5.7784615384615386E-2</v>
      </c>
      <c r="G1630" s="193">
        <f t="shared" si="218"/>
        <v>3777.5</v>
      </c>
      <c r="H1630" s="195">
        <f t="shared" si="219"/>
        <v>0.1118</v>
      </c>
    </row>
    <row r="1631" spans="2:8" x14ac:dyDescent="0.25">
      <c r="B1631" s="176">
        <f t="shared" si="224"/>
        <v>675000</v>
      </c>
      <c r="C1631" s="193">
        <f t="shared" si="220"/>
        <v>35042.25</v>
      </c>
      <c r="D1631" s="193">
        <f t="shared" si="221"/>
        <v>38945.25</v>
      </c>
      <c r="E1631" s="194">
        <f t="shared" si="222"/>
        <v>5.1914444444444444E-2</v>
      </c>
      <c r="F1631" s="194">
        <f t="shared" si="223"/>
        <v>5.7696666666666667E-2</v>
      </c>
      <c r="G1631" s="193">
        <f t="shared" si="218"/>
        <v>3903</v>
      </c>
      <c r="H1631" s="195">
        <f t="shared" si="219"/>
        <v>0.1114</v>
      </c>
    </row>
    <row r="1632" spans="2:8" x14ac:dyDescent="0.25">
      <c r="B1632" s="176">
        <f t="shared" si="224"/>
        <v>700000</v>
      </c>
      <c r="C1632" s="193">
        <f t="shared" si="220"/>
        <v>36302</v>
      </c>
      <c r="D1632" s="193">
        <f t="shared" si="221"/>
        <v>40330.5</v>
      </c>
      <c r="E1632" s="194">
        <f t="shared" si="222"/>
        <v>5.1860000000000003E-2</v>
      </c>
      <c r="F1632" s="194">
        <f t="shared" si="223"/>
        <v>5.7615E-2</v>
      </c>
      <c r="G1632" s="193">
        <f t="shared" si="218"/>
        <v>4028.5</v>
      </c>
      <c r="H1632" s="195">
        <f t="shared" si="219"/>
        <v>0.111</v>
      </c>
    </row>
    <row r="1633" spans="2:8" x14ac:dyDescent="0.25">
      <c r="B1633" s="176">
        <f t="shared" si="224"/>
        <v>725000</v>
      </c>
      <c r="C1633" s="193">
        <f t="shared" si="220"/>
        <v>37561.75</v>
      </c>
      <c r="D1633" s="193">
        <f t="shared" si="221"/>
        <v>41715.75</v>
      </c>
      <c r="E1633" s="194">
        <f t="shared" si="222"/>
        <v>5.1809310344827587E-2</v>
      </c>
      <c r="F1633" s="194">
        <f t="shared" si="223"/>
        <v>5.7538965517241379E-2</v>
      </c>
      <c r="G1633" s="193">
        <f t="shared" si="218"/>
        <v>4154</v>
      </c>
      <c r="H1633" s="195">
        <f t="shared" si="219"/>
        <v>0.1106</v>
      </c>
    </row>
    <row r="1634" spans="2:8" x14ac:dyDescent="0.25">
      <c r="B1634" s="176">
        <f t="shared" si="224"/>
        <v>750000</v>
      </c>
      <c r="C1634" s="193">
        <f t="shared" si="220"/>
        <v>38821.5</v>
      </c>
      <c r="D1634" s="193">
        <f t="shared" si="221"/>
        <v>43101</v>
      </c>
      <c r="E1634" s="194">
        <f t="shared" si="222"/>
        <v>5.1762000000000002E-2</v>
      </c>
      <c r="F1634" s="194">
        <f t="shared" si="223"/>
        <v>5.7467999999999998E-2</v>
      </c>
      <c r="G1634" s="193">
        <f t="shared" si="218"/>
        <v>4279.5</v>
      </c>
      <c r="H1634" s="195">
        <f t="shared" si="219"/>
        <v>0.11020000000000001</v>
      </c>
    </row>
    <row r="1635" spans="2:8" x14ac:dyDescent="0.25">
      <c r="C1635" s="193"/>
      <c r="D1635" s="193"/>
      <c r="E1635" s="194"/>
      <c r="F1635" s="194"/>
      <c r="G1635" s="193"/>
      <c r="H1635" s="195"/>
    </row>
    <row r="1636" spans="2:8" hidden="1" x14ac:dyDescent="0.25">
      <c r="C1636" s="193"/>
      <c r="D1636" s="193"/>
      <c r="E1636" s="194"/>
      <c r="F1636" s="194"/>
      <c r="G1636" s="193"/>
      <c r="H1636" s="195"/>
    </row>
    <row r="1637" spans="2:8" hidden="1" x14ac:dyDescent="0.25">
      <c r="C1637" s="193"/>
      <c r="D1637" s="193"/>
      <c r="E1637" s="194"/>
      <c r="F1637" s="194"/>
      <c r="G1637" s="193"/>
      <c r="H1637" s="195"/>
    </row>
    <row r="1638" spans="2:8" hidden="1" x14ac:dyDescent="0.25">
      <c r="C1638" s="193"/>
      <c r="D1638" s="193"/>
      <c r="E1638" s="194"/>
      <c r="F1638" s="194"/>
      <c r="G1638" s="193"/>
      <c r="H1638" s="195"/>
    </row>
    <row r="1639" spans="2:8" hidden="1" x14ac:dyDescent="0.25">
      <c r="C1639" s="193"/>
      <c r="D1639" s="193"/>
      <c r="E1639" s="194"/>
      <c r="F1639" s="194"/>
      <c r="G1639" s="193"/>
      <c r="H1639" s="195"/>
    </row>
    <row r="1640" spans="2:8" hidden="1" x14ac:dyDescent="0.25">
      <c r="C1640" s="193"/>
      <c r="D1640" s="193"/>
      <c r="E1640" s="194"/>
      <c r="F1640" s="194"/>
      <c r="G1640" s="193"/>
      <c r="H1640" s="195"/>
    </row>
    <row r="1641" spans="2:8" hidden="1" x14ac:dyDescent="0.25">
      <c r="C1641" s="193"/>
      <c r="D1641" s="193"/>
      <c r="E1641" s="194"/>
      <c r="F1641" s="194"/>
      <c r="G1641" s="193"/>
      <c r="H1641" s="195"/>
    </row>
    <row r="1642" spans="2:8" hidden="1" x14ac:dyDescent="0.25">
      <c r="C1642" s="193"/>
      <c r="D1642" s="193"/>
      <c r="E1642" s="194"/>
      <c r="F1642" s="194"/>
      <c r="G1642" s="193"/>
      <c r="H1642" s="195"/>
    </row>
    <row r="1643" spans="2:8" hidden="1" x14ac:dyDescent="0.25">
      <c r="C1643" s="193"/>
      <c r="D1643" s="193"/>
      <c r="E1643" s="194"/>
      <c r="F1643" s="194"/>
      <c r="G1643" s="193"/>
      <c r="H1643" s="195"/>
    </row>
    <row r="1644" spans="2:8" hidden="1" x14ac:dyDescent="0.25">
      <c r="C1644" s="193"/>
      <c r="D1644" s="193"/>
      <c r="E1644" s="194"/>
      <c r="F1644" s="194"/>
      <c r="G1644" s="193"/>
      <c r="H1644" s="195"/>
    </row>
    <row r="1645" spans="2:8" hidden="1" x14ac:dyDescent="0.25">
      <c r="C1645" s="193"/>
      <c r="D1645" s="193"/>
      <c r="E1645" s="194"/>
      <c r="F1645" s="194"/>
      <c r="G1645" s="193"/>
      <c r="H1645" s="195"/>
    </row>
    <row r="1646" spans="2:8" hidden="1" x14ac:dyDescent="0.25">
      <c r="C1646" s="193"/>
      <c r="D1646" s="193"/>
      <c r="E1646" s="194"/>
      <c r="F1646" s="194"/>
      <c r="G1646" s="193"/>
      <c r="H1646" s="195"/>
    </row>
    <row r="1647" spans="2:8" hidden="1" x14ac:dyDescent="0.25"/>
    <row r="1648" spans="2:8" hidden="1" x14ac:dyDescent="0.25"/>
    <row r="1649" spans="1:10" hidden="1" x14ac:dyDescent="0.25">
      <c r="A1649" s="180" t="s">
        <v>21</v>
      </c>
      <c r="B1649" s="179"/>
      <c r="C1649" s="179"/>
      <c r="D1649" s="179"/>
      <c r="E1649" s="179"/>
      <c r="F1649" s="179"/>
      <c r="G1649" s="179"/>
      <c r="H1649" s="179"/>
      <c r="I1649" s="180"/>
    </row>
    <row r="1650" spans="1:10" hidden="1" x14ac:dyDescent="0.25">
      <c r="A1650" s="180" t="s">
        <v>22</v>
      </c>
      <c r="B1650" s="179"/>
      <c r="C1650" s="179"/>
      <c r="D1650" s="179"/>
      <c r="E1650" s="179"/>
      <c r="F1650" s="179"/>
      <c r="G1650" s="179"/>
      <c r="H1650" s="179"/>
      <c r="I1650" s="180"/>
    </row>
    <row r="1651" spans="1:10" hidden="1" x14ac:dyDescent="0.25">
      <c r="A1651" s="180" t="s">
        <v>310</v>
      </c>
      <c r="B1651" s="179"/>
      <c r="C1651" s="179"/>
      <c r="D1651" s="179"/>
      <c r="E1651" s="179"/>
      <c r="F1651" s="179"/>
      <c r="G1651" s="179"/>
      <c r="H1651" s="179"/>
      <c r="I1651" s="180"/>
    </row>
    <row r="1652" spans="1:10" x14ac:dyDescent="0.25">
      <c r="A1652" s="599" t="s">
        <v>368</v>
      </c>
      <c r="B1652" s="179"/>
      <c r="C1652" s="179"/>
      <c r="D1652" s="179"/>
      <c r="E1652" s="179"/>
      <c r="F1652" s="179"/>
      <c r="G1652" s="179"/>
      <c r="H1652" s="179"/>
      <c r="I1652" s="180"/>
    </row>
    <row r="1654" spans="1:10" hidden="1" x14ac:dyDescent="0.25"/>
    <row r="1655" spans="1:10" x14ac:dyDescent="0.25">
      <c r="D1655" s="181" t="s">
        <v>311</v>
      </c>
      <c r="G1655" s="181" t="s">
        <v>312</v>
      </c>
    </row>
    <row r="1656" spans="1:10" x14ac:dyDescent="0.25">
      <c r="D1656" s="182" t="s">
        <v>313</v>
      </c>
      <c r="G1656" s="182" t="s">
        <v>313</v>
      </c>
    </row>
    <row r="1657" spans="1:10" x14ac:dyDescent="0.25">
      <c r="A1657" s="180" t="s">
        <v>314</v>
      </c>
      <c r="D1657" s="183">
        <v>1029</v>
      </c>
      <c r="G1657" s="183">
        <f>VLOOKUP(J1657,'EXHIBIT JDT-3 IND'!D:N,7,FALSE)</f>
        <v>1543.5</v>
      </c>
      <c r="J1657" s="177" t="s">
        <v>124</v>
      </c>
    </row>
    <row r="1658" spans="1:10" x14ac:dyDescent="0.25">
      <c r="A1658" s="180" t="s">
        <v>315</v>
      </c>
      <c r="C1658" s="184">
        <v>9999999999</v>
      </c>
      <c r="D1658" s="185">
        <v>4.8390000000000002E-2</v>
      </c>
      <c r="G1658" s="185">
        <f>VLOOKUP(J1658,'EXHIBIT JDT-3 IND'!D:N,7,FALSE)/10</f>
        <v>5.5410000000000001E-2</v>
      </c>
      <c r="J1658" s="177" t="s">
        <v>136</v>
      </c>
    </row>
    <row r="1659" spans="1:10" x14ac:dyDescent="0.25">
      <c r="C1659" s="184"/>
      <c r="D1659" s="185"/>
      <c r="G1659" s="185"/>
    </row>
    <row r="1660" spans="1:10" hidden="1" x14ac:dyDescent="0.25">
      <c r="C1660" s="184"/>
      <c r="D1660" s="185"/>
      <c r="G1660" s="185"/>
    </row>
    <row r="1661" spans="1:10" hidden="1" x14ac:dyDescent="0.25">
      <c r="A1661" s="180" t="s">
        <v>316</v>
      </c>
      <c r="D1661" s="185">
        <v>0</v>
      </c>
      <c r="E1661" s="186"/>
      <c r="F1661" s="186"/>
      <c r="G1661" s="185">
        <f>D1661</f>
        <v>0</v>
      </c>
      <c r="J1661" s="187" t="s">
        <v>370</v>
      </c>
    </row>
    <row r="1662" spans="1:10" hidden="1" x14ac:dyDescent="0.25">
      <c r="A1662" s="180" t="s">
        <v>152</v>
      </c>
      <c r="D1662" s="185">
        <v>0</v>
      </c>
      <c r="E1662" s="186"/>
      <c r="F1662" s="186"/>
      <c r="G1662" s="185">
        <f t="shared" ref="G1662:G1664" si="225">D1662</f>
        <v>0</v>
      </c>
      <c r="J1662" s="188" t="s">
        <v>370</v>
      </c>
    </row>
    <row r="1663" spans="1:10" hidden="1" x14ac:dyDescent="0.25">
      <c r="A1663" s="180" t="s">
        <v>318</v>
      </c>
      <c r="D1663" s="185">
        <v>0</v>
      </c>
      <c r="E1663" s="186"/>
      <c r="F1663" s="186"/>
      <c r="G1663" s="185">
        <f t="shared" si="225"/>
        <v>0</v>
      </c>
      <c r="J1663" s="187"/>
    </row>
    <row r="1664" spans="1:10" hidden="1" x14ac:dyDescent="0.25">
      <c r="A1664" s="180" t="s">
        <v>319</v>
      </c>
      <c r="D1664" s="185">
        <v>0</v>
      </c>
      <c r="E1664" s="186"/>
      <c r="F1664" s="186"/>
      <c r="G1664" s="185">
        <f t="shared" si="225"/>
        <v>0</v>
      </c>
      <c r="J1664" s="187"/>
    </row>
    <row r="1665" spans="1:12" hidden="1" x14ac:dyDescent="0.25">
      <c r="A1665" s="180" t="s">
        <v>320</v>
      </c>
      <c r="D1665" s="185">
        <v>0</v>
      </c>
      <c r="E1665" s="186"/>
      <c r="F1665" s="186"/>
      <c r="G1665" s="185">
        <f>IFERROR(VLOOKUP(J1665,'EXHIBIT JDT-3 IND'!D:N,7,FALSE)/10,0)</f>
        <v>0</v>
      </c>
      <c r="J1665" s="187"/>
    </row>
    <row r="1666" spans="1:12" hidden="1" x14ac:dyDescent="0.25">
      <c r="A1666" s="180" t="s">
        <v>341</v>
      </c>
      <c r="D1666" s="185">
        <v>0</v>
      </c>
      <c r="E1666" s="186"/>
      <c r="F1666" s="186"/>
      <c r="G1666" s="185">
        <f>IFERROR(VLOOKUP(J1666,'EXHIBIT JDT-3 IND'!D:N,7,FALSE)/10,0)</f>
        <v>0</v>
      </c>
      <c r="J1666" s="187"/>
    </row>
    <row r="1667" spans="1:12" hidden="1" x14ac:dyDescent="0.25">
      <c r="A1667" s="180" t="s">
        <v>342</v>
      </c>
      <c r="D1667" s="185">
        <v>0</v>
      </c>
      <c r="E1667" s="186"/>
      <c r="F1667" s="186"/>
      <c r="G1667" s="185">
        <v>0</v>
      </c>
      <c r="J1667" s="188" t="s">
        <v>370</v>
      </c>
    </row>
    <row r="1668" spans="1:12" hidden="1" x14ac:dyDescent="0.25">
      <c r="A1668" s="180" t="s">
        <v>343</v>
      </c>
      <c r="D1668" s="185">
        <v>0</v>
      </c>
      <c r="E1668" s="186"/>
      <c r="F1668" s="186"/>
      <c r="G1668" s="185">
        <v>0</v>
      </c>
      <c r="J1668" s="188" t="s">
        <v>370</v>
      </c>
    </row>
    <row r="1669" spans="1:12" hidden="1" x14ac:dyDescent="0.25">
      <c r="E1669" s="186"/>
      <c r="F1669" s="186"/>
      <c r="G1669" s="186"/>
    </row>
    <row r="1670" spans="1:12" hidden="1" x14ac:dyDescent="0.25">
      <c r="A1670" s="180" t="s">
        <v>321</v>
      </c>
      <c r="D1670" s="189">
        <v>0</v>
      </c>
      <c r="G1670" s="189">
        <v>0</v>
      </c>
    </row>
    <row r="1671" spans="1:12" hidden="1" x14ac:dyDescent="0.25"/>
    <row r="1672" spans="1:12" hidden="1" x14ac:dyDescent="0.25"/>
    <row r="1673" spans="1:12" x14ac:dyDescent="0.25">
      <c r="G1673" s="190" t="s">
        <v>322</v>
      </c>
      <c r="H1673" s="190"/>
    </row>
    <row r="1674" spans="1:12" x14ac:dyDescent="0.25">
      <c r="B1674" s="176" t="s">
        <v>323</v>
      </c>
      <c r="C1674" s="181" t="s">
        <v>311</v>
      </c>
      <c r="D1674" s="181" t="s">
        <v>312</v>
      </c>
      <c r="E1674" s="181" t="s">
        <v>311</v>
      </c>
      <c r="F1674" s="181" t="s">
        <v>312</v>
      </c>
      <c r="G1674" s="181" t="s">
        <v>324</v>
      </c>
      <c r="H1674" s="181" t="s">
        <v>325</v>
      </c>
      <c r="J1674" s="191"/>
    </row>
    <row r="1675" spans="1:12" x14ac:dyDescent="0.25">
      <c r="C1675" s="192" t="s">
        <v>326</v>
      </c>
      <c r="D1675" s="192" t="s">
        <v>327</v>
      </c>
      <c r="E1675" s="181" t="s">
        <v>328</v>
      </c>
      <c r="F1675" s="181" t="s">
        <v>328</v>
      </c>
      <c r="G1675" s="192" t="s">
        <v>329</v>
      </c>
      <c r="J1675" s="191"/>
    </row>
    <row r="1676" spans="1:12" x14ac:dyDescent="0.25">
      <c r="B1676" s="176" t="s">
        <v>330</v>
      </c>
      <c r="J1676" s="191"/>
    </row>
    <row r="1677" spans="1:12" x14ac:dyDescent="0.25">
      <c r="B1677" s="176">
        <v>0</v>
      </c>
      <c r="C1677" s="193">
        <f>ROUND((D1657+B1677*D1658+B1677*(D1661+D1662+D1663+D1664+D1665+D1666+D1667+D1668))*(1+D1670),2)</f>
        <v>1029</v>
      </c>
      <c r="D1677" s="193">
        <f>ROUND(($G$1657+(SUM($G$1658:$G$1668)*B1677))*(1+$G$1670),2)</f>
        <v>1543.5</v>
      </c>
      <c r="E1677" s="194"/>
      <c r="F1677" s="194"/>
      <c r="G1677" s="193">
        <f t="shared" ref="G1677:G1707" si="226">D1677-C1677</f>
        <v>514.5</v>
      </c>
      <c r="H1677" s="195">
        <f t="shared" ref="H1677:H1707" si="227">ROUND(G1677/C1677,4)</f>
        <v>0.5</v>
      </c>
      <c r="J1677" s="207"/>
      <c r="L1677" s="197"/>
    </row>
    <row r="1678" spans="1:12" x14ac:dyDescent="0.25">
      <c r="B1678" s="176">
        <f>B1677+50000</f>
        <v>50000</v>
      </c>
      <c r="C1678" s="193">
        <f>ROUND((D1657+B1678*D1658+B1678*(D1661+D1662+D1663+D1664+D1665+D1666+D1667+D1668))*(1+D1670),2)</f>
        <v>3448.5</v>
      </c>
      <c r="D1678" s="193">
        <f t="shared" ref="D1678:D1707" si="228">ROUND(($G$1657+(SUM($G$1658:$G$1668)*B1678))*(1+$G$1670),2)</f>
        <v>4314</v>
      </c>
      <c r="E1678" s="194">
        <f t="shared" ref="E1678:E1707" si="229">+C1678/B1678</f>
        <v>6.8970000000000004E-2</v>
      </c>
      <c r="F1678" s="194">
        <f t="shared" ref="F1678:F1707" si="230">+D1678/B1678</f>
        <v>8.6279999999999996E-2</v>
      </c>
      <c r="G1678" s="193">
        <f t="shared" si="226"/>
        <v>865.5</v>
      </c>
      <c r="H1678" s="195">
        <f t="shared" si="227"/>
        <v>0.251</v>
      </c>
      <c r="J1678" s="207"/>
      <c r="L1678" s="197"/>
    </row>
    <row r="1679" spans="1:12" x14ac:dyDescent="0.25">
      <c r="B1679" s="176">
        <f t="shared" ref="B1679:B1706" si="231">B1678+50000</f>
        <v>100000</v>
      </c>
      <c r="C1679" s="193">
        <f>ROUND((D1657+B1679*D1658+B1679*(D1661+D1662+D1663+D1664+D1665+D1666+D1667+D1668))*(1+D1670),2)</f>
        <v>5868</v>
      </c>
      <c r="D1679" s="193">
        <f t="shared" si="228"/>
        <v>7084.5</v>
      </c>
      <c r="E1679" s="194">
        <f t="shared" si="229"/>
        <v>5.8680000000000003E-2</v>
      </c>
      <c r="F1679" s="194">
        <f t="shared" si="230"/>
        <v>7.0845000000000005E-2</v>
      </c>
      <c r="G1679" s="193">
        <f t="shared" si="226"/>
        <v>1216.5</v>
      </c>
      <c r="H1679" s="195">
        <f t="shared" si="227"/>
        <v>0.20730000000000001</v>
      </c>
      <c r="J1679" s="207"/>
      <c r="L1679" s="197"/>
    </row>
    <row r="1680" spans="1:12" x14ac:dyDescent="0.25">
      <c r="B1680" s="176">
        <f t="shared" si="231"/>
        <v>150000</v>
      </c>
      <c r="C1680" s="193">
        <f>ROUND((D1657+B1680*D1658+B1680*(D1661+D1662+D1663+D1664+D1665+D1666+D1667+D1668))*(1+D1670),2)</f>
        <v>8287.5</v>
      </c>
      <c r="D1680" s="193">
        <f t="shared" si="228"/>
        <v>9855</v>
      </c>
      <c r="E1680" s="194">
        <f t="shared" si="229"/>
        <v>5.525E-2</v>
      </c>
      <c r="F1680" s="194">
        <f t="shared" si="230"/>
        <v>6.5699999999999995E-2</v>
      </c>
      <c r="G1680" s="193">
        <f t="shared" si="226"/>
        <v>1567.5</v>
      </c>
      <c r="H1680" s="195">
        <f t="shared" si="227"/>
        <v>0.18909999999999999</v>
      </c>
      <c r="J1680" s="207"/>
      <c r="L1680" s="197"/>
    </row>
    <row r="1681" spans="2:12" x14ac:dyDescent="0.25">
      <c r="B1681" s="176">
        <f t="shared" si="231"/>
        <v>200000</v>
      </c>
      <c r="C1681" s="193">
        <f>ROUND((D1657+B1681*D1658+B1681*(D1661+D1662+D1663+D1664+D1665+D1666+D1667+D1668))*(1+D1670),2)</f>
        <v>10707</v>
      </c>
      <c r="D1681" s="193">
        <f t="shared" si="228"/>
        <v>12625.5</v>
      </c>
      <c r="E1681" s="194">
        <f t="shared" si="229"/>
        <v>5.3534999999999999E-2</v>
      </c>
      <c r="F1681" s="194">
        <f t="shared" si="230"/>
        <v>6.3127500000000003E-2</v>
      </c>
      <c r="G1681" s="193">
        <f t="shared" si="226"/>
        <v>1918.5</v>
      </c>
      <c r="H1681" s="195">
        <f t="shared" si="227"/>
        <v>0.1792</v>
      </c>
      <c r="J1681" s="207"/>
      <c r="L1681" s="197"/>
    </row>
    <row r="1682" spans="2:12" x14ac:dyDescent="0.25">
      <c r="B1682" s="176">
        <f t="shared" si="231"/>
        <v>250000</v>
      </c>
      <c r="C1682" s="193">
        <f>ROUND((D1657+B1682*D1658+B1682*(D1661+D1662+D1663+D1664+D1665+D1666+D1667+D1668))*(1+D1670),2)</f>
        <v>13126.5</v>
      </c>
      <c r="D1682" s="193">
        <f t="shared" si="228"/>
        <v>15396</v>
      </c>
      <c r="E1682" s="194">
        <f t="shared" si="229"/>
        <v>5.2505999999999997E-2</v>
      </c>
      <c r="F1682" s="194">
        <f t="shared" si="230"/>
        <v>6.1584E-2</v>
      </c>
      <c r="G1682" s="193">
        <f t="shared" si="226"/>
        <v>2269.5</v>
      </c>
      <c r="H1682" s="195">
        <f t="shared" si="227"/>
        <v>0.1729</v>
      </c>
      <c r="J1682" s="207"/>
      <c r="L1682" s="197"/>
    </row>
    <row r="1683" spans="2:12" x14ac:dyDescent="0.25">
      <c r="B1683" s="176">
        <f t="shared" si="231"/>
        <v>300000</v>
      </c>
      <c r="C1683" s="193">
        <f>ROUND((D1657+B1683*D1658+B1683*(D1661+D1662+D1663+D1664+D1665+D1666+D1667+D1668))*(1+D1670),2)</f>
        <v>15546</v>
      </c>
      <c r="D1683" s="193">
        <f t="shared" si="228"/>
        <v>18166.5</v>
      </c>
      <c r="E1683" s="194">
        <f t="shared" si="229"/>
        <v>5.1819999999999998E-2</v>
      </c>
      <c r="F1683" s="194">
        <f t="shared" si="230"/>
        <v>6.0554999999999998E-2</v>
      </c>
      <c r="G1683" s="193">
        <f t="shared" si="226"/>
        <v>2620.5</v>
      </c>
      <c r="H1683" s="195">
        <f t="shared" si="227"/>
        <v>0.1686</v>
      </c>
      <c r="J1683" s="207"/>
      <c r="L1683" s="197"/>
    </row>
    <row r="1684" spans="2:12" x14ac:dyDescent="0.25">
      <c r="B1684" s="176">
        <f t="shared" si="231"/>
        <v>350000</v>
      </c>
      <c r="C1684" s="193">
        <f>ROUND((D1657+B1684*D1658+B1684*(D1661+D1662+D1663+D1664+D1665+D1666+D1667+D1668))*(1+D1670),2)</f>
        <v>17965.5</v>
      </c>
      <c r="D1684" s="193">
        <f t="shared" si="228"/>
        <v>20937</v>
      </c>
      <c r="E1684" s="194">
        <f t="shared" si="229"/>
        <v>5.1330000000000001E-2</v>
      </c>
      <c r="F1684" s="194">
        <f t="shared" si="230"/>
        <v>5.9819999999999998E-2</v>
      </c>
      <c r="G1684" s="193">
        <f t="shared" si="226"/>
        <v>2971.5</v>
      </c>
      <c r="H1684" s="195">
        <f t="shared" si="227"/>
        <v>0.16539999999999999</v>
      </c>
      <c r="J1684" s="207"/>
      <c r="L1684" s="197"/>
    </row>
    <row r="1685" spans="2:12" x14ac:dyDescent="0.25">
      <c r="B1685" s="176">
        <f t="shared" si="231"/>
        <v>400000</v>
      </c>
      <c r="C1685" s="193">
        <f>ROUND((D1657+B1685*D1658+B1685*(D1661+D1662+D1663+D1664+D1665+D1666+D1667+D1668))*(1+D1670),2)</f>
        <v>20385</v>
      </c>
      <c r="D1685" s="193">
        <f t="shared" si="228"/>
        <v>23707.5</v>
      </c>
      <c r="E1685" s="194">
        <f t="shared" si="229"/>
        <v>5.0962500000000001E-2</v>
      </c>
      <c r="F1685" s="194">
        <f t="shared" si="230"/>
        <v>5.9268750000000002E-2</v>
      </c>
      <c r="G1685" s="193">
        <f t="shared" si="226"/>
        <v>3322.5</v>
      </c>
      <c r="H1685" s="195">
        <f t="shared" si="227"/>
        <v>0.16300000000000001</v>
      </c>
      <c r="J1685" s="207"/>
      <c r="L1685" s="197"/>
    </row>
    <row r="1686" spans="2:12" x14ac:dyDescent="0.25">
      <c r="B1686" s="176">
        <f t="shared" si="231"/>
        <v>450000</v>
      </c>
      <c r="C1686" s="193">
        <f>ROUND((D1657+B1686*D1658+B1686*(D1661+D1662+D1663+D1664+D1665+D1666+D1667+D1668))*(1+D1670),2)</f>
        <v>22804.5</v>
      </c>
      <c r="D1686" s="193">
        <f t="shared" si="228"/>
        <v>26478</v>
      </c>
      <c r="E1686" s="194">
        <f t="shared" si="229"/>
        <v>5.0676666666666668E-2</v>
      </c>
      <c r="F1686" s="194">
        <f t="shared" si="230"/>
        <v>5.8840000000000003E-2</v>
      </c>
      <c r="G1686" s="193">
        <f t="shared" si="226"/>
        <v>3673.5</v>
      </c>
      <c r="H1686" s="195">
        <f t="shared" si="227"/>
        <v>0.16109999999999999</v>
      </c>
      <c r="J1686" s="207"/>
      <c r="L1686" s="197"/>
    </row>
    <row r="1687" spans="2:12" x14ac:dyDescent="0.25">
      <c r="B1687" s="176">
        <f t="shared" si="231"/>
        <v>500000</v>
      </c>
      <c r="C1687" s="193">
        <f>ROUND((D1657+B1687*D1658+B1687*(D1661+D1662+D1663+D1664+D1665+D1666+D1667+D1668))*(1+D1670),2)</f>
        <v>25224</v>
      </c>
      <c r="D1687" s="193">
        <f t="shared" si="228"/>
        <v>29248.5</v>
      </c>
      <c r="E1687" s="194">
        <f t="shared" si="229"/>
        <v>5.0448E-2</v>
      </c>
      <c r="F1687" s="194">
        <f t="shared" si="230"/>
        <v>5.8497E-2</v>
      </c>
      <c r="G1687" s="193">
        <f t="shared" si="226"/>
        <v>4024.5</v>
      </c>
      <c r="H1687" s="195">
        <f t="shared" si="227"/>
        <v>0.15959999999999999</v>
      </c>
      <c r="J1687" s="207"/>
      <c r="L1687" s="197"/>
    </row>
    <row r="1688" spans="2:12" x14ac:dyDescent="0.25">
      <c r="B1688" s="176">
        <f t="shared" si="231"/>
        <v>550000</v>
      </c>
      <c r="C1688" s="193">
        <f>ROUND((D1657+B1688*D1658+B1688*(D1661+D1662+D1663+D1664+D1665+D1666+D1667+D1668))*(1+D1670),2)</f>
        <v>27643.5</v>
      </c>
      <c r="D1688" s="193">
        <f t="shared" si="228"/>
        <v>32019</v>
      </c>
      <c r="E1688" s="194">
        <f t="shared" si="229"/>
        <v>5.0260909090909092E-2</v>
      </c>
      <c r="F1688" s="194">
        <f t="shared" si="230"/>
        <v>5.8216363636363636E-2</v>
      </c>
      <c r="G1688" s="193">
        <f t="shared" si="226"/>
        <v>4375.5</v>
      </c>
      <c r="H1688" s="195">
        <f t="shared" si="227"/>
        <v>0.1583</v>
      </c>
      <c r="J1688" s="207"/>
      <c r="L1688" s="197"/>
    </row>
    <row r="1689" spans="2:12" x14ac:dyDescent="0.25">
      <c r="B1689" s="176">
        <f t="shared" si="231"/>
        <v>600000</v>
      </c>
      <c r="C1689" s="193">
        <f>ROUND((D1657+B1689*D1658+B1689*(D1661+D1662+D1663+D1664+D1665+D1666+D1667+D1668))*(1+D1670),2)</f>
        <v>30063</v>
      </c>
      <c r="D1689" s="193">
        <f t="shared" si="228"/>
        <v>34789.5</v>
      </c>
      <c r="E1689" s="194">
        <f t="shared" si="229"/>
        <v>5.0104999999999997E-2</v>
      </c>
      <c r="F1689" s="194">
        <f t="shared" si="230"/>
        <v>5.7982499999999999E-2</v>
      </c>
      <c r="G1689" s="193">
        <f t="shared" si="226"/>
        <v>4726.5</v>
      </c>
      <c r="H1689" s="195">
        <f t="shared" si="227"/>
        <v>0.15720000000000001</v>
      </c>
      <c r="J1689" s="207"/>
      <c r="L1689" s="197"/>
    </row>
    <row r="1690" spans="2:12" x14ac:dyDescent="0.25">
      <c r="B1690" s="176">
        <f t="shared" si="231"/>
        <v>650000</v>
      </c>
      <c r="C1690" s="193">
        <f>ROUND((D1657+B1690*D1658+B1690*(D1661+D1662+D1663+D1664+D1665+D1666+D1667+D1668))*(1+D1670),2)</f>
        <v>32482.5</v>
      </c>
      <c r="D1690" s="193">
        <f t="shared" si="228"/>
        <v>37560</v>
      </c>
      <c r="E1690" s="194">
        <f t="shared" si="229"/>
        <v>4.9973076923076926E-2</v>
      </c>
      <c r="F1690" s="194">
        <f t="shared" si="230"/>
        <v>5.7784615384615386E-2</v>
      </c>
      <c r="G1690" s="193">
        <f t="shared" si="226"/>
        <v>5077.5</v>
      </c>
      <c r="H1690" s="195">
        <f t="shared" si="227"/>
        <v>0.15629999999999999</v>
      </c>
      <c r="J1690" s="207"/>
      <c r="L1690" s="197"/>
    </row>
    <row r="1691" spans="2:12" x14ac:dyDescent="0.25">
      <c r="B1691" s="176">
        <f t="shared" si="231"/>
        <v>700000</v>
      </c>
      <c r="C1691" s="193">
        <f>ROUND((D1657+B1691*D1658+B1691*(D1661+D1662+D1663+D1664+D1665+D1666+D1667+D1668))*(1+D1670),2)</f>
        <v>34902</v>
      </c>
      <c r="D1691" s="193">
        <f t="shared" si="228"/>
        <v>40330.5</v>
      </c>
      <c r="E1691" s="194">
        <f t="shared" si="229"/>
        <v>4.9860000000000002E-2</v>
      </c>
      <c r="F1691" s="194">
        <f t="shared" si="230"/>
        <v>5.7615E-2</v>
      </c>
      <c r="G1691" s="193">
        <f t="shared" si="226"/>
        <v>5428.5</v>
      </c>
      <c r="H1691" s="195">
        <f t="shared" si="227"/>
        <v>0.1555</v>
      </c>
      <c r="J1691" s="207"/>
      <c r="L1691" s="197"/>
    </row>
    <row r="1692" spans="2:12" x14ac:dyDescent="0.25">
      <c r="B1692" s="176">
        <f t="shared" si="231"/>
        <v>750000</v>
      </c>
      <c r="C1692" s="193">
        <f>ROUND((D1657+B1692*D1658+B1692*(D1661+D1662+D1663+D1664+D1665+D1666+D1667+D1668))*(1+D1670),2)</f>
        <v>37321.5</v>
      </c>
      <c r="D1692" s="193">
        <f t="shared" si="228"/>
        <v>43101</v>
      </c>
      <c r="E1692" s="194">
        <f t="shared" si="229"/>
        <v>4.9762000000000001E-2</v>
      </c>
      <c r="F1692" s="194">
        <f t="shared" si="230"/>
        <v>5.7467999999999998E-2</v>
      </c>
      <c r="G1692" s="193">
        <f t="shared" si="226"/>
        <v>5779.5</v>
      </c>
      <c r="H1692" s="195">
        <f t="shared" si="227"/>
        <v>0.15490000000000001</v>
      </c>
      <c r="J1692" s="207"/>
      <c r="L1692" s="197"/>
    </row>
    <row r="1693" spans="2:12" x14ac:dyDescent="0.25">
      <c r="B1693" s="176">
        <f t="shared" si="231"/>
        <v>800000</v>
      </c>
      <c r="C1693" s="193">
        <f>ROUND((D1657+B1693*D1658+B1693*(D1661+D1662+D1663+D1664+D1665+D1666+D1667+D1668))*(1+D1670),2)</f>
        <v>39741</v>
      </c>
      <c r="D1693" s="193">
        <f t="shared" si="228"/>
        <v>45871.5</v>
      </c>
      <c r="E1693" s="194">
        <f t="shared" si="229"/>
        <v>4.9676249999999998E-2</v>
      </c>
      <c r="F1693" s="194">
        <f t="shared" si="230"/>
        <v>5.7339374999999998E-2</v>
      </c>
      <c r="G1693" s="193">
        <f t="shared" si="226"/>
        <v>6130.5</v>
      </c>
      <c r="H1693" s="195">
        <f t="shared" si="227"/>
        <v>0.15429999999999999</v>
      </c>
      <c r="J1693" s="207"/>
      <c r="L1693" s="197"/>
    </row>
    <row r="1694" spans="2:12" x14ac:dyDescent="0.25">
      <c r="B1694" s="176">
        <f t="shared" si="231"/>
        <v>850000</v>
      </c>
      <c r="C1694" s="193">
        <f>ROUND((D1657+B1694*D1658+B1694*(D1661+D1662+D1663+D1664+D1665+D1666+D1667+D1668))*(1+D1670),2)</f>
        <v>42160.5</v>
      </c>
      <c r="D1694" s="193">
        <f t="shared" si="228"/>
        <v>48642</v>
      </c>
      <c r="E1694" s="194">
        <f t="shared" si="229"/>
        <v>4.9600588235294119E-2</v>
      </c>
      <c r="F1694" s="194">
        <f t="shared" si="230"/>
        <v>5.7225882352941175E-2</v>
      </c>
      <c r="G1694" s="193">
        <f t="shared" si="226"/>
        <v>6481.5</v>
      </c>
      <c r="H1694" s="195">
        <f t="shared" si="227"/>
        <v>0.1537</v>
      </c>
      <c r="J1694" s="207"/>
      <c r="L1694" s="197"/>
    </row>
    <row r="1695" spans="2:12" x14ac:dyDescent="0.25">
      <c r="B1695" s="176">
        <f t="shared" si="231"/>
        <v>900000</v>
      </c>
      <c r="C1695" s="193">
        <f>ROUND((D1657+B1695*D1658+B1695*(D1661+D1662+D1663+D1664+D1665+D1666+D1667+D1668))*(1+D1670),2)</f>
        <v>44580</v>
      </c>
      <c r="D1695" s="193">
        <f t="shared" si="228"/>
        <v>51412.5</v>
      </c>
      <c r="E1695" s="194">
        <f t="shared" si="229"/>
        <v>4.9533333333333332E-2</v>
      </c>
      <c r="F1695" s="194">
        <f t="shared" si="230"/>
        <v>5.7125000000000002E-2</v>
      </c>
      <c r="G1695" s="193">
        <f t="shared" si="226"/>
        <v>6832.5</v>
      </c>
      <c r="H1695" s="195">
        <f t="shared" si="227"/>
        <v>0.15329999999999999</v>
      </c>
      <c r="J1695" s="207"/>
      <c r="L1695" s="197"/>
    </row>
    <row r="1696" spans="2:12" x14ac:dyDescent="0.25">
      <c r="B1696" s="176">
        <f t="shared" si="231"/>
        <v>950000</v>
      </c>
      <c r="C1696" s="193">
        <f>ROUND((D1657+B1696*D1658+B1696*(D1661+D1662+D1663+D1664+D1665+D1666+D1667+D1668))*(1+D1670),2)</f>
        <v>46999.5</v>
      </c>
      <c r="D1696" s="193">
        <f t="shared" si="228"/>
        <v>54183</v>
      </c>
      <c r="E1696" s="194">
        <f t="shared" si="229"/>
        <v>4.9473157894736844E-2</v>
      </c>
      <c r="F1696" s="194">
        <f t="shared" si="230"/>
        <v>5.7034736842105263E-2</v>
      </c>
      <c r="G1696" s="193">
        <f t="shared" si="226"/>
        <v>7183.5</v>
      </c>
      <c r="H1696" s="195">
        <f t="shared" si="227"/>
        <v>0.15279999999999999</v>
      </c>
      <c r="J1696" s="207"/>
      <c r="L1696" s="197"/>
    </row>
    <row r="1697" spans="2:12" x14ac:dyDescent="0.25">
      <c r="B1697" s="176">
        <f t="shared" si="231"/>
        <v>1000000</v>
      </c>
      <c r="C1697" s="193">
        <f>ROUND((D1657+B1697*D1658+B1697*(D1661+D1662+D1663+D1664+D1665+D1666+D1667+D1668))*(1+D1670),2)</f>
        <v>49419</v>
      </c>
      <c r="D1697" s="193">
        <f t="shared" si="228"/>
        <v>56953.5</v>
      </c>
      <c r="E1697" s="194">
        <f t="shared" si="229"/>
        <v>4.9418999999999998E-2</v>
      </c>
      <c r="F1697" s="194">
        <f t="shared" si="230"/>
        <v>5.6953499999999997E-2</v>
      </c>
      <c r="G1697" s="193">
        <f t="shared" si="226"/>
        <v>7534.5</v>
      </c>
      <c r="H1697" s="195">
        <f t="shared" si="227"/>
        <v>0.1525</v>
      </c>
      <c r="J1697" s="207"/>
      <c r="L1697" s="197"/>
    </row>
    <row r="1698" spans="2:12" x14ac:dyDescent="0.25">
      <c r="B1698" s="176">
        <f t="shared" si="231"/>
        <v>1050000</v>
      </c>
      <c r="C1698" s="193">
        <f>ROUND((D1657+B1698*D1658+B1698*(D1661+D1662+D1663+D1664+D1665+D1666+D1667+D1668))*(1+D1670),2)</f>
        <v>51838.5</v>
      </c>
      <c r="D1698" s="193">
        <f t="shared" si="228"/>
        <v>59724</v>
      </c>
      <c r="E1698" s="194">
        <f t="shared" si="229"/>
        <v>4.9369999999999997E-2</v>
      </c>
      <c r="F1698" s="194">
        <f t="shared" si="230"/>
        <v>5.688E-2</v>
      </c>
      <c r="G1698" s="193">
        <f t="shared" si="226"/>
        <v>7885.5</v>
      </c>
      <c r="H1698" s="195">
        <f t="shared" si="227"/>
        <v>0.15210000000000001</v>
      </c>
      <c r="J1698" s="207"/>
      <c r="L1698" s="197"/>
    </row>
    <row r="1699" spans="2:12" x14ac:dyDescent="0.25">
      <c r="B1699" s="176">
        <f t="shared" si="231"/>
        <v>1100000</v>
      </c>
      <c r="C1699" s="193">
        <f>ROUND((D1657+B1699*D1658+B1699*(D1661+D1662+D1663+D1664+D1665+D1666+D1667+D1668))*(1+D1670),2)</f>
        <v>54258</v>
      </c>
      <c r="D1699" s="193">
        <f t="shared" si="228"/>
        <v>62494.5</v>
      </c>
      <c r="E1699" s="194">
        <f t="shared" si="229"/>
        <v>4.9325454545454547E-2</v>
      </c>
      <c r="F1699" s="194">
        <f t="shared" si="230"/>
        <v>5.6813181818181818E-2</v>
      </c>
      <c r="G1699" s="193">
        <f t="shared" si="226"/>
        <v>8236.5</v>
      </c>
      <c r="H1699" s="195">
        <f t="shared" si="227"/>
        <v>0.15179999999999999</v>
      </c>
      <c r="J1699" s="207"/>
      <c r="L1699" s="197"/>
    </row>
    <row r="1700" spans="2:12" x14ac:dyDescent="0.25">
      <c r="B1700" s="176">
        <f t="shared" si="231"/>
        <v>1150000</v>
      </c>
      <c r="C1700" s="193">
        <f>ROUND((D1657+B1700*D1658+B1700*(D1661+D1662+D1663+D1664+D1665+D1666+D1667+D1668))*(1+D1670),2)</f>
        <v>56677.5</v>
      </c>
      <c r="D1700" s="193">
        <f t="shared" si="228"/>
        <v>65265</v>
      </c>
      <c r="E1700" s="194">
        <f t="shared" si="229"/>
        <v>4.9284782608695656E-2</v>
      </c>
      <c r="F1700" s="194">
        <f t="shared" si="230"/>
        <v>5.6752173913043477E-2</v>
      </c>
      <c r="G1700" s="193">
        <f t="shared" si="226"/>
        <v>8587.5</v>
      </c>
      <c r="H1700" s="195">
        <f t="shared" si="227"/>
        <v>0.1515</v>
      </c>
      <c r="J1700" s="207"/>
      <c r="L1700" s="197"/>
    </row>
    <row r="1701" spans="2:12" x14ac:dyDescent="0.25">
      <c r="B1701" s="176">
        <f t="shared" si="231"/>
        <v>1200000</v>
      </c>
      <c r="C1701" s="193">
        <f>ROUND((D1657+B1701*D1658+B1701*(D1661+D1662+D1663+D1664+D1665+D1666+D1667+D1668))*(1+D1670),2)</f>
        <v>59097</v>
      </c>
      <c r="D1701" s="193">
        <f t="shared" si="228"/>
        <v>68035.5</v>
      </c>
      <c r="E1701" s="194">
        <f t="shared" si="229"/>
        <v>4.92475E-2</v>
      </c>
      <c r="F1701" s="194">
        <f t="shared" si="230"/>
        <v>5.6696249999999997E-2</v>
      </c>
      <c r="G1701" s="193">
        <f t="shared" si="226"/>
        <v>8938.5</v>
      </c>
      <c r="H1701" s="195">
        <f t="shared" si="227"/>
        <v>0.15129999999999999</v>
      </c>
      <c r="J1701" s="207"/>
      <c r="L1701" s="197"/>
    </row>
    <row r="1702" spans="2:12" x14ac:dyDescent="0.25">
      <c r="B1702" s="176">
        <f t="shared" si="231"/>
        <v>1250000</v>
      </c>
      <c r="C1702" s="193">
        <f>ROUND((D1657+B1702*D1658+B1702*(D1661+D1662+D1663+D1664+D1665+D1666+D1667+D1668))*(1+D1670),2)</f>
        <v>61516.5</v>
      </c>
      <c r="D1702" s="193">
        <f t="shared" si="228"/>
        <v>70806</v>
      </c>
      <c r="E1702" s="194">
        <f t="shared" si="229"/>
        <v>4.9213199999999999E-2</v>
      </c>
      <c r="F1702" s="194">
        <f t="shared" si="230"/>
        <v>5.6644800000000002E-2</v>
      </c>
      <c r="G1702" s="193">
        <f t="shared" si="226"/>
        <v>9289.5</v>
      </c>
      <c r="H1702" s="195">
        <f t="shared" si="227"/>
        <v>0.151</v>
      </c>
      <c r="J1702" s="207"/>
      <c r="L1702" s="197"/>
    </row>
    <row r="1703" spans="2:12" x14ac:dyDescent="0.25">
      <c r="B1703" s="176">
        <f t="shared" si="231"/>
        <v>1300000</v>
      </c>
      <c r="C1703" s="193">
        <f>ROUND((D1657+B1703*D1658+B1703*(D1661+D1662+D1663+D1664+D1665+D1666+D1667+D1668))*(1+D1670),2)</f>
        <v>63936</v>
      </c>
      <c r="D1703" s="193">
        <f t="shared" si="228"/>
        <v>73576.5</v>
      </c>
      <c r="E1703" s="194">
        <f t="shared" si="229"/>
        <v>4.9181538461538464E-2</v>
      </c>
      <c r="F1703" s="194">
        <f t="shared" si="230"/>
        <v>5.659730769230769E-2</v>
      </c>
      <c r="G1703" s="193">
        <f t="shared" si="226"/>
        <v>9640.5</v>
      </c>
      <c r="H1703" s="195">
        <f t="shared" si="227"/>
        <v>0.15079999999999999</v>
      </c>
      <c r="J1703" s="207"/>
      <c r="L1703" s="197"/>
    </row>
    <row r="1704" spans="2:12" x14ac:dyDescent="0.25">
      <c r="B1704" s="176">
        <f t="shared" si="231"/>
        <v>1350000</v>
      </c>
      <c r="C1704" s="193">
        <f>ROUND((D1657+B1704*D1658+B1704*(D1661+D1662+D1663+D1664+D1665+D1666+D1667+D1668))*(1+D1670),2)</f>
        <v>66355.5</v>
      </c>
      <c r="D1704" s="193">
        <f t="shared" si="228"/>
        <v>76347</v>
      </c>
      <c r="E1704" s="194">
        <f t="shared" si="229"/>
        <v>4.9152222222222222E-2</v>
      </c>
      <c r="F1704" s="194">
        <f t="shared" si="230"/>
        <v>5.655333333333333E-2</v>
      </c>
      <c r="G1704" s="193">
        <f t="shared" si="226"/>
        <v>9991.5</v>
      </c>
      <c r="H1704" s="195">
        <f t="shared" si="227"/>
        <v>0.15060000000000001</v>
      </c>
      <c r="J1704" s="207"/>
      <c r="L1704" s="197"/>
    </row>
    <row r="1705" spans="2:12" x14ac:dyDescent="0.25">
      <c r="B1705" s="176">
        <f t="shared" si="231"/>
        <v>1400000</v>
      </c>
      <c r="C1705" s="193">
        <f>ROUND((D1657+B1705*D1658+B1705*(D1661+D1662+D1663+D1664+D1665+D1666+D1667+D1668))*(1+D1670),2)</f>
        <v>68775</v>
      </c>
      <c r="D1705" s="193">
        <f t="shared" si="228"/>
        <v>79117.5</v>
      </c>
      <c r="E1705" s="194">
        <f t="shared" si="229"/>
        <v>4.9125000000000002E-2</v>
      </c>
      <c r="F1705" s="194">
        <f t="shared" si="230"/>
        <v>5.65125E-2</v>
      </c>
      <c r="G1705" s="193">
        <f t="shared" si="226"/>
        <v>10342.5</v>
      </c>
      <c r="H1705" s="195">
        <f t="shared" si="227"/>
        <v>0.15040000000000001</v>
      </c>
      <c r="J1705" s="207"/>
      <c r="L1705" s="197"/>
    </row>
    <row r="1706" spans="2:12" x14ac:dyDescent="0.25">
      <c r="B1706" s="176">
        <f t="shared" si="231"/>
        <v>1450000</v>
      </c>
      <c r="C1706" s="193">
        <f>ROUND((D1657+B1706*D1658+B1706*(D1661+D1662+D1663+D1664+D1665+D1666+D1667+D1668))*(1+D1670),2)</f>
        <v>71194.5</v>
      </c>
      <c r="D1706" s="193">
        <f t="shared" si="228"/>
        <v>81888</v>
      </c>
      <c r="E1706" s="194">
        <f t="shared" si="229"/>
        <v>4.9099655172413791E-2</v>
      </c>
      <c r="F1706" s="194">
        <f t="shared" si="230"/>
        <v>5.6474482758620687E-2</v>
      </c>
      <c r="G1706" s="193">
        <f t="shared" si="226"/>
        <v>10693.5</v>
      </c>
      <c r="H1706" s="195">
        <f t="shared" si="227"/>
        <v>0.1502</v>
      </c>
      <c r="J1706" s="207"/>
      <c r="L1706" s="197"/>
    </row>
    <row r="1707" spans="2:12" x14ac:dyDescent="0.25">
      <c r="B1707" s="176">
        <f>B1706+50000</f>
        <v>1500000</v>
      </c>
      <c r="C1707" s="193">
        <f>ROUND((D1657+B1707*D1658+B1707*(D1661+D1662+D1663+D1664+D1665+D1666+D1667+D1668))*(1+D1670),2)</f>
        <v>73614</v>
      </c>
      <c r="D1707" s="193">
        <f t="shared" si="228"/>
        <v>84658.5</v>
      </c>
      <c r="E1707" s="194">
        <f t="shared" si="229"/>
        <v>4.9076000000000002E-2</v>
      </c>
      <c r="F1707" s="194">
        <f t="shared" si="230"/>
        <v>5.6439000000000003E-2</v>
      </c>
      <c r="G1707" s="193">
        <f t="shared" si="226"/>
        <v>11044.5</v>
      </c>
      <c r="H1707" s="195">
        <f t="shared" si="227"/>
        <v>0.15</v>
      </c>
      <c r="J1707" s="207"/>
      <c r="L1707" s="197"/>
    </row>
    <row r="1708" spans="2:12" x14ac:dyDescent="0.25">
      <c r="C1708" s="193"/>
      <c r="D1708" s="193"/>
      <c r="E1708" s="194"/>
      <c r="F1708" s="194"/>
      <c r="G1708" s="193"/>
      <c r="H1708" s="195"/>
      <c r="J1708" s="207"/>
      <c r="L1708" s="197"/>
    </row>
    <row r="1709" spans="2:12" x14ac:dyDescent="0.25">
      <c r="C1709" s="193"/>
      <c r="D1709" s="193"/>
      <c r="E1709" s="194"/>
      <c r="F1709" s="194"/>
      <c r="G1709" s="193"/>
      <c r="H1709" s="195"/>
      <c r="J1709" s="207"/>
      <c r="L1709" s="197"/>
    </row>
    <row r="1710" spans="2:12" x14ac:dyDescent="0.25">
      <c r="C1710" s="193"/>
      <c r="D1710" s="193"/>
      <c r="E1710" s="194"/>
      <c r="F1710" s="194"/>
      <c r="G1710" s="193"/>
      <c r="H1710" s="195"/>
      <c r="J1710" s="207"/>
      <c r="L1710" s="197"/>
    </row>
    <row r="1711" spans="2:12" x14ac:dyDescent="0.25">
      <c r="C1711" s="193"/>
      <c r="D1711" s="193"/>
      <c r="E1711" s="194"/>
      <c r="F1711" s="194"/>
      <c r="G1711" s="193"/>
      <c r="H1711" s="195"/>
      <c r="J1711" s="207"/>
      <c r="L1711" s="197"/>
    </row>
    <row r="1712" spans="2:12" x14ac:dyDescent="0.25">
      <c r="C1712" s="193"/>
      <c r="D1712" s="193"/>
      <c r="E1712" s="194"/>
      <c r="F1712" s="194"/>
      <c r="G1712" s="193"/>
      <c r="H1712" s="195"/>
      <c r="J1712" s="207"/>
      <c r="L1712" s="197"/>
    </row>
    <row r="1713" spans="3:12" x14ac:dyDescent="0.25">
      <c r="C1713" s="193"/>
      <c r="D1713" s="193"/>
      <c r="E1713" s="194"/>
      <c r="F1713" s="194"/>
      <c r="G1713" s="193"/>
      <c r="H1713" s="195"/>
      <c r="J1713" s="207"/>
      <c r="L1713" s="197"/>
    </row>
    <row r="1714" spans="3:12" x14ac:dyDescent="0.25">
      <c r="C1714" s="193"/>
      <c r="D1714" s="193"/>
      <c r="E1714" s="194"/>
      <c r="F1714" s="194"/>
      <c r="G1714" s="193"/>
      <c r="H1714" s="195"/>
    </row>
    <row r="1715" spans="3:12" x14ac:dyDescent="0.25">
      <c r="C1715" s="193"/>
      <c r="D1715" s="193"/>
      <c r="E1715" s="194"/>
      <c r="F1715" s="194"/>
      <c r="G1715" s="193"/>
      <c r="H1715" s="195"/>
    </row>
    <row r="1716" spans="3:12" x14ac:dyDescent="0.25">
      <c r="C1716" s="193"/>
      <c r="D1716" s="193"/>
      <c r="E1716" s="194"/>
      <c r="F1716" s="194"/>
      <c r="G1716" s="193"/>
      <c r="H1716" s="195"/>
    </row>
    <row r="1717" spans="3:12" x14ac:dyDescent="0.25">
      <c r="C1717" s="193"/>
      <c r="D1717" s="193"/>
      <c r="E1717" s="194"/>
      <c r="F1717" s="194"/>
      <c r="G1717" s="193"/>
      <c r="H1717" s="195"/>
    </row>
    <row r="1718" spans="3:12" x14ac:dyDescent="0.25">
      <c r="C1718" s="193"/>
      <c r="D1718" s="193"/>
      <c r="E1718" s="194"/>
      <c r="F1718" s="194"/>
      <c r="G1718" s="193"/>
      <c r="H1718" s="195"/>
    </row>
    <row r="1719" spans="3:12" x14ac:dyDescent="0.25">
      <c r="C1719" s="193"/>
      <c r="D1719" s="193"/>
      <c r="E1719" s="194"/>
      <c r="F1719" s="194"/>
      <c r="G1719" s="193"/>
      <c r="H1719" s="195"/>
    </row>
    <row r="1736" spans="5:5" x14ac:dyDescent="0.25">
      <c r="E1736" s="194"/>
    </row>
  </sheetData>
  <mergeCells count="1">
    <mergeCell ref="A982:H982"/>
  </mergeCells>
  <phoneticPr fontId="17" type="noConversion"/>
  <pageMargins left="0.45" right="0.45" top="0.5" bottom="0.5" header="0.3" footer="0.3"/>
  <pageSetup scale="65" fitToHeight="26" orientation="landscape" horizontalDpi="300" verticalDpi="300" r:id="rId1"/>
  <headerFooter alignWithMargins="0"/>
  <rowBreaks count="23" manualBreakCount="23">
    <brk id="69" max="23" man="1"/>
    <brk id="183" max="23" man="1"/>
    <brk id="256" max="23" man="1"/>
    <brk id="322" max="23" man="1"/>
    <brk id="391" max="23" man="1"/>
    <brk id="456" max="23" man="1"/>
    <brk id="522" max="23" man="1"/>
    <brk id="589" max="23" man="1"/>
    <brk id="654" max="23" man="1"/>
    <brk id="788" max="23" man="1"/>
    <brk id="853" max="23" man="1"/>
    <brk id="918" max="23" man="1"/>
    <brk id="984" max="23" man="1"/>
    <brk id="1050" max="23" man="1"/>
    <brk id="1115" max="23" man="1"/>
    <brk id="1172" max="23" man="1"/>
    <brk id="1248" max="23" man="1"/>
    <brk id="1307" max="23" man="1"/>
    <brk id="1372" max="23" man="1"/>
    <brk id="1437" max="23" man="1"/>
    <brk id="1501" max="23" man="1"/>
    <brk id="1579" max="23" man="1"/>
    <brk id="1651" max="2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8ED6-0360-42F9-B6C3-D38C74E64660}">
  <sheetPr codeName="Sheet10"/>
  <dimension ref="A1:N228"/>
  <sheetViews>
    <sheetView view="pageBreakPreview" zoomScale="60" zoomScaleNormal="85" workbookViewId="0">
      <selection activeCell="C2" sqref="C2"/>
    </sheetView>
  </sheetViews>
  <sheetFormatPr defaultRowHeight="15" x14ac:dyDescent="0.25"/>
  <cols>
    <col min="1" max="1" width="48.140625" style="611" customWidth="1"/>
    <col min="2" max="2" width="10.28515625" style="617" hidden="1" customWidth="1"/>
    <col min="3" max="4" width="15.28515625" style="611" customWidth="1"/>
    <col min="5" max="5" width="17.7109375" style="611" customWidth="1"/>
    <col min="6" max="6" width="18.42578125" style="611" customWidth="1"/>
    <col min="7" max="7" width="15.28515625" style="618" customWidth="1"/>
    <col min="8" max="8" width="17.42578125" style="611" customWidth="1"/>
    <col min="9" max="9" width="15.28515625" style="618" customWidth="1"/>
    <col min="10" max="10" width="18.42578125" style="611" customWidth="1"/>
    <col min="11" max="11" width="10.5703125" style="611" bestFit="1" customWidth="1"/>
    <col min="12" max="256" width="9.140625" style="611"/>
    <col min="257" max="257" width="16" style="611" customWidth="1"/>
    <col min="258" max="258" width="0.140625" style="611" customWidth="1"/>
    <col min="259" max="259" width="11.42578125" style="611" customWidth="1"/>
    <col min="260" max="260" width="10.42578125" style="611" customWidth="1"/>
    <col min="261" max="261" width="11.85546875" style="611" customWidth="1"/>
    <col min="262" max="262" width="12" style="611" customWidth="1"/>
    <col min="263" max="264" width="11.5703125" style="611" bestFit="1" customWidth="1"/>
    <col min="265" max="265" width="10.140625" style="611" bestFit="1" customWidth="1"/>
    <col min="266" max="266" width="13.140625" style="611" customWidth="1"/>
    <col min="267" max="267" width="10.5703125" style="611" bestFit="1" customWidth="1"/>
    <col min="268" max="512" width="9.140625" style="611"/>
    <col min="513" max="513" width="16" style="611" customWidth="1"/>
    <col min="514" max="514" width="0.140625" style="611" customWidth="1"/>
    <col min="515" max="515" width="11.42578125" style="611" customWidth="1"/>
    <col min="516" max="516" width="10.42578125" style="611" customWidth="1"/>
    <col min="517" max="517" width="11.85546875" style="611" customWidth="1"/>
    <col min="518" max="518" width="12" style="611" customWidth="1"/>
    <col min="519" max="520" width="11.5703125" style="611" bestFit="1" customWidth="1"/>
    <col min="521" max="521" width="10.140625" style="611" bestFit="1" customWidth="1"/>
    <col min="522" max="522" width="13.140625" style="611" customWidth="1"/>
    <col min="523" max="523" width="10.5703125" style="611" bestFit="1" customWidth="1"/>
    <col min="524" max="768" width="9.140625" style="611"/>
    <col min="769" max="769" width="16" style="611" customWidth="1"/>
    <col min="770" max="770" width="0.140625" style="611" customWidth="1"/>
    <col min="771" max="771" width="11.42578125" style="611" customWidth="1"/>
    <col min="772" max="772" width="10.42578125" style="611" customWidth="1"/>
    <col min="773" max="773" width="11.85546875" style="611" customWidth="1"/>
    <col min="774" max="774" width="12" style="611" customWidth="1"/>
    <col min="775" max="776" width="11.5703125" style="611" bestFit="1" customWidth="1"/>
    <col min="777" max="777" width="10.140625" style="611" bestFit="1" customWidth="1"/>
    <col min="778" max="778" width="13.140625" style="611" customWidth="1"/>
    <col min="779" max="779" width="10.5703125" style="611" bestFit="1" customWidth="1"/>
    <col min="780" max="1024" width="9.140625" style="611"/>
    <col min="1025" max="1025" width="16" style="611" customWidth="1"/>
    <col min="1026" max="1026" width="0.140625" style="611" customWidth="1"/>
    <col min="1027" max="1027" width="11.42578125" style="611" customWidth="1"/>
    <col min="1028" max="1028" width="10.42578125" style="611" customWidth="1"/>
    <col min="1029" max="1029" width="11.85546875" style="611" customWidth="1"/>
    <col min="1030" max="1030" width="12" style="611" customWidth="1"/>
    <col min="1031" max="1032" width="11.5703125" style="611" bestFit="1" customWidth="1"/>
    <col min="1033" max="1033" width="10.140625" style="611" bestFit="1" customWidth="1"/>
    <col min="1034" max="1034" width="13.140625" style="611" customWidth="1"/>
    <col min="1035" max="1035" width="10.5703125" style="611" bestFit="1" customWidth="1"/>
    <col min="1036" max="1280" width="9.140625" style="611"/>
    <col min="1281" max="1281" width="16" style="611" customWidth="1"/>
    <col min="1282" max="1282" width="0.140625" style="611" customWidth="1"/>
    <col min="1283" max="1283" width="11.42578125" style="611" customWidth="1"/>
    <col min="1284" max="1284" width="10.42578125" style="611" customWidth="1"/>
    <col min="1285" max="1285" width="11.85546875" style="611" customWidth="1"/>
    <col min="1286" max="1286" width="12" style="611" customWidth="1"/>
    <col min="1287" max="1288" width="11.5703125" style="611" bestFit="1" customWidth="1"/>
    <col min="1289" max="1289" width="10.140625" style="611" bestFit="1" customWidth="1"/>
    <col min="1290" max="1290" width="13.140625" style="611" customWidth="1"/>
    <col min="1291" max="1291" width="10.5703125" style="611" bestFit="1" customWidth="1"/>
    <col min="1292" max="1536" width="9.140625" style="611"/>
    <col min="1537" max="1537" width="16" style="611" customWidth="1"/>
    <col min="1538" max="1538" width="0.140625" style="611" customWidth="1"/>
    <col min="1539" max="1539" width="11.42578125" style="611" customWidth="1"/>
    <col min="1540" max="1540" width="10.42578125" style="611" customWidth="1"/>
    <col min="1541" max="1541" width="11.85546875" style="611" customWidth="1"/>
    <col min="1542" max="1542" width="12" style="611" customWidth="1"/>
    <col min="1543" max="1544" width="11.5703125" style="611" bestFit="1" customWidth="1"/>
    <col min="1545" max="1545" width="10.140625" style="611" bestFit="1" customWidth="1"/>
    <col min="1546" max="1546" width="13.140625" style="611" customWidth="1"/>
    <col min="1547" max="1547" width="10.5703125" style="611" bestFit="1" customWidth="1"/>
    <col min="1548" max="1792" width="9.140625" style="611"/>
    <col min="1793" max="1793" width="16" style="611" customWidth="1"/>
    <col min="1794" max="1794" width="0.140625" style="611" customWidth="1"/>
    <col min="1795" max="1795" width="11.42578125" style="611" customWidth="1"/>
    <col min="1796" max="1796" width="10.42578125" style="611" customWidth="1"/>
    <col min="1797" max="1797" width="11.85546875" style="611" customWidth="1"/>
    <col min="1798" max="1798" width="12" style="611" customWidth="1"/>
    <col min="1799" max="1800" width="11.5703125" style="611" bestFit="1" customWidth="1"/>
    <col min="1801" max="1801" width="10.140625" style="611" bestFit="1" customWidth="1"/>
    <col min="1802" max="1802" width="13.140625" style="611" customWidth="1"/>
    <col min="1803" max="1803" width="10.5703125" style="611" bestFit="1" customWidth="1"/>
    <col min="1804" max="2048" width="9.140625" style="611"/>
    <col min="2049" max="2049" width="16" style="611" customWidth="1"/>
    <col min="2050" max="2050" width="0.140625" style="611" customWidth="1"/>
    <col min="2051" max="2051" width="11.42578125" style="611" customWidth="1"/>
    <col min="2052" max="2052" width="10.42578125" style="611" customWidth="1"/>
    <col min="2053" max="2053" width="11.85546875" style="611" customWidth="1"/>
    <col min="2054" max="2054" width="12" style="611" customWidth="1"/>
    <col min="2055" max="2056" width="11.5703125" style="611" bestFit="1" customWidth="1"/>
    <col min="2057" max="2057" width="10.140625" style="611" bestFit="1" customWidth="1"/>
    <col min="2058" max="2058" width="13.140625" style="611" customWidth="1"/>
    <col min="2059" max="2059" width="10.5703125" style="611" bestFit="1" customWidth="1"/>
    <col min="2060" max="2304" width="9.140625" style="611"/>
    <col min="2305" max="2305" width="16" style="611" customWidth="1"/>
    <col min="2306" max="2306" width="0.140625" style="611" customWidth="1"/>
    <col min="2307" max="2307" width="11.42578125" style="611" customWidth="1"/>
    <col min="2308" max="2308" width="10.42578125" style="611" customWidth="1"/>
    <col min="2309" max="2309" width="11.85546875" style="611" customWidth="1"/>
    <col min="2310" max="2310" width="12" style="611" customWidth="1"/>
    <col min="2311" max="2312" width="11.5703125" style="611" bestFit="1" customWidth="1"/>
    <col min="2313" max="2313" width="10.140625" style="611" bestFit="1" customWidth="1"/>
    <col min="2314" max="2314" width="13.140625" style="611" customWidth="1"/>
    <col min="2315" max="2315" width="10.5703125" style="611" bestFit="1" customWidth="1"/>
    <col min="2316" max="2560" width="9.140625" style="611"/>
    <col min="2561" max="2561" width="16" style="611" customWidth="1"/>
    <col min="2562" max="2562" width="0.140625" style="611" customWidth="1"/>
    <col min="2563" max="2563" width="11.42578125" style="611" customWidth="1"/>
    <col min="2564" max="2564" width="10.42578125" style="611" customWidth="1"/>
    <col min="2565" max="2565" width="11.85546875" style="611" customWidth="1"/>
    <col min="2566" max="2566" width="12" style="611" customWidth="1"/>
    <col min="2567" max="2568" width="11.5703125" style="611" bestFit="1" customWidth="1"/>
    <col min="2569" max="2569" width="10.140625" style="611" bestFit="1" customWidth="1"/>
    <col min="2570" max="2570" width="13.140625" style="611" customWidth="1"/>
    <col min="2571" max="2571" width="10.5703125" style="611" bestFit="1" customWidth="1"/>
    <col min="2572" max="2816" width="9.140625" style="611"/>
    <col min="2817" max="2817" width="16" style="611" customWidth="1"/>
    <col min="2818" max="2818" width="0.140625" style="611" customWidth="1"/>
    <col min="2819" max="2819" width="11.42578125" style="611" customWidth="1"/>
    <col min="2820" max="2820" width="10.42578125" style="611" customWidth="1"/>
    <col min="2821" max="2821" width="11.85546875" style="611" customWidth="1"/>
    <col min="2822" max="2822" width="12" style="611" customWidth="1"/>
    <col min="2823" max="2824" width="11.5703125" style="611" bestFit="1" customWidth="1"/>
    <col min="2825" max="2825" width="10.140625" style="611" bestFit="1" customWidth="1"/>
    <col min="2826" max="2826" width="13.140625" style="611" customWidth="1"/>
    <col min="2827" max="2827" width="10.5703125" style="611" bestFit="1" customWidth="1"/>
    <col min="2828" max="3072" width="9.140625" style="611"/>
    <col min="3073" max="3073" width="16" style="611" customWidth="1"/>
    <col min="3074" max="3074" width="0.140625" style="611" customWidth="1"/>
    <col min="3075" max="3075" width="11.42578125" style="611" customWidth="1"/>
    <col min="3076" max="3076" width="10.42578125" style="611" customWidth="1"/>
    <col min="3077" max="3077" width="11.85546875" style="611" customWidth="1"/>
    <col min="3078" max="3078" width="12" style="611" customWidth="1"/>
    <col min="3079" max="3080" width="11.5703125" style="611" bestFit="1" customWidth="1"/>
    <col min="3081" max="3081" width="10.140625" style="611" bestFit="1" customWidth="1"/>
    <col min="3082" max="3082" width="13.140625" style="611" customWidth="1"/>
    <col min="3083" max="3083" width="10.5703125" style="611" bestFit="1" customWidth="1"/>
    <col min="3084" max="3328" width="9.140625" style="611"/>
    <col min="3329" max="3329" width="16" style="611" customWidth="1"/>
    <col min="3330" max="3330" width="0.140625" style="611" customWidth="1"/>
    <col min="3331" max="3331" width="11.42578125" style="611" customWidth="1"/>
    <col min="3332" max="3332" width="10.42578125" style="611" customWidth="1"/>
    <col min="3333" max="3333" width="11.85546875" style="611" customWidth="1"/>
    <col min="3334" max="3334" width="12" style="611" customWidth="1"/>
    <col min="3335" max="3336" width="11.5703125" style="611" bestFit="1" customWidth="1"/>
    <col min="3337" max="3337" width="10.140625" style="611" bestFit="1" customWidth="1"/>
    <col min="3338" max="3338" width="13.140625" style="611" customWidth="1"/>
    <col min="3339" max="3339" width="10.5703125" style="611" bestFit="1" customWidth="1"/>
    <col min="3340" max="3584" width="9.140625" style="611"/>
    <col min="3585" max="3585" width="16" style="611" customWidth="1"/>
    <col min="3586" max="3586" width="0.140625" style="611" customWidth="1"/>
    <col min="3587" max="3587" width="11.42578125" style="611" customWidth="1"/>
    <col min="3588" max="3588" width="10.42578125" style="611" customWidth="1"/>
    <col min="3589" max="3589" width="11.85546875" style="611" customWidth="1"/>
    <col min="3590" max="3590" width="12" style="611" customWidth="1"/>
    <col min="3591" max="3592" width="11.5703125" style="611" bestFit="1" customWidth="1"/>
    <col min="3593" max="3593" width="10.140625" style="611" bestFit="1" customWidth="1"/>
    <col min="3594" max="3594" width="13.140625" style="611" customWidth="1"/>
    <col min="3595" max="3595" width="10.5703125" style="611" bestFit="1" customWidth="1"/>
    <col min="3596" max="3840" width="9.140625" style="611"/>
    <col min="3841" max="3841" width="16" style="611" customWidth="1"/>
    <col min="3842" max="3842" width="0.140625" style="611" customWidth="1"/>
    <col min="3843" max="3843" width="11.42578125" style="611" customWidth="1"/>
    <col min="3844" max="3844" width="10.42578125" style="611" customWidth="1"/>
    <col min="3845" max="3845" width="11.85546875" style="611" customWidth="1"/>
    <col min="3846" max="3846" width="12" style="611" customWidth="1"/>
    <col min="3847" max="3848" width="11.5703125" style="611" bestFit="1" customWidth="1"/>
    <col min="3849" max="3849" width="10.140625" style="611" bestFit="1" customWidth="1"/>
    <col min="3850" max="3850" width="13.140625" style="611" customWidth="1"/>
    <col min="3851" max="3851" width="10.5703125" style="611" bestFit="1" customWidth="1"/>
    <col min="3852" max="4096" width="9.140625" style="611"/>
    <col min="4097" max="4097" width="16" style="611" customWidth="1"/>
    <col min="4098" max="4098" width="0.140625" style="611" customWidth="1"/>
    <col min="4099" max="4099" width="11.42578125" style="611" customWidth="1"/>
    <col min="4100" max="4100" width="10.42578125" style="611" customWidth="1"/>
    <col min="4101" max="4101" width="11.85546875" style="611" customWidth="1"/>
    <col min="4102" max="4102" width="12" style="611" customWidth="1"/>
    <col min="4103" max="4104" width="11.5703125" style="611" bestFit="1" customWidth="1"/>
    <col min="4105" max="4105" width="10.140625" style="611" bestFit="1" customWidth="1"/>
    <col min="4106" max="4106" width="13.140625" style="611" customWidth="1"/>
    <col min="4107" max="4107" width="10.5703125" style="611" bestFit="1" customWidth="1"/>
    <col min="4108" max="4352" width="9.140625" style="611"/>
    <col min="4353" max="4353" width="16" style="611" customWidth="1"/>
    <col min="4354" max="4354" width="0.140625" style="611" customWidth="1"/>
    <col min="4355" max="4355" width="11.42578125" style="611" customWidth="1"/>
    <col min="4356" max="4356" width="10.42578125" style="611" customWidth="1"/>
    <col min="4357" max="4357" width="11.85546875" style="611" customWidth="1"/>
    <col min="4358" max="4358" width="12" style="611" customWidth="1"/>
    <col min="4359" max="4360" width="11.5703125" style="611" bestFit="1" customWidth="1"/>
    <col min="4361" max="4361" width="10.140625" style="611" bestFit="1" customWidth="1"/>
    <col min="4362" max="4362" width="13.140625" style="611" customWidth="1"/>
    <col min="4363" max="4363" width="10.5703125" style="611" bestFit="1" customWidth="1"/>
    <col min="4364" max="4608" width="9.140625" style="611"/>
    <col min="4609" max="4609" width="16" style="611" customWidth="1"/>
    <col min="4610" max="4610" width="0.140625" style="611" customWidth="1"/>
    <col min="4611" max="4611" width="11.42578125" style="611" customWidth="1"/>
    <col min="4612" max="4612" width="10.42578125" style="611" customWidth="1"/>
    <col min="4613" max="4613" width="11.85546875" style="611" customWidth="1"/>
    <col min="4614" max="4614" width="12" style="611" customWidth="1"/>
    <col min="4615" max="4616" width="11.5703125" style="611" bestFit="1" customWidth="1"/>
    <col min="4617" max="4617" width="10.140625" style="611" bestFit="1" customWidth="1"/>
    <col min="4618" max="4618" width="13.140625" style="611" customWidth="1"/>
    <col min="4619" max="4619" width="10.5703125" style="611" bestFit="1" customWidth="1"/>
    <col min="4620" max="4864" width="9.140625" style="611"/>
    <col min="4865" max="4865" width="16" style="611" customWidth="1"/>
    <col min="4866" max="4866" width="0.140625" style="611" customWidth="1"/>
    <col min="4867" max="4867" width="11.42578125" style="611" customWidth="1"/>
    <col min="4868" max="4868" width="10.42578125" style="611" customWidth="1"/>
    <col min="4869" max="4869" width="11.85546875" style="611" customWidth="1"/>
    <col min="4870" max="4870" width="12" style="611" customWidth="1"/>
    <col min="4871" max="4872" width="11.5703125" style="611" bestFit="1" customWidth="1"/>
    <col min="4873" max="4873" width="10.140625" style="611" bestFit="1" customWidth="1"/>
    <col min="4874" max="4874" width="13.140625" style="611" customWidth="1"/>
    <col min="4875" max="4875" width="10.5703125" style="611" bestFit="1" customWidth="1"/>
    <col min="4876" max="5120" width="9.140625" style="611"/>
    <col min="5121" max="5121" width="16" style="611" customWidth="1"/>
    <col min="5122" max="5122" width="0.140625" style="611" customWidth="1"/>
    <col min="5123" max="5123" width="11.42578125" style="611" customWidth="1"/>
    <col min="5124" max="5124" width="10.42578125" style="611" customWidth="1"/>
    <col min="5125" max="5125" width="11.85546875" style="611" customWidth="1"/>
    <col min="5126" max="5126" width="12" style="611" customWidth="1"/>
    <col min="5127" max="5128" width="11.5703125" style="611" bestFit="1" customWidth="1"/>
    <col min="5129" max="5129" width="10.140625" style="611" bestFit="1" customWidth="1"/>
    <col min="5130" max="5130" width="13.140625" style="611" customWidth="1"/>
    <col min="5131" max="5131" width="10.5703125" style="611" bestFit="1" customWidth="1"/>
    <col min="5132" max="5376" width="9.140625" style="611"/>
    <col min="5377" max="5377" width="16" style="611" customWidth="1"/>
    <col min="5378" max="5378" width="0.140625" style="611" customWidth="1"/>
    <col min="5379" max="5379" width="11.42578125" style="611" customWidth="1"/>
    <col min="5380" max="5380" width="10.42578125" style="611" customWidth="1"/>
    <col min="5381" max="5381" width="11.85546875" style="611" customWidth="1"/>
    <col min="5382" max="5382" width="12" style="611" customWidth="1"/>
    <col min="5383" max="5384" width="11.5703125" style="611" bestFit="1" customWidth="1"/>
    <col min="5385" max="5385" width="10.140625" style="611" bestFit="1" customWidth="1"/>
    <col min="5386" max="5386" width="13.140625" style="611" customWidth="1"/>
    <col min="5387" max="5387" width="10.5703125" style="611" bestFit="1" customWidth="1"/>
    <col min="5388" max="5632" width="9.140625" style="611"/>
    <col min="5633" max="5633" width="16" style="611" customWidth="1"/>
    <col min="5634" max="5634" width="0.140625" style="611" customWidth="1"/>
    <col min="5635" max="5635" width="11.42578125" style="611" customWidth="1"/>
    <col min="5636" max="5636" width="10.42578125" style="611" customWidth="1"/>
    <col min="5637" max="5637" width="11.85546875" style="611" customWidth="1"/>
    <col min="5638" max="5638" width="12" style="611" customWidth="1"/>
    <col min="5639" max="5640" width="11.5703125" style="611" bestFit="1" customWidth="1"/>
    <col min="5641" max="5641" width="10.140625" style="611" bestFit="1" customWidth="1"/>
    <col min="5642" max="5642" width="13.140625" style="611" customWidth="1"/>
    <col min="5643" max="5643" width="10.5703125" style="611" bestFit="1" customWidth="1"/>
    <col min="5644" max="5888" width="9.140625" style="611"/>
    <col min="5889" max="5889" width="16" style="611" customWidth="1"/>
    <col min="5890" max="5890" width="0.140625" style="611" customWidth="1"/>
    <col min="5891" max="5891" width="11.42578125" style="611" customWidth="1"/>
    <col min="5892" max="5892" width="10.42578125" style="611" customWidth="1"/>
    <col min="5893" max="5893" width="11.85546875" style="611" customWidth="1"/>
    <col min="5894" max="5894" width="12" style="611" customWidth="1"/>
    <col min="5895" max="5896" width="11.5703125" style="611" bestFit="1" customWidth="1"/>
    <col min="5897" max="5897" width="10.140625" style="611" bestFit="1" customWidth="1"/>
    <col min="5898" max="5898" width="13.140625" style="611" customWidth="1"/>
    <col min="5899" max="5899" width="10.5703125" style="611" bestFit="1" customWidth="1"/>
    <col min="5900" max="6144" width="9.140625" style="611"/>
    <col min="6145" max="6145" width="16" style="611" customWidth="1"/>
    <col min="6146" max="6146" width="0.140625" style="611" customWidth="1"/>
    <col min="6147" max="6147" width="11.42578125" style="611" customWidth="1"/>
    <col min="6148" max="6148" width="10.42578125" style="611" customWidth="1"/>
    <col min="6149" max="6149" width="11.85546875" style="611" customWidth="1"/>
    <col min="6150" max="6150" width="12" style="611" customWidth="1"/>
    <col min="6151" max="6152" width="11.5703125" style="611" bestFit="1" customWidth="1"/>
    <col min="6153" max="6153" width="10.140625" style="611" bestFit="1" customWidth="1"/>
    <col min="6154" max="6154" width="13.140625" style="611" customWidth="1"/>
    <col min="6155" max="6155" width="10.5703125" style="611" bestFit="1" customWidth="1"/>
    <col min="6156" max="6400" width="9.140625" style="611"/>
    <col min="6401" max="6401" width="16" style="611" customWidth="1"/>
    <col min="6402" max="6402" width="0.140625" style="611" customWidth="1"/>
    <col min="6403" max="6403" width="11.42578125" style="611" customWidth="1"/>
    <col min="6404" max="6404" width="10.42578125" style="611" customWidth="1"/>
    <col min="6405" max="6405" width="11.85546875" style="611" customWidth="1"/>
    <col min="6406" max="6406" width="12" style="611" customWidth="1"/>
    <col min="6407" max="6408" width="11.5703125" style="611" bestFit="1" customWidth="1"/>
    <col min="6409" max="6409" width="10.140625" style="611" bestFit="1" customWidth="1"/>
    <col min="6410" max="6410" width="13.140625" style="611" customWidth="1"/>
    <col min="6411" max="6411" width="10.5703125" style="611" bestFit="1" customWidth="1"/>
    <col min="6412" max="6656" width="9.140625" style="611"/>
    <col min="6657" max="6657" width="16" style="611" customWidth="1"/>
    <col min="6658" max="6658" width="0.140625" style="611" customWidth="1"/>
    <col min="6659" max="6659" width="11.42578125" style="611" customWidth="1"/>
    <col min="6660" max="6660" width="10.42578125" style="611" customWidth="1"/>
    <col min="6661" max="6661" width="11.85546875" style="611" customWidth="1"/>
    <col min="6662" max="6662" width="12" style="611" customWidth="1"/>
    <col min="6663" max="6664" width="11.5703125" style="611" bestFit="1" customWidth="1"/>
    <col min="6665" max="6665" width="10.140625" style="611" bestFit="1" customWidth="1"/>
    <col min="6666" max="6666" width="13.140625" style="611" customWidth="1"/>
    <col min="6667" max="6667" width="10.5703125" style="611" bestFit="1" customWidth="1"/>
    <col min="6668" max="6912" width="9.140625" style="611"/>
    <col min="6913" max="6913" width="16" style="611" customWidth="1"/>
    <col min="6914" max="6914" width="0.140625" style="611" customWidth="1"/>
    <col min="6915" max="6915" width="11.42578125" style="611" customWidth="1"/>
    <col min="6916" max="6916" width="10.42578125" style="611" customWidth="1"/>
    <col min="6917" max="6917" width="11.85546875" style="611" customWidth="1"/>
    <col min="6918" max="6918" width="12" style="611" customWidth="1"/>
    <col min="6919" max="6920" width="11.5703125" style="611" bestFit="1" customWidth="1"/>
    <col min="6921" max="6921" width="10.140625" style="611" bestFit="1" customWidth="1"/>
    <col min="6922" max="6922" width="13.140625" style="611" customWidth="1"/>
    <col min="6923" max="6923" width="10.5703125" style="611" bestFit="1" customWidth="1"/>
    <col min="6924" max="7168" width="9.140625" style="611"/>
    <col min="7169" max="7169" width="16" style="611" customWidth="1"/>
    <col min="7170" max="7170" width="0.140625" style="611" customWidth="1"/>
    <col min="7171" max="7171" width="11.42578125" style="611" customWidth="1"/>
    <col min="7172" max="7172" width="10.42578125" style="611" customWidth="1"/>
    <col min="7173" max="7173" width="11.85546875" style="611" customWidth="1"/>
    <col min="7174" max="7174" width="12" style="611" customWidth="1"/>
    <col min="7175" max="7176" width="11.5703125" style="611" bestFit="1" customWidth="1"/>
    <col min="7177" max="7177" width="10.140625" style="611" bestFit="1" customWidth="1"/>
    <col min="7178" max="7178" width="13.140625" style="611" customWidth="1"/>
    <col min="7179" max="7179" width="10.5703125" style="611" bestFit="1" customWidth="1"/>
    <col min="7180" max="7424" width="9.140625" style="611"/>
    <col min="7425" max="7425" width="16" style="611" customWidth="1"/>
    <col min="7426" max="7426" width="0.140625" style="611" customWidth="1"/>
    <col min="7427" max="7427" width="11.42578125" style="611" customWidth="1"/>
    <col min="7428" max="7428" width="10.42578125" style="611" customWidth="1"/>
    <col min="7429" max="7429" width="11.85546875" style="611" customWidth="1"/>
    <col min="7430" max="7430" width="12" style="611" customWidth="1"/>
    <col min="7431" max="7432" width="11.5703125" style="611" bestFit="1" customWidth="1"/>
    <col min="7433" max="7433" width="10.140625" style="611" bestFit="1" customWidth="1"/>
    <col min="7434" max="7434" width="13.140625" style="611" customWidth="1"/>
    <col min="7435" max="7435" width="10.5703125" style="611" bestFit="1" customWidth="1"/>
    <col min="7436" max="7680" width="9.140625" style="611"/>
    <col min="7681" max="7681" width="16" style="611" customWidth="1"/>
    <col min="7682" max="7682" width="0.140625" style="611" customWidth="1"/>
    <col min="7683" max="7683" width="11.42578125" style="611" customWidth="1"/>
    <col min="7684" max="7684" width="10.42578125" style="611" customWidth="1"/>
    <col min="7685" max="7685" width="11.85546875" style="611" customWidth="1"/>
    <col min="7686" max="7686" width="12" style="611" customWidth="1"/>
    <col min="7687" max="7688" width="11.5703125" style="611" bestFit="1" customWidth="1"/>
    <col min="7689" max="7689" width="10.140625" style="611" bestFit="1" customWidth="1"/>
    <col min="7690" max="7690" width="13.140625" style="611" customWidth="1"/>
    <col min="7691" max="7691" width="10.5703125" style="611" bestFit="1" customWidth="1"/>
    <col min="7692" max="7936" width="9.140625" style="611"/>
    <col min="7937" max="7937" width="16" style="611" customWidth="1"/>
    <col min="7938" max="7938" width="0.140625" style="611" customWidth="1"/>
    <col min="7939" max="7939" width="11.42578125" style="611" customWidth="1"/>
    <col min="7940" max="7940" width="10.42578125" style="611" customWidth="1"/>
    <col min="7941" max="7941" width="11.85546875" style="611" customWidth="1"/>
    <col min="7942" max="7942" width="12" style="611" customWidth="1"/>
    <col min="7943" max="7944" width="11.5703125" style="611" bestFit="1" customWidth="1"/>
    <col min="7945" max="7945" width="10.140625" style="611" bestFit="1" customWidth="1"/>
    <col min="7946" max="7946" width="13.140625" style="611" customWidth="1"/>
    <col min="7947" max="7947" width="10.5703125" style="611" bestFit="1" customWidth="1"/>
    <col min="7948" max="8192" width="9.140625" style="611"/>
    <col min="8193" max="8193" width="16" style="611" customWidth="1"/>
    <col min="8194" max="8194" width="0.140625" style="611" customWidth="1"/>
    <col min="8195" max="8195" width="11.42578125" style="611" customWidth="1"/>
    <col min="8196" max="8196" width="10.42578125" style="611" customWidth="1"/>
    <col min="8197" max="8197" width="11.85546875" style="611" customWidth="1"/>
    <col min="8198" max="8198" width="12" style="611" customWidth="1"/>
    <col min="8199" max="8200" width="11.5703125" style="611" bestFit="1" customWidth="1"/>
    <col min="8201" max="8201" width="10.140625" style="611" bestFit="1" customWidth="1"/>
    <col min="8202" max="8202" width="13.140625" style="611" customWidth="1"/>
    <col min="8203" max="8203" width="10.5703125" style="611" bestFit="1" customWidth="1"/>
    <col min="8204" max="8448" width="9.140625" style="611"/>
    <col min="8449" max="8449" width="16" style="611" customWidth="1"/>
    <col min="8450" max="8450" width="0.140625" style="611" customWidth="1"/>
    <col min="8451" max="8451" width="11.42578125" style="611" customWidth="1"/>
    <col min="8452" max="8452" width="10.42578125" style="611" customWidth="1"/>
    <col min="8453" max="8453" width="11.85546875" style="611" customWidth="1"/>
    <col min="8454" max="8454" width="12" style="611" customWidth="1"/>
    <col min="8455" max="8456" width="11.5703125" style="611" bestFit="1" customWidth="1"/>
    <col min="8457" max="8457" width="10.140625" style="611" bestFit="1" customWidth="1"/>
    <col min="8458" max="8458" width="13.140625" style="611" customWidth="1"/>
    <col min="8459" max="8459" width="10.5703125" style="611" bestFit="1" customWidth="1"/>
    <col min="8460" max="8704" width="9.140625" style="611"/>
    <col min="8705" max="8705" width="16" style="611" customWidth="1"/>
    <col min="8706" max="8706" width="0.140625" style="611" customWidth="1"/>
    <col min="8707" max="8707" width="11.42578125" style="611" customWidth="1"/>
    <col min="8708" max="8708" width="10.42578125" style="611" customWidth="1"/>
    <col min="8709" max="8709" width="11.85546875" style="611" customWidth="1"/>
    <col min="8710" max="8710" width="12" style="611" customWidth="1"/>
    <col min="8711" max="8712" width="11.5703125" style="611" bestFit="1" customWidth="1"/>
    <col min="8713" max="8713" width="10.140625" style="611" bestFit="1" customWidth="1"/>
    <col min="8714" max="8714" width="13.140625" style="611" customWidth="1"/>
    <col min="8715" max="8715" width="10.5703125" style="611" bestFit="1" customWidth="1"/>
    <col min="8716" max="8960" width="9.140625" style="611"/>
    <col min="8961" max="8961" width="16" style="611" customWidth="1"/>
    <col min="8962" max="8962" width="0.140625" style="611" customWidth="1"/>
    <col min="8963" max="8963" width="11.42578125" style="611" customWidth="1"/>
    <col min="8964" max="8964" width="10.42578125" style="611" customWidth="1"/>
    <col min="8965" max="8965" width="11.85546875" style="611" customWidth="1"/>
    <col min="8966" max="8966" width="12" style="611" customWidth="1"/>
    <col min="8967" max="8968" width="11.5703125" style="611" bestFit="1" customWidth="1"/>
    <col min="8969" max="8969" width="10.140625" style="611" bestFit="1" customWidth="1"/>
    <col min="8970" max="8970" width="13.140625" style="611" customWidth="1"/>
    <col min="8971" max="8971" width="10.5703125" style="611" bestFit="1" customWidth="1"/>
    <col min="8972" max="9216" width="9.140625" style="611"/>
    <col min="9217" max="9217" width="16" style="611" customWidth="1"/>
    <col min="9218" max="9218" width="0.140625" style="611" customWidth="1"/>
    <col min="9219" max="9219" width="11.42578125" style="611" customWidth="1"/>
    <col min="9220" max="9220" width="10.42578125" style="611" customWidth="1"/>
    <col min="9221" max="9221" width="11.85546875" style="611" customWidth="1"/>
    <col min="9222" max="9222" width="12" style="611" customWidth="1"/>
    <col min="9223" max="9224" width="11.5703125" style="611" bestFit="1" customWidth="1"/>
    <col min="9225" max="9225" width="10.140625" style="611" bestFit="1" customWidth="1"/>
    <col min="9226" max="9226" width="13.140625" style="611" customWidth="1"/>
    <col min="9227" max="9227" width="10.5703125" style="611" bestFit="1" customWidth="1"/>
    <col min="9228" max="9472" width="9.140625" style="611"/>
    <col min="9473" max="9473" width="16" style="611" customWidth="1"/>
    <col min="9474" max="9474" width="0.140625" style="611" customWidth="1"/>
    <col min="9475" max="9475" width="11.42578125" style="611" customWidth="1"/>
    <col min="9476" max="9476" width="10.42578125" style="611" customWidth="1"/>
    <col min="9477" max="9477" width="11.85546875" style="611" customWidth="1"/>
    <col min="9478" max="9478" width="12" style="611" customWidth="1"/>
    <col min="9479" max="9480" width="11.5703125" style="611" bestFit="1" customWidth="1"/>
    <col min="9481" max="9481" width="10.140625" style="611" bestFit="1" customWidth="1"/>
    <col min="9482" max="9482" width="13.140625" style="611" customWidth="1"/>
    <col min="9483" max="9483" width="10.5703125" style="611" bestFit="1" customWidth="1"/>
    <col min="9484" max="9728" width="9.140625" style="611"/>
    <col min="9729" max="9729" width="16" style="611" customWidth="1"/>
    <col min="9730" max="9730" width="0.140625" style="611" customWidth="1"/>
    <col min="9731" max="9731" width="11.42578125" style="611" customWidth="1"/>
    <col min="9732" max="9732" width="10.42578125" style="611" customWidth="1"/>
    <col min="9733" max="9733" width="11.85546875" style="611" customWidth="1"/>
    <col min="9734" max="9734" width="12" style="611" customWidth="1"/>
    <col min="9735" max="9736" width="11.5703125" style="611" bestFit="1" customWidth="1"/>
    <col min="9737" max="9737" width="10.140625" style="611" bestFit="1" customWidth="1"/>
    <col min="9738" max="9738" width="13.140625" style="611" customWidth="1"/>
    <col min="9739" max="9739" width="10.5703125" style="611" bestFit="1" customWidth="1"/>
    <col min="9740" max="9984" width="9.140625" style="611"/>
    <col min="9985" max="9985" width="16" style="611" customWidth="1"/>
    <col min="9986" max="9986" width="0.140625" style="611" customWidth="1"/>
    <col min="9987" max="9987" width="11.42578125" style="611" customWidth="1"/>
    <col min="9988" max="9988" width="10.42578125" style="611" customWidth="1"/>
    <col min="9989" max="9989" width="11.85546875" style="611" customWidth="1"/>
    <col min="9990" max="9990" width="12" style="611" customWidth="1"/>
    <col min="9991" max="9992" width="11.5703125" style="611" bestFit="1" customWidth="1"/>
    <col min="9993" max="9993" width="10.140625" style="611" bestFit="1" customWidth="1"/>
    <col min="9994" max="9994" width="13.140625" style="611" customWidth="1"/>
    <col min="9995" max="9995" width="10.5703125" style="611" bestFit="1" customWidth="1"/>
    <col min="9996" max="10240" width="9.140625" style="611"/>
    <col min="10241" max="10241" width="16" style="611" customWidth="1"/>
    <col min="10242" max="10242" width="0.140625" style="611" customWidth="1"/>
    <col min="10243" max="10243" width="11.42578125" style="611" customWidth="1"/>
    <col min="10244" max="10244" width="10.42578125" style="611" customWidth="1"/>
    <col min="10245" max="10245" width="11.85546875" style="611" customWidth="1"/>
    <col min="10246" max="10246" width="12" style="611" customWidth="1"/>
    <col min="10247" max="10248" width="11.5703125" style="611" bestFit="1" customWidth="1"/>
    <col min="10249" max="10249" width="10.140625" style="611" bestFit="1" customWidth="1"/>
    <col min="10250" max="10250" width="13.140625" style="611" customWidth="1"/>
    <col min="10251" max="10251" width="10.5703125" style="611" bestFit="1" customWidth="1"/>
    <col min="10252" max="10496" width="9.140625" style="611"/>
    <col min="10497" max="10497" width="16" style="611" customWidth="1"/>
    <col min="10498" max="10498" width="0.140625" style="611" customWidth="1"/>
    <col min="10499" max="10499" width="11.42578125" style="611" customWidth="1"/>
    <col min="10500" max="10500" width="10.42578125" style="611" customWidth="1"/>
    <col min="10501" max="10501" width="11.85546875" style="611" customWidth="1"/>
    <col min="10502" max="10502" width="12" style="611" customWidth="1"/>
    <col min="10503" max="10504" width="11.5703125" style="611" bestFit="1" customWidth="1"/>
    <col min="10505" max="10505" width="10.140625" style="611" bestFit="1" customWidth="1"/>
    <col min="10506" max="10506" width="13.140625" style="611" customWidth="1"/>
    <col min="10507" max="10507" width="10.5703125" style="611" bestFit="1" customWidth="1"/>
    <col min="10508" max="10752" width="9.140625" style="611"/>
    <col min="10753" max="10753" width="16" style="611" customWidth="1"/>
    <col min="10754" max="10754" width="0.140625" style="611" customWidth="1"/>
    <col min="10755" max="10755" width="11.42578125" style="611" customWidth="1"/>
    <col min="10756" max="10756" width="10.42578125" style="611" customWidth="1"/>
    <col min="10757" max="10757" width="11.85546875" style="611" customWidth="1"/>
    <col min="10758" max="10758" width="12" style="611" customWidth="1"/>
    <col min="10759" max="10760" width="11.5703125" style="611" bestFit="1" customWidth="1"/>
    <col min="10761" max="10761" width="10.140625" style="611" bestFit="1" customWidth="1"/>
    <col min="10762" max="10762" width="13.140625" style="611" customWidth="1"/>
    <col min="10763" max="10763" width="10.5703125" style="611" bestFit="1" customWidth="1"/>
    <col min="10764" max="11008" width="9.140625" style="611"/>
    <col min="11009" max="11009" width="16" style="611" customWidth="1"/>
    <col min="11010" max="11010" width="0.140625" style="611" customWidth="1"/>
    <col min="11011" max="11011" width="11.42578125" style="611" customWidth="1"/>
    <col min="11012" max="11012" width="10.42578125" style="611" customWidth="1"/>
    <col min="11013" max="11013" width="11.85546875" style="611" customWidth="1"/>
    <col min="11014" max="11014" width="12" style="611" customWidth="1"/>
    <col min="11015" max="11016" width="11.5703125" style="611" bestFit="1" customWidth="1"/>
    <col min="11017" max="11017" width="10.140625" style="611" bestFit="1" customWidth="1"/>
    <col min="11018" max="11018" width="13.140625" style="611" customWidth="1"/>
    <col min="11019" max="11019" width="10.5703125" style="611" bestFit="1" customWidth="1"/>
    <col min="11020" max="11264" width="9.140625" style="611"/>
    <col min="11265" max="11265" width="16" style="611" customWidth="1"/>
    <col min="11266" max="11266" width="0.140625" style="611" customWidth="1"/>
    <col min="11267" max="11267" width="11.42578125" style="611" customWidth="1"/>
    <col min="11268" max="11268" width="10.42578125" style="611" customWidth="1"/>
    <col min="11269" max="11269" width="11.85546875" style="611" customWidth="1"/>
    <col min="11270" max="11270" width="12" style="611" customWidth="1"/>
    <col min="11271" max="11272" width="11.5703125" style="611" bestFit="1" customWidth="1"/>
    <col min="11273" max="11273" width="10.140625" style="611" bestFit="1" customWidth="1"/>
    <col min="11274" max="11274" width="13.140625" style="611" customWidth="1"/>
    <col min="11275" max="11275" width="10.5703125" style="611" bestFit="1" customWidth="1"/>
    <col min="11276" max="11520" width="9.140625" style="611"/>
    <col min="11521" max="11521" width="16" style="611" customWidth="1"/>
    <col min="11522" max="11522" width="0.140625" style="611" customWidth="1"/>
    <col min="11523" max="11523" width="11.42578125" style="611" customWidth="1"/>
    <col min="11524" max="11524" width="10.42578125" style="611" customWidth="1"/>
    <col min="11525" max="11525" width="11.85546875" style="611" customWidth="1"/>
    <col min="11526" max="11526" width="12" style="611" customWidth="1"/>
    <col min="11527" max="11528" width="11.5703125" style="611" bestFit="1" customWidth="1"/>
    <col min="11529" max="11529" width="10.140625" style="611" bestFit="1" customWidth="1"/>
    <col min="11530" max="11530" width="13.140625" style="611" customWidth="1"/>
    <col min="11531" max="11531" width="10.5703125" style="611" bestFit="1" customWidth="1"/>
    <col min="11532" max="11776" width="9.140625" style="611"/>
    <col min="11777" max="11777" width="16" style="611" customWidth="1"/>
    <col min="11778" max="11778" width="0.140625" style="611" customWidth="1"/>
    <col min="11779" max="11779" width="11.42578125" style="611" customWidth="1"/>
    <col min="11780" max="11780" width="10.42578125" style="611" customWidth="1"/>
    <col min="11781" max="11781" width="11.85546875" style="611" customWidth="1"/>
    <col min="11782" max="11782" width="12" style="611" customWidth="1"/>
    <col min="11783" max="11784" width="11.5703125" style="611" bestFit="1" customWidth="1"/>
    <col min="11785" max="11785" width="10.140625" style="611" bestFit="1" customWidth="1"/>
    <col min="11786" max="11786" width="13.140625" style="611" customWidth="1"/>
    <col min="11787" max="11787" width="10.5703125" style="611" bestFit="1" customWidth="1"/>
    <col min="11788" max="12032" width="9.140625" style="611"/>
    <col min="12033" max="12033" width="16" style="611" customWidth="1"/>
    <col min="12034" max="12034" width="0.140625" style="611" customWidth="1"/>
    <col min="12035" max="12035" width="11.42578125" style="611" customWidth="1"/>
    <col min="12036" max="12036" width="10.42578125" style="611" customWidth="1"/>
    <col min="12037" max="12037" width="11.85546875" style="611" customWidth="1"/>
    <col min="12038" max="12038" width="12" style="611" customWidth="1"/>
    <col min="12039" max="12040" width="11.5703125" style="611" bestFit="1" customWidth="1"/>
    <col min="12041" max="12041" width="10.140625" style="611" bestFit="1" customWidth="1"/>
    <col min="12042" max="12042" width="13.140625" style="611" customWidth="1"/>
    <col min="12043" max="12043" width="10.5703125" style="611" bestFit="1" customWidth="1"/>
    <col min="12044" max="12288" width="9.140625" style="611"/>
    <col min="12289" max="12289" width="16" style="611" customWidth="1"/>
    <col min="12290" max="12290" width="0.140625" style="611" customWidth="1"/>
    <col min="12291" max="12291" width="11.42578125" style="611" customWidth="1"/>
    <col min="12292" max="12292" width="10.42578125" style="611" customWidth="1"/>
    <col min="12293" max="12293" width="11.85546875" style="611" customWidth="1"/>
    <col min="12294" max="12294" width="12" style="611" customWidth="1"/>
    <col min="12295" max="12296" width="11.5703125" style="611" bestFit="1" customWidth="1"/>
    <col min="12297" max="12297" width="10.140625" style="611" bestFit="1" customWidth="1"/>
    <col min="12298" max="12298" width="13.140625" style="611" customWidth="1"/>
    <col min="12299" max="12299" width="10.5703125" style="611" bestFit="1" customWidth="1"/>
    <col min="12300" max="12544" width="9.140625" style="611"/>
    <col min="12545" max="12545" width="16" style="611" customWidth="1"/>
    <col min="12546" max="12546" width="0.140625" style="611" customWidth="1"/>
    <col min="12547" max="12547" width="11.42578125" style="611" customWidth="1"/>
    <col min="12548" max="12548" width="10.42578125" style="611" customWidth="1"/>
    <col min="12549" max="12549" width="11.85546875" style="611" customWidth="1"/>
    <col min="12550" max="12550" width="12" style="611" customWidth="1"/>
    <col min="12551" max="12552" width="11.5703125" style="611" bestFit="1" customWidth="1"/>
    <col min="12553" max="12553" width="10.140625" style="611" bestFit="1" customWidth="1"/>
    <col min="12554" max="12554" width="13.140625" style="611" customWidth="1"/>
    <col min="12555" max="12555" width="10.5703125" style="611" bestFit="1" customWidth="1"/>
    <col min="12556" max="12800" width="9.140625" style="611"/>
    <col min="12801" max="12801" width="16" style="611" customWidth="1"/>
    <col min="12802" max="12802" width="0.140625" style="611" customWidth="1"/>
    <col min="12803" max="12803" width="11.42578125" style="611" customWidth="1"/>
    <col min="12804" max="12804" width="10.42578125" style="611" customWidth="1"/>
    <col min="12805" max="12805" width="11.85546875" style="611" customWidth="1"/>
    <col min="12806" max="12806" width="12" style="611" customWidth="1"/>
    <col min="12807" max="12808" width="11.5703125" style="611" bestFit="1" customWidth="1"/>
    <col min="12809" max="12809" width="10.140625" style="611" bestFit="1" customWidth="1"/>
    <col min="12810" max="12810" width="13.140625" style="611" customWidth="1"/>
    <col min="12811" max="12811" width="10.5703125" style="611" bestFit="1" customWidth="1"/>
    <col min="12812" max="13056" width="9.140625" style="611"/>
    <col min="13057" max="13057" width="16" style="611" customWidth="1"/>
    <col min="13058" max="13058" width="0.140625" style="611" customWidth="1"/>
    <col min="13059" max="13059" width="11.42578125" style="611" customWidth="1"/>
    <col min="13060" max="13060" width="10.42578125" style="611" customWidth="1"/>
    <col min="13061" max="13061" width="11.85546875" style="611" customWidth="1"/>
    <col min="13062" max="13062" width="12" style="611" customWidth="1"/>
    <col min="13063" max="13064" width="11.5703125" style="611" bestFit="1" customWidth="1"/>
    <col min="13065" max="13065" width="10.140625" style="611" bestFit="1" customWidth="1"/>
    <col min="13066" max="13066" width="13.140625" style="611" customWidth="1"/>
    <col min="13067" max="13067" width="10.5703125" style="611" bestFit="1" customWidth="1"/>
    <col min="13068" max="13312" width="9.140625" style="611"/>
    <col min="13313" max="13313" width="16" style="611" customWidth="1"/>
    <col min="13314" max="13314" width="0.140625" style="611" customWidth="1"/>
    <col min="13315" max="13315" width="11.42578125" style="611" customWidth="1"/>
    <col min="13316" max="13316" width="10.42578125" style="611" customWidth="1"/>
    <col min="13317" max="13317" width="11.85546875" style="611" customWidth="1"/>
    <col min="13318" max="13318" width="12" style="611" customWidth="1"/>
    <col min="13319" max="13320" width="11.5703125" style="611" bestFit="1" customWidth="1"/>
    <col min="13321" max="13321" width="10.140625" style="611" bestFit="1" customWidth="1"/>
    <col min="13322" max="13322" width="13.140625" style="611" customWidth="1"/>
    <col min="13323" max="13323" width="10.5703125" style="611" bestFit="1" customWidth="1"/>
    <col min="13324" max="13568" width="9.140625" style="611"/>
    <col min="13569" max="13569" width="16" style="611" customWidth="1"/>
    <col min="13570" max="13570" width="0.140625" style="611" customWidth="1"/>
    <col min="13571" max="13571" width="11.42578125" style="611" customWidth="1"/>
    <col min="13572" max="13572" width="10.42578125" style="611" customWidth="1"/>
    <col min="13573" max="13573" width="11.85546875" style="611" customWidth="1"/>
    <col min="13574" max="13574" width="12" style="611" customWidth="1"/>
    <col min="13575" max="13576" width="11.5703125" style="611" bestFit="1" customWidth="1"/>
    <col min="13577" max="13577" width="10.140625" style="611" bestFit="1" customWidth="1"/>
    <col min="13578" max="13578" width="13.140625" style="611" customWidth="1"/>
    <col min="13579" max="13579" width="10.5703125" style="611" bestFit="1" customWidth="1"/>
    <col min="13580" max="13824" width="9.140625" style="611"/>
    <col min="13825" max="13825" width="16" style="611" customWidth="1"/>
    <col min="13826" max="13826" width="0.140625" style="611" customWidth="1"/>
    <col min="13827" max="13827" width="11.42578125" style="611" customWidth="1"/>
    <col min="13828" max="13828" width="10.42578125" style="611" customWidth="1"/>
    <col min="13829" max="13829" width="11.85546875" style="611" customWidth="1"/>
    <col min="13830" max="13830" width="12" style="611" customWidth="1"/>
    <col min="13831" max="13832" width="11.5703125" style="611" bestFit="1" customWidth="1"/>
    <col min="13833" max="13833" width="10.140625" style="611" bestFit="1" customWidth="1"/>
    <col min="13834" max="13834" width="13.140625" style="611" customWidth="1"/>
    <col min="13835" max="13835" width="10.5703125" style="611" bestFit="1" customWidth="1"/>
    <col min="13836" max="14080" width="9.140625" style="611"/>
    <col min="14081" max="14081" width="16" style="611" customWidth="1"/>
    <col min="14082" max="14082" width="0.140625" style="611" customWidth="1"/>
    <col min="14083" max="14083" width="11.42578125" style="611" customWidth="1"/>
    <col min="14084" max="14084" width="10.42578125" style="611" customWidth="1"/>
    <col min="14085" max="14085" width="11.85546875" style="611" customWidth="1"/>
    <col min="14086" max="14086" width="12" style="611" customWidth="1"/>
    <col min="14087" max="14088" width="11.5703125" style="611" bestFit="1" customWidth="1"/>
    <col min="14089" max="14089" width="10.140625" style="611" bestFit="1" customWidth="1"/>
    <col min="14090" max="14090" width="13.140625" style="611" customWidth="1"/>
    <col min="14091" max="14091" width="10.5703125" style="611" bestFit="1" customWidth="1"/>
    <col min="14092" max="14336" width="9.140625" style="611"/>
    <col min="14337" max="14337" width="16" style="611" customWidth="1"/>
    <col min="14338" max="14338" width="0.140625" style="611" customWidth="1"/>
    <col min="14339" max="14339" width="11.42578125" style="611" customWidth="1"/>
    <col min="14340" max="14340" width="10.42578125" style="611" customWidth="1"/>
    <col min="14341" max="14341" width="11.85546875" style="611" customWidth="1"/>
    <col min="14342" max="14342" width="12" style="611" customWidth="1"/>
    <col min="14343" max="14344" width="11.5703125" style="611" bestFit="1" customWidth="1"/>
    <col min="14345" max="14345" width="10.140625" style="611" bestFit="1" customWidth="1"/>
    <col min="14346" max="14346" width="13.140625" style="611" customWidth="1"/>
    <col min="14347" max="14347" width="10.5703125" style="611" bestFit="1" customWidth="1"/>
    <col min="14348" max="14592" width="9.140625" style="611"/>
    <col min="14593" max="14593" width="16" style="611" customWidth="1"/>
    <col min="14594" max="14594" width="0.140625" style="611" customWidth="1"/>
    <col min="14595" max="14595" width="11.42578125" style="611" customWidth="1"/>
    <col min="14596" max="14596" width="10.42578125" style="611" customWidth="1"/>
    <col min="14597" max="14597" width="11.85546875" style="611" customWidth="1"/>
    <col min="14598" max="14598" width="12" style="611" customWidth="1"/>
    <col min="14599" max="14600" width="11.5703125" style="611" bestFit="1" customWidth="1"/>
    <col min="14601" max="14601" width="10.140625" style="611" bestFit="1" customWidth="1"/>
    <col min="14602" max="14602" width="13.140625" style="611" customWidth="1"/>
    <col min="14603" max="14603" width="10.5703125" style="611" bestFit="1" customWidth="1"/>
    <col min="14604" max="14848" width="9.140625" style="611"/>
    <col min="14849" max="14849" width="16" style="611" customWidth="1"/>
    <col min="14850" max="14850" width="0.140625" style="611" customWidth="1"/>
    <col min="14851" max="14851" width="11.42578125" style="611" customWidth="1"/>
    <col min="14852" max="14852" width="10.42578125" style="611" customWidth="1"/>
    <col min="14853" max="14853" width="11.85546875" style="611" customWidth="1"/>
    <col min="14854" max="14854" width="12" style="611" customWidth="1"/>
    <col min="14855" max="14856" width="11.5703125" style="611" bestFit="1" customWidth="1"/>
    <col min="14857" max="14857" width="10.140625" style="611" bestFit="1" customWidth="1"/>
    <col min="14858" max="14858" width="13.140625" style="611" customWidth="1"/>
    <col min="14859" max="14859" width="10.5703125" style="611" bestFit="1" customWidth="1"/>
    <col min="14860" max="15104" width="9.140625" style="611"/>
    <col min="15105" max="15105" width="16" style="611" customWidth="1"/>
    <col min="15106" max="15106" width="0.140625" style="611" customWidth="1"/>
    <col min="15107" max="15107" width="11.42578125" style="611" customWidth="1"/>
    <col min="15108" max="15108" width="10.42578125" style="611" customWidth="1"/>
    <col min="15109" max="15109" width="11.85546875" style="611" customWidth="1"/>
    <col min="15110" max="15110" width="12" style="611" customWidth="1"/>
    <col min="15111" max="15112" width="11.5703125" style="611" bestFit="1" customWidth="1"/>
    <col min="15113" max="15113" width="10.140625" style="611" bestFit="1" customWidth="1"/>
    <col min="15114" max="15114" width="13.140625" style="611" customWidth="1"/>
    <col min="15115" max="15115" width="10.5703125" style="611" bestFit="1" customWidth="1"/>
    <col min="15116" max="15360" width="9.140625" style="611"/>
    <col min="15361" max="15361" width="16" style="611" customWidth="1"/>
    <col min="15362" max="15362" width="0.140625" style="611" customWidth="1"/>
    <col min="15363" max="15363" width="11.42578125" style="611" customWidth="1"/>
    <col min="15364" max="15364" width="10.42578125" style="611" customWidth="1"/>
    <col min="15365" max="15365" width="11.85546875" style="611" customWidth="1"/>
    <col min="15366" max="15366" width="12" style="611" customWidth="1"/>
    <col min="15367" max="15368" width="11.5703125" style="611" bestFit="1" customWidth="1"/>
    <col min="15369" max="15369" width="10.140625" style="611" bestFit="1" customWidth="1"/>
    <col min="15370" max="15370" width="13.140625" style="611" customWidth="1"/>
    <col min="15371" max="15371" width="10.5703125" style="611" bestFit="1" customWidth="1"/>
    <col min="15372" max="15616" width="9.140625" style="611"/>
    <col min="15617" max="15617" width="16" style="611" customWidth="1"/>
    <col min="15618" max="15618" width="0.140625" style="611" customWidth="1"/>
    <col min="15619" max="15619" width="11.42578125" style="611" customWidth="1"/>
    <col min="15620" max="15620" width="10.42578125" style="611" customWidth="1"/>
    <col min="15621" max="15621" width="11.85546875" style="611" customWidth="1"/>
    <col min="15622" max="15622" width="12" style="611" customWidth="1"/>
    <col min="15623" max="15624" width="11.5703125" style="611" bestFit="1" customWidth="1"/>
    <col min="15625" max="15625" width="10.140625" style="611" bestFit="1" customWidth="1"/>
    <col min="15626" max="15626" width="13.140625" style="611" customWidth="1"/>
    <col min="15627" max="15627" width="10.5703125" style="611" bestFit="1" customWidth="1"/>
    <col min="15628" max="15872" width="9.140625" style="611"/>
    <col min="15873" max="15873" width="16" style="611" customWidth="1"/>
    <col min="15874" max="15874" width="0.140625" style="611" customWidth="1"/>
    <col min="15875" max="15875" width="11.42578125" style="611" customWidth="1"/>
    <col min="15876" max="15876" width="10.42578125" style="611" customWidth="1"/>
    <col min="15877" max="15877" width="11.85546875" style="611" customWidth="1"/>
    <col min="15878" max="15878" width="12" style="611" customWidth="1"/>
    <col min="15879" max="15880" width="11.5703125" style="611" bestFit="1" customWidth="1"/>
    <col min="15881" max="15881" width="10.140625" style="611" bestFit="1" customWidth="1"/>
    <col min="15882" max="15882" width="13.140625" style="611" customWidth="1"/>
    <col min="15883" max="15883" width="10.5703125" style="611" bestFit="1" customWidth="1"/>
    <col min="15884" max="16128" width="9.140625" style="611"/>
    <col min="16129" max="16129" width="16" style="611" customWidth="1"/>
    <col min="16130" max="16130" width="0.140625" style="611" customWidth="1"/>
    <col min="16131" max="16131" width="11.42578125" style="611" customWidth="1"/>
    <col min="16132" max="16132" width="10.42578125" style="611" customWidth="1"/>
    <col min="16133" max="16133" width="11.85546875" style="611" customWidth="1"/>
    <col min="16134" max="16134" width="12" style="611" customWidth="1"/>
    <col min="16135" max="16136" width="11.5703125" style="611" bestFit="1" customWidth="1"/>
    <col min="16137" max="16137" width="10.140625" style="611" bestFit="1" customWidth="1"/>
    <col min="16138" max="16138" width="13.140625" style="611" customWidth="1"/>
    <col min="16139" max="16139" width="10.5703125" style="611" bestFit="1" customWidth="1"/>
    <col min="16140" max="16384" width="9.140625" style="611"/>
  </cols>
  <sheetData>
    <row r="1" spans="1:14" x14ac:dyDescent="0.25">
      <c r="A1" s="421" t="s">
        <v>21</v>
      </c>
      <c r="N1" s="421"/>
    </row>
    <row r="2" spans="1:14" x14ac:dyDescent="0.25">
      <c r="A2" s="421" t="s">
        <v>22</v>
      </c>
      <c r="N2" s="421"/>
    </row>
    <row r="3" spans="1:14" x14ac:dyDescent="0.25">
      <c r="A3" s="422" t="s">
        <v>23</v>
      </c>
      <c r="N3" s="421"/>
    </row>
    <row r="4" spans="1:14" x14ac:dyDescent="0.25">
      <c r="A4" s="616" t="s">
        <v>441</v>
      </c>
      <c r="N4" s="421"/>
    </row>
    <row r="6" spans="1:14" ht="44.25" customHeight="1" x14ac:dyDescent="0.25">
      <c r="A6" s="631" t="s">
        <v>374</v>
      </c>
      <c r="B6" s="632" t="s">
        <v>14</v>
      </c>
      <c r="C6" s="631" t="s">
        <v>398</v>
      </c>
      <c r="D6" s="631" t="s">
        <v>399</v>
      </c>
      <c r="E6" s="631" t="s">
        <v>400</v>
      </c>
      <c r="F6" s="631" t="s">
        <v>401</v>
      </c>
      <c r="G6" s="633" t="s">
        <v>402</v>
      </c>
      <c r="H6" s="631" t="s">
        <v>403</v>
      </c>
      <c r="I6" s="633" t="s">
        <v>404</v>
      </c>
      <c r="J6" s="631" t="s">
        <v>405</v>
      </c>
    </row>
    <row r="7" spans="1:14" x14ac:dyDescent="0.25">
      <c r="A7" s="612"/>
      <c r="B7" s="613"/>
      <c r="C7" s="614"/>
      <c r="D7" s="614"/>
      <c r="E7" s="614"/>
      <c r="F7" s="614"/>
      <c r="G7" s="615"/>
      <c r="H7" s="614"/>
      <c r="I7" s="615"/>
      <c r="J7" s="614"/>
    </row>
    <row r="8" spans="1:14" x14ac:dyDescent="0.25">
      <c r="A8" s="616" t="s">
        <v>281</v>
      </c>
    </row>
    <row r="9" spans="1:14" x14ac:dyDescent="0.25">
      <c r="A9" s="611" t="s">
        <v>398</v>
      </c>
      <c r="C9" s="619">
        <f>'EXHIBIT JDT-3 RES'!F12</f>
        <v>2094250</v>
      </c>
      <c r="G9" s="644">
        <f>'EXHIBIT JDT-3 RES'!G12</f>
        <v>12</v>
      </c>
      <c r="H9" s="607">
        <f>ROUND(G9*C9,0)</f>
        <v>25131000</v>
      </c>
      <c r="I9" s="644">
        <f>'EXHIBIT JDT-3 RES'!J12</f>
        <v>18</v>
      </c>
      <c r="J9" s="607">
        <f>ROUND(I9*C9,0)</f>
        <v>37696500</v>
      </c>
    </row>
    <row r="10" spans="1:14" x14ac:dyDescent="0.25">
      <c r="A10" s="611" t="s">
        <v>98</v>
      </c>
      <c r="B10" s="620">
        <v>0.49779991759251718</v>
      </c>
      <c r="C10" s="608">
        <f>ROUND(C9*B10,0)</f>
        <v>1042517</v>
      </c>
      <c r="D10" s="619">
        <f>+C10</f>
        <v>1042517</v>
      </c>
      <c r="E10" s="619">
        <f>'EXHIBIT JDT-3 RES'!F13</f>
        <v>7391290.0000000009</v>
      </c>
      <c r="F10" s="619">
        <f>+E10</f>
        <v>7391290.0000000009</v>
      </c>
      <c r="G10" s="618">
        <f>'EXHIBIT JDT-3 RES'!G13</f>
        <v>2.9146000000000001</v>
      </c>
      <c r="H10" s="607">
        <f>ROUND(G10*E10,0)</f>
        <v>21542654</v>
      </c>
      <c r="I10" s="618">
        <f>'EXHIBIT JDT-3 RES'!J15</f>
        <v>2.6959</v>
      </c>
      <c r="J10" s="607">
        <f>ROUND(I10*E10,0)</f>
        <v>19926179</v>
      </c>
    </row>
    <row r="11" spans="1:14" x14ac:dyDescent="0.25">
      <c r="A11" s="611" t="s">
        <v>103</v>
      </c>
      <c r="C11" s="619">
        <f>+C9-C10</f>
        <v>1051733</v>
      </c>
      <c r="D11" s="619">
        <f>+D10+C11</f>
        <v>2094250</v>
      </c>
      <c r="E11" s="621">
        <f>'EXHIBIT JDT-3 RES'!F14</f>
        <v>10006976.000000002</v>
      </c>
      <c r="F11" s="619">
        <f>+F10+E11</f>
        <v>17398266.000000004</v>
      </c>
      <c r="G11" s="618">
        <f>'EXHIBIT JDT-3 RES'!G14</f>
        <v>1.9995000000000001</v>
      </c>
      <c r="H11" s="609">
        <f>ROUND(G11*E11,0)</f>
        <v>20008949</v>
      </c>
      <c r="I11" s="618">
        <f>'EXHIBIT JDT-3 RES'!J15</f>
        <v>2.6959</v>
      </c>
      <c r="J11" s="609">
        <f>ROUND(I11*E11,0)</f>
        <v>26977807</v>
      </c>
    </row>
    <row r="12" spans="1:14" x14ac:dyDescent="0.25">
      <c r="A12" s="611" t="s">
        <v>1</v>
      </c>
      <c r="E12" s="619">
        <f>SUM(E10:E11)</f>
        <v>17398266.000000004</v>
      </c>
      <c r="H12" s="607">
        <f>SUM(H9:H11)</f>
        <v>66682603</v>
      </c>
      <c r="J12" s="607">
        <f>SUM(J9:J11)</f>
        <v>84600486</v>
      </c>
      <c r="K12" s="622"/>
    </row>
    <row r="14" spans="1:14" x14ac:dyDescent="0.25">
      <c r="A14" s="616" t="s">
        <v>28</v>
      </c>
    </row>
    <row r="15" spans="1:14" x14ac:dyDescent="0.25">
      <c r="A15" s="611" t="s">
        <v>398</v>
      </c>
      <c r="C15" s="619">
        <f>'EXHIBIT JDT-3 RES'!F32</f>
        <v>86479</v>
      </c>
      <c r="G15" s="644">
        <f>'EXHIBIT JDT-3 RES'!G32</f>
        <v>12</v>
      </c>
      <c r="H15" s="607">
        <f>ROUND(G15*C15,0)</f>
        <v>1037748</v>
      </c>
      <c r="I15" s="644">
        <f>'EXHIBIT JDT-3 RES'!J32</f>
        <v>18</v>
      </c>
      <c r="J15" s="607">
        <f>ROUND(I15*C15,0)</f>
        <v>1556622</v>
      </c>
    </row>
    <row r="16" spans="1:14" x14ac:dyDescent="0.25">
      <c r="A16" s="611" t="s">
        <v>98</v>
      </c>
      <c r="B16" s="620">
        <f>B10</f>
        <v>0.49779991759251718</v>
      </c>
      <c r="C16" s="608">
        <f>ROUND(C15*B16,0)</f>
        <v>43049</v>
      </c>
      <c r="D16" s="619">
        <f>+C16</f>
        <v>43049</v>
      </c>
      <c r="E16" s="619">
        <f>'EXHIBIT JDT-3 RES'!F33</f>
        <v>316493.39999999997</v>
      </c>
      <c r="F16" s="619">
        <f>+E16</f>
        <v>316493.39999999997</v>
      </c>
      <c r="G16" s="618">
        <f>'EXHIBIT JDT-3 RES'!G33</f>
        <v>2.9146000000000001</v>
      </c>
      <c r="H16" s="607">
        <f>ROUND(G16*E16,0)</f>
        <v>922452</v>
      </c>
      <c r="I16" s="618">
        <f>'EXHIBIT JDT-3 RES'!J35</f>
        <v>2.6959</v>
      </c>
      <c r="J16" s="607">
        <f>ROUND(I16*E16,0)</f>
        <v>853235</v>
      </c>
    </row>
    <row r="17" spans="1:10" x14ac:dyDescent="0.25">
      <c r="A17" s="611" t="s">
        <v>103</v>
      </c>
      <c r="C17" s="619">
        <f>+C15-C16</f>
        <v>43430</v>
      </c>
      <c r="D17" s="619">
        <f>+D16+C17</f>
        <v>86479</v>
      </c>
      <c r="E17" s="623">
        <f>'EXHIBIT JDT-3 RES'!F34</f>
        <v>437345.6</v>
      </c>
      <c r="F17" s="619">
        <f>+F16+E17</f>
        <v>753839</v>
      </c>
      <c r="G17" s="618">
        <f>'EXHIBIT JDT-3 RES'!G34</f>
        <v>1.9995000000000001</v>
      </c>
      <c r="H17" s="609">
        <f>ROUND(G17*E17,0)</f>
        <v>874473</v>
      </c>
      <c r="I17" s="618">
        <f>'EXHIBIT JDT-3 RES'!J35</f>
        <v>2.6959</v>
      </c>
      <c r="J17" s="609">
        <f>ROUND(I17*E17,0)</f>
        <v>1179040</v>
      </c>
    </row>
    <row r="18" spans="1:10" x14ac:dyDescent="0.25">
      <c r="A18" s="611" t="s">
        <v>1</v>
      </c>
      <c r="E18" s="619">
        <f>SUM(E16:E17)</f>
        <v>753839</v>
      </c>
      <c r="H18" s="607">
        <f>SUM(H15:H17)</f>
        <v>2834673</v>
      </c>
      <c r="J18" s="607">
        <f>SUM(J15:J17)</f>
        <v>3588897</v>
      </c>
    </row>
    <row r="19" spans="1:10" x14ac:dyDescent="0.25">
      <c r="E19" s="619"/>
      <c r="H19" s="607"/>
      <c r="J19" s="607"/>
    </row>
    <row r="20" spans="1:10" x14ac:dyDescent="0.25">
      <c r="A20" s="616" t="s">
        <v>411</v>
      </c>
      <c r="E20" s="619"/>
      <c r="H20" s="607"/>
      <c r="J20" s="607"/>
    </row>
    <row r="21" spans="1:10" x14ac:dyDescent="0.25">
      <c r="A21" s="611" t="s">
        <v>398</v>
      </c>
      <c r="C21" s="624">
        <f>'EXHIBIT JDT-3 RES'!F52</f>
        <v>3340</v>
      </c>
      <c r="E21" s="619"/>
      <c r="G21" s="644">
        <f>'EXHIBIT JDT-3 RES'!G52</f>
        <v>12</v>
      </c>
      <c r="H21" s="607">
        <f>ROUND(G21*C21,0)</f>
        <v>40080</v>
      </c>
      <c r="I21" s="644">
        <f>'EXHIBIT JDT-3 RES'!J52</f>
        <v>18</v>
      </c>
      <c r="J21" s="607">
        <f>ROUND(I21*C21,0)</f>
        <v>60120</v>
      </c>
    </row>
    <row r="22" spans="1:10" x14ac:dyDescent="0.25">
      <c r="A22" s="611" t="s">
        <v>170</v>
      </c>
      <c r="B22" s="620">
        <v>1</v>
      </c>
      <c r="C22" s="608">
        <f>ROUND(C21*B22,0)</f>
        <v>3340</v>
      </c>
      <c r="D22" s="619">
        <f>+C22</f>
        <v>3340</v>
      </c>
      <c r="E22" s="621">
        <f>'EXHIBIT JDT-3 RES'!F53</f>
        <v>102999</v>
      </c>
      <c r="F22" s="619">
        <f>+E22</f>
        <v>102999</v>
      </c>
      <c r="G22" s="618">
        <f>'EXHIBIT JDT-3 RES'!G53</f>
        <v>2.4758</v>
      </c>
      <c r="H22" s="609">
        <f>ROUND(G22*E22,0)</f>
        <v>255005</v>
      </c>
      <c r="I22" s="618">
        <f>'EXHIBIT JDT-3 RES'!J53</f>
        <v>2.6959</v>
      </c>
      <c r="J22" s="609">
        <f>ROUND(I22*E22,0)</f>
        <v>277675</v>
      </c>
    </row>
    <row r="23" spans="1:10" x14ac:dyDescent="0.25">
      <c r="A23" s="611" t="s">
        <v>1</v>
      </c>
      <c r="E23" s="619">
        <f>SUM(E22)</f>
        <v>102999</v>
      </c>
      <c r="H23" s="607">
        <f>SUM(H21:H22)</f>
        <v>295085</v>
      </c>
      <c r="J23" s="607">
        <f>SUM(J21:J22)</f>
        <v>337795</v>
      </c>
    </row>
    <row r="24" spans="1:10" x14ac:dyDescent="0.25">
      <c r="E24" s="619"/>
      <c r="H24" s="607"/>
      <c r="J24" s="607"/>
    </row>
    <row r="25" spans="1:10" x14ac:dyDescent="0.25">
      <c r="A25" s="616" t="s">
        <v>412</v>
      </c>
      <c r="E25" s="619"/>
      <c r="H25" s="607"/>
      <c r="J25" s="607"/>
    </row>
    <row r="26" spans="1:10" x14ac:dyDescent="0.25">
      <c r="A26" s="611" t="s">
        <v>398</v>
      </c>
      <c r="C26" s="624">
        <f>'EXHIBIT JDT-3 RES'!F66</f>
        <v>189500</v>
      </c>
      <c r="E26" s="619"/>
      <c r="G26" s="644">
        <f>'EXHIBIT JDT-3 RES'!G66</f>
        <v>12</v>
      </c>
      <c r="H26" s="607">
        <f>ROUND(G26*C26,0)</f>
        <v>2274000</v>
      </c>
      <c r="I26" s="644">
        <f>'EXHIBIT JDT-3 RES'!J66</f>
        <v>18</v>
      </c>
      <c r="J26" s="607">
        <f>ROUND(I26*C26,0)</f>
        <v>3411000</v>
      </c>
    </row>
    <row r="27" spans="1:10" x14ac:dyDescent="0.25">
      <c r="A27" s="611" t="s">
        <v>98</v>
      </c>
      <c r="B27" s="617">
        <f>B10</f>
        <v>0.49779991759251718</v>
      </c>
      <c r="C27" s="608">
        <f>ROUND(C26*B27,0)</f>
        <v>94333</v>
      </c>
      <c r="D27" s="619">
        <f>+C27</f>
        <v>94333</v>
      </c>
      <c r="E27" s="619">
        <f>'EXHIBIT JDT-3 RES'!F67</f>
        <v>683909.99999999988</v>
      </c>
      <c r="F27" s="619">
        <f>+E27</f>
        <v>683909.99999999988</v>
      </c>
      <c r="G27" s="618">
        <f>'EXHIBIT JDT-3 RES'!G67</f>
        <v>2.9146000000000001</v>
      </c>
      <c r="H27" s="607">
        <f>ROUND(G27*E27,0)</f>
        <v>1993324</v>
      </c>
      <c r="I27" s="618">
        <f>'EXHIBIT JDT-3 RES'!J69</f>
        <v>2.6959</v>
      </c>
      <c r="J27" s="607">
        <f>ROUND(I27*E27,0)</f>
        <v>1843753</v>
      </c>
    </row>
    <row r="28" spans="1:10" x14ac:dyDescent="0.25">
      <c r="A28" s="611" t="s">
        <v>103</v>
      </c>
      <c r="C28" s="619">
        <f>+C26-C27</f>
        <v>95167</v>
      </c>
      <c r="D28" s="619">
        <f>+D27+C28</f>
        <v>189500</v>
      </c>
      <c r="E28" s="621">
        <f>'EXHIBIT JDT-3 RES'!F68</f>
        <v>943926.00000000012</v>
      </c>
      <c r="F28" s="619">
        <f>+F27+E28</f>
        <v>1627836</v>
      </c>
      <c r="G28" s="618">
        <f>'EXHIBIT JDT-3 RES'!G68</f>
        <v>1.9995000000000001</v>
      </c>
      <c r="H28" s="609">
        <f>ROUND(G28*E28,0)</f>
        <v>1887380</v>
      </c>
      <c r="I28" s="618">
        <f>'EXHIBIT JDT-3 RES'!J69</f>
        <v>2.6959</v>
      </c>
      <c r="J28" s="609">
        <f>ROUND(I28*E28,0)</f>
        <v>2544730</v>
      </c>
    </row>
    <row r="29" spans="1:10" x14ac:dyDescent="0.25">
      <c r="A29" s="611" t="s">
        <v>1</v>
      </c>
      <c r="E29" s="619">
        <f>SUM(E27:E28)</f>
        <v>1627836</v>
      </c>
      <c r="H29" s="607">
        <f>SUM(H26:H28)</f>
        <v>6154704</v>
      </c>
      <c r="J29" s="607">
        <f>SUM(J26:J28)</f>
        <v>7799483</v>
      </c>
    </row>
    <row r="30" spans="1:10" x14ac:dyDescent="0.25">
      <c r="E30" s="619"/>
      <c r="H30" s="607"/>
      <c r="J30" s="607"/>
    </row>
    <row r="31" spans="1:10" x14ac:dyDescent="0.25">
      <c r="A31" s="616" t="s">
        <v>413</v>
      </c>
      <c r="G31" s="642"/>
      <c r="I31" s="642"/>
    </row>
    <row r="32" spans="1:10" x14ac:dyDescent="0.25">
      <c r="A32" s="611" t="s">
        <v>398</v>
      </c>
      <c r="C32" s="619">
        <f>'EXHIBIT JDT-3 SCOM'!F12</f>
        <v>94262</v>
      </c>
      <c r="G32" s="644">
        <f>'EXHIBIT JDT-3 SCOM'!G12</f>
        <v>19.89</v>
      </c>
      <c r="H32" s="607">
        <f>ROUND(G32*C32,0)</f>
        <v>1874871</v>
      </c>
      <c r="I32" s="644">
        <f>'EXHIBIT JDT-3 SCOM'!J12</f>
        <v>30</v>
      </c>
      <c r="J32" s="607">
        <f>ROUND(I32*C32,0)</f>
        <v>2827860</v>
      </c>
    </row>
    <row r="33" spans="1:10" x14ac:dyDescent="0.25">
      <c r="A33" s="611" t="s">
        <v>98</v>
      </c>
      <c r="B33" s="620">
        <v>0.55010641532380666</v>
      </c>
      <c r="C33" s="608">
        <f>ROUND(C32*B33,0)</f>
        <v>51854</v>
      </c>
      <c r="D33" s="619">
        <f>+C33</f>
        <v>51854</v>
      </c>
      <c r="E33" s="619">
        <f>'EXHIBIT JDT-3 SCOM'!F13</f>
        <v>280233.5</v>
      </c>
      <c r="F33" s="619">
        <f>+E33</f>
        <v>280233.5</v>
      </c>
      <c r="G33" s="618">
        <f>'EXHIBIT JDT-3 SCOM'!G13</f>
        <v>2.4148999999999998</v>
      </c>
      <c r="H33" s="607">
        <f>ROUND(G33*E33,0)</f>
        <v>676736</v>
      </c>
      <c r="I33" s="618">
        <f>'EXHIBIT JDT-3 SCOM'!J15</f>
        <v>2.2273999999999998</v>
      </c>
      <c r="J33" s="607">
        <f>ROUND(I33*E33,0)</f>
        <v>624192</v>
      </c>
    </row>
    <row r="34" spans="1:10" x14ac:dyDescent="0.25">
      <c r="A34" s="611" t="s">
        <v>103</v>
      </c>
      <c r="C34" s="619">
        <f>+C32-C33</f>
        <v>42408</v>
      </c>
      <c r="D34" s="619">
        <f>+D33+C34</f>
        <v>94262</v>
      </c>
      <c r="E34" s="623">
        <f>'EXHIBIT JDT-3 SCOM'!F14</f>
        <v>630174.49999999988</v>
      </c>
      <c r="F34" s="619">
        <f>+F33+E34</f>
        <v>910407.99999999988</v>
      </c>
      <c r="G34" s="618">
        <f>'EXHIBIT JDT-3 SCOM'!G14</f>
        <v>2.1225000000000001</v>
      </c>
      <c r="H34" s="609">
        <f>ROUND(G34*E34,0)</f>
        <v>1337545</v>
      </c>
      <c r="I34" s="618">
        <f>'EXHIBIT JDT-3 SCOM'!J15</f>
        <v>2.2273999999999998</v>
      </c>
      <c r="J34" s="609">
        <f>ROUND(I34*E34,0)</f>
        <v>1403651</v>
      </c>
    </row>
    <row r="35" spans="1:10" x14ac:dyDescent="0.25">
      <c r="A35" s="611" t="s">
        <v>1</v>
      </c>
      <c r="E35" s="619">
        <f>SUM(E33:E34)</f>
        <v>910407.99999999988</v>
      </c>
      <c r="H35" s="607">
        <f>SUM(H32:H34)</f>
        <v>3889152</v>
      </c>
      <c r="J35" s="607">
        <f>SUM(J32:J34)</f>
        <v>4855703</v>
      </c>
    </row>
    <row r="37" spans="1:10" x14ac:dyDescent="0.25">
      <c r="A37" s="616" t="s">
        <v>414</v>
      </c>
    </row>
    <row r="38" spans="1:10" x14ac:dyDescent="0.25">
      <c r="A38" s="611" t="s">
        <v>398</v>
      </c>
      <c r="C38" s="619">
        <f>'EXHIBIT JDT-3 SCOM'!F31</f>
        <v>12619</v>
      </c>
      <c r="G38" s="644">
        <f>'EXHIBIT JDT-3 SCOM'!G31</f>
        <v>19.89</v>
      </c>
      <c r="H38" s="607">
        <f>ROUND(G38*C38,0)</f>
        <v>250992</v>
      </c>
      <c r="I38" s="644">
        <f>'EXHIBIT JDT-3 SCOM'!J31</f>
        <v>30</v>
      </c>
      <c r="J38" s="607">
        <f>ROUND(I38*C38,0)</f>
        <v>378570</v>
      </c>
    </row>
    <row r="39" spans="1:10" x14ac:dyDescent="0.25">
      <c r="A39" s="611" t="s">
        <v>170</v>
      </c>
      <c r="B39" s="620">
        <v>1</v>
      </c>
      <c r="C39" s="608">
        <f>ROUND(C38*B39,0)</f>
        <v>12619</v>
      </c>
      <c r="D39" s="619">
        <f>+C39</f>
        <v>12619</v>
      </c>
      <c r="E39" s="621">
        <f>'EXHIBIT JDT-3 SCOM'!F32</f>
        <v>150857</v>
      </c>
      <c r="F39" s="619">
        <f>+E39</f>
        <v>150857</v>
      </c>
      <c r="G39" s="618">
        <f>'EXHIBIT JDT-3 SCOM'!G32</f>
        <v>2.3856000000000002</v>
      </c>
      <c r="H39" s="609">
        <f>ROUND(G39*E39,0)</f>
        <v>359884</v>
      </c>
      <c r="I39" s="618">
        <f>'EXHIBIT JDT-3 SCOM'!J32</f>
        <v>2.2273999999999998</v>
      </c>
      <c r="J39" s="609">
        <f>ROUND(I39*E39,0)</f>
        <v>336019</v>
      </c>
    </row>
    <row r="40" spans="1:10" x14ac:dyDescent="0.25">
      <c r="A40" s="611" t="s">
        <v>1</v>
      </c>
      <c r="E40" s="619">
        <f>SUM(E39:E39)</f>
        <v>150857</v>
      </c>
      <c r="H40" s="607">
        <f>SUM(H38:H39)</f>
        <v>610876</v>
      </c>
      <c r="J40" s="607">
        <f>SUM(J38:J39)</f>
        <v>714589</v>
      </c>
    </row>
    <row r="42" spans="1:10" x14ac:dyDescent="0.25">
      <c r="A42" s="616" t="s">
        <v>415</v>
      </c>
    </row>
    <row r="43" spans="1:10" x14ac:dyDescent="0.25">
      <c r="A43" s="611" t="s">
        <v>398</v>
      </c>
      <c r="C43" s="619">
        <f>'EXHIBIT JDT-3 SCOM'!F45</f>
        <v>9524</v>
      </c>
      <c r="G43" s="642">
        <f>'EXHIBIT JDT-3 SCOM'!G45</f>
        <v>19.89</v>
      </c>
      <c r="H43" s="607">
        <f>ROUND(G43*C43,0)</f>
        <v>189432</v>
      </c>
      <c r="I43" s="642">
        <f>'EXHIBIT JDT-3 SCOM'!J45</f>
        <v>30</v>
      </c>
      <c r="J43" s="607">
        <f>ROUND(I43*C43,0)</f>
        <v>285720</v>
      </c>
    </row>
    <row r="44" spans="1:10" x14ac:dyDescent="0.25">
      <c r="A44" s="611" t="s">
        <v>98</v>
      </c>
      <c r="B44" s="620">
        <f>B33</f>
        <v>0.55010641532380666</v>
      </c>
      <c r="C44" s="608">
        <f>ROUND(C43*B44,0)</f>
        <v>5239</v>
      </c>
      <c r="D44" s="619">
        <f>+C44</f>
        <v>5239</v>
      </c>
      <c r="E44" s="619">
        <f>'EXHIBIT JDT-3 SCOM'!F46</f>
        <v>34502.300000000003</v>
      </c>
      <c r="F44" s="619">
        <f>+E44</f>
        <v>34502.300000000003</v>
      </c>
      <c r="G44" s="618">
        <f>'EXHIBIT JDT-3 SCOM'!G46</f>
        <v>2.4148999999999998</v>
      </c>
      <c r="H44" s="607">
        <f>ROUND(G44*E44,0)</f>
        <v>83320</v>
      </c>
      <c r="I44" s="618">
        <f>'EXHIBIT JDT-3 SCOM'!J48</f>
        <v>2.2273999999999998</v>
      </c>
      <c r="J44" s="607">
        <f>ROUND(I44*E44,0)</f>
        <v>76850</v>
      </c>
    </row>
    <row r="45" spans="1:10" x14ac:dyDescent="0.25">
      <c r="A45" s="611" t="s">
        <v>103</v>
      </c>
      <c r="C45" s="619">
        <f>+C43-C44</f>
        <v>4285</v>
      </c>
      <c r="D45" s="619">
        <f>+D44+C45</f>
        <v>9524</v>
      </c>
      <c r="E45" s="623">
        <f>'EXHIBIT JDT-3 SCOM'!F47</f>
        <v>63171.700000000004</v>
      </c>
      <c r="F45" s="619">
        <f>+F44+E45</f>
        <v>97674</v>
      </c>
      <c r="G45" s="618">
        <f>'EXHIBIT JDT-3 SCOM'!G47</f>
        <v>2.1225000000000001</v>
      </c>
      <c r="H45" s="609">
        <f>ROUND(G45*E45,0)</f>
        <v>134082</v>
      </c>
      <c r="I45" s="618">
        <f>'EXHIBIT JDT-3 SCOM'!J48</f>
        <v>2.2273999999999998</v>
      </c>
      <c r="J45" s="609">
        <f>ROUND(I45*E45,0)</f>
        <v>140709</v>
      </c>
    </row>
    <row r="46" spans="1:10" x14ac:dyDescent="0.25">
      <c r="A46" s="611" t="s">
        <v>1</v>
      </c>
      <c r="E46" s="619">
        <f>SUM(E44:E45)</f>
        <v>97674</v>
      </c>
      <c r="H46" s="607">
        <f>SUM(H43:H45)</f>
        <v>406834</v>
      </c>
      <c r="J46" s="607">
        <f>SUM(J43:J45)</f>
        <v>503279</v>
      </c>
    </row>
    <row r="48" spans="1:10" x14ac:dyDescent="0.25">
      <c r="A48" s="616" t="s">
        <v>416</v>
      </c>
    </row>
    <row r="49" spans="1:10" x14ac:dyDescent="0.25">
      <c r="A49" s="611" t="s">
        <v>398</v>
      </c>
      <c r="C49" s="619">
        <f>'EXHIBIT JDT-3 SCOM'!F62</f>
        <v>5037</v>
      </c>
      <c r="G49" s="644">
        <f>'EXHIBIT JDT-3 SCOM'!G62</f>
        <v>19.89</v>
      </c>
      <c r="H49" s="607">
        <f>ROUND(G49*C49,0)</f>
        <v>100186</v>
      </c>
      <c r="I49" s="644">
        <f>'EXHIBIT JDT-3 SCOM'!J62</f>
        <v>30</v>
      </c>
      <c r="J49" s="607">
        <f>ROUND(I49*C49,0)</f>
        <v>151110</v>
      </c>
    </row>
    <row r="50" spans="1:10" x14ac:dyDescent="0.25">
      <c r="A50" s="611" t="s">
        <v>98</v>
      </c>
      <c r="B50" s="620">
        <f>B33</f>
        <v>0.55010641532380666</v>
      </c>
      <c r="C50" s="608">
        <f>ROUND(C49*B50,0)</f>
        <v>2771</v>
      </c>
      <c r="D50" s="619">
        <f>+C50</f>
        <v>2771</v>
      </c>
      <c r="E50" s="619">
        <f>'EXHIBIT JDT-3 SCOM'!F63</f>
        <v>14455.499999999998</v>
      </c>
      <c r="F50" s="619">
        <f>+E50</f>
        <v>14455.499999999998</v>
      </c>
      <c r="G50" s="618">
        <f>'EXHIBIT JDT-3 SCOM'!G63</f>
        <v>2.4148999999999998</v>
      </c>
      <c r="H50" s="607">
        <f>ROUND(G50*E50,0)</f>
        <v>34909</v>
      </c>
      <c r="I50" s="618">
        <f>'EXHIBIT JDT-3 SCOM'!J65</f>
        <v>2.2273999999999998</v>
      </c>
      <c r="J50" s="607">
        <f>ROUND(I50*E50,0)</f>
        <v>32198</v>
      </c>
    </row>
    <row r="51" spans="1:10" x14ac:dyDescent="0.25">
      <c r="A51" s="611" t="s">
        <v>103</v>
      </c>
      <c r="C51" s="619">
        <f>+C49-C50</f>
        <v>2266</v>
      </c>
      <c r="D51" s="619">
        <f>+D50+C51</f>
        <v>5037</v>
      </c>
      <c r="E51" s="621">
        <f>'EXHIBIT JDT-3 SCOM'!F64</f>
        <v>30526.5</v>
      </c>
      <c r="F51" s="619">
        <f>+F50+E51</f>
        <v>44982</v>
      </c>
      <c r="G51" s="618">
        <f>'EXHIBIT JDT-3 SCOM'!G64</f>
        <v>2.1225000000000001</v>
      </c>
      <c r="H51" s="609">
        <f>ROUND(G51*E51,0)</f>
        <v>64792</v>
      </c>
      <c r="I51" s="618">
        <f>'EXHIBIT JDT-3 SCOM'!J65</f>
        <v>2.2273999999999998</v>
      </c>
      <c r="J51" s="609">
        <f>ROUND(I51*E51,0)</f>
        <v>67995</v>
      </c>
    </row>
    <row r="52" spans="1:10" x14ac:dyDescent="0.25">
      <c r="A52" s="611" t="s">
        <v>1</v>
      </c>
      <c r="E52" s="619">
        <f>SUM(E50:E51)</f>
        <v>44982</v>
      </c>
      <c r="H52" s="607">
        <f>SUM(H49:H51)</f>
        <v>199887</v>
      </c>
      <c r="J52" s="607">
        <f>SUM(J49:J51)</f>
        <v>251303</v>
      </c>
    </row>
    <row r="54" spans="1:10" x14ac:dyDescent="0.25">
      <c r="A54" s="616" t="s">
        <v>417</v>
      </c>
    </row>
    <row r="55" spans="1:10" x14ac:dyDescent="0.25">
      <c r="A55" s="611" t="s">
        <v>398</v>
      </c>
      <c r="C55" s="619">
        <f>'EXHIBIT JDT-3 SCOM'!F81</f>
        <v>1649</v>
      </c>
      <c r="G55" s="644">
        <f>'EXHIBIT JDT-3 SCOM'!G81</f>
        <v>19.89</v>
      </c>
      <c r="H55" s="607">
        <f>ROUND(G55*C55,0)</f>
        <v>32799</v>
      </c>
      <c r="I55" s="644">
        <f>'EXHIBIT JDT-3 SCOM'!J81</f>
        <v>30</v>
      </c>
      <c r="J55" s="607">
        <f>ROUND(I55*C55,0)</f>
        <v>49470</v>
      </c>
    </row>
    <row r="56" spans="1:10" x14ac:dyDescent="0.25">
      <c r="A56" s="611" t="s">
        <v>170</v>
      </c>
      <c r="B56" s="620">
        <v>1</v>
      </c>
      <c r="C56" s="608">
        <f>ROUND(C55*B56,0)</f>
        <v>1649</v>
      </c>
      <c r="D56" s="619">
        <f>+C56</f>
        <v>1649</v>
      </c>
      <c r="E56" s="621">
        <f>'EXHIBIT JDT-3 SCOM'!F82</f>
        <v>22738</v>
      </c>
      <c r="F56" s="619">
        <f>+E56</f>
        <v>22738</v>
      </c>
      <c r="G56" s="618">
        <f>'EXHIBIT JDT-3 SCOM'!G82</f>
        <v>2.3856000000000002</v>
      </c>
      <c r="H56" s="609">
        <f>ROUND(G56*E56,0)</f>
        <v>54244</v>
      </c>
      <c r="I56" s="618">
        <f>'EXHIBIT JDT-3 SCOM'!J82</f>
        <v>2.2273999999999998</v>
      </c>
      <c r="J56" s="609">
        <f>ROUND(I56*E56,0)</f>
        <v>50647</v>
      </c>
    </row>
    <row r="57" spans="1:10" x14ac:dyDescent="0.25">
      <c r="A57" s="611" t="s">
        <v>1</v>
      </c>
      <c r="E57" s="619">
        <f>SUM(E56:E56)</f>
        <v>22738</v>
      </c>
      <c r="H57" s="607">
        <f>SUM(H55:H56)</f>
        <v>87043</v>
      </c>
      <c r="J57" s="607">
        <f>SUM(J55:J56)</f>
        <v>100117</v>
      </c>
    </row>
    <row r="59" spans="1:10" x14ac:dyDescent="0.25">
      <c r="A59" s="616" t="s">
        <v>418</v>
      </c>
    </row>
    <row r="60" spans="1:10" x14ac:dyDescent="0.25">
      <c r="A60" s="611" t="s">
        <v>398</v>
      </c>
      <c r="C60" s="619">
        <f>'EXHIBIT JDT-3 SCOM'!F95</f>
        <v>577</v>
      </c>
      <c r="G60" s="644">
        <f>'EXHIBIT JDT-3 SCOM'!G95</f>
        <v>19.89</v>
      </c>
      <c r="H60" s="607">
        <f>ROUND(G60*C60,0)</f>
        <v>11477</v>
      </c>
      <c r="I60" s="644">
        <f>'EXHIBIT JDT-3 SCOM'!J95</f>
        <v>30</v>
      </c>
      <c r="J60" s="607">
        <f>ROUND(I60*C60,0)</f>
        <v>17310</v>
      </c>
    </row>
    <row r="61" spans="1:10" x14ac:dyDescent="0.25">
      <c r="A61" s="611" t="s">
        <v>98</v>
      </c>
      <c r="B61" s="620">
        <f>B50</f>
        <v>0.55010641532380666</v>
      </c>
      <c r="C61" s="608">
        <f>ROUND(C60*B61,0)</f>
        <v>317</v>
      </c>
      <c r="D61" s="619">
        <f>+C61</f>
        <v>317</v>
      </c>
      <c r="E61" s="619">
        <f>'EXHIBIT JDT-3 SCOM'!F96</f>
        <v>1940.6000000000001</v>
      </c>
      <c r="F61" s="619">
        <f>+E61</f>
        <v>1940.6000000000001</v>
      </c>
      <c r="G61" s="618">
        <f>'EXHIBIT JDT-3 SCOM'!G96</f>
        <v>2.4148999999999998</v>
      </c>
      <c r="H61" s="607">
        <f>ROUND(G61*E61,0)</f>
        <v>4686</v>
      </c>
      <c r="I61" s="618">
        <f>'EXHIBIT JDT-3 SCOM'!J98</f>
        <v>2.2273999999999998</v>
      </c>
      <c r="J61" s="607">
        <f>ROUND(I61*E61,0)</f>
        <v>4322</v>
      </c>
    </row>
    <row r="62" spans="1:10" x14ac:dyDescent="0.25">
      <c r="A62" s="611" t="s">
        <v>103</v>
      </c>
      <c r="C62" s="619">
        <f>+C60-C61</f>
        <v>260</v>
      </c>
      <c r="D62" s="619">
        <f>+D61+C62</f>
        <v>577</v>
      </c>
      <c r="E62" s="621">
        <f>'EXHIBIT JDT-3 SCOM'!F97</f>
        <v>4061.4</v>
      </c>
      <c r="F62" s="619">
        <f>+F61+E62</f>
        <v>6002</v>
      </c>
      <c r="G62" s="618">
        <f>'EXHIBIT JDT-3 SCOM'!G97</f>
        <v>2.1225000000000001</v>
      </c>
      <c r="H62" s="609">
        <f>ROUND(G62*E62,0)</f>
        <v>8620</v>
      </c>
      <c r="I62" s="618">
        <f>'EXHIBIT JDT-3 SCOM'!J98</f>
        <v>2.2273999999999998</v>
      </c>
      <c r="J62" s="609">
        <f>ROUND(I62*E62,0)</f>
        <v>9046</v>
      </c>
    </row>
    <row r="63" spans="1:10" x14ac:dyDescent="0.25">
      <c r="A63" s="611" t="s">
        <v>1</v>
      </c>
      <c r="E63" s="619">
        <f>SUM(E61:E62)</f>
        <v>6002</v>
      </c>
      <c r="H63" s="607">
        <f>SUM(H60:H62)</f>
        <v>24783</v>
      </c>
      <c r="J63" s="607">
        <f>SUM(J60:J62)</f>
        <v>30678</v>
      </c>
    </row>
    <row r="65" spans="1:10" x14ac:dyDescent="0.25">
      <c r="A65" s="616" t="s">
        <v>419</v>
      </c>
    </row>
    <row r="66" spans="1:10" x14ac:dyDescent="0.25">
      <c r="A66" s="611" t="s">
        <v>398</v>
      </c>
      <c r="C66" s="619">
        <f>'EXHIBIT JDT-3 SCOM'!F142</f>
        <v>30962</v>
      </c>
      <c r="G66" s="643">
        <f>'EXHIBIT JDT-3 SCOM'!G142</f>
        <v>27.53</v>
      </c>
      <c r="H66" s="607">
        <f>ROUND(G66*C66,0)</f>
        <v>852384</v>
      </c>
      <c r="I66" s="643">
        <f>'EXHIBIT JDT-3 SCOM'!J142</f>
        <v>41.5</v>
      </c>
      <c r="J66" s="607">
        <f>ROUND(I66*C66,0)</f>
        <v>1284923</v>
      </c>
    </row>
    <row r="67" spans="1:10" x14ac:dyDescent="0.25">
      <c r="A67" s="611" t="s">
        <v>406</v>
      </c>
      <c r="B67" s="620">
        <v>0.42455552452759937</v>
      </c>
      <c r="C67" s="608">
        <f>ROUND(C66*B67,0)</f>
        <v>13145</v>
      </c>
      <c r="D67" s="619">
        <f>+C67</f>
        <v>13145</v>
      </c>
      <c r="E67" s="619">
        <f>'EXHIBIT JDT-3 SCOM'!F143</f>
        <v>442115.80000000005</v>
      </c>
      <c r="F67" s="619">
        <f>+E67</f>
        <v>442115.80000000005</v>
      </c>
      <c r="G67" s="618">
        <f>'EXHIBIT JDT-3 SCOM'!G143</f>
        <v>1.8344</v>
      </c>
      <c r="H67" s="607">
        <f>ROUND(G67*E67,0)</f>
        <v>811017</v>
      </c>
      <c r="I67" s="618">
        <f>'EXHIBIT JDT-3 SCOM'!J145</f>
        <v>1.9850000000000001</v>
      </c>
      <c r="J67" s="607">
        <f>ROUND(I67*E67,0)</f>
        <v>877600</v>
      </c>
    </row>
    <row r="68" spans="1:10" x14ac:dyDescent="0.25">
      <c r="A68" s="611" t="s">
        <v>110</v>
      </c>
      <c r="C68" s="619">
        <f>+C66-C67</f>
        <v>17817</v>
      </c>
      <c r="D68" s="619">
        <f>+D67+C68</f>
        <v>30962</v>
      </c>
      <c r="E68" s="621">
        <f>'EXHIBIT JDT-3 SCOM'!F144</f>
        <v>803090.2</v>
      </c>
      <c r="F68" s="619">
        <f>+F67+E68</f>
        <v>1245206</v>
      </c>
      <c r="G68" s="618">
        <f>'EXHIBIT JDT-3 SCOM'!G144</f>
        <v>1.7056</v>
      </c>
      <c r="H68" s="609">
        <f>ROUND(G68*E68,0)</f>
        <v>1369751</v>
      </c>
      <c r="I68" s="618">
        <f>'EXHIBIT JDT-3 SCOM'!J145</f>
        <v>1.9850000000000001</v>
      </c>
      <c r="J68" s="609">
        <f>ROUND(I68*E68,0)</f>
        <v>1594134</v>
      </c>
    </row>
    <row r="69" spans="1:10" x14ac:dyDescent="0.25">
      <c r="A69" s="611" t="s">
        <v>1</v>
      </c>
      <c r="E69" s="619">
        <f>SUM(E67:E68)</f>
        <v>1245206</v>
      </c>
      <c r="H69" s="607">
        <f>SUM(H66:H68)</f>
        <v>3033152</v>
      </c>
      <c r="J69" s="607">
        <f>SUM(J66:J68)</f>
        <v>3756657</v>
      </c>
    </row>
    <row r="71" spans="1:10" x14ac:dyDescent="0.25">
      <c r="A71" s="616" t="s">
        <v>420</v>
      </c>
    </row>
    <row r="72" spans="1:10" x14ac:dyDescent="0.25">
      <c r="A72" s="611" t="s">
        <v>398</v>
      </c>
      <c r="C72" s="619">
        <f>'EXHIBIT JDT-3 SCOM'!F161</f>
        <v>13879</v>
      </c>
      <c r="G72" s="643">
        <f>'EXHIBIT JDT-3 SCOM'!G161</f>
        <v>27.53</v>
      </c>
      <c r="H72" s="607">
        <f>ROUND(G72*C72,0)</f>
        <v>382089</v>
      </c>
      <c r="I72" s="643">
        <f>'EXHIBIT JDT-3 SCOM'!J161</f>
        <v>41.5</v>
      </c>
      <c r="J72" s="607">
        <f>ROUND(I72*C72,0)</f>
        <v>575979</v>
      </c>
    </row>
    <row r="73" spans="1:10" x14ac:dyDescent="0.25">
      <c r="A73" s="611" t="s">
        <v>170</v>
      </c>
      <c r="B73" s="620">
        <v>1</v>
      </c>
      <c r="C73" s="608">
        <f>ROUND(C72*B73,0)</f>
        <v>13879</v>
      </c>
      <c r="D73" s="619">
        <f>+C73</f>
        <v>13879</v>
      </c>
      <c r="E73" s="621">
        <f>'EXHIBIT JDT-3 SCOM'!F162</f>
        <v>693340</v>
      </c>
      <c r="F73" s="619">
        <f>+E73</f>
        <v>693340</v>
      </c>
      <c r="G73" s="618">
        <f>'EXHIBIT JDT-3 SCOM'!G162</f>
        <v>1.8845000000000001</v>
      </c>
      <c r="H73" s="609">
        <f>ROUND(G73*E73,0)</f>
        <v>1306599</v>
      </c>
      <c r="I73" s="618">
        <f>'EXHIBIT JDT-3 SCOM'!J162</f>
        <v>1.9850000000000001</v>
      </c>
      <c r="J73" s="609">
        <f>ROUND(I73*E73,0)</f>
        <v>1376280</v>
      </c>
    </row>
    <row r="74" spans="1:10" x14ac:dyDescent="0.25">
      <c r="A74" s="611" t="s">
        <v>1</v>
      </c>
      <c r="E74" s="619">
        <f>SUM(E73:E73)</f>
        <v>693340</v>
      </c>
      <c r="H74" s="607">
        <f>SUM(H72:H73)</f>
        <v>1688688</v>
      </c>
      <c r="J74" s="607">
        <f>SUM(J72:J73)</f>
        <v>1952259</v>
      </c>
    </row>
    <row r="76" spans="1:10" x14ac:dyDescent="0.25">
      <c r="A76" s="616" t="s">
        <v>421</v>
      </c>
    </row>
    <row r="77" spans="1:10" x14ac:dyDescent="0.25">
      <c r="A77" s="611" t="s">
        <v>398</v>
      </c>
      <c r="C77" s="619">
        <f>'EXHIBIT JDT-3 SCOM'!F175</f>
        <v>3234</v>
      </c>
      <c r="G77" s="643">
        <f>'EXHIBIT JDT-3 SCOM'!G175</f>
        <v>27.53</v>
      </c>
      <c r="H77" s="607">
        <f>ROUND(G77*C77,0)</f>
        <v>89032</v>
      </c>
      <c r="I77" s="643">
        <f>'EXHIBIT JDT-3 SCOM'!J175</f>
        <v>41.5</v>
      </c>
      <c r="J77" s="607">
        <f>ROUND(I77*C77,0)</f>
        <v>134211</v>
      </c>
    </row>
    <row r="78" spans="1:10" x14ac:dyDescent="0.25">
      <c r="A78" s="611" t="s">
        <v>406</v>
      </c>
      <c r="B78" s="620">
        <f>B67</f>
        <v>0.42455552452759937</v>
      </c>
      <c r="C78" s="608">
        <f>ROUND(C77*B78,0)</f>
        <v>1373</v>
      </c>
      <c r="D78" s="619">
        <f>+C78</f>
        <v>1373</v>
      </c>
      <c r="E78" s="619">
        <f>'EXHIBIT JDT-3 SCOM'!F176</f>
        <v>51339.399999999994</v>
      </c>
      <c r="F78" s="619">
        <f>+E78</f>
        <v>51339.399999999994</v>
      </c>
      <c r="G78" s="618">
        <f>'EXHIBIT JDT-3 SCOM'!G176</f>
        <v>1.8344</v>
      </c>
      <c r="H78" s="607">
        <f>ROUND(G78*E78,0)</f>
        <v>94177</v>
      </c>
      <c r="I78" s="618">
        <f>'EXHIBIT JDT-3 SCOM'!J178</f>
        <v>1.9850000000000001</v>
      </c>
      <c r="J78" s="607">
        <f>ROUND(I78*E78,0)</f>
        <v>101909</v>
      </c>
    </row>
    <row r="79" spans="1:10" x14ac:dyDescent="0.25">
      <c r="A79" s="611" t="s">
        <v>110</v>
      </c>
      <c r="C79" s="619">
        <f>+C77-C78</f>
        <v>1861</v>
      </c>
      <c r="D79" s="619">
        <f>+D78+C79</f>
        <v>3234</v>
      </c>
      <c r="E79" s="623">
        <f>'EXHIBIT JDT-3 SCOM'!F177</f>
        <v>76932.60000000002</v>
      </c>
      <c r="F79" s="619">
        <f>+F78+E79</f>
        <v>128272.00000000001</v>
      </c>
      <c r="G79" s="618">
        <f>'EXHIBIT JDT-3 SCOM'!G177</f>
        <v>1.7056</v>
      </c>
      <c r="H79" s="609">
        <f>ROUND(G79*E79,0)</f>
        <v>131216</v>
      </c>
      <c r="I79" s="618">
        <f>'EXHIBIT JDT-3 SCOM'!J178</f>
        <v>1.9850000000000001</v>
      </c>
      <c r="J79" s="609">
        <f>ROUND(I79*E79,0)</f>
        <v>152711</v>
      </c>
    </row>
    <row r="80" spans="1:10" x14ac:dyDescent="0.25">
      <c r="A80" s="611" t="s">
        <v>1</v>
      </c>
      <c r="E80" s="619">
        <f>SUM(E78:E79)</f>
        <v>128272.00000000001</v>
      </c>
      <c r="H80" s="607">
        <f>SUM(H77:H79)</f>
        <v>314425</v>
      </c>
      <c r="J80" s="607">
        <f>SUM(J77:J79)</f>
        <v>388831</v>
      </c>
    </row>
    <row r="82" spans="1:10" x14ac:dyDescent="0.25">
      <c r="A82" s="616" t="s">
        <v>422</v>
      </c>
    </row>
    <row r="83" spans="1:10" x14ac:dyDescent="0.25">
      <c r="A83" s="611" t="s">
        <v>398</v>
      </c>
      <c r="C83" s="619">
        <f>'EXHIBIT JDT-3 SCOM'!F192</f>
        <v>2016</v>
      </c>
      <c r="G83" s="645">
        <f>'EXHIBIT JDT-3 SCOM'!G192</f>
        <v>27.53</v>
      </c>
      <c r="H83" s="607">
        <f>ROUND(G83*C83,0)</f>
        <v>55500</v>
      </c>
      <c r="I83" s="645">
        <f>'EXHIBIT JDT-3 SCOM'!J192</f>
        <v>41.5</v>
      </c>
      <c r="J83" s="607">
        <f>ROUND(I83*C83,0)</f>
        <v>83664</v>
      </c>
    </row>
    <row r="84" spans="1:10" x14ac:dyDescent="0.25">
      <c r="A84" s="611" t="s">
        <v>406</v>
      </c>
      <c r="B84" s="620">
        <f>B67</f>
        <v>0.42455552452759937</v>
      </c>
      <c r="C84" s="608">
        <f>ROUND(C83*B84,0)</f>
        <v>856</v>
      </c>
      <c r="D84" s="619">
        <f>+C84</f>
        <v>856</v>
      </c>
      <c r="E84" s="619">
        <f>'EXHIBIT JDT-3 SCOM'!F193</f>
        <v>27106.500000000004</v>
      </c>
      <c r="F84" s="619">
        <f>+E84</f>
        <v>27106.500000000004</v>
      </c>
      <c r="G84" s="618">
        <f>'EXHIBIT JDT-3 SCOM'!G193</f>
        <v>1.8344</v>
      </c>
      <c r="H84" s="607">
        <f>ROUND(G84*E84,0)</f>
        <v>49724</v>
      </c>
      <c r="I84" s="618">
        <f>'EXHIBIT JDT-3 SCOM'!J195</f>
        <v>1.9850000000000001</v>
      </c>
      <c r="J84" s="607">
        <f>ROUND(I84*E84,0)</f>
        <v>53806</v>
      </c>
    </row>
    <row r="85" spans="1:10" x14ac:dyDescent="0.25">
      <c r="A85" s="611" t="s">
        <v>110</v>
      </c>
      <c r="C85" s="619">
        <f>+C83-C84</f>
        <v>1160</v>
      </c>
      <c r="D85" s="619">
        <f>+D84+C85</f>
        <v>2016</v>
      </c>
      <c r="E85" s="623">
        <f>'EXHIBIT JDT-3 SCOM'!F194</f>
        <v>57504.5</v>
      </c>
      <c r="F85" s="619">
        <f>+F84+E85</f>
        <v>84611</v>
      </c>
      <c r="G85" s="618">
        <f>'EXHIBIT JDT-3 SCOM'!G194</f>
        <v>1.7056</v>
      </c>
      <c r="H85" s="609">
        <f>ROUND(G85*E85,0)</f>
        <v>98080</v>
      </c>
      <c r="I85" s="618">
        <f>'EXHIBIT JDT-3 SCOM'!J195</f>
        <v>1.9850000000000001</v>
      </c>
      <c r="J85" s="609">
        <f>ROUND(I85*E85,0)</f>
        <v>114146</v>
      </c>
    </row>
    <row r="86" spans="1:10" x14ac:dyDescent="0.25">
      <c r="A86" s="611" t="s">
        <v>1</v>
      </c>
      <c r="E86" s="619">
        <f>SUM(E84:E85)</f>
        <v>84611</v>
      </c>
      <c r="H86" s="607">
        <f>SUM(H83:H85)</f>
        <v>203304</v>
      </c>
      <c r="J86" s="607">
        <f>SUM(J83:J85)</f>
        <v>251616</v>
      </c>
    </row>
    <row r="88" spans="1:10" x14ac:dyDescent="0.25">
      <c r="A88" s="616" t="s">
        <v>423</v>
      </c>
    </row>
    <row r="89" spans="1:10" x14ac:dyDescent="0.25">
      <c r="A89" s="611" t="s">
        <v>398</v>
      </c>
      <c r="C89" s="619">
        <f>'EXHIBIT JDT-3 SCOM'!F211</f>
        <v>170</v>
      </c>
      <c r="G89" s="645">
        <f>'EXHIBIT JDT-3 SCOM'!G211</f>
        <v>27.53</v>
      </c>
      <c r="H89" s="607">
        <f>ROUND(G89*C89,0)</f>
        <v>4680</v>
      </c>
      <c r="I89" s="645">
        <f>'EXHIBIT JDT-3 SCOM'!J211</f>
        <v>41.5</v>
      </c>
      <c r="J89" s="607">
        <f>ROUND(I89*C89,0)</f>
        <v>7055</v>
      </c>
    </row>
    <row r="90" spans="1:10" x14ac:dyDescent="0.25">
      <c r="A90" s="611" t="s">
        <v>406</v>
      </c>
      <c r="B90" s="620">
        <f>B84</f>
        <v>0.42455552452759937</v>
      </c>
      <c r="C90" s="608">
        <f>ROUND(C89*B90,0)</f>
        <v>72</v>
      </c>
      <c r="D90" s="619">
        <f>+C90</f>
        <v>72</v>
      </c>
      <c r="E90" s="619">
        <f>'EXHIBIT JDT-3 SCOM'!F212</f>
        <v>2479.3000000000002</v>
      </c>
      <c r="F90" s="619">
        <f>+E90</f>
        <v>2479.3000000000002</v>
      </c>
      <c r="G90" s="618">
        <f>'EXHIBIT JDT-3 SCOM'!G212</f>
        <v>1.8344</v>
      </c>
      <c r="H90" s="607">
        <f>ROUND(G90*E90,0)</f>
        <v>4548</v>
      </c>
      <c r="I90" s="618">
        <f>'EXHIBIT JDT-3 SCOM'!J214</f>
        <v>1.9850000000000001</v>
      </c>
      <c r="J90" s="607">
        <f>ROUND(I90*E90,0)</f>
        <v>4921</v>
      </c>
    </row>
    <row r="91" spans="1:10" x14ac:dyDescent="0.25">
      <c r="A91" s="611" t="s">
        <v>110</v>
      </c>
      <c r="C91" s="619">
        <f>+C89-C90</f>
        <v>98</v>
      </c>
      <c r="D91" s="619">
        <f>+D90+C91</f>
        <v>170</v>
      </c>
      <c r="E91" s="623">
        <f>'EXHIBIT JDT-3 SCOM'!F213</f>
        <v>5686.6999999999989</v>
      </c>
      <c r="F91" s="619">
        <f>+F90+E91</f>
        <v>8165.9999999999991</v>
      </c>
      <c r="G91" s="618">
        <f>'EXHIBIT JDT-3 SCOM'!G213</f>
        <v>1.7056</v>
      </c>
      <c r="H91" s="609">
        <f>ROUND(G91*E91,0)</f>
        <v>9699</v>
      </c>
      <c r="I91" s="618">
        <f>'EXHIBIT JDT-3 SCOM'!J214</f>
        <v>1.9850000000000001</v>
      </c>
      <c r="J91" s="609">
        <f>ROUND(I91*E91,0)</f>
        <v>11288</v>
      </c>
    </row>
    <row r="92" spans="1:10" x14ac:dyDescent="0.25">
      <c r="A92" s="611" t="s">
        <v>1</v>
      </c>
      <c r="E92" s="619">
        <f>SUM(E90:E91)</f>
        <v>8165.9999999999991</v>
      </c>
      <c r="H92" s="607">
        <f>SUM(H89:H91)</f>
        <v>18927</v>
      </c>
      <c r="J92" s="607">
        <f>SUM(J89:J91)</f>
        <v>23264</v>
      </c>
    </row>
    <row r="94" spans="1:10" x14ac:dyDescent="0.25">
      <c r="A94" s="616" t="s">
        <v>424</v>
      </c>
    </row>
    <row r="95" spans="1:10" x14ac:dyDescent="0.25">
      <c r="A95" s="611" t="s">
        <v>398</v>
      </c>
      <c r="C95" s="619">
        <f>'EXHIBIT JDT-3 SCOM'!F228</f>
        <v>1886</v>
      </c>
      <c r="G95" s="645">
        <f>'EXHIBIT JDT-3 SCOM'!G228</f>
        <v>27.53</v>
      </c>
      <c r="H95" s="607">
        <f>ROUND(G95*C95,0)</f>
        <v>51922</v>
      </c>
      <c r="I95" s="645">
        <f>'EXHIBIT JDT-3 SCOM'!J228</f>
        <v>41.5</v>
      </c>
      <c r="J95" s="607">
        <f>ROUND(I95*C95,0)</f>
        <v>78269</v>
      </c>
    </row>
    <row r="96" spans="1:10" x14ac:dyDescent="0.25">
      <c r="A96" s="611" t="s">
        <v>170</v>
      </c>
      <c r="B96" s="620">
        <v>1</v>
      </c>
      <c r="C96" s="608">
        <f>ROUND(C95*B96,0)</f>
        <v>1886</v>
      </c>
      <c r="D96" s="619">
        <f>+C96</f>
        <v>1886</v>
      </c>
      <c r="E96" s="621">
        <f>'EXHIBIT JDT-3 SCOM'!F229</f>
        <v>86880</v>
      </c>
      <c r="F96" s="619">
        <f>+E96</f>
        <v>86880</v>
      </c>
      <c r="G96" s="618">
        <f>'EXHIBIT JDT-3 SCOM'!G229</f>
        <v>1.8845000000000001</v>
      </c>
      <c r="H96" s="609">
        <f>ROUND(G96*E96,0)</f>
        <v>163725</v>
      </c>
      <c r="I96" s="618">
        <f>'EXHIBIT JDT-3 SCOM'!J229</f>
        <v>1.9850000000000001</v>
      </c>
      <c r="J96" s="609">
        <f>ROUND(I96*E96,0)</f>
        <v>172457</v>
      </c>
    </row>
    <row r="97" spans="1:10" x14ac:dyDescent="0.25">
      <c r="A97" s="611" t="s">
        <v>1</v>
      </c>
      <c r="E97" s="619">
        <f>SUM(E96:E96)</f>
        <v>86880</v>
      </c>
      <c r="H97" s="607">
        <f>SUM(H95:H96)</f>
        <v>215647</v>
      </c>
      <c r="J97" s="607">
        <f>SUM(J95:J96)</f>
        <v>250726</v>
      </c>
    </row>
    <row r="99" spans="1:10" x14ac:dyDescent="0.25">
      <c r="A99" s="616" t="s">
        <v>278</v>
      </c>
    </row>
    <row r="100" spans="1:10" x14ac:dyDescent="0.25">
      <c r="A100" s="611" t="s">
        <v>398</v>
      </c>
      <c r="C100" s="619">
        <f>'EXHIBIT JDT-3 LCOM'!F12</f>
        <v>4904</v>
      </c>
      <c r="G100" s="645">
        <f>'EXHIBIT JDT-3 LCOM'!G12</f>
        <v>121.01</v>
      </c>
      <c r="H100" s="607">
        <f>ROUND(G100*C100,0)</f>
        <v>593433</v>
      </c>
      <c r="I100" s="645">
        <f>'EXHIBIT JDT-3 LCOM'!J12</f>
        <v>181.5</v>
      </c>
      <c r="J100" s="607">
        <f>ROUND(I100*C100,0)</f>
        <v>890076</v>
      </c>
    </row>
    <row r="101" spans="1:10" x14ac:dyDescent="0.25">
      <c r="A101" s="611" t="s">
        <v>407</v>
      </c>
      <c r="B101" s="620">
        <v>0.88748586505842442</v>
      </c>
      <c r="C101" s="608">
        <f>ROUND(C100*B101,0)</f>
        <v>4352</v>
      </c>
      <c r="D101" s="619">
        <f>+C101</f>
        <v>4352</v>
      </c>
      <c r="E101" s="619">
        <f>'EXHIBIT JDT-3 LCOM'!F13</f>
        <v>561929.1</v>
      </c>
      <c r="F101" s="619">
        <f>+E101</f>
        <v>561929.1</v>
      </c>
      <c r="G101" s="618">
        <f>'EXHIBIT JDT-3 LCOM'!G13</f>
        <v>1.4947999999999999</v>
      </c>
      <c r="H101" s="607">
        <f>ROUND(G101*E101,0)</f>
        <v>839972</v>
      </c>
      <c r="I101" s="618">
        <f>'EXHIBIT JDT-3 LCOM'!$J$16</f>
        <v>1.5465</v>
      </c>
      <c r="J101" s="607">
        <f>ROUND(I101*E101,0)</f>
        <v>869023</v>
      </c>
    </row>
    <row r="102" spans="1:10" x14ac:dyDescent="0.25">
      <c r="A102" s="625" t="s">
        <v>408</v>
      </c>
      <c r="B102" s="620">
        <v>0.11044101017715791</v>
      </c>
      <c r="C102" s="608">
        <f>ROUND(C101*B102,0)</f>
        <v>481</v>
      </c>
      <c r="D102" s="619">
        <f>+D101+C102</f>
        <v>4833</v>
      </c>
      <c r="E102" s="619">
        <f>'EXHIBIT JDT-3 LCOM'!F14</f>
        <v>109956.00000000003</v>
      </c>
      <c r="F102" s="619">
        <f>+E102</f>
        <v>109956.00000000003</v>
      </c>
      <c r="G102" s="618">
        <f>'EXHIBIT JDT-3 LCOM'!G14</f>
        <v>1.3812</v>
      </c>
      <c r="H102" s="607">
        <f>ROUND(G102*E102,0)</f>
        <v>151871</v>
      </c>
      <c r="I102" s="618">
        <f>'EXHIBIT JDT-3 LCOM'!$J$16</f>
        <v>1.5465</v>
      </c>
      <c r="J102" s="607">
        <f>ROUND(I102*E102,0)</f>
        <v>170047</v>
      </c>
    </row>
    <row r="103" spans="1:10" x14ac:dyDescent="0.25">
      <c r="A103" s="611" t="s">
        <v>115</v>
      </c>
      <c r="C103" s="619">
        <f>+C100-C101-C102</f>
        <v>71</v>
      </c>
      <c r="D103" s="619">
        <f>+D102+C103</f>
        <v>4904</v>
      </c>
      <c r="E103" s="621">
        <f>'EXHIBIT JDT-3 LCOM'!F15</f>
        <v>6356.0999999999995</v>
      </c>
      <c r="F103" s="619">
        <f>+F101+E103</f>
        <v>568285.19999999995</v>
      </c>
      <c r="G103" s="618">
        <f>'EXHIBIT JDT-3 LCOM'!G15</f>
        <v>1.2310989999999999</v>
      </c>
      <c r="H103" s="609">
        <f>ROUND(G103*E103,0)</f>
        <v>7825</v>
      </c>
      <c r="I103" s="618">
        <f>'EXHIBIT JDT-3 LCOM'!$J$16</f>
        <v>1.5465</v>
      </c>
      <c r="J103" s="609">
        <f>ROUND(I103*E103,0)</f>
        <v>9830</v>
      </c>
    </row>
    <row r="104" spans="1:10" x14ac:dyDescent="0.25">
      <c r="A104" s="611" t="s">
        <v>1</v>
      </c>
      <c r="E104" s="619">
        <f>SUM(E101:E103)</f>
        <v>678241.2</v>
      </c>
      <c r="H104" s="607">
        <f>SUM(H100:H103)</f>
        <v>1593101</v>
      </c>
      <c r="J104" s="607">
        <f>SUM(J100:J103)</f>
        <v>1938976</v>
      </c>
    </row>
    <row r="105" spans="1:10" x14ac:dyDescent="0.25">
      <c r="E105" s="619"/>
      <c r="H105" s="607"/>
      <c r="J105" s="607"/>
    </row>
    <row r="106" spans="1:10" x14ac:dyDescent="0.25">
      <c r="A106" s="616" t="s">
        <v>425</v>
      </c>
    </row>
    <row r="107" spans="1:10" x14ac:dyDescent="0.25">
      <c r="A107" s="611" t="s">
        <v>398</v>
      </c>
      <c r="C107" s="619">
        <f>'EXHIBIT JDT-3 LCOM'!F32</f>
        <v>9242</v>
      </c>
      <c r="G107" s="645">
        <f>'EXHIBIT JDT-3 LCOM'!G32</f>
        <v>121.01</v>
      </c>
      <c r="H107" s="607">
        <f>ROUND(G107*C107,0)</f>
        <v>1118374</v>
      </c>
      <c r="I107" s="645">
        <f>'EXHIBIT JDT-3 LCOM'!J32</f>
        <v>181.5</v>
      </c>
      <c r="J107" s="607">
        <f>ROUND(I107*C107,0)</f>
        <v>1677423</v>
      </c>
    </row>
    <row r="108" spans="1:10" x14ac:dyDescent="0.25">
      <c r="A108" s="611" t="s">
        <v>170</v>
      </c>
      <c r="B108" s="620">
        <v>1</v>
      </c>
      <c r="C108" s="608">
        <f>ROUND(C107*B108,0)</f>
        <v>9242</v>
      </c>
      <c r="D108" s="619">
        <f>+C108</f>
        <v>9242</v>
      </c>
      <c r="E108" s="621">
        <f>'EXHIBIT JDT-3 LCOM'!F33</f>
        <v>2982910</v>
      </c>
      <c r="F108" s="619">
        <f>+E108</f>
        <v>2982910</v>
      </c>
      <c r="G108" s="618">
        <f>'EXHIBIT JDT-3 LCOM'!G33</f>
        <v>1.4361999999999999</v>
      </c>
      <c r="H108" s="609">
        <f>ROUND(G108*E108,0)</f>
        <v>4284055</v>
      </c>
      <c r="I108" s="618">
        <f>'EXHIBIT JDT-3 LCOM'!J33</f>
        <v>1.5465</v>
      </c>
      <c r="J108" s="609">
        <f>ROUND(I108*E108,0)</f>
        <v>4613070</v>
      </c>
    </row>
    <row r="109" spans="1:10" x14ac:dyDescent="0.25">
      <c r="A109" s="611" t="s">
        <v>1</v>
      </c>
      <c r="E109" s="619">
        <f>SUM(E108:E108)</f>
        <v>2982910</v>
      </c>
      <c r="H109" s="607">
        <f>SUM(H107:H108)</f>
        <v>5402429</v>
      </c>
      <c r="J109" s="607">
        <f>SUM(J107:J108)</f>
        <v>6290493</v>
      </c>
    </row>
    <row r="110" spans="1:10" x14ac:dyDescent="0.25">
      <c r="E110" s="619"/>
      <c r="H110" s="607"/>
      <c r="J110" s="607"/>
    </row>
    <row r="111" spans="1:10" x14ac:dyDescent="0.25">
      <c r="A111" s="616" t="s">
        <v>428</v>
      </c>
    </row>
    <row r="112" spans="1:10" x14ac:dyDescent="0.25">
      <c r="A112" s="611" t="s">
        <v>398</v>
      </c>
      <c r="C112" s="619">
        <f>'EXHIBIT JDT-3 LCOM'!F46</f>
        <v>168</v>
      </c>
      <c r="G112" s="618">
        <f>'EXHIBIT JDT-3 LCOM'!G46</f>
        <v>121.01</v>
      </c>
      <c r="H112" s="607">
        <f>ROUND(G112*C112,0)</f>
        <v>20330</v>
      </c>
      <c r="I112" s="618">
        <f>'EXHIBIT JDT-3 LCOM'!J46</f>
        <v>181.5</v>
      </c>
      <c r="J112" s="607">
        <f>ROUND(I112*C112,0)</f>
        <v>30492</v>
      </c>
    </row>
    <row r="113" spans="1:10" x14ac:dyDescent="0.25">
      <c r="A113" s="611" t="s">
        <v>170</v>
      </c>
      <c r="B113" s="620">
        <f>B108</f>
        <v>1</v>
      </c>
      <c r="C113" s="608">
        <f>ROUND(C112*B113,0)</f>
        <v>168</v>
      </c>
      <c r="D113" s="619">
        <f>+C113</f>
        <v>168</v>
      </c>
      <c r="E113" s="621">
        <f>'EXHIBIT JDT-3 LCOM'!F47</f>
        <v>754491</v>
      </c>
      <c r="F113" s="619">
        <f>+E113</f>
        <v>754491</v>
      </c>
      <c r="G113" s="618">
        <f>'EXHIBIT JDT-3 LCOM'!G47</f>
        <v>1.4161999999999999</v>
      </c>
      <c r="H113" s="609">
        <f>ROUND(G113*E113,0)</f>
        <v>1068510</v>
      </c>
      <c r="I113" s="618">
        <f>'EXHIBIT JDT-3 LCOM'!J47</f>
        <v>1.5465</v>
      </c>
      <c r="J113" s="609">
        <f>ROUND(I113*E113,0)</f>
        <v>1166820</v>
      </c>
    </row>
    <row r="114" spans="1:10" x14ac:dyDescent="0.25">
      <c r="A114" s="611" t="s">
        <v>1</v>
      </c>
      <c r="E114" s="619">
        <f>SUM(E113:E113)</f>
        <v>754491</v>
      </c>
      <c r="H114" s="607">
        <f>SUM(H112:H113)</f>
        <v>1088840</v>
      </c>
      <c r="J114" s="607">
        <f>SUM(J112:J113)</f>
        <v>1197312</v>
      </c>
    </row>
    <row r="115" spans="1:10" x14ac:dyDescent="0.25">
      <c r="E115" s="619"/>
      <c r="H115" s="607"/>
      <c r="J115" s="607"/>
    </row>
    <row r="116" spans="1:10" x14ac:dyDescent="0.25">
      <c r="A116" s="616" t="s">
        <v>426</v>
      </c>
    </row>
    <row r="117" spans="1:10" x14ac:dyDescent="0.25">
      <c r="A117" s="611" t="s">
        <v>398</v>
      </c>
      <c r="C117" s="619">
        <f>'EXHIBIT JDT-3 LCOM'!F61</f>
        <v>359</v>
      </c>
      <c r="G117" s="645">
        <f>'EXHIBIT JDT-3 LCOM'!G61</f>
        <v>121.01</v>
      </c>
      <c r="H117" s="607">
        <f>ROUND(G117*C117,0)</f>
        <v>43443</v>
      </c>
      <c r="I117" s="645">
        <f>'EXHIBIT JDT-3 LCOM'!J61</f>
        <v>181.5</v>
      </c>
      <c r="J117" s="607">
        <f>ROUND(I117*C117,0)</f>
        <v>65159</v>
      </c>
    </row>
    <row r="118" spans="1:10" x14ac:dyDescent="0.25">
      <c r="A118" s="611" t="s">
        <v>407</v>
      </c>
      <c r="B118" s="620">
        <f>B101</f>
        <v>0.88748586505842442</v>
      </c>
      <c r="C118" s="608">
        <f>ROUND(C117*B118,0)</f>
        <v>319</v>
      </c>
      <c r="D118" s="619">
        <f>+C118</f>
        <v>319</v>
      </c>
      <c r="E118" s="626">
        <f>'EXHIBIT JDT-3 LCOM'!F62</f>
        <v>46068.700000000004</v>
      </c>
      <c r="F118" s="619">
        <f>+E118</f>
        <v>46068.700000000004</v>
      </c>
      <c r="G118" s="618">
        <f>'EXHIBIT JDT-3 LCOM'!G62</f>
        <v>1.4947999999999999</v>
      </c>
      <c r="H118" s="607">
        <f>ROUND(G118*E118,0)</f>
        <v>68863</v>
      </c>
      <c r="I118" s="618">
        <f>'EXHIBIT JDT-3 LCOM'!$J$65</f>
        <v>1.5465</v>
      </c>
      <c r="J118" s="607">
        <f>ROUND(I118*E118,0)</f>
        <v>71245</v>
      </c>
    </row>
    <row r="119" spans="1:10" x14ac:dyDescent="0.25">
      <c r="A119" s="625" t="s">
        <v>408</v>
      </c>
      <c r="B119" s="620">
        <f>B102</f>
        <v>0.11044101017715791</v>
      </c>
      <c r="C119" s="608">
        <f>ROUND(C118*B119,0)</f>
        <v>35</v>
      </c>
      <c r="D119" s="619">
        <f>+D118+C119</f>
        <v>354</v>
      </c>
      <c r="E119" s="626">
        <f>'EXHIBIT JDT-3 LCOM'!F63</f>
        <v>2237.2999999999997</v>
      </c>
      <c r="F119" s="619">
        <f>+E119</f>
        <v>2237.2999999999997</v>
      </c>
      <c r="G119" s="618">
        <f>'EXHIBIT JDT-3 LCOM'!G63</f>
        <v>1.3812</v>
      </c>
      <c r="H119" s="607">
        <f>ROUND(G119*E119,0)</f>
        <v>3090</v>
      </c>
      <c r="I119" s="618">
        <f>'EXHIBIT JDT-3 LCOM'!$J$65</f>
        <v>1.5465</v>
      </c>
      <c r="J119" s="607">
        <f>ROUND(I119*E119,0)</f>
        <v>3460</v>
      </c>
    </row>
    <row r="120" spans="1:10" x14ac:dyDescent="0.25">
      <c r="A120" s="611" t="s">
        <v>115</v>
      </c>
      <c r="C120" s="619">
        <f>+C117-C118-C119</f>
        <v>5</v>
      </c>
      <c r="D120" s="619">
        <f>+D119+C120</f>
        <v>359</v>
      </c>
      <c r="E120" s="623">
        <f>'EXHIBIT JDT-3 LCOM'!F64</f>
        <v>0</v>
      </c>
      <c r="F120" s="619">
        <f>+F118+E120</f>
        <v>46068.700000000004</v>
      </c>
      <c r="G120" s="618">
        <f>'EXHIBIT JDT-3 LCOM'!G64</f>
        <v>1.2310989999999999</v>
      </c>
      <c r="H120" s="609">
        <f>ROUND(G120*E120,0)</f>
        <v>0</v>
      </c>
      <c r="I120" s="618">
        <f>'EXHIBIT JDT-3 LCOM'!$J$65</f>
        <v>1.5465</v>
      </c>
      <c r="J120" s="609">
        <f>ROUND(I120*E120,0)</f>
        <v>0</v>
      </c>
    </row>
    <row r="121" spans="1:10" x14ac:dyDescent="0.25">
      <c r="A121" s="611" t="s">
        <v>1</v>
      </c>
      <c r="E121" s="619">
        <f>SUM(E118:E120)</f>
        <v>48306.000000000007</v>
      </c>
      <c r="H121" s="607">
        <f>SUM(H117:H120)</f>
        <v>115396</v>
      </c>
      <c r="J121" s="607">
        <f>SUM(J117:J120)</f>
        <v>139864</v>
      </c>
    </row>
    <row r="122" spans="1:10" x14ac:dyDescent="0.25">
      <c r="E122" s="619"/>
      <c r="H122" s="607"/>
      <c r="J122" s="607"/>
    </row>
    <row r="123" spans="1:10" x14ac:dyDescent="0.25">
      <c r="A123" s="616" t="s">
        <v>427</v>
      </c>
    </row>
    <row r="124" spans="1:10" x14ac:dyDescent="0.25">
      <c r="A124" s="611" t="s">
        <v>398</v>
      </c>
      <c r="C124" s="619">
        <f>'EXHIBIT JDT-3 LCOM'!F79</f>
        <v>430</v>
      </c>
      <c r="G124" s="645">
        <f>'EXHIBIT JDT-3 LCOM'!G79</f>
        <v>121.01</v>
      </c>
      <c r="H124" s="607">
        <f>ROUND(G124*C124,0)</f>
        <v>52034</v>
      </c>
      <c r="I124" s="645">
        <f>'EXHIBIT JDT-3 LCOM'!J79</f>
        <v>181.5</v>
      </c>
      <c r="J124" s="607">
        <f>ROUND(I124*C124,0)</f>
        <v>78045</v>
      </c>
    </row>
    <row r="125" spans="1:10" x14ac:dyDescent="0.25">
      <c r="A125" s="611" t="s">
        <v>407</v>
      </c>
      <c r="B125" s="620">
        <f>B101</f>
        <v>0.88748586505842442</v>
      </c>
      <c r="C125" s="608">
        <f>ROUND(C124*B125,0)</f>
        <v>382</v>
      </c>
      <c r="D125" s="619">
        <f>+C125</f>
        <v>382</v>
      </c>
      <c r="E125" s="619">
        <f>'EXHIBIT JDT-3 LCOM'!F80</f>
        <v>67107.600000000006</v>
      </c>
      <c r="F125" s="619">
        <f>+E125</f>
        <v>67107.600000000006</v>
      </c>
      <c r="G125" s="618">
        <f>'EXHIBIT JDT-3 LCOM'!G80</f>
        <v>1.4947999999999999</v>
      </c>
      <c r="H125" s="607">
        <f>ROUND(G125*E125,0)</f>
        <v>100312</v>
      </c>
      <c r="I125" s="618">
        <f>'EXHIBIT JDT-3 LCOM'!$J$83</f>
        <v>1.5465</v>
      </c>
      <c r="J125" s="607">
        <f>ROUND(I125*E125,0)</f>
        <v>103782</v>
      </c>
    </row>
    <row r="126" spans="1:10" x14ac:dyDescent="0.25">
      <c r="A126" s="625" t="s">
        <v>408</v>
      </c>
      <c r="B126" s="620">
        <f>B102</f>
        <v>0.11044101017715791</v>
      </c>
      <c r="C126" s="608">
        <f>ROUND(C125*B126,0)</f>
        <v>42</v>
      </c>
      <c r="D126" s="619">
        <f>+D125+C126</f>
        <v>424</v>
      </c>
      <c r="E126" s="619">
        <f>'EXHIBIT JDT-3 LCOM'!F81</f>
        <v>33439.699999999997</v>
      </c>
      <c r="F126" s="619">
        <f>+E126</f>
        <v>33439.699999999997</v>
      </c>
      <c r="G126" s="618">
        <f>'EXHIBIT JDT-3 LCOM'!G81</f>
        <v>1.3812</v>
      </c>
      <c r="H126" s="607">
        <f>ROUND(G126*E126,0)</f>
        <v>46187</v>
      </c>
      <c r="I126" s="618">
        <f>'EXHIBIT JDT-3 LCOM'!$J$83</f>
        <v>1.5465</v>
      </c>
      <c r="J126" s="607">
        <f>ROUND(I126*E126,0)</f>
        <v>51714</v>
      </c>
    </row>
    <row r="127" spans="1:10" x14ac:dyDescent="0.25">
      <c r="A127" s="611" t="s">
        <v>115</v>
      </c>
      <c r="C127" s="619">
        <f>+C124-C125-C126</f>
        <v>6</v>
      </c>
      <c r="D127" s="619">
        <f>+D126+C127</f>
        <v>430</v>
      </c>
      <c r="E127" s="623">
        <f>'EXHIBIT JDT-3 LCOM'!F82</f>
        <v>2684.6</v>
      </c>
      <c r="F127" s="619">
        <f>+F125+E127</f>
        <v>69792.200000000012</v>
      </c>
      <c r="G127" s="618">
        <f>'EXHIBIT JDT-3 LCOM'!G82</f>
        <v>1.2310989999999999</v>
      </c>
      <c r="H127" s="609">
        <f>ROUND(G127*E127,0)</f>
        <v>3305</v>
      </c>
      <c r="I127" s="618">
        <f>'EXHIBIT JDT-3 LCOM'!$J$83</f>
        <v>1.5465</v>
      </c>
      <c r="J127" s="609">
        <f>ROUND(I127*E127,0)</f>
        <v>4152</v>
      </c>
    </row>
    <row r="128" spans="1:10" x14ac:dyDescent="0.25">
      <c r="A128" s="611" t="s">
        <v>1</v>
      </c>
      <c r="E128" s="619">
        <f>SUM(E125:E127)</f>
        <v>103231.90000000001</v>
      </c>
      <c r="H128" s="607">
        <f>SUM(H124:H127)</f>
        <v>201838</v>
      </c>
      <c r="J128" s="607">
        <f>SUM(J124:J127)</f>
        <v>237693</v>
      </c>
    </row>
    <row r="129" spans="1:10" x14ac:dyDescent="0.25">
      <c r="E129" s="619"/>
      <c r="H129" s="607"/>
      <c r="J129" s="607"/>
    </row>
    <row r="130" spans="1:10" x14ac:dyDescent="0.25">
      <c r="A130" s="616" t="s">
        <v>429</v>
      </c>
    </row>
    <row r="131" spans="1:10" x14ac:dyDescent="0.25">
      <c r="A131" s="611" t="s">
        <v>398</v>
      </c>
      <c r="C131" s="619">
        <f>'EXHIBIT JDT-3 LCOM'!F99</f>
        <v>24</v>
      </c>
      <c r="G131" s="645">
        <f>'EXHIBIT JDT-3 LCOM'!G99</f>
        <v>121.01</v>
      </c>
      <c r="H131" s="607">
        <f>ROUND(G131*C131,0)</f>
        <v>2904</v>
      </c>
      <c r="I131" s="645">
        <f>'EXHIBIT JDT-3 LCOM'!J99</f>
        <v>181.5</v>
      </c>
      <c r="J131" s="607">
        <f>ROUND(I131*C131,0)</f>
        <v>4356</v>
      </c>
    </row>
    <row r="132" spans="1:10" x14ac:dyDescent="0.25">
      <c r="A132" s="611" t="s">
        <v>170</v>
      </c>
      <c r="B132" s="620">
        <v>1</v>
      </c>
      <c r="C132" s="608">
        <f>ROUND(C131*B132,0)</f>
        <v>24</v>
      </c>
      <c r="D132" s="619">
        <f>+C132</f>
        <v>24</v>
      </c>
      <c r="E132" s="621">
        <f>'EXHIBIT JDT-3 LCOM'!F100</f>
        <v>183396</v>
      </c>
      <c r="F132" s="619">
        <f>+E132</f>
        <v>183396</v>
      </c>
      <c r="G132" s="618">
        <f>'EXHIBIT JDT-3 LCOM'!G100</f>
        <v>1.4161999999999999</v>
      </c>
      <c r="H132" s="609">
        <f>ROUND(G132*E132,0)</f>
        <v>259725</v>
      </c>
      <c r="I132" s="618">
        <f>'EXHIBIT JDT-3 LCOM'!J100</f>
        <v>1.5465</v>
      </c>
      <c r="J132" s="609">
        <f>ROUND(I132*E132,0)</f>
        <v>283622</v>
      </c>
    </row>
    <row r="133" spans="1:10" x14ac:dyDescent="0.25">
      <c r="A133" s="611" t="s">
        <v>1</v>
      </c>
      <c r="E133" s="619">
        <f>SUM(E132:E132)</f>
        <v>183396</v>
      </c>
      <c r="H133" s="607">
        <f>SUM(H131:H132)</f>
        <v>262629</v>
      </c>
      <c r="J133" s="607">
        <f>SUM(J131:J132)</f>
        <v>287978</v>
      </c>
    </row>
    <row r="134" spans="1:10" x14ac:dyDescent="0.25">
      <c r="E134" s="619"/>
      <c r="H134" s="607"/>
      <c r="J134" s="607"/>
    </row>
    <row r="135" spans="1:10" x14ac:dyDescent="0.25">
      <c r="A135" s="616" t="s">
        <v>427</v>
      </c>
    </row>
    <row r="136" spans="1:10" x14ac:dyDescent="0.25">
      <c r="A136" s="611" t="s">
        <v>398</v>
      </c>
      <c r="C136" s="619">
        <f>'EXHIBIT JDT-3 LCOM'!F113</f>
        <v>24</v>
      </c>
      <c r="G136" s="645">
        <f>'EXHIBIT JDT-3 LCOM'!G113</f>
        <v>121.01</v>
      </c>
      <c r="H136" s="607">
        <f>ROUND(G136*C136,0)</f>
        <v>2904</v>
      </c>
      <c r="I136" s="645">
        <f>'EXHIBIT JDT-3 LCOM'!J113</f>
        <v>181.5</v>
      </c>
      <c r="J136" s="607">
        <f>ROUND(I136*C136,0)</f>
        <v>4356</v>
      </c>
    </row>
    <row r="137" spans="1:10" x14ac:dyDescent="0.25">
      <c r="A137" s="611" t="s">
        <v>407</v>
      </c>
      <c r="B137" s="620">
        <f>B125</f>
        <v>0.88748586505842442</v>
      </c>
      <c r="C137" s="608">
        <f>ROUND(C136*B137,0)</f>
        <v>21</v>
      </c>
      <c r="D137" s="619">
        <f>+C137</f>
        <v>21</v>
      </c>
      <c r="E137" s="619">
        <f>'EXHIBIT JDT-3 LCOM'!F114</f>
        <v>3942</v>
      </c>
      <c r="F137" s="619">
        <f>+E137</f>
        <v>3942</v>
      </c>
      <c r="G137" s="618">
        <f>'EXHIBIT JDT-3 LCOM'!G114</f>
        <v>1.4947999999999999</v>
      </c>
      <c r="H137" s="607">
        <f>ROUND(G137*E137,0)</f>
        <v>5893</v>
      </c>
      <c r="I137" s="618">
        <f>'EXHIBIT JDT-3 LCOM'!$J$117</f>
        <v>1.5465</v>
      </c>
      <c r="J137" s="607">
        <f>ROUND(I137*E137,0)</f>
        <v>6096</v>
      </c>
    </row>
    <row r="138" spans="1:10" x14ac:dyDescent="0.25">
      <c r="A138" s="625" t="s">
        <v>408</v>
      </c>
      <c r="B138" s="620">
        <f>B126</f>
        <v>0.11044101017715791</v>
      </c>
      <c r="C138" s="608">
        <f>ROUND(C137*B138,0)</f>
        <v>2</v>
      </c>
      <c r="D138" s="619">
        <f>+D137+C138</f>
        <v>23</v>
      </c>
      <c r="E138" s="619">
        <f>'EXHIBIT JDT-3 LCOM'!F115</f>
        <v>740</v>
      </c>
      <c r="F138" s="619">
        <f>+E138</f>
        <v>740</v>
      </c>
      <c r="G138" s="618">
        <f>'EXHIBIT JDT-3 LCOM'!G115</f>
        <v>1.3812</v>
      </c>
      <c r="H138" s="607">
        <f>ROUND(G138*E138,0)</f>
        <v>1022</v>
      </c>
      <c r="I138" s="618">
        <f>'EXHIBIT JDT-3 LCOM'!$J$117</f>
        <v>1.5465</v>
      </c>
      <c r="J138" s="607">
        <f>ROUND(I138*E138,0)</f>
        <v>1144</v>
      </c>
    </row>
    <row r="139" spans="1:10" x14ac:dyDescent="0.25">
      <c r="A139" s="611" t="s">
        <v>115</v>
      </c>
      <c r="C139" s="619">
        <f>+C136-C137-C138</f>
        <v>1</v>
      </c>
      <c r="D139" s="619">
        <f>+D138+C139</f>
        <v>24</v>
      </c>
      <c r="E139" s="621">
        <f>'EXHIBIT JDT-3 LCOM'!F116</f>
        <v>0</v>
      </c>
      <c r="F139" s="619">
        <f>+F137+E139</f>
        <v>3942</v>
      </c>
      <c r="G139" s="618">
        <f>'EXHIBIT JDT-3 LCOM'!G116</f>
        <v>1.2310989999999999</v>
      </c>
      <c r="H139" s="609">
        <f>ROUND(G139*E139,0)</f>
        <v>0</v>
      </c>
      <c r="I139" s="618">
        <f>'EXHIBIT JDT-3 LCOM'!$J$117</f>
        <v>1.5465</v>
      </c>
      <c r="J139" s="609">
        <f>ROUND(I139*E139,0)</f>
        <v>0</v>
      </c>
    </row>
    <row r="140" spans="1:10" x14ac:dyDescent="0.25">
      <c r="A140" s="611" t="s">
        <v>1</v>
      </c>
      <c r="E140" s="619">
        <f>SUM(E137:E139)</f>
        <v>4682</v>
      </c>
      <c r="H140" s="607">
        <f>SUM(H136:H139)</f>
        <v>9819</v>
      </c>
      <c r="J140" s="607">
        <f>SUM(J136:J139)</f>
        <v>11596</v>
      </c>
    </row>
    <row r="141" spans="1:10" x14ac:dyDescent="0.25">
      <c r="E141" s="619"/>
      <c r="H141" s="607"/>
      <c r="J141" s="607"/>
    </row>
    <row r="142" spans="1:10" x14ac:dyDescent="0.25">
      <c r="A142" s="616" t="s">
        <v>430</v>
      </c>
    </row>
    <row r="143" spans="1:10" x14ac:dyDescent="0.25">
      <c r="A143" s="611" t="s">
        <v>398</v>
      </c>
      <c r="C143" s="619">
        <f>'EXHIBIT JDT-3 LCOM'!F131</f>
        <v>3389</v>
      </c>
      <c r="G143" s="645">
        <f>'EXHIBIT JDT-3 LCOM'!G131</f>
        <v>121.01</v>
      </c>
      <c r="H143" s="607">
        <f>ROUND(G143*C143,0)</f>
        <v>410103</v>
      </c>
      <c r="I143" s="645">
        <f>'EXHIBIT JDT-3 LCOM'!J131</f>
        <v>181.5</v>
      </c>
      <c r="J143" s="607">
        <f>ROUND(I143*C143,0)</f>
        <v>615104</v>
      </c>
    </row>
    <row r="144" spans="1:10" x14ac:dyDescent="0.25">
      <c r="A144" s="611" t="s">
        <v>170</v>
      </c>
      <c r="B144" s="620">
        <v>1</v>
      </c>
      <c r="C144" s="608">
        <f>ROUND(C143*B144,0)</f>
        <v>3389</v>
      </c>
      <c r="D144" s="619">
        <f>+C144</f>
        <v>3389</v>
      </c>
      <c r="E144" s="621">
        <f>'EXHIBIT JDT-3 LCOM'!F132</f>
        <v>1942245</v>
      </c>
      <c r="F144" s="619">
        <f>+E144</f>
        <v>1942245</v>
      </c>
      <c r="G144" s="618">
        <f>'EXHIBIT JDT-3 LCOM'!G132</f>
        <v>1.4361999999999999</v>
      </c>
      <c r="H144" s="609">
        <f>ROUND(G144*E144,0)</f>
        <v>2789452</v>
      </c>
      <c r="I144" s="618">
        <f>'EXHIBIT JDT-3 LCOM'!J132</f>
        <v>1.5465</v>
      </c>
      <c r="J144" s="609">
        <f>ROUND(I144*E144,0)</f>
        <v>3003682</v>
      </c>
    </row>
    <row r="145" spans="1:10" x14ac:dyDescent="0.25">
      <c r="A145" s="611" t="s">
        <v>1</v>
      </c>
      <c r="E145" s="619">
        <f>SUM(E144:E144)</f>
        <v>1942245</v>
      </c>
      <c r="H145" s="607">
        <f>SUM(H143:H144)</f>
        <v>3199555</v>
      </c>
      <c r="J145" s="607">
        <f>SUM(J143:J144)</f>
        <v>3618786</v>
      </c>
    </row>
    <row r="146" spans="1:10" x14ac:dyDescent="0.25">
      <c r="E146" s="619"/>
      <c r="H146" s="607"/>
      <c r="J146" s="607"/>
    </row>
    <row r="147" spans="1:10" x14ac:dyDescent="0.25">
      <c r="A147" s="364" t="s">
        <v>293</v>
      </c>
      <c r="E147" s="619"/>
      <c r="H147" s="607"/>
      <c r="J147" s="607"/>
    </row>
    <row r="148" spans="1:10" x14ac:dyDescent="0.25">
      <c r="A148" s="611" t="s">
        <v>398</v>
      </c>
      <c r="C148" s="619">
        <f>'EXHIBIT JDT-3 LCOM'!F174</f>
        <v>96</v>
      </c>
      <c r="G148" s="645">
        <f>'EXHIBIT JDT-3 LCOM'!G174</f>
        <v>0</v>
      </c>
      <c r="H148" s="607">
        <f>ROUND(G148*C148,0)</f>
        <v>0</v>
      </c>
      <c r="I148" s="645">
        <f>'EXHIBIT JDT-3 LCOM'!J174</f>
        <v>0</v>
      </c>
      <c r="J148" s="607">
        <f>ROUND(I148*C148,0)</f>
        <v>0</v>
      </c>
    </row>
    <row r="149" spans="1:10" x14ac:dyDescent="0.25">
      <c r="A149" s="611" t="s">
        <v>170</v>
      </c>
      <c r="B149" s="620">
        <v>1</v>
      </c>
      <c r="C149" s="608">
        <f>ROUND(C148*B149,0)</f>
        <v>96</v>
      </c>
      <c r="D149" s="619">
        <f>+C149</f>
        <v>96</v>
      </c>
      <c r="E149" s="621">
        <f>'EXHIBIT JDT-3 LCOM'!F175</f>
        <v>123192</v>
      </c>
      <c r="F149" s="619">
        <f>+E149</f>
        <v>123192</v>
      </c>
      <c r="G149" s="618">
        <f>'EXHIBIT JDT-3 LCOM'!G175</f>
        <v>0.3</v>
      </c>
      <c r="H149" s="609">
        <f>ROUND(G149*E149,0)</f>
        <v>36958</v>
      </c>
      <c r="I149" s="618">
        <f>'EXHIBIT JDT-3 LCOM'!J175</f>
        <v>0.35189999999999999</v>
      </c>
      <c r="J149" s="609">
        <f>ROUND(I149*E149,0)</f>
        <v>43351</v>
      </c>
    </row>
    <row r="150" spans="1:10" x14ac:dyDescent="0.25">
      <c r="A150" s="611" t="s">
        <v>1</v>
      </c>
      <c r="E150" s="619">
        <f>SUM(E149:E149)</f>
        <v>123192</v>
      </c>
      <c r="H150" s="607">
        <f>SUM(H148:H149)</f>
        <v>36958</v>
      </c>
      <c r="J150" s="607">
        <f>SUM(J148:J149)</f>
        <v>43351</v>
      </c>
    </row>
    <row r="151" spans="1:10" x14ac:dyDescent="0.25">
      <c r="E151" s="619"/>
      <c r="H151" s="607"/>
      <c r="J151" s="607"/>
    </row>
    <row r="152" spans="1:10" x14ac:dyDescent="0.25">
      <c r="A152" s="616" t="s">
        <v>66</v>
      </c>
    </row>
    <row r="153" spans="1:10" x14ac:dyDescent="0.25">
      <c r="A153" s="611" t="s">
        <v>398</v>
      </c>
      <c r="C153" s="619">
        <f>'EXHIBIT JDT-3 IND'!F12</f>
        <v>1333</v>
      </c>
      <c r="G153" s="645">
        <f>'EXHIBIT JDT-3 IND'!G12</f>
        <v>65.599999999999994</v>
      </c>
      <c r="H153" s="607">
        <f>ROUND(G153*C153,0)</f>
        <v>87445</v>
      </c>
      <c r="I153" s="645">
        <f>'EXHIBIT JDT-3 IND'!J12</f>
        <v>98.5</v>
      </c>
      <c r="J153" s="607">
        <f>ROUND(I153*C153,0)</f>
        <v>131301</v>
      </c>
    </row>
    <row r="154" spans="1:10" x14ac:dyDescent="0.25">
      <c r="A154" s="611" t="s">
        <v>170</v>
      </c>
      <c r="B154" s="617">
        <v>1</v>
      </c>
      <c r="C154" s="608">
        <f>ROUND(C153*B154,0)</f>
        <v>1333</v>
      </c>
      <c r="D154" s="619">
        <f>+C154</f>
        <v>1333</v>
      </c>
      <c r="E154" s="623">
        <f>'EXHIBIT JDT-3 IND'!F13</f>
        <v>51040</v>
      </c>
      <c r="F154" s="619">
        <f>+E154</f>
        <v>51040</v>
      </c>
      <c r="G154" s="618">
        <f>'EXHIBIT JDT-3 IND'!G13</f>
        <v>2.0531000000000001</v>
      </c>
      <c r="H154" s="609">
        <f>ROUND(G154*E154,0)</f>
        <v>104790</v>
      </c>
      <c r="I154" s="618">
        <f>'EXHIBIT JDT-3 IND'!J13</f>
        <v>1.8742000000000001</v>
      </c>
      <c r="J154" s="609">
        <f>ROUND(I154*E154,0)</f>
        <v>95659</v>
      </c>
    </row>
    <row r="155" spans="1:10" x14ac:dyDescent="0.25">
      <c r="A155" s="611" t="s">
        <v>1</v>
      </c>
      <c r="E155" s="619">
        <f>SUM(E154)</f>
        <v>51040</v>
      </c>
      <c r="H155" s="622">
        <f>SUM(H153:H154)</f>
        <v>192235</v>
      </c>
      <c r="J155" s="622">
        <f>SUM(J153:J154)</f>
        <v>226960</v>
      </c>
    </row>
    <row r="156" spans="1:10" x14ac:dyDescent="0.25">
      <c r="H156" s="622"/>
      <c r="J156" s="622"/>
    </row>
    <row r="157" spans="1:10" x14ac:dyDescent="0.25">
      <c r="A157" s="616" t="s">
        <v>431</v>
      </c>
    </row>
    <row r="158" spans="1:10" x14ac:dyDescent="0.25">
      <c r="A158" s="611" t="s">
        <v>398</v>
      </c>
      <c r="C158" s="619">
        <f>'EXHIBIT JDT-3 IND'!F29</f>
        <v>744</v>
      </c>
      <c r="G158" s="645">
        <f>'EXHIBIT JDT-3 IND'!G29</f>
        <v>65.599999999999994</v>
      </c>
      <c r="H158" s="607">
        <f>ROUND(G158*C158,0)</f>
        <v>48806</v>
      </c>
      <c r="I158" s="645">
        <f>'EXHIBIT JDT-3 IND'!J29</f>
        <v>98.5</v>
      </c>
      <c r="J158" s="607">
        <f>ROUND(I158*C158,0)</f>
        <v>73284</v>
      </c>
    </row>
    <row r="159" spans="1:10" x14ac:dyDescent="0.25">
      <c r="A159" s="611" t="s">
        <v>170</v>
      </c>
      <c r="B159" s="617">
        <f>B154</f>
        <v>1</v>
      </c>
      <c r="C159" s="608">
        <f>ROUND(C158*B159,0)</f>
        <v>744</v>
      </c>
      <c r="D159" s="619">
        <f>+C159</f>
        <v>744</v>
      </c>
      <c r="E159" s="623">
        <f>'EXHIBIT JDT-3 IND'!F30</f>
        <v>35974</v>
      </c>
      <c r="F159" s="619">
        <f>+E159</f>
        <v>35974</v>
      </c>
      <c r="G159" s="618">
        <f>'EXHIBIT JDT-3 IND'!G30</f>
        <v>2.1857000000000002</v>
      </c>
      <c r="H159" s="609">
        <f>ROUND(G159*E159,0)</f>
        <v>78628</v>
      </c>
      <c r="I159" s="618">
        <f>'EXHIBIT JDT-3 IND'!J30</f>
        <v>1.8742000000000001</v>
      </c>
      <c r="J159" s="609">
        <f>ROUND(I159*E159,0)</f>
        <v>67422</v>
      </c>
    </row>
    <row r="160" spans="1:10" x14ac:dyDescent="0.25">
      <c r="A160" s="611" t="s">
        <v>1</v>
      </c>
      <c r="E160" s="619">
        <f>SUM(E159)</f>
        <v>35974</v>
      </c>
      <c r="H160" s="622">
        <f>SUM(H158:H159)</f>
        <v>127434</v>
      </c>
      <c r="J160" s="622">
        <f>SUM(J158:J159)</f>
        <v>140706</v>
      </c>
    </row>
    <row r="161" spans="1:10" x14ac:dyDescent="0.25">
      <c r="H161" s="622"/>
      <c r="J161" s="622"/>
    </row>
    <row r="162" spans="1:10" x14ac:dyDescent="0.25">
      <c r="A162" s="616" t="s">
        <v>432</v>
      </c>
    </row>
    <row r="163" spans="1:10" x14ac:dyDescent="0.25">
      <c r="A163" s="611" t="s">
        <v>398</v>
      </c>
      <c r="C163" s="619">
        <f>'EXHIBIT JDT-3 IND'!F43</f>
        <v>216</v>
      </c>
      <c r="G163" s="645">
        <f>'EXHIBIT JDT-3 IND'!G43</f>
        <v>65.599999999999994</v>
      </c>
      <c r="H163" s="607">
        <f>ROUND(G163*C163,0)</f>
        <v>14170</v>
      </c>
      <c r="I163" s="645">
        <f>'EXHIBIT JDT-3 IND'!J43</f>
        <v>98.5</v>
      </c>
      <c r="J163" s="607">
        <f>ROUND(I163*C163,0)</f>
        <v>21276</v>
      </c>
    </row>
    <row r="164" spans="1:10" x14ac:dyDescent="0.25">
      <c r="A164" s="611" t="s">
        <v>170</v>
      </c>
      <c r="B164" s="617">
        <f>B159</f>
        <v>1</v>
      </c>
      <c r="C164" s="608">
        <f>ROUND(C163*B164,0)</f>
        <v>216</v>
      </c>
      <c r="D164" s="619">
        <f>+C164</f>
        <v>216</v>
      </c>
      <c r="E164" s="623">
        <f>'EXHIBIT JDT-3 IND'!F44</f>
        <v>8406</v>
      </c>
      <c r="F164" s="619">
        <f>+E164</f>
        <v>8406</v>
      </c>
      <c r="G164" s="618">
        <f>'EXHIBIT JDT-3 IND'!G44</f>
        <v>2.0531000000000001</v>
      </c>
      <c r="H164" s="609">
        <f>ROUND(G164*E164,0)</f>
        <v>17258</v>
      </c>
      <c r="I164" s="618">
        <f>'EXHIBIT JDT-3 IND'!J44</f>
        <v>1.8742000000000001</v>
      </c>
      <c r="J164" s="609">
        <f>ROUND(I164*E164,0)</f>
        <v>15755</v>
      </c>
    </row>
    <row r="165" spans="1:10" x14ac:dyDescent="0.25">
      <c r="A165" s="611" t="s">
        <v>1</v>
      </c>
      <c r="E165" s="619">
        <f>SUM(E164)</f>
        <v>8406</v>
      </c>
      <c r="H165" s="622">
        <f>SUM(H163:H164)</f>
        <v>31428</v>
      </c>
      <c r="J165" s="622">
        <f>SUM(J163:J164)</f>
        <v>37031</v>
      </c>
    </row>
    <row r="166" spans="1:10" x14ac:dyDescent="0.25">
      <c r="H166" s="622"/>
      <c r="J166" s="622"/>
    </row>
    <row r="167" spans="1:10" x14ac:dyDescent="0.25">
      <c r="A167" s="627" t="s">
        <v>73</v>
      </c>
    </row>
    <row r="168" spans="1:10" x14ac:dyDescent="0.25">
      <c r="A168" s="611" t="s">
        <v>398</v>
      </c>
      <c r="C168" s="619">
        <f>'EXHIBIT JDT-3 IND'!F88</f>
        <v>669</v>
      </c>
      <c r="G168" s="645">
        <f>'EXHIBIT JDT-3 IND'!G88</f>
        <v>201.91</v>
      </c>
      <c r="H168" s="607">
        <f>ROUND(G168*C168,0)</f>
        <v>135078</v>
      </c>
      <c r="I168" s="645">
        <f>'EXHIBIT JDT-3 IND'!J88</f>
        <v>303</v>
      </c>
      <c r="J168" s="607">
        <f>ROUND(I168*C168,0)</f>
        <v>202707</v>
      </c>
    </row>
    <row r="169" spans="1:10" x14ac:dyDescent="0.25">
      <c r="A169" s="611" t="s">
        <v>409</v>
      </c>
      <c r="B169" s="620">
        <v>0.48979591836734693</v>
      </c>
      <c r="C169" s="608">
        <f>ROUND(C168*B169,0)</f>
        <v>328</v>
      </c>
      <c r="D169" s="619">
        <f>+C169</f>
        <v>328</v>
      </c>
      <c r="E169" s="619">
        <f>'EXHIBIT JDT-3 IND'!F89</f>
        <v>42803</v>
      </c>
      <c r="F169" s="619">
        <f>+E169</f>
        <v>42803</v>
      </c>
      <c r="G169" s="618">
        <f>'EXHIBIT JDT-3 IND'!G89</f>
        <v>1.4947999999999999</v>
      </c>
      <c r="H169" s="607">
        <f>ROUND(G169*E169,0)</f>
        <v>63982</v>
      </c>
      <c r="I169" s="618">
        <f>'EXHIBIT JDT-3 IND'!$J$92</f>
        <v>1.1675</v>
      </c>
      <c r="J169" s="607">
        <f>ROUND(I169*E169,0)</f>
        <v>49973</v>
      </c>
    </row>
    <row r="170" spans="1:10" x14ac:dyDescent="0.25">
      <c r="A170" s="625" t="s">
        <v>410</v>
      </c>
      <c r="B170" s="620">
        <v>0.49416909620991256</v>
      </c>
      <c r="C170" s="608">
        <f>ROUND(C169*B170,0)</f>
        <v>162</v>
      </c>
      <c r="D170" s="619">
        <f>+D169+C170</f>
        <v>490</v>
      </c>
      <c r="E170" s="619">
        <f>'EXHIBIT JDT-3 IND'!F90</f>
        <v>123969.8</v>
      </c>
      <c r="F170" s="619">
        <f>+E170</f>
        <v>123969.8</v>
      </c>
      <c r="G170" s="618">
        <f>'EXHIBIT JDT-3 IND'!G90</f>
        <v>1.0999000000000001</v>
      </c>
      <c r="H170" s="607">
        <f>ROUND(G170*E170,0)</f>
        <v>136354</v>
      </c>
      <c r="I170" s="618">
        <f>'EXHIBIT JDT-3 IND'!$J$92</f>
        <v>1.1675</v>
      </c>
      <c r="J170" s="607">
        <f>ROUND(I170*E170,0)</f>
        <v>144735</v>
      </c>
    </row>
    <row r="171" spans="1:10" x14ac:dyDescent="0.25">
      <c r="A171" s="611" t="s">
        <v>115</v>
      </c>
      <c r="C171" s="619">
        <f>+C168-C169-C170</f>
        <v>179</v>
      </c>
      <c r="D171" s="619">
        <f>+D170+C171</f>
        <v>669</v>
      </c>
      <c r="E171" s="623">
        <f>'EXHIBIT JDT-3 IND'!F91</f>
        <v>20237.099999999999</v>
      </c>
      <c r="F171" s="619">
        <f>+F169+E171</f>
        <v>63040.1</v>
      </c>
      <c r="G171" s="618">
        <f>'EXHIBIT JDT-3 IND'!G91</f>
        <v>0.79079999999999995</v>
      </c>
      <c r="H171" s="609">
        <f>ROUND(G171*E171,0)</f>
        <v>16003</v>
      </c>
      <c r="I171" s="618">
        <f>'EXHIBIT JDT-3 IND'!$J$92</f>
        <v>1.1675</v>
      </c>
      <c r="J171" s="609">
        <f>ROUND(I171*E171,0)</f>
        <v>23627</v>
      </c>
    </row>
    <row r="172" spans="1:10" x14ac:dyDescent="0.25">
      <c r="A172" s="611" t="s">
        <v>1</v>
      </c>
      <c r="E172" s="619">
        <f>SUM(E169:E171)</f>
        <v>187009.9</v>
      </c>
      <c r="H172" s="607">
        <f>SUM(H168:H171)</f>
        <v>351417</v>
      </c>
      <c r="J172" s="607">
        <f>SUM(J168:J171)</f>
        <v>421042</v>
      </c>
    </row>
    <row r="174" spans="1:10" x14ac:dyDescent="0.25">
      <c r="A174" s="616" t="s">
        <v>433</v>
      </c>
    </row>
    <row r="175" spans="1:10" x14ac:dyDescent="0.25">
      <c r="A175" s="611" t="s">
        <v>398</v>
      </c>
      <c r="C175" s="619">
        <f>'EXHIBIT JDT-3 IND'!F108</f>
        <v>3275</v>
      </c>
      <c r="G175" s="645">
        <f>'EXHIBIT JDT-3 IND'!G108</f>
        <v>201.91</v>
      </c>
      <c r="H175" s="607">
        <f>ROUND(G175*C175,0)</f>
        <v>661255</v>
      </c>
      <c r="I175" s="645">
        <f>'EXHIBIT JDT-3 IND'!J108</f>
        <v>303</v>
      </c>
      <c r="J175" s="607">
        <f>ROUND(I175*C175,0)</f>
        <v>992325</v>
      </c>
    </row>
    <row r="176" spans="1:10" x14ac:dyDescent="0.25">
      <c r="A176" s="611" t="s">
        <v>170</v>
      </c>
      <c r="B176" s="617">
        <v>1</v>
      </c>
      <c r="C176" s="608">
        <f>ROUND(C175*B176,0)</f>
        <v>3275</v>
      </c>
      <c r="D176" s="619">
        <f>+C176</f>
        <v>3275</v>
      </c>
      <c r="E176" s="623">
        <f>'EXHIBIT JDT-3 IND'!F109</f>
        <v>2358513</v>
      </c>
      <c r="F176" s="619">
        <f>+E176</f>
        <v>2358513</v>
      </c>
      <c r="G176" s="618">
        <f>'EXHIBIT JDT-3 IND'!G109</f>
        <v>1.0904</v>
      </c>
      <c r="H176" s="609">
        <f>ROUND(G176*E176,0)</f>
        <v>2571723</v>
      </c>
      <c r="I176" s="618">
        <f>'EXHIBIT JDT-3 IND'!J109</f>
        <v>1.1675</v>
      </c>
      <c r="J176" s="609">
        <f>ROUND(I176*E176,0)</f>
        <v>2753564</v>
      </c>
    </row>
    <row r="177" spans="1:10" x14ac:dyDescent="0.25">
      <c r="A177" s="611" t="s">
        <v>1</v>
      </c>
      <c r="E177" s="619">
        <f>SUM(E176)</f>
        <v>2358513</v>
      </c>
      <c r="H177" s="622">
        <f>SUM(H175:H176)</f>
        <v>3232978</v>
      </c>
      <c r="J177" s="622">
        <f>SUM(J175:J176)</f>
        <v>3745889</v>
      </c>
    </row>
    <row r="179" spans="1:10" x14ac:dyDescent="0.25">
      <c r="A179" s="616" t="s">
        <v>434</v>
      </c>
    </row>
    <row r="180" spans="1:10" x14ac:dyDescent="0.25">
      <c r="A180" s="611" t="s">
        <v>398</v>
      </c>
      <c r="C180" s="619">
        <f>'EXHIBIT JDT-3 IND'!F122</f>
        <v>240</v>
      </c>
      <c r="G180" s="645">
        <f>'EXHIBIT JDT-3 IND'!G122</f>
        <v>201.91</v>
      </c>
      <c r="H180" s="607">
        <f>ROUND(G180*C180,0)</f>
        <v>48458</v>
      </c>
      <c r="I180" s="645">
        <f>'EXHIBIT JDT-3 IND'!J122</f>
        <v>303</v>
      </c>
      <c r="J180" s="607">
        <f>ROUND(I180*C180,0)</f>
        <v>72720</v>
      </c>
    </row>
    <row r="181" spans="1:10" x14ac:dyDescent="0.25">
      <c r="A181" s="611" t="s">
        <v>170</v>
      </c>
      <c r="B181" s="617">
        <v>1</v>
      </c>
      <c r="C181" s="608">
        <f>ROUND(C180*B181,0)</f>
        <v>240</v>
      </c>
      <c r="D181" s="619">
        <f>+C181</f>
        <v>240</v>
      </c>
      <c r="E181" s="623">
        <f>'EXHIBIT JDT-3 IND'!F123</f>
        <v>557980</v>
      </c>
      <c r="F181" s="619">
        <f>+E181</f>
        <v>557980</v>
      </c>
      <c r="G181" s="618">
        <f>'EXHIBIT JDT-3 IND'!G123</f>
        <v>1.0704</v>
      </c>
      <c r="H181" s="609">
        <f>ROUND(G181*E181,0)</f>
        <v>597262</v>
      </c>
      <c r="I181" s="618">
        <f>'EXHIBIT JDT-3 IND'!J123</f>
        <v>1.1675</v>
      </c>
      <c r="J181" s="609">
        <f>ROUND(I181*E181,0)</f>
        <v>651442</v>
      </c>
    </row>
    <row r="182" spans="1:10" x14ac:dyDescent="0.25">
      <c r="A182" s="611" t="s">
        <v>1</v>
      </c>
      <c r="E182" s="619">
        <f>SUM(E181)</f>
        <v>557980</v>
      </c>
      <c r="H182" s="622">
        <f>SUM(H180:H181)</f>
        <v>645720</v>
      </c>
      <c r="J182" s="622">
        <f>SUM(J180:J181)</f>
        <v>724162</v>
      </c>
    </row>
    <row r="184" spans="1:10" x14ac:dyDescent="0.25">
      <c r="A184" s="627" t="s">
        <v>435</v>
      </c>
    </row>
    <row r="185" spans="1:10" x14ac:dyDescent="0.25">
      <c r="A185" s="611" t="s">
        <v>398</v>
      </c>
      <c r="C185" s="619">
        <f>'EXHIBIT JDT-3 IND'!F136</f>
        <v>24</v>
      </c>
      <c r="G185" s="645">
        <f>'EXHIBIT JDT-3 IND'!G136</f>
        <v>201.91</v>
      </c>
      <c r="H185" s="607">
        <f>ROUND(G185*C185,0)</f>
        <v>4846</v>
      </c>
      <c r="I185" s="645">
        <f>'EXHIBIT JDT-3 IND'!J136</f>
        <v>303</v>
      </c>
      <c r="J185" s="607">
        <f>ROUND(I185*C185,0)</f>
        <v>7272</v>
      </c>
    </row>
    <row r="186" spans="1:10" x14ac:dyDescent="0.25">
      <c r="A186" s="611" t="s">
        <v>409</v>
      </c>
      <c r="B186" s="620">
        <f>B169</f>
        <v>0.48979591836734693</v>
      </c>
      <c r="C186" s="608">
        <f>ROUND(C185*B186,0)</f>
        <v>12</v>
      </c>
      <c r="D186" s="619">
        <f>+C186</f>
        <v>12</v>
      </c>
      <c r="E186" s="619">
        <f>'EXHIBIT JDT-3 IND'!F137</f>
        <v>1495.6000000000001</v>
      </c>
      <c r="F186" s="619">
        <f>+E186</f>
        <v>1495.6000000000001</v>
      </c>
      <c r="G186" s="618">
        <f>'EXHIBIT JDT-3 IND'!G137</f>
        <v>1.4947999999999999</v>
      </c>
      <c r="H186" s="607">
        <f>ROUND(G186*E186,0)</f>
        <v>2236</v>
      </c>
      <c r="I186" s="618">
        <f>'EXHIBIT JDT-3 IND'!$J$140</f>
        <v>1.1675</v>
      </c>
      <c r="J186" s="607">
        <f>ROUND(I186*E186,0)</f>
        <v>1746</v>
      </c>
    </row>
    <row r="187" spans="1:10" x14ac:dyDescent="0.25">
      <c r="A187" s="625" t="s">
        <v>410</v>
      </c>
      <c r="B187" s="620">
        <f>B170</f>
        <v>0.49416909620991256</v>
      </c>
      <c r="C187" s="608">
        <f>ROUND(C186*B187,0)</f>
        <v>6</v>
      </c>
      <c r="D187" s="619">
        <f>+D186+C187</f>
        <v>18</v>
      </c>
      <c r="E187" s="619">
        <f>'EXHIBIT JDT-3 IND'!F138</f>
        <v>934.4</v>
      </c>
      <c r="F187" s="619">
        <f>+E187</f>
        <v>934.4</v>
      </c>
      <c r="G187" s="618">
        <f>'EXHIBIT JDT-3 IND'!G138</f>
        <v>1.0999000000000001</v>
      </c>
      <c r="H187" s="607">
        <f>ROUND(G187*E187,0)</f>
        <v>1028</v>
      </c>
      <c r="I187" s="618">
        <f>'EXHIBIT JDT-3 IND'!$J$140</f>
        <v>1.1675</v>
      </c>
      <c r="J187" s="607">
        <f>ROUND(I187*E187,0)</f>
        <v>1091</v>
      </c>
    </row>
    <row r="188" spans="1:10" x14ac:dyDescent="0.25">
      <c r="A188" s="611" t="s">
        <v>115</v>
      </c>
      <c r="C188" s="619">
        <f>+C185-C186-C187</f>
        <v>6</v>
      </c>
      <c r="D188" s="619">
        <f>+D187+C188</f>
        <v>24</v>
      </c>
      <c r="E188" s="623">
        <f>'EXHIBIT JDT-3 IND'!F139</f>
        <v>0</v>
      </c>
      <c r="F188" s="619">
        <f>+F186+E188</f>
        <v>1495.6000000000001</v>
      </c>
      <c r="G188" s="618">
        <f>'EXHIBIT JDT-3 IND'!G139</f>
        <v>0.79079999999999995</v>
      </c>
      <c r="H188" s="609">
        <f>ROUND(G188*E188,0)</f>
        <v>0</v>
      </c>
      <c r="I188" s="618">
        <f>'EXHIBIT JDT-3 IND'!$J$140</f>
        <v>1.1675</v>
      </c>
      <c r="J188" s="609">
        <f>ROUND(I188*E188,0)</f>
        <v>0</v>
      </c>
    </row>
    <row r="189" spans="1:10" x14ac:dyDescent="0.25">
      <c r="A189" s="611" t="s">
        <v>1</v>
      </c>
      <c r="E189" s="619">
        <f>SUM(E186:E188)</f>
        <v>2430</v>
      </c>
      <c r="H189" s="607">
        <f>SUM(H185:H188)</f>
        <v>8110</v>
      </c>
      <c r="J189" s="607">
        <f>SUM(J185:J188)</f>
        <v>10109</v>
      </c>
    </row>
    <row r="191" spans="1:10" x14ac:dyDescent="0.25">
      <c r="A191" s="616" t="s">
        <v>436</v>
      </c>
    </row>
    <row r="192" spans="1:10" x14ac:dyDescent="0.25">
      <c r="A192" s="611" t="s">
        <v>398</v>
      </c>
      <c r="C192" s="619">
        <f>'EXHIBIT JDT-3 IND'!F184</f>
        <v>96</v>
      </c>
      <c r="G192" s="645">
        <f>'EXHIBIT JDT-3 IND'!G184</f>
        <v>809</v>
      </c>
      <c r="H192" s="607">
        <f>ROUND(G192*C192,0)</f>
        <v>77664</v>
      </c>
      <c r="I192" s="645">
        <f>'EXHIBIT JDT-3 IND'!J184</f>
        <v>1213.5</v>
      </c>
      <c r="J192" s="607">
        <f>ROUND(I192*C192,0)</f>
        <v>116496</v>
      </c>
    </row>
    <row r="193" spans="1:10" x14ac:dyDescent="0.25">
      <c r="A193" s="611" t="s">
        <v>170</v>
      </c>
      <c r="B193" s="620">
        <v>1</v>
      </c>
      <c r="C193" s="608">
        <f>ROUND(C192*B193,0)</f>
        <v>96</v>
      </c>
      <c r="D193" s="619">
        <f>+C193</f>
        <v>96</v>
      </c>
      <c r="E193" s="623">
        <f>'EXHIBIT JDT-3 IND'!F185</f>
        <v>562221.34570941317</v>
      </c>
      <c r="F193" s="619">
        <f>+E193</f>
        <v>562221.34570941317</v>
      </c>
      <c r="G193" s="618">
        <f>'EXHIBIT JDT-3 IND'!G185</f>
        <v>0.8286</v>
      </c>
      <c r="H193" s="610">
        <f>ROUND(G193*E193,0)</f>
        <v>465857</v>
      </c>
      <c r="I193" s="618">
        <f>'EXHIBIT JDT-3 IND'!J185</f>
        <v>0.90549999999999997</v>
      </c>
      <c r="J193" s="610">
        <f>ROUND(I193*E193,0)</f>
        <v>509091</v>
      </c>
    </row>
    <row r="194" spans="1:10" x14ac:dyDescent="0.25">
      <c r="A194" s="611" t="s">
        <v>1</v>
      </c>
      <c r="E194" s="619">
        <f>SUM(E193:E193)</f>
        <v>562221.34570941317</v>
      </c>
      <c r="H194" s="607">
        <f>SUM(H192:H193)</f>
        <v>543521</v>
      </c>
      <c r="J194" s="607">
        <f>SUM(J192:J193)</f>
        <v>625587</v>
      </c>
    </row>
    <row r="196" spans="1:10" x14ac:dyDescent="0.25">
      <c r="A196" s="616" t="s">
        <v>437</v>
      </c>
    </row>
    <row r="197" spans="1:10" x14ac:dyDescent="0.25">
      <c r="A197" s="611" t="s">
        <v>398</v>
      </c>
      <c r="C197" s="619">
        <f>'EXHIBIT JDT-3 IND'!F198</f>
        <v>216</v>
      </c>
      <c r="G197" s="645">
        <f>'EXHIBIT JDT-3 IND'!G198</f>
        <v>809</v>
      </c>
      <c r="H197" s="607">
        <f>ROUND(G197*C197,0)</f>
        <v>174744</v>
      </c>
      <c r="I197" s="645">
        <f>'EXHIBIT JDT-3 IND'!J198</f>
        <v>1213.5</v>
      </c>
      <c r="J197" s="607">
        <f>ROUND(I197*C197,0)</f>
        <v>262116</v>
      </c>
    </row>
    <row r="198" spans="1:10" x14ac:dyDescent="0.25">
      <c r="A198" s="611" t="s">
        <v>170</v>
      </c>
      <c r="B198" s="620">
        <f>B193</f>
        <v>1</v>
      </c>
      <c r="C198" s="608">
        <f>ROUND(C197*B198,0)</f>
        <v>216</v>
      </c>
      <c r="D198" s="619">
        <f>+C198</f>
        <v>216</v>
      </c>
      <c r="E198" s="623">
        <f>'EXHIBIT JDT-3 IND'!F199</f>
        <v>1769730.7337014659</v>
      </c>
      <c r="F198" s="619">
        <f>+E198</f>
        <v>1769730.7337014659</v>
      </c>
      <c r="G198" s="618">
        <f>'EXHIBIT JDT-3 IND'!G199</f>
        <v>0.80859999999999999</v>
      </c>
      <c r="H198" s="610">
        <f>ROUND(G198*E198,0)</f>
        <v>1431004</v>
      </c>
      <c r="I198" s="618">
        <f>'EXHIBIT JDT-3 IND'!J199</f>
        <v>0.90549999999999997</v>
      </c>
      <c r="J198" s="610">
        <f>ROUND(I198*E198,0)</f>
        <v>1602491</v>
      </c>
    </row>
    <row r="199" spans="1:10" x14ac:dyDescent="0.25">
      <c r="A199" s="611" t="s">
        <v>1</v>
      </c>
      <c r="E199" s="619">
        <f>SUM(E198:E198)</f>
        <v>1769730.7337014659</v>
      </c>
      <c r="H199" s="607">
        <f>SUM(H197:H198)</f>
        <v>1605748</v>
      </c>
      <c r="J199" s="607">
        <f>SUM(J197:J198)</f>
        <v>1864607</v>
      </c>
    </row>
    <row r="201" spans="1:10" x14ac:dyDescent="0.25">
      <c r="A201" s="616" t="s">
        <v>438</v>
      </c>
    </row>
    <row r="202" spans="1:10" x14ac:dyDescent="0.25">
      <c r="A202" s="611" t="s">
        <v>398</v>
      </c>
      <c r="C202" s="619">
        <f>'EXHIBIT JDT-3 IND'!F242</f>
        <v>12</v>
      </c>
      <c r="G202" s="645">
        <f>'EXHIBIT JDT-3 IND'!G242</f>
        <v>1029</v>
      </c>
      <c r="H202" s="607">
        <f>ROUND(G202*C202,0)</f>
        <v>12348</v>
      </c>
      <c r="I202" s="645">
        <f>'EXHIBIT JDT-3 IND'!J242</f>
        <v>1543.5</v>
      </c>
      <c r="J202" s="607">
        <f>ROUND(I202*C202,0)</f>
        <v>18522</v>
      </c>
    </row>
    <row r="203" spans="1:10" x14ac:dyDescent="0.25">
      <c r="A203" s="611" t="s">
        <v>170</v>
      </c>
      <c r="B203" s="620">
        <v>1</v>
      </c>
      <c r="C203" s="608">
        <f>ROUND(C202*B203,0)</f>
        <v>12</v>
      </c>
      <c r="D203" s="619">
        <f>+C203</f>
        <v>12</v>
      </c>
      <c r="E203" s="623">
        <f>'EXHIBIT JDT-3 IND'!F243</f>
        <v>367094.96481140249</v>
      </c>
      <c r="F203" s="619">
        <f>+E203</f>
        <v>367094.96481140249</v>
      </c>
      <c r="G203" s="618">
        <f>'EXHIBIT JDT-3 IND'!G243</f>
        <v>0.50390000000000001</v>
      </c>
      <c r="H203" s="610">
        <f>ROUND(G203*E203,0)</f>
        <v>184979</v>
      </c>
      <c r="I203" s="618">
        <f>'EXHIBIT JDT-3 IND'!J243</f>
        <v>0.55410000000000004</v>
      </c>
      <c r="J203" s="610">
        <f>ROUND(I203*E203,0)</f>
        <v>203407</v>
      </c>
    </row>
    <row r="204" spans="1:10" x14ac:dyDescent="0.25">
      <c r="A204" s="611" t="s">
        <v>1</v>
      </c>
      <c r="E204" s="619">
        <f>SUM(E203:E203)</f>
        <v>367094.96481140249</v>
      </c>
      <c r="H204" s="607">
        <f>SUM(H202:H203)</f>
        <v>197327</v>
      </c>
      <c r="J204" s="607">
        <f>SUM(J202:J203)</f>
        <v>221929</v>
      </c>
    </row>
    <row r="205" spans="1:10" x14ac:dyDescent="0.25">
      <c r="E205" s="619"/>
      <c r="H205" s="607"/>
      <c r="J205" s="607"/>
    </row>
    <row r="206" spans="1:10" x14ac:dyDescent="0.25">
      <c r="A206" s="616" t="s">
        <v>438</v>
      </c>
    </row>
    <row r="207" spans="1:10" x14ac:dyDescent="0.25">
      <c r="A207" s="611" t="s">
        <v>398</v>
      </c>
      <c r="C207" s="619">
        <f>'EXHIBIT JDT-3 IND'!F256</f>
        <v>132</v>
      </c>
      <c r="G207" s="645">
        <f>'EXHIBIT JDT-3 IND'!G256</f>
        <v>1029</v>
      </c>
      <c r="H207" s="607">
        <f>ROUND(G207*C207,0)</f>
        <v>135828</v>
      </c>
      <c r="I207" s="645">
        <f>'EXHIBIT JDT-3 IND'!J256</f>
        <v>1543.5</v>
      </c>
      <c r="J207" s="607">
        <f>ROUND(I207*C207,0)</f>
        <v>203742</v>
      </c>
    </row>
    <row r="208" spans="1:10" x14ac:dyDescent="0.25">
      <c r="A208" s="611" t="s">
        <v>170</v>
      </c>
      <c r="B208" s="620">
        <f>B203</f>
        <v>1</v>
      </c>
      <c r="C208" s="608">
        <f>ROUND(C207*B208,0)</f>
        <v>132</v>
      </c>
      <c r="D208" s="619">
        <f>+C208</f>
        <v>132</v>
      </c>
      <c r="E208" s="623">
        <f>'EXHIBIT JDT-3 IND'!F257</f>
        <v>6024011.2124933479</v>
      </c>
      <c r="F208" s="619">
        <f>+E208</f>
        <v>6024011.2124933479</v>
      </c>
      <c r="G208" s="618">
        <f>'EXHIBIT JDT-3 IND'!G257</f>
        <v>0.4839</v>
      </c>
      <c r="H208" s="610">
        <f>ROUND(G208*E208,0)</f>
        <v>2915019</v>
      </c>
      <c r="I208" s="618">
        <f>'EXHIBIT JDT-3 IND'!J257</f>
        <v>0.55410000000000004</v>
      </c>
      <c r="J208" s="610">
        <f>ROUND(I208*E208,0)</f>
        <v>3337905</v>
      </c>
    </row>
    <row r="209" spans="1:11" x14ac:dyDescent="0.25">
      <c r="A209" s="611" t="s">
        <v>1</v>
      </c>
      <c r="E209" s="619">
        <f>SUM(E208:E208)</f>
        <v>6024011.2124933479</v>
      </c>
      <c r="H209" s="607">
        <f>SUM(H207:H208)</f>
        <v>3050847</v>
      </c>
      <c r="J209" s="607">
        <f>SUM(J207:J208)</f>
        <v>3541647</v>
      </c>
    </row>
    <row r="211" spans="1:11" x14ac:dyDescent="0.25">
      <c r="A211" s="616" t="s">
        <v>440</v>
      </c>
      <c r="E211" s="619">
        <f>+E12+E18+E35+E69+E104+E155+E172+E194+E204+E23+E29+E40+E46+E52+E57+E63+E74+E80+E86+E92+E97+E109+E114+E121+E128+E133+E140+E145+E150+E160+E165+E177+E182+E189+E199+E209</f>
        <v>42107182.256715626</v>
      </c>
      <c r="H211" s="607">
        <f>+H12+H18+H35+H69+H104+H155+H172+H194+H204+H23+H29+H40+H46+H52+H57+H63+H74+H80+H86+H92+H97+H109+H114+H121+H128+H133+H140+H145+H150+H160+H165+H177+H182+H189+H199+H209</f>
        <v>108557113</v>
      </c>
      <c r="J211" s="607">
        <f>+J12+J18+J35+J69+J104+J155+J172+J194+J204+J23+J29+J40+J46+J52+J57+J63+J74+J80+J86+J92+J97+J109+J114+J121+J128+J133+J140+J145+J150+J160+J165+J177+J182+J189+J199+J209</f>
        <v>134731401</v>
      </c>
      <c r="K211" s="622"/>
    </row>
    <row r="212" spans="1:11" x14ac:dyDescent="0.25">
      <c r="H212" s="607"/>
      <c r="J212" s="607"/>
    </row>
    <row r="214" spans="1:11" x14ac:dyDescent="0.25">
      <c r="A214" s="637" t="s">
        <v>281</v>
      </c>
      <c r="E214" s="619">
        <f>E12+E18+E23+E29</f>
        <v>19882940.000000004</v>
      </c>
      <c r="H214" s="607">
        <f>H12+H18+H23+H29</f>
        <v>75967065</v>
      </c>
      <c r="J214" s="607">
        <f>J12+J18+J23+J29</f>
        <v>96326661</v>
      </c>
    </row>
    <row r="215" spans="1:11" x14ac:dyDescent="0.25">
      <c r="A215" s="637" t="s">
        <v>277</v>
      </c>
      <c r="E215" s="619">
        <f>E35+E40+E46+E52+E57+E63+E69+E74+E80+E86+E92+E97</f>
        <v>3479136</v>
      </c>
      <c r="H215" s="607">
        <f>H35+H40+H46+H52+H57+H63+H69+H74+H80+H86+H92+H97</f>
        <v>10692718</v>
      </c>
      <c r="J215" s="607">
        <f>J35+J40+J46+J52+J57+J63+J69+J74+J80+J86+J92+J97</f>
        <v>13079022</v>
      </c>
    </row>
    <row r="216" spans="1:11" x14ac:dyDescent="0.25">
      <c r="A216" s="637" t="s">
        <v>278</v>
      </c>
      <c r="E216" s="619">
        <f>E104+E109+E114+E121+E128+E133+E140+E145+E150</f>
        <v>6820695.1000000006</v>
      </c>
      <c r="H216" s="607">
        <f>H104+H109+H114+H121+H128+H133+H140+H145+H150</f>
        <v>11910565</v>
      </c>
      <c r="J216" s="607">
        <f>J104+J109+J114+J121+J128+J133+J140+J145+J150</f>
        <v>13766049</v>
      </c>
    </row>
    <row r="217" spans="1:11" x14ac:dyDescent="0.25">
      <c r="A217" s="637" t="s">
        <v>282</v>
      </c>
      <c r="E217" s="623">
        <f>E155+E160+E165+E172+E177+E182+E189+E194+E199+E204+E209</f>
        <v>11924411.15671563</v>
      </c>
      <c r="H217" s="610">
        <f>H155+H160+H165+H172+H177+H182+H189+H194+H199+H204+H209</f>
        <v>9986765</v>
      </c>
      <c r="J217" s="610">
        <f>J155+J160+J165+J172+J177+J182+J189+J194+J199+J204+J209</f>
        <v>11559669</v>
      </c>
    </row>
    <row r="218" spans="1:11" s="616" customFormat="1" x14ac:dyDescent="0.25">
      <c r="A218" s="636" t="s">
        <v>440</v>
      </c>
      <c r="B218" s="629"/>
      <c r="E218" s="638">
        <f>SUM(E214:E217)</f>
        <v>42107182.256715633</v>
      </c>
      <c r="G218" s="630"/>
      <c r="H218" s="639">
        <f>SUM(H214:H217)</f>
        <v>108557113</v>
      </c>
      <c r="I218" s="630"/>
      <c r="J218" s="639">
        <f>SUM(J214:J217)</f>
        <v>134731401</v>
      </c>
    </row>
    <row r="219" spans="1:11" x14ac:dyDescent="0.25">
      <c r="A219" s="637"/>
    </row>
    <row r="220" spans="1:11" x14ac:dyDescent="0.25">
      <c r="A220" s="637" t="s">
        <v>439</v>
      </c>
      <c r="H220" s="607"/>
      <c r="J220" s="607"/>
    </row>
    <row r="221" spans="1:11" x14ac:dyDescent="0.25">
      <c r="A221" s="637" t="s">
        <v>281</v>
      </c>
      <c r="H221" s="628">
        <f>SUM('EXHIBIT JDT-3 RES'!H104:H106)</f>
        <v>4848770.4221400013</v>
      </c>
      <c r="J221" s="628">
        <f>SUM('EXHIBIT JDT-3 RES'!K104:K106)</f>
        <v>6349606.3290000008</v>
      </c>
    </row>
    <row r="222" spans="1:11" x14ac:dyDescent="0.25">
      <c r="A222" s="637" t="s">
        <v>277</v>
      </c>
      <c r="H222" s="628">
        <f>SUM('EXHIBIT JDT-3 SCOM'!H278:H280)</f>
        <v>207695.74316899994</v>
      </c>
      <c r="J222" s="628">
        <f>SUM('EXHIBIT JDT-3 SCOM'!K278:K280)</f>
        <v>364261.99579999998</v>
      </c>
    </row>
    <row r="223" spans="1:11" x14ac:dyDescent="0.25">
      <c r="A223" s="637" t="s">
        <v>278</v>
      </c>
      <c r="H223" s="628">
        <f>SUM('EXHIBIT JDT-3 LCOM'!H223:H225)</f>
        <v>46127.348887699976</v>
      </c>
      <c r="J223" s="628">
        <f>SUM('EXHIBIT JDT-3 LCOM'!K223:K225)</f>
        <v>124566.81213999999</v>
      </c>
    </row>
    <row r="224" spans="1:11" x14ac:dyDescent="0.25">
      <c r="A224" s="637" t="s">
        <v>282</v>
      </c>
      <c r="H224" s="634">
        <f>SUM('EXHIBIT JDT-3 IND'!H306:H308)</f>
        <v>-1268.6181466999988</v>
      </c>
      <c r="J224" s="634">
        <f>SUM('EXHIBIT JDT-3 IND'!K306:K308)</f>
        <v>37945.154060000001</v>
      </c>
    </row>
    <row r="225" spans="1:10" s="616" customFormat="1" x14ac:dyDescent="0.25">
      <c r="A225" s="636" t="s">
        <v>440</v>
      </c>
      <c r="B225" s="629"/>
      <c r="G225" s="630"/>
      <c r="H225" s="641">
        <f>SUM(H221:H224)</f>
        <v>5101324.8960500015</v>
      </c>
      <c r="I225" s="630"/>
      <c r="J225" s="641">
        <f>SUM(J221:J224)</f>
        <v>6876380.2910000002</v>
      </c>
    </row>
    <row r="226" spans="1:10" x14ac:dyDescent="0.25">
      <c r="A226" s="637"/>
    </row>
    <row r="227" spans="1:10" s="616" customFormat="1" ht="15.75" thickBot="1" x14ac:dyDescent="0.3">
      <c r="A227" s="635" t="s">
        <v>1</v>
      </c>
      <c r="B227" s="629"/>
      <c r="G227" s="630"/>
      <c r="H227" s="640">
        <f>H218+H225</f>
        <v>113658437.89605001</v>
      </c>
      <c r="I227" s="630"/>
      <c r="J227" s="640">
        <f>J218+J225</f>
        <v>141607781.29100001</v>
      </c>
    </row>
    <row r="228" spans="1:10" ht="15.75" thickTop="1" x14ac:dyDescent="0.25"/>
  </sheetData>
  <printOptions horizontalCentered="1"/>
  <pageMargins left="0.75" right="0.5" top="1" bottom="0.75" header="0.5" footer="0.5"/>
  <pageSetup scale="65" fitToHeight="9" orientation="landscape" r:id="rId1"/>
  <headerFooter alignWithMargins="0"/>
  <rowBreaks count="5" manualBreakCount="5">
    <brk id="47" max="9" man="1"/>
    <brk id="87" max="9" man="1"/>
    <brk id="129" max="9" man="1"/>
    <brk id="172" max="9" man="1"/>
    <brk id="21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47E-ACC6-4606-A10D-86AEF70B7BF6}">
  <sheetPr codeName="Sheet22">
    <pageSetUpPr fitToPage="1"/>
  </sheetPr>
  <dimension ref="A1:J136"/>
  <sheetViews>
    <sheetView workbookViewId="0">
      <selection activeCell="I5" sqref="I5"/>
    </sheetView>
  </sheetViews>
  <sheetFormatPr defaultColWidth="8.7109375" defaultRowHeight="12.75" x14ac:dyDescent="0.2"/>
  <cols>
    <col min="1" max="1" width="29.28515625" style="2" bestFit="1" customWidth="1"/>
    <col min="2" max="2" width="8.7109375" style="2"/>
    <col min="3" max="3" width="22.140625" style="5" bestFit="1" customWidth="1"/>
    <col min="4" max="4" width="36.7109375" style="2" bestFit="1" customWidth="1"/>
    <col min="5" max="5" width="13.28515625" style="2" customWidth="1"/>
    <col min="6" max="6" width="13.85546875" style="2" bestFit="1" customWidth="1"/>
    <col min="7" max="7" width="11.7109375" style="62" bestFit="1" customWidth="1"/>
    <col min="8" max="8" width="13" style="63" bestFit="1" customWidth="1"/>
    <col min="9" max="9" width="9.5703125" style="63" customWidth="1"/>
    <col min="10" max="10" width="13" style="63" bestFit="1" customWidth="1"/>
    <col min="11" max="16384" width="8.7109375" style="2"/>
  </cols>
  <sheetData>
    <row r="1" spans="1:10" x14ac:dyDescent="0.2">
      <c r="C1" s="3"/>
      <c r="D1" s="4"/>
      <c r="E1" s="4"/>
      <c r="F1" s="4"/>
      <c r="G1" s="52"/>
      <c r="H1" s="53"/>
      <c r="I1" s="53"/>
      <c r="J1" s="53"/>
    </row>
    <row r="2" spans="1:10" x14ac:dyDescent="0.2">
      <c r="D2" s="6"/>
      <c r="G2" s="696" t="s">
        <v>24</v>
      </c>
      <c r="H2" s="697"/>
      <c r="I2" s="696" t="s">
        <v>171</v>
      </c>
      <c r="J2" s="697"/>
    </row>
    <row r="3" spans="1:10" ht="25.5" x14ac:dyDescent="0.2">
      <c r="D3" s="7"/>
      <c r="E3" s="8" t="s">
        <v>172</v>
      </c>
      <c r="F3" s="4" t="s">
        <v>173</v>
      </c>
      <c r="G3" s="54" t="s">
        <v>19</v>
      </c>
      <c r="H3" s="55" t="s">
        <v>20</v>
      </c>
      <c r="I3" s="54" t="s">
        <v>19</v>
      </c>
      <c r="J3" s="55" t="s">
        <v>20</v>
      </c>
    </row>
    <row r="4" spans="1:10" x14ac:dyDescent="0.2">
      <c r="A4" s="693" t="s">
        <v>169</v>
      </c>
      <c r="B4" s="9" t="s">
        <v>25</v>
      </c>
      <c r="C4" s="10" t="s">
        <v>99</v>
      </c>
      <c r="D4" s="9" t="s">
        <v>100</v>
      </c>
      <c r="E4" s="11">
        <v>2094250</v>
      </c>
      <c r="F4" s="12"/>
      <c r="G4" s="56">
        <v>12</v>
      </c>
      <c r="H4" s="56">
        <f>VLOOKUP(C4,'EXHIBIT JDT-3 RES'!D:N,7,FALSE)</f>
        <v>18</v>
      </c>
      <c r="I4" s="56"/>
      <c r="J4" s="56"/>
    </row>
    <row r="5" spans="1:10" x14ac:dyDescent="0.2">
      <c r="A5" s="694"/>
      <c r="B5" s="13" t="s">
        <v>174</v>
      </c>
      <c r="C5" s="10" t="s">
        <v>101</v>
      </c>
      <c r="D5" s="14" t="s">
        <v>98</v>
      </c>
      <c r="E5" s="15"/>
      <c r="F5" s="11">
        <v>7391290.0000000009</v>
      </c>
      <c r="G5" s="56"/>
      <c r="H5" s="56"/>
      <c r="I5" s="56">
        <v>2.9146000000000001</v>
      </c>
      <c r="J5" s="56"/>
    </row>
    <row r="6" spans="1:10" x14ac:dyDescent="0.2">
      <c r="A6" s="694"/>
      <c r="B6" s="13" t="s">
        <v>175</v>
      </c>
      <c r="C6" s="10" t="s">
        <v>102</v>
      </c>
      <c r="D6" s="14" t="s">
        <v>103</v>
      </c>
      <c r="E6" s="15"/>
      <c r="F6" s="11">
        <v>10006976.000000002</v>
      </c>
      <c r="G6" s="56"/>
      <c r="H6" s="56"/>
      <c r="I6" s="56">
        <v>1.9995000000000001</v>
      </c>
      <c r="J6" s="56"/>
    </row>
    <row r="7" spans="1:10" x14ac:dyDescent="0.2">
      <c r="A7" s="695"/>
      <c r="B7" s="13"/>
      <c r="C7" s="10" t="s">
        <v>344</v>
      </c>
      <c r="D7" s="14" t="s">
        <v>298</v>
      </c>
      <c r="E7" s="15"/>
      <c r="F7" s="11"/>
      <c r="G7" s="56"/>
      <c r="H7" s="56"/>
      <c r="I7" s="56"/>
      <c r="J7" s="56">
        <f>VLOOKUP(C7,'EXHIBIT JDT-3 RES'!D:N,7,FALSE)</f>
        <v>2.6959</v>
      </c>
    </row>
    <row r="8" spans="1:10" x14ac:dyDescent="0.2">
      <c r="A8" s="690" t="s">
        <v>28</v>
      </c>
      <c r="B8" s="16" t="s">
        <v>27</v>
      </c>
      <c r="C8" s="17" t="s">
        <v>99</v>
      </c>
      <c r="D8" s="16" t="s">
        <v>100</v>
      </c>
      <c r="E8" s="18">
        <v>86479</v>
      </c>
      <c r="F8" s="19"/>
      <c r="G8" s="57">
        <v>12</v>
      </c>
      <c r="H8" s="57">
        <f>VLOOKUP(C8,'EXHIBIT JDT-3 RES'!D:N,7,FALSE)</f>
        <v>18</v>
      </c>
      <c r="I8" s="57"/>
      <c r="J8" s="57"/>
    </row>
    <row r="9" spans="1:10" x14ac:dyDescent="0.2">
      <c r="A9" s="691"/>
      <c r="B9" s="20" t="s">
        <v>176</v>
      </c>
      <c r="C9" s="17" t="s">
        <v>101</v>
      </c>
      <c r="D9" s="21" t="s">
        <v>98</v>
      </c>
      <c r="E9" s="22"/>
      <c r="F9" s="18">
        <v>316493.39999999997</v>
      </c>
      <c r="G9" s="57"/>
      <c r="H9" s="57"/>
      <c r="I9" s="57">
        <v>2.9146000000000001</v>
      </c>
      <c r="J9" s="57"/>
    </row>
    <row r="10" spans="1:10" x14ac:dyDescent="0.2">
      <c r="A10" s="691"/>
      <c r="B10" s="20" t="s">
        <v>177</v>
      </c>
      <c r="C10" s="17" t="s">
        <v>102</v>
      </c>
      <c r="D10" s="21" t="s">
        <v>103</v>
      </c>
      <c r="E10" s="22"/>
      <c r="F10" s="18">
        <v>437345.6</v>
      </c>
      <c r="G10" s="57"/>
      <c r="H10" s="57"/>
      <c r="I10" s="57">
        <v>1.9995000000000001</v>
      </c>
      <c r="J10" s="57"/>
    </row>
    <row r="11" spans="1:10" x14ac:dyDescent="0.2">
      <c r="A11" s="692"/>
      <c r="B11" s="20"/>
      <c r="C11" s="17" t="s">
        <v>344</v>
      </c>
      <c r="D11" s="21" t="s">
        <v>298</v>
      </c>
      <c r="E11" s="22"/>
      <c r="F11" s="18"/>
      <c r="G11" s="57"/>
      <c r="H11" s="57"/>
      <c r="I11" s="57"/>
      <c r="J11" s="57">
        <f>VLOOKUP(C11,'EXHIBIT JDT-3 RES'!D:N,7,FALSE)</f>
        <v>2.6959</v>
      </c>
    </row>
    <row r="12" spans="1:10" x14ac:dyDescent="0.2">
      <c r="A12" s="693" t="s">
        <v>125</v>
      </c>
      <c r="B12" s="9" t="s">
        <v>29</v>
      </c>
      <c r="C12" s="10" t="s">
        <v>99</v>
      </c>
      <c r="D12" s="9" t="s">
        <v>100</v>
      </c>
      <c r="E12" s="11">
        <v>3340</v>
      </c>
      <c r="F12" s="23"/>
      <c r="G12" s="56">
        <v>12</v>
      </c>
      <c r="H12" s="56">
        <f>VLOOKUP(C12,'EXHIBIT JDT-3 RES'!D:N,7,FALSE)</f>
        <v>18</v>
      </c>
      <c r="I12" s="56"/>
      <c r="J12" s="56"/>
    </row>
    <row r="13" spans="1:10" x14ac:dyDescent="0.2">
      <c r="A13" s="695"/>
      <c r="B13" s="13" t="s">
        <v>178</v>
      </c>
      <c r="C13" s="1" t="s">
        <v>125</v>
      </c>
      <c r="D13" s="14" t="s">
        <v>170</v>
      </c>
      <c r="E13" s="15"/>
      <c r="F13" s="11">
        <v>102999</v>
      </c>
      <c r="G13" s="56"/>
      <c r="H13" s="56"/>
      <c r="I13" s="56">
        <v>2.4758</v>
      </c>
      <c r="J13" s="56">
        <f>VLOOKUP(C13,'EXHIBIT JDT-3 RES'!D:N,7,FALSE)</f>
        <v>2.6959</v>
      </c>
    </row>
    <row r="14" spans="1:10" x14ac:dyDescent="0.2">
      <c r="A14" s="690" t="s">
        <v>32</v>
      </c>
      <c r="B14" s="16" t="s">
        <v>31</v>
      </c>
      <c r="C14" s="17" t="s">
        <v>99</v>
      </c>
      <c r="D14" s="16" t="s">
        <v>100</v>
      </c>
      <c r="E14" s="18">
        <v>189500</v>
      </c>
      <c r="F14" s="19"/>
      <c r="G14" s="57">
        <v>12</v>
      </c>
      <c r="H14" s="57">
        <f>VLOOKUP(C14,'EXHIBIT JDT-3 RES'!D:N,7,FALSE)</f>
        <v>18</v>
      </c>
      <c r="I14" s="57"/>
      <c r="J14" s="57"/>
    </row>
    <row r="15" spans="1:10" x14ac:dyDescent="0.2">
      <c r="A15" s="691"/>
      <c r="B15" s="24" t="s">
        <v>179</v>
      </c>
      <c r="C15" s="17" t="s">
        <v>101</v>
      </c>
      <c r="D15" s="21" t="s">
        <v>98</v>
      </c>
      <c r="E15" s="22"/>
      <c r="F15" s="18">
        <v>683909.99999999988</v>
      </c>
      <c r="G15" s="57"/>
      <c r="H15" s="57"/>
      <c r="I15" s="57">
        <v>2.9146000000000001</v>
      </c>
      <c r="J15" s="57"/>
    </row>
    <row r="16" spans="1:10" x14ac:dyDescent="0.2">
      <c r="A16" s="691"/>
      <c r="B16" s="24" t="s">
        <v>180</v>
      </c>
      <c r="C16" s="17" t="s">
        <v>102</v>
      </c>
      <c r="D16" s="21" t="s">
        <v>103</v>
      </c>
      <c r="E16" s="22"/>
      <c r="F16" s="18">
        <v>943926.00000000012</v>
      </c>
      <c r="G16" s="57"/>
      <c r="H16" s="57"/>
      <c r="I16" s="57">
        <v>1.9995000000000001</v>
      </c>
      <c r="J16" s="57"/>
    </row>
    <row r="17" spans="1:10" x14ac:dyDescent="0.2">
      <c r="A17" s="692"/>
      <c r="B17" s="24"/>
      <c r="C17" s="17" t="s">
        <v>344</v>
      </c>
      <c r="D17" s="21" t="s">
        <v>298</v>
      </c>
      <c r="E17" s="22"/>
      <c r="F17" s="18"/>
      <c r="G17" s="57"/>
      <c r="H17" s="57"/>
      <c r="I17" s="57"/>
      <c r="J17" s="57">
        <f>VLOOKUP(C17,'EXHIBIT JDT-3 RES'!D:N,7,FALSE)</f>
        <v>2.6959</v>
      </c>
    </row>
    <row r="18" spans="1:10" x14ac:dyDescent="0.2">
      <c r="A18" s="693" t="s">
        <v>34</v>
      </c>
      <c r="B18" s="9" t="s">
        <v>33</v>
      </c>
      <c r="C18" s="10" t="s">
        <v>104</v>
      </c>
      <c r="D18" s="15" t="s">
        <v>2</v>
      </c>
      <c r="E18" s="11">
        <v>94262</v>
      </c>
      <c r="F18" s="12"/>
      <c r="G18" s="56">
        <v>19.89</v>
      </c>
      <c r="H18" s="56">
        <f>VLOOKUP(C18,'EXHIBIT JDT-3 SCOM'!$D:$N,7,FALSE)</f>
        <v>30</v>
      </c>
      <c r="I18" s="56"/>
      <c r="J18" s="56"/>
    </row>
    <row r="19" spans="1:10" x14ac:dyDescent="0.2">
      <c r="A19" s="694"/>
      <c r="B19" s="25" t="s">
        <v>181</v>
      </c>
      <c r="C19" s="10" t="s">
        <v>105</v>
      </c>
      <c r="D19" s="14" t="s">
        <v>98</v>
      </c>
      <c r="E19" s="15"/>
      <c r="F19" s="11">
        <v>280233.5</v>
      </c>
      <c r="G19" s="56"/>
      <c r="H19" s="56"/>
      <c r="I19" s="56">
        <v>2.4148999999999998</v>
      </c>
      <c r="J19" s="56"/>
    </row>
    <row r="20" spans="1:10" x14ac:dyDescent="0.2">
      <c r="A20" s="694"/>
      <c r="B20" s="25" t="s">
        <v>182</v>
      </c>
      <c r="C20" s="10" t="s">
        <v>106</v>
      </c>
      <c r="D20" s="14" t="s">
        <v>103</v>
      </c>
      <c r="E20" s="15"/>
      <c r="F20" s="11">
        <v>630174.49999999988</v>
      </c>
      <c r="G20" s="56"/>
      <c r="H20" s="56"/>
      <c r="I20" s="56">
        <v>2.1225000000000001</v>
      </c>
      <c r="J20" s="56"/>
    </row>
    <row r="21" spans="1:10" x14ac:dyDescent="0.2">
      <c r="A21" s="695"/>
      <c r="B21" s="25"/>
      <c r="C21" s="10" t="s">
        <v>345</v>
      </c>
      <c r="D21" s="14" t="s">
        <v>298</v>
      </c>
      <c r="E21" s="15"/>
      <c r="F21" s="11"/>
      <c r="G21" s="56"/>
      <c r="H21" s="56"/>
      <c r="I21" s="56"/>
      <c r="J21" s="56">
        <f>VLOOKUP(C21,'EXHIBIT JDT-3 SCOM'!$D:$N,7,FALSE)</f>
        <v>2.2273999999999998</v>
      </c>
    </row>
    <row r="22" spans="1:10" x14ac:dyDescent="0.2">
      <c r="A22" s="690" t="s">
        <v>36</v>
      </c>
      <c r="B22" s="24" t="s">
        <v>35</v>
      </c>
      <c r="C22" s="17" t="s">
        <v>104</v>
      </c>
      <c r="D22" s="26" t="s">
        <v>184</v>
      </c>
      <c r="E22" s="18">
        <v>12619</v>
      </c>
      <c r="F22" s="27"/>
      <c r="G22" s="57">
        <v>19.89</v>
      </c>
      <c r="H22" s="57">
        <f>VLOOKUP(C22,'EXHIBIT JDT-3 SCOM'!$D:$N,7,FALSE)</f>
        <v>30</v>
      </c>
      <c r="I22" s="57"/>
      <c r="J22" s="57"/>
    </row>
    <row r="23" spans="1:10" x14ac:dyDescent="0.2">
      <c r="A23" s="692"/>
      <c r="B23" s="24" t="s">
        <v>183</v>
      </c>
      <c r="C23" s="17" t="s">
        <v>126</v>
      </c>
      <c r="D23" s="28" t="s">
        <v>170</v>
      </c>
      <c r="E23" s="22"/>
      <c r="F23" s="18">
        <v>150857</v>
      </c>
      <c r="G23" s="57"/>
      <c r="H23" s="57"/>
      <c r="I23" s="57">
        <v>2.3856000000000002</v>
      </c>
      <c r="J23" s="57">
        <f>VLOOKUP(C23,'EXHIBIT JDT-3 SCOM'!$D:$N,7,FALSE)</f>
        <v>2.2273999999999998</v>
      </c>
    </row>
    <row r="24" spans="1:10" x14ac:dyDescent="0.2">
      <c r="A24" s="693" t="s">
        <v>38</v>
      </c>
      <c r="B24" s="25" t="s">
        <v>37</v>
      </c>
      <c r="C24" s="10" t="s">
        <v>104</v>
      </c>
      <c r="D24" s="15" t="s">
        <v>2</v>
      </c>
      <c r="E24" s="11">
        <v>9524</v>
      </c>
      <c r="F24" s="12"/>
      <c r="G24" s="56">
        <v>19.89</v>
      </c>
      <c r="H24" s="56">
        <f>VLOOKUP(C24,'EXHIBIT JDT-3 SCOM'!$D:$N,7,FALSE)</f>
        <v>30</v>
      </c>
      <c r="I24" s="56"/>
      <c r="J24" s="56"/>
    </row>
    <row r="25" spans="1:10" x14ac:dyDescent="0.2">
      <c r="A25" s="694"/>
      <c r="B25" s="25" t="s">
        <v>185</v>
      </c>
      <c r="C25" s="10" t="s">
        <v>105</v>
      </c>
      <c r="D25" s="14" t="s">
        <v>98</v>
      </c>
      <c r="E25" s="15"/>
      <c r="F25" s="11">
        <v>34502.300000000003</v>
      </c>
      <c r="G25" s="56"/>
      <c r="H25" s="56"/>
      <c r="I25" s="56">
        <v>2.4148999999999998</v>
      </c>
      <c r="J25" s="56"/>
    </row>
    <row r="26" spans="1:10" x14ac:dyDescent="0.2">
      <c r="A26" s="694"/>
      <c r="B26" s="29" t="s">
        <v>186</v>
      </c>
      <c r="C26" s="10" t="s">
        <v>106</v>
      </c>
      <c r="D26" s="14" t="s">
        <v>103</v>
      </c>
      <c r="E26" s="15"/>
      <c r="F26" s="11">
        <v>63171.700000000004</v>
      </c>
      <c r="G26" s="56"/>
      <c r="H26" s="56"/>
      <c r="I26" s="56">
        <v>2.1225000000000001</v>
      </c>
      <c r="J26" s="56"/>
    </row>
    <row r="27" spans="1:10" x14ac:dyDescent="0.2">
      <c r="A27" s="695"/>
      <c r="B27" s="29"/>
      <c r="C27" s="10" t="s">
        <v>345</v>
      </c>
      <c r="D27" s="14" t="s">
        <v>298</v>
      </c>
      <c r="E27" s="15"/>
      <c r="F27" s="11"/>
      <c r="G27" s="56"/>
      <c r="H27" s="56"/>
      <c r="I27" s="56"/>
      <c r="J27" s="56">
        <f>VLOOKUP(C27,'EXHIBIT JDT-3 SCOM'!$D:$N,7,FALSE)</f>
        <v>2.2273999999999998</v>
      </c>
    </row>
    <row r="28" spans="1:10" x14ac:dyDescent="0.2">
      <c r="A28" s="698" t="s">
        <v>187</v>
      </c>
      <c r="B28" s="24" t="s">
        <v>39</v>
      </c>
      <c r="C28" s="31" t="s">
        <v>107</v>
      </c>
      <c r="D28" s="26" t="s">
        <v>184</v>
      </c>
      <c r="E28" s="18">
        <v>30962</v>
      </c>
      <c r="F28" s="19"/>
      <c r="G28" s="57">
        <v>27.53</v>
      </c>
      <c r="H28" s="57">
        <f>VLOOKUP(C28,'EXHIBIT JDT-3 SCOM'!$D:$N,7,FALSE)</f>
        <v>41.5</v>
      </c>
      <c r="I28" s="57"/>
      <c r="J28" s="57"/>
    </row>
    <row r="29" spans="1:10" x14ac:dyDescent="0.2">
      <c r="A29" s="703"/>
      <c r="B29" s="24" t="s">
        <v>188</v>
      </c>
      <c r="C29" s="31" t="s">
        <v>108</v>
      </c>
      <c r="D29" s="28" t="s">
        <v>190</v>
      </c>
      <c r="E29" s="22"/>
      <c r="F29" s="18">
        <v>442115.80000000005</v>
      </c>
      <c r="G29" s="57"/>
      <c r="H29" s="57"/>
      <c r="I29" s="57">
        <v>1.8344</v>
      </c>
      <c r="J29" s="57"/>
    </row>
    <row r="30" spans="1:10" x14ac:dyDescent="0.2">
      <c r="A30" s="703"/>
      <c r="B30" s="24" t="s">
        <v>189</v>
      </c>
      <c r="C30" s="31" t="s">
        <v>109</v>
      </c>
      <c r="D30" s="28" t="s">
        <v>110</v>
      </c>
      <c r="E30" s="22"/>
      <c r="F30" s="18">
        <v>803090.2</v>
      </c>
      <c r="G30" s="57"/>
      <c r="H30" s="57"/>
      <c r="I30" s="57">
        <v>1.7056</v>
      </c>
      <c r="J30" s="57"/>
    </row>
    <row r="31" spans="1:10" x14ac:dyDescent="0.2">
      <c r="A31" s="699"/>
      <c r="B31" s="24"/>
      <c r="C31" s="64" t="s">
        <v>346</v>
      </c>
      <c r="D31" s="21" t="s">
        <v>298</v>
      </c>
      <c r="E31" s="22"/>
      <c r="F31" s="18"/>
      <c r="G31" s="57"/>
      <c r="H31" s="57"/>
      <c r="I31" s="57"/>
      <c r="J31" s="57">
        <f>VLOOKUP(C31,'EXHIBIT JDT-3 SCOM'!$D:$N,7,FALSE)</f>
        <v>1.9850000000000001</v>
      </c>
    </row>
    <row r="32" spans="1:10" x14ac:dyDescent="0.2">
      <c r="A32" s="700" t="s">
        <v>191</v>
      </c>
      <c r="B32" s="25" t="s">
        <v>41</v>
      </c>
      <c r="C32" s="1" t="s">
        <v>107</v>
      </c>
      <c r="D32" s="33" t="s">
        <v>184</v>
      </c>
      <c r="E32" s="11">
        <v>13879</v>
      </c>
      <c r="F32" s="23"/>
      <c r="G32" s="56">
        <v>27.53</v>
      </c>
      <c r="H32" s="56">
        <f>VLOOKUP(C32,'EXHIBIT JDT-3 SCOM'!$D:$N,7,FALSE)</f>
        <v>41.5</v>
      </c>
      <c r="I32" s="56"/>
      <c r="J32" s="56"/>
    </row>
    <row r="33" spans="1:10" x14ac:dyDescent="0.2">
      <c r="A33" s="702"/>
      <c r="B33" s="25" t="s">
        <v>192</v>
      </c>
      <c r="C33" s="1" t="s">
        <v>127</v>
      </c>
      <c r="D33" s="33" t="s">
        <v>170</v>
      </c>
      <c r="E33" s="15"/>
      <c r="F33" s="11">
        <v>693340</v>
      </c>
      <c r="G33" s="56"/>
      <c r="H33" s="56"/>
      <c r="I33" s="56">
        <v>1.8845000000000001</v>
      </c>
      <c r="J33" s="56">
        <f>VLOOKUP(C33,'EXHIBIT JDT-3 SCOM'!$D:$N,7,FALSE)</f>
        <v>1.9850000000000001</v>
      </c>
    </row>
    <row r="34" spans="1:10" x14ac:dyDescent="0.2">
      <c r="A34" s="698" t="s">
        <v>195</v>
      </c>
      <c r="B34" s="24" t="s">
        <v>43</v>
      </c>
      <c r="C34" s="31" t="s">
        <v>107</v>
      </c>
      <c r="D34" s="28" t="s">
        <v>184</v>
      </c>
      <c r="E34" s="18">
        <v>3234</v>
      </c>
      <c r="F34" s="19"/>
      <c r="G34" s="57">
        <v>27.53</v>
      </c>
      <c r="H34" s="57">
        <f>VLOOKUP(C34,'EXHIBIT JDT-3 SCOM'!$D:$N,7,FALSE)</f>
        <v>41.5</v>
      </c>
      <c r="I34" s="57"/>
      <c r="J34" s="57"/>
    </row>
    <row r="35" spans="1:10" x14ac:dyDescent="0.2">
      <c r="A35" s="703"/>
      <c r="B35" s="24" t="s">
        <v>193</v>
      </c>
      <c r="C35" s="31" t="s">
        <v>108</v>
      </c>
      <c r="D35" s="28" t="s">
        <v>190</v>
      </c>
      <c r="E35" s="22"/>
      <c r="F35" s="18">
        <v>51339.399999999994</v>
      </c>
      <c r="G35" s="57"/>
      <c r="H35" s="57"/>
      <c r="I35" s="57">
        <v>1.8344</v>
      </c>
      <c r="J35" s="57"/>
    </row>
    <row r="36" spans="1:10" x14ac:dyDescent="0.2">
      <c r="A36" s="703"/>
      <c r="B36" s="24" t="s">
        <v>194</v>
      </c>
      <c r="C36" s="31" t="s">
        <v>109</v>
      </c>
      <c r="D36" s="28" t="s">
        <v>110</v>
      </c>
      <c r="E36" s="22"/>
      <c r="F36" s="18">
        <v>76932.60000000002</v>
      </c>
      <c r="G36" s="57"/>
      <c r="H36" s="57"/>
      <c r="I36" s="57">
        <v>1.7056</v>
      </c>
      <c r="J36" s="57"/>
    </row>
    <row r="37" spans="1:10" x14ac:dyDescent="0.2">
      <c r="A37" s="699"/>
      <c r="B37" s="24"/>
      <c r="C37" s="64" t="s">
        <v>346</v>
      </c>
      <c r="D37" s="21" t="s">
        <v>298</v>
      </c>
      <c r="E37" s="22"/>
      <c r="F37" s="18"/>
      <c r="G37" s="57"/>
      <c r="H37" s="57"/>
      <c r="I37" s="57"/>
      <c r="J37" s="57">
        <f>VLOOKUP(C37,'EXHIBIT JDT-3 SCOM'!$D:$N,7,FALSE)</f>
        <v>1.9850000000000001</v>
      </c>
    </row>
    <row r="38" spans="1:10" x14ac:dyDescent="0.2">
      <c r="A38" s="700" t="s">
        <v>199</v>
      </c>
      <c r="B38" s="25" t="s">
        <v>45</v>
      </c>
      <c r="C38" s="1" t="s">
        <v>111</v>
      </c>
      <c r="D38" s="33" t="s">
        <v>184</v>
      </c>
      <c r="E38" s="11">
        <v>4904</v>
      </c>
      <c r="F38" s="12"/>
      <c r="G38" s="56">
        <v>121.01</v>
      </c>
      <c r="H38" s="56">
        <f>VLOOKUP(C38,'EXHIBIT JDT-3 LCOM'!$D:$N,7,FALSE)</f>
        <v>181.5</v>
      </c>
      <c r="I38" s="56"/>
      <c r="J38" s="56"/>
    </row>
    <row r="39" spans="1:10" x14ac:dyDescent="0.2">
      <c r="A39" s="701"/>
      <c r="B39" s="25" t="s">
        <v>196</v>
      </c>
      <c r="C39" s="1" t="s">
        <v>112</v>
      </c>
      <c r="D39" s="33" t="s">
        <v>200</v>
      </c>
      <c r="E39" s="15"/>
      <c r="F39" s="11">
        <v>561929.1</v>
      </c>
      <c r="G39" s="56"/>
      <c r="H39" s="56"/>
      <c r="I39" s="56">
        <v>1.4947999999999999</v>
      </c>
      <c r="J39" s="56"/>
    </row>
    <row r="40" spans="1:10" x14ac:dyDescent="0.2">
      <c r="A40" s="701"/>
      <c r="B40" s="25" t="s">
        <v>197</v>
      </c>
      <c r="C40" s="1" t="s">
        <v>113</v>
      </c>
      <c r="D40" s="33" t="s">
        <v>201</v>
      </c>
      <c r="E40" s="15"/>
      <c r="F40" s="11">
        <v>109956.00000000003</v>
      </c>
      <c r="G40" s="56"/>
      <c r="H40" s="56"/>
      <c r="I40" s="56">
        <v>1.3812</v>
      </c>
      <c r="J40" s="56"/>
    </row>
    <row r="41" spans="1:10" x14ac:dyDescent="0.2">
      <c r="A41" s="701"/>
      <c r="B41" s="25" t="s">
        <v>198</v>
      </c>
      <c r="C41" s="1" t="s">
        <v>114</v>
      </c>
      <c r="D41" s="33" t="s">
        <v>115</v>
      </c>
      <c r="E41" s="15"/>
      <c r="F41" s="11">
        <v>6356.0999999999995</v>
      </c>
      <c r="G41" s="56"/>
      <c r="H41" s="56"/>
      <c r="I41" s="56">
        <v>1.2310989999999999</v>
      </c>
      <c r="J41" s="56"/>
    </row>
    <row r="42" spans="1:10" x14ac:dyDescent="0.2">
      <c r="A42" s="702"/>
      <c r="B42" s="25"/>
      <c r="C42" s="65" t="s">
        <v>348</v>
      </c>
      <c r="D42" s="14" t="s">
        <v>298</v>
      </c>
      <c r="E42" s="15"/>
      <c r="F42" s="11"/>
      <c r="G42" s="56"/>
      <c r="H42" s="56"/>
      <c r="I42" s="56"/>
      <c r="J42" s="56">
        <f>VLOOKUP(C42,'EXHIBIT JDT-3 LCOM'!$D:$N,7,FALSE)</f>
        <v>1.5465</v>
      </c>
    </row>
    <row r="43" spans="1:10" x14ac:dyDescent="0.2">
      <c r="A43" s="698" t="s">
        <v>203</v>
      </c>
      <c r="B43" s="24" t="s">
        <v>47</v>
      </c>
      <c r="C43" s="31" t="s">
        <v>111</v>
      </c>
      <c r="D43" s="28" t="s">
        <v>184</v>
      </c>
      <c r="E43" s="18">
        <v>9242</v>
      </c>
      <c r="F43" s="27"/>
      <c r="G43" s="57">
        <v>121.01</v>
      </c>
      <c r="H43" s="57">
        <f>VLOOKUP(C43,'EXHIBIT JDT-3 LCOM'!$D:$N,7,FALSE)</f>
        <v>181.5</v>
      </c>
      <c r="I43" s="57"/>
      <c r="J43" s="57"/>
    </row>
    <row r="44" spans="1:10" x14ac:dyDescent="0.2">
      <c r="A44" s="699"/>
      <c r="B44" s="24" t="s">
        <v>202</v>
      </c>
      <c r="C44" s="31" t="s">
        <v>128</v>
      </c>
      <c r="D44" s="28" t="s">
        <v>170</v>
      </c>
      <c r="E44" s="22"/>
      <c r="F44" s="18">
        <v>2982910</v>
      </c>
      <c r="G44" s="57"/>
      <c r="H44" s="57"/>
      <c r="I44" s="57">
        <v>1.4361999999999999</v>
      </c>
      <c r="J44" s="57">
        <f>VLOOKUP(C44,'EXHIBIT JDT-3 LCOM'!$D:$N,7,FALSE)</f>
        <v>1.5465</v>
      </c>
    </row>
    <row r="45" spans="1:10" x14ac:dyDescent="0.2">
      <c r="A45" s="32" t="s">
        <v>205</v>
      </c>
      <c r="B45" s="25" t="s">
        <v>49</v>
      </c>
      <c r="C45" s="1" t="s">
        <v>111</v>
      </c>
      <c r="D45" s="33" t="s">
        <v>184</v>
      </c>
      <c r="E45" s="11">
        <v>168</v>
      </c>
      <c r="F45" s="23"/>
      <c r="G45" s="56">
        <v>121.01</v>
      </c>
      <c r="H45" s="56">
        <f>VLOOKUP(C45,'EXHIBIT JDT-3 LCOM'!$D:$N,7,FALSE)</f>
        <v>181.5</v>
      </c>
      <c r="I45" s="56"/>
      <c r="J45" s="56"/>
    </row>
    <row r="46" spans="1:10" x14ac:dyDescent="0.2">
      <c r="A46" s="9"/>
      <c r="B46" s="25" t="s">
        <v>204</v>
      </c>
      <c r="C46" s="1" t="s">
        <v>129</v>
      </c>
      <c r="D46" s="33" t="s">
        <v>170</v>
      </c>
      <c r="E46" s="15"/>
      <c r="F46" s="11">
        <v>754491</v>
      </c>
      <c r="G46" s="56"/>
      <c r="H46" s="56"/>
      <c r="I46" s="56">
        <v>1.4161999999999999</v>
      </c>
      <c r="J46" s="56">
        <f>VLOOKUP(C46,'EXHIBIT JDT-3 LCOM'!$D:$N,7,FALSE)</f>
        <v>1.5465</v>
      </c>
    </row>
    <row r="47" spans="1:10" x14ac:dyDescent="0.2">
      <c r="A47" s="30" t="s">
        <v>209</v>
      </c>
      <c r="B47" s="24" t="s">
        <v>51</v>
      </c>
      <c r="C47" s="31" t="s">
        <v>111</v>
      </c>
      <c r="D47" s="28" t="s">
        <v>184</v>
      </c>
      <c r="E47" s="18">
        <v>359</v>
      </c>
      <c r="F47" s="19"/>
      <c r="G47" s="57">
        <v>121.01</v>
      </c>
      <c r="H47" s="57">
        <f>VLOOKUP(C47,'EXHIBIT JDT-3 LCOM'!$D:$N,7,FALSE)</f>
        <v>181.5</v>
      </c>
      <c r="I47" s="57"/>
      <c r="J47" s="57"/>
    </row>
    <row r="48" spans="1:10" x14ac:dyDescent="0.2">
      <c r="A48" s="16"/>
      <c r="B48" s="24" t="s">
        <v>206</v>
      </c>
      <c r="C48" s="31" t="s">
        <v>112</v>
      </c>
      <c r="D48" s="28" t="s">
        <v>200</v>
      </c>
      <c r="E48" s="22"/>
      <c r="F48" s="18">
        <v>46068.700000000004</v>
      </c>
      <c r="G48" s="57"/>
      <c r="H48" s="57"/>
      <c r="I48" s="57">
        <v>1.4947999999999999</v>
      </c>
      <c r="J48" s="57"/>
    </row>
    <row r="49" spans="1:10" x14ac:dyDescent="0.2">
      <c r="A49" s="16"/>
      <c r="B49" s="24" t="s">
        <v>207</v>
      </c>
      <c r="C49" s="31" t="s">
        <v>113</v>
      </c>
      <c r="D49" s="28" t="s">
        <v>201</v>
      </c>
      <c r="E49" s="22"/>
      <c r="F49" s="18">
        <v>2237.2999999999997</v>
      </c>
      <c r="G49" s="57"/>
      <c r="H49" s="57"/>
      <c r="I49" s="57">
        <v>1.3812</v>
      </c>
      <c r="J49" s="57"/>
    </row>
    <row r="50" spans="1:10" x14ac:dyDescent="0.2">
      <c r="A50" s="16"/>
      <c r="B50" s="24" t="s">
        <v>208</v>
      </c>
      <c r="C50" s="31" t="s">
        <v>114</v>
      </c>
      <c r="D50" s="28" t="s">
        <v>115</v>
      </c>
      <c r="E50" s="22"/>
      <c r="F50" s="18">
        <v>0</v>
      </c>
      <c r="G50" s="57"/>
      <c r="H50" s="57"/>
      <c r="I50" s="57">
        <v>1.2310989999999999</v>
      </c>
      <c r="J50" s="57"/>
    </row>
    <row r="51" spans="1:10" x14ac:dyDescent="0.2">
      <c r="A51" s="16"/>
      <c r="B51" s="24"/>
      <c r="C51" s="66" t="s">
        <v>348</v>
      </c>
      <c r="D51" s="21" t="s">
        <v>298</v>
      </c>
      <c r="E51" s="22"/>
      <c r="F51" s="18"/>
      <c r="G51" s="57"/>
      <c r="H51" s="57"/>
      <c r="I51" s="57"/>
      <c r="J51" s="57">
        <f>VLOOKUP(C51,'EXHIBIT JDT-3 LCOM'!$D:$N,7,FALSE)</f>
        <v>1.5465</v>
      </c>
    </row>
    <row r="52" spans="1:10" x14ac:dyDescent="0.2">
      <c r="A52" s="34" t="s">
        <v>293</v>
      </c>
      <c r="B52" s="35" t="s">
        <v>291</v>
      </c>
      <c r="C52" s="36" t="s">
        <v>295</v>
      </c>
      <c r="D52" s="37" t="s">
        <v>184</v>
      </c>
      <c r="E52" s="38">
        <v>96</v>
      </c>
      <c r="F52" s="38"/>
      <c r="G52" s="58">
        <v>0</v>
      </c>
      <c r="H52" s="59">
        <f>VLOOKUP(C52,'EXHIBIT JDT-3 LCOM'!$D:$N,7,FALSE)</f>
        <v>0</v>
      </c>
      <c r="I52" s="59"/>
      <c r="J52" s="59"/>
    </row>
    <row r="53" spans="1:10" x14ac:dyDescent="0.2">
      <c r="A53" s="34"/>
      <c r="B53" s="35" t="s">
        <v>292</v>
      </c>
      <c r="C53" s="36" t="s">
        <v>294</v>
      </c>
      <c r="D53" s="37" t="s">
        <v>170</v>
      </c>
      <c r="E53" s="39"/>
      <c r="F53" s="38">
        <v>123192</v>
      </c>
      <c r="G53" s="59"/>
      <c r="H53" s="59"/>
      <c r="I53" s="59">
        <v>0.3</v>
      </c>
      <c r="J53" s="59">
        <f>VLOOKUP(C53,'EXHIBIT JDT-3 LCOM'!$D:$N,7,FALSE)</f>
        <v>0.35189999999999999</v>
      </c>
    </row>
    <row r="54" spans="1:10" x14ac:dyDescent="0.2">
      <c r="A54" s="32" t="s">
        <v>213</v>
      </c>
      <c r="B54" s="25" t="s">
        <v>53</v>
      </c>
      <c r="C54" s="1" t="s">
        <v>104</v>
      </c>
      <c r="D54" s="33" t="s">
        <v>184</v>
      </c>
      <c r="E54" s="11">
        <v>5037</v>
      </c>
      <c r="F54" s="12"/>
      <c r="G54" s="56">
        <v>19.89</v>
      </c>
      <c r="H54" s="56">
        <f>VLOOKUP(C54,'EXHIBIT JDT-3 SCOM'!$D:$N,7,FALSE)</f>
        <v>30</v>
      </c>
      <c r="I54" s="56"/>
      <c r="J54" s="56"/>
    </row>
    <row r="55" spans="1:10" x14ac:dyDescent="0.2">
      <c r="A55" s="25"/>
      <c r="B55" s="25" t="s">
        <v>210</v>
      </c>
      <c r="C55" s="1" t="s">
        <v>105</v>
      </c>
      <c r="D55" s="33" t="s">
        <v>212</v>
      </c>
      <c r="E55" s="15"/>
      <c r="F55" s="11">
        <v>14455.499999999998</v>
      </c>
      <c r="G55" s="56"/>
      <c r="H55" s="56"/>
      <c r="I55" s="56">
        <v>2.4148999999999998</v>
      </c>
      <c r="J55" s="56"/>
    </row>
    <row r="56" spans="1:10" x14ac:dyDescent="0.2">
      <c r="A56" s="25"/>
      <c r="B56" s="25" t="s">
        <v>211</v>
      </c>
      <c r="C56" s="1" t="s">
        <v>106</v>
      </c>
      <c r="D56" s="33" t="s">
        <v>103</v>
      </c>
      <c r="E56" s="15"/>
      <c r="F56" s="11">
        <v>30526.5</v>
      </c>
      <c r="G56" s="56"/>
      <c r="H56" s="56"/>
      <c r="I56" s="56">
        <v>2.1225000000000001</v>
      </c>
      <c r="J56" s="56"/>
    </row>
    <row r="57" spans="1:10" x14ac:dyDescent="0.2">
      <c r="A57" s="25"/>
      <c r="B57" s="25"/>
      <c r="C57" s="65" t="s">
        <v>345</v>
      </c>
      <c r="D57" s="14" t="s">
        <v>298</v>
      </c>
      <c r="E57" s="15"/>
      <c r="F57" s="11"/>
      <c r="G57" s="56"/>
      <c r="H57" s="56"/>
      <c r="I57" s="56"/>
      <c r="J57" s="56">
        <f>VLOOKUP(C57,'EXHIBIT JDT-3 SCOM'!$D:$N,7,FALSE)</f>
        <v>2.2273999999999998</v>
      </c>
    </row>
    <row r="58" spans="1:10" x14ac:dyDescent="0.2">
      <c r="A58" s="30" t="s">
        <v>215</v>
      </c>
      <c r="B58" s="24" t="s">
        <v>90</v>
      </c>
      <c r="C58" s="31" t="s">
        <v>104</v>
      </c>
      <c r="D58" s="28" t="s">
        <v>184</v>
      </c>
      <c r="E58" s="18">
        <v>1649</v>
      </c>
      <c r="F58" s="18">
        <v>1649</v>
      </c>
      <c r="G58" s="57">
        <v>19.89</v>
      </c>
      <c r="H58" s="57">
        <f>VLOOKUP(C58,'EXHIBIT JDT-3 SCOM'!$D:$N,7,FALSE)</f>
        <v>30</v>
      </c>
      <c r="I58" s="57"/>
      <c r="J58" s="57"/>
    </row>
    <row r="59" spans="1:10" x14ac:dyDescent="0.2">
      <c r="A59" s="24"/>
      <c r="B59" s="24" t="s">
        <v>214</v>
      </c>
      <c r="C59" s="31" t="s">
        <v>126</v>
      </c>
      <c r="D59" s="28" t="s">
        <v>170</v>
      </c>
      <c r="E59" s="22"/>
      <c r="F59" s="18">
        <v>22738</v>
      </c>
      <c r="G59" s="57"/>
      <c r="H59" s="57"/>
      <c r="I59" s="57">
        <v>2.3856000000000002</v>
      </c>
      <c r="J59" s="57">
        <f>VLOOKUP(C59,'EXHIBIT JDT-3 SCOM'!$D:$N,7,FALSE)</f>
        <v>2.2273999999999998</v>
      </c>
    </row>
    <row r="60" spans="1:10" x14ac:dyDescent="0.2">
      <c r="A60" s="32" t="s">
        <v>218</v>
      </c>
      <c r="B60" s="25" t="s">
        <v>92</v>
      </c>
      <c r="C60" s="1" t="s">
        <v>104</v>
      </c>
      <c r="D60" s="33" t="s">
        <v>184</v>
      </c>
      <c r="E60" s="11">
        <v>577</v>
      </c>
      <c r="F60" s="11"/>
      <c r="G60" s="56">
        <v>19.89</v>
      </c>
      <c r="H60" s="56">
        <f>VLOOKUP(C60,'EXHIBIT JDT-3 SCOM'!$D:$N,7,FALSE)</f>
        <v>30</v>
      </c>
      <c r="I60" s="56"/>
      <c r="J60" s="56"/>
    </row>
    <row r="61" spans="1:10" x14ac:dyDescent="0.2">
      <c r="A61" s="25"/>
      <c r="B61" s="25" t="s">
        <v>216</v>
      </c>
      <c r="C61" s="1" t="s">
        <v>105</v>
      </c>
      <c r="D61" s="33" t="s">
        <v>212</v>
      </c>
      <c r="E61" s="15"/>
      <c r="F61" s="11">
        <v>1940.6000000000001</v>
      </c>
      <c r="G61" s="56"/>
      <c r="H61" s="56"/>
      <c r="I61" s="56">
        <v>2.4148999999999998</v>
      </c>
      <c r="J61" s="56"/>
    </row>
    <row r="62" spans="1:10" x14ac:dyDescent="0.2">
      <c r="A62" s="25"/>
      <c r="B62" s="25" t="s">
        <v>217</v>
      </c>
      <c r="C62" s="1" t="s">
        <v>106</v>
      </c>
      <c r="D62" s="33" t="s">
        <v>103</v>
      </c>
      <c r="E62" s="15"/>
      <c r="F62" s="11">
        <v>4061.4</v>
      </c>
      <c r="G62" s="56"/>
      <c r="H62" s="56"/>
      <c r="I62" s="56">
        <v>2.1225000000000001</v>
      </c>
      <c r="J62" s="56"/>
    </row>
    <row r="63" spans="1:10" x14ac:dyDescent="0.2">
      <c r="A63" s="25"/>
      <c r="B63" s="25"/>
      <c r="C63" s="65" t="s">
        <v>345</v>
      </c>
      <c r="D63" s="14" t="s">
        <v>298</v>
      </c>
      <c r="E63" s="15"/>
      <c r="F63" s="11"/>
      <c r="G63" s="56"/>
      <c r="H63" s="56"/>
      <c r="I63" s="56"/>
      <c r="J63" s="56">
        <f>VLOOKUP(C63,'EXHIBIT JDT-3 SCOM'!$D:$N,7,FALSE)</f>
        <v>2.2273999999999998</v>
      </c>
    </row>
    <row r="64" spans="1:10" x14ac:dyDescent="0.2">
      <c r="A64" s="30" t="s">
        <v>219</v>
      </c>
      <c r="B64" s="24" t="s">
        <v>55</v>
      </c>
      <c r="C64" s="31" t="s">
        <v>107</v>
      </c>
      <c r="D64" s="28" t="s">
        <v>184</v>
      </c>
      <c r="E64" s="18">
        <v>2016</v>
      </c>
      <c r="F64" s="18"/>
      <c r="G64" s="57">
        <v>27.53</v>
      </c>
      <c r="H64" s="57">
        <f>VLOOKUP(C64,'EXHIBIT JDT-3 SCOM'!$D:$N,7,FALSE)</f>
        <v>41.5</v>
      </c>
      <c r="I64" s="57"/>
      <c r="J64" s="57"/>
    </row>
    <row r="65" spans="1:10" x14ac:dyDescent="0.2">
      <c r="A65" s="24"/>
      <c r="B65" s="24" t="s">
        <v>220</v>
      </c>
      <c r="C65" s="31" t="s">
        <v>108</v>
      </c>
      <c r="D65" s="28" t="s">
        <v>222</v>
      </c>
      <c r="E65" s="22"/>
      <c r="F65" s="18">
        <v>27106.500000000004</v>
      </c>
      <c r="G65" s="57"/>
      <c r="H65" s="57"/>
      <c r="I65" s="57">
        <v>1.8344</v>
      </c>
      <c r="J65" s="57"/>
    </row>
    <row r="66" spans="1:10" x14ac:dyDescent="0.2">
      <c r="A66" s="24"/>
      <c r="B66" s="24" t="s">
        <v>221</v>
      </c>
      <c r="C66" s="31" t="s">
        <v>109</v>
      </c>
      <c r="D66" s="28" t="s">
        <v>110</v>
      </c>
      <c r="E66" s="22"/>
      <c r="F66" s="18">
        <v>57504.5</v>
      </c>
      <c r="G66" s="57"/>
      <c r="H66" s="57"/>
      <c r="I66" s="57">
        <v>1.7056</v>
      </c>
      <c r="J66" s="57"/>
    </row>
    <row r="67" spans="1:10" x14ac:dyDescent="0.2">
      <c r="A67" s="24"/>
      <c r="B67" s="24"/>
      <c r="C67" s="64" t="s">
        <v>346</v>
      </c>
      <c r="D67" s="21" t="s">
        <v>298</v>
      </c>
      <c r="E67" s="22"/>
      <c r="F67" s="18"/>
      <c r="G67" s="57"/>
      <c r="H67" s="57"/>
      <c r="I67" s="57"/>
      <c r="J67" s="57">
        <f>VLOOKUP(C67,'EXHIBIT JDT-3 SCOM'!$D:$N,7,FALSE)</f>
        <v>1.9850000000000001</v>
      </c>
    </row>
    <row r="68" spans="1:10" x14ac:dyDescent="0.2">
      <c r="A68" s="32" t="s">
        <v>224</v>
      </c>
      <c r="B68" s="25" t="s">
        <v>94</v>
      </c>
      <c r="C68" s="1" t="s">
        <v>107</v>
      </c>
      <c r="D68" s="33" t="s">
        <v>184</v>
      </c>
      <c r="E68" s="11">
        <v>1886</v>
      </c>
      <c r="F68" s="11"/>
      <c r="G68" s="56">
        <v>27.53</v>
      </c>
      <c r="H68" s="56">
        <f>VLOOKUP(C68,'EXHIBIT JDT-3 SCOM'!$D:$N,7,FALSE)</f>
        <v>41.5</v>
      </c>
      <c r="I68" s="56"/>
      <c r="J68" s="56"/>
    </row>
    <row r="69" spans="1:10" x14ac:dyDescent="0.2">
      <c r="A69" s="25"/>
      <c r="B69" s="25" t="s">
        <v>223</v>
      </c>
      <c r="C69" s="1" t="s">
        <v>127</v>
      </c>
      <c r="D69" s="33" t="s">
        <v>170</v>
      </c>
      <c r="E69" s="15"/>
      <c r="F69" s="11">
        <v>86880</v>
      </c>
      <c r="G69" s="56"/>
      <c r="H69" s="56"/>
      <c r="I69" s="56">
        <v>1.8845000000000001</v>
      </c>
      <c r="J69" s="56">
        <f>VLOOKUP(C69,'EXHIBIT JDT-3 SCOM'!$D:$N,7,FALSE)</f>
        <v>1.9850000000000001</v>
      </c>
    </row>
    <row r="70" spans="1:10" x14ac:dyDescent="0.2">
      <c r="A70" s="30" t="s">
        <v>225</v>
      </c>
      <c r="B70" s="24" t="s">
        <v>57</v>
      </c>
      <c r="C70" s="31" t="s">
        <v>107</v>
      </c>
      <c r="D70" s="28" t="s">
        <v>184</v>
      </c>
      <c r="E70" s="18">
        <v>170</v>
      </c>
      <c r="F70" s="18"/>
      <c r="G70" s="57">
        <v>27.53</v>
      </c>
      <c r="H70" s="57">
        <f>VLOOKUP(C70,'EXHIBIT JDT-3 SCOM'!$D:$N,7,FALSE)</f>
        <v>41.5</v>
      </c>
      <c r="I70" s="57"/>
      <c r="J70" s="57"/>
    </row>
    <row r="71" spans="1:10" x14ac:dyDescent="0.2">
      <c r="A71" s="24"/>
      <c r="B71" s="24" t="s">
        <v>226</v>
      </c>
      <c r="C71" s="31" t="s">
        <v>108</v>
      </c>
      <c r="D71" s="28" t="s">
        <v>190</v>
      </c>
      <c r="E71" s="22"/>
      <c r="F71" s="18">
        <v>2479.3000000000002</v>
      </c>
      <c r="G71" s="57"/>
      <c r="H71" s="57"/>
      <c r="I71" s="57">
        <v>1.8344</v>
      </c>
      <c r="J71" s="57"/>
    </row>
    <row r="72" spans="1:10" x14ac:dyDescent="0.2">
      <c r="A72" s="24"/>
      <c r="B72" s="24" t="s">
        <v>227</v>
      </c>
      <c r="C72" s="31" t="s">
        <v>109</v>
      </c>
      <c r="D72" s="28" t="s">
        <v>110</v>
      </c>
      <c r="E72" s="22"/>
      <c r="F72" s="18">
        <v>5686.6999999999989</v>
      </c>
      <c r="G72" s="57"/>
      <c r="H72" s="57"/>
      <c r="I72" s="57">
        <v>1.7056</v>
      </c>
      <c r="J72" s="57"/>
    </row>
    <row r="73" spans="1:10" x14ac:dyDescent="0.2">
      <c r="A73" s="24"/>
      <c r="B73" s="24"/>
      <c r="C73" s="64" t="s">
        <v>346</v>
      </c>
      <c r="D73" s="21" t="s">
        <v>298</v>
      </c>
      <c r="E73" s="22"/>
      <c r="F73" s="18"/>
      <c r="G73" s="57"/>
      <c r="H73" s="57"/>
      <c r="I73" s="57"/>
      <c r="J73" s="57">
        <f>VLOOKUP(C73,'EXHIBIT JDT-3 SCOM'!$D:$N,7,FALSE)</f>
        <v>1.9850000000000001</v>
      </c>
    </row>
    <row r="74" spans="1:10" x14ac:dyDescent="0.2">
      <c r="A74" s="32" t="s">
        <v>231</v>
      </c>
      <c r="B74" s="25" t="s">
        <v>59</v>
      </c>
      <c r="C74" s="1" t="s">
        <v>111</v>
      </c>
      <c r="D74" s="33" t="s">
        <v>184</v>
      </c>
      <c r="E74" s="11">
        <v>430</v>
      </c>
      <c r="F74" s="11"/>
      <c r="G74" s="56">
        <v>121.01</v>
      </c>
      <c r="H74" s="56">
        <f>VLOOKUP(C74,'EXHIBIT JDT-3 LCOM'!$D:$N,7,FALSE)</f>
        <v>181.5</v>
      </c>
      <c r="I74" s="56"/>
      <c r="J74" s="56"/>
    </row>
    <row r="75" spans="1:10" x14ac:dyDescent="0.2">
      <c r="A75" s="25"/>
      <c r="B75" s="25" t="s">
        <v>228</v>
      </c>
      <c r="C75" s="1" t="s">
        <v>112</v>
      </c>
      <c r="D75" s="33" t="s">
        <v>200</v>
      </c>
      <c r="E75" s="15"/>
      <c r="F75" s="11">
        <v>67107.600000000006</v>
      </c>
      <c r="G75" s="56"/>
      <c r="H75" s="56"/>
      <c r="I75" s="56">
        <v>1.4947999999999999</v>
      </c>
      <c r="J75" s="56"/>
    </row>
    <row r="76" spans="1:10" x14ac:dyDescent="0.2">
      <c r="A76" s="25"/>
      <c r="B76" s="25" t="s">
        <v>229</v>
      </c>
      <c r="C76" s="1" t="s">
        <v>113</v>
      </c>
      <c r="D76" s="33" t="s">
        <v>201</v>
      </c>
      <c r="E76" s="15"/>
      <c r="F76" s="11">
        <v>33439.699999999997</v>
      </c>
      <c r="G76" s="56"/>
      <c r="H76" s="56"/>
      <c r="I76" s="56">
        <v>1.3812</v>
      </c>
      <c r="J76" s="56"/>
    </row>
    <row r="77" spans="1:10" x14ac:dyDescent="0.2">
      <c r="A77" s="25"/>
      <c r="B77" s="25" t="s">
        <v>230</v>
      </c>
      <c r="C77" s="1" t="s">
        <v>114</v>
      </c>
      <c r="D77" s="33" t="s">
        <v>115</v>
      </c>
      <c r="E77" s="15"/>
      <c r="F77" s="11">
        <v>2684.6</v>
      </c>
      <c r="G77" s="56"/>
      <c r="H77" s="56"/>
      <c r="I77" s="56">
        <v>1.2310989999999999</v>
      </c>
      <c r="J77" s="56"/>
    </row>
    <row r="78" spans="1:10" x14ac:dyDescent="0.2">
      <c r="A78" s="25"/>
      <c r="B78" s="25"/>
      <c r="C78" s="65" t="s">
        <v>348</v>
      </c>
      <c r="D78" s="14" t="s">
        <v>298</v>
      </c>
      <c r="E78" s="15"/>
      <c r="F78" s="11"/>
      <c r="G78" s="56"/>
      <c r="H78" s="56"/>
      <c r="I78" s="56"/>
      <c r="J78" s="56">
        <f>VLOOKUP(C78,'EXHIBIT JDT-3 LCOM'!$D:$N,7,FALSE)</f>
        <v>1.5465</v>
      </c>
    </row>
    <row r="79" spans="1:10" x14ac:dyDescent="0.2">
      <c r="A79" s="30" t="s">
        <v>233</v>
      </c>
      <c r="B79" s="24" t="s">
        <v>96</v>
      </c>
      <c r="C79" s="31" t="s">
        <v>111</v>
      </c>
      <c r="D79" s="28" t="s">
        <v>184</v>
      </c>
      <c r="E79" s="18">
        <v>3389</v>
      </c>
      <c r="F79" s="18">
        <v>3389</v>
      </c>
      <c r="G79" s="57">
        <v>121.01</v>
      </c>
      <c r="H79" s="57">
        <f>VLOOKUP(C79,'EXHIBIT JDT-3 LCOM'!$D:$N,7,FALSE)</f>
        <v>181.5</v>
      </c>
      <c r="I79" s="57"/>
      <c r="J79" s="57"/>
    </row>
    <row r="80" spans="1:10" x14ac:dyDescent="0.2">
      <c r="A80" s="24"/>
      <c r="B80" s="24" t="s">
        <v>232</v>
      </c>
      <c r="C80" s="31" t="s">
        <v>128</v>
      </c>
      <c r="D80" s="28" t="s">
        <v>170</v>
      </c>
      <c r="E80" s="22"/>
      <c r="F80" s="18">
        <v>1942245</v>
      </c>
      <c r="G80" s="57"/>
      <c r="H80" s="57"/>
      <c r="I80" s="57">
        <v>1.4361999999999999</v>
      </c>
      <c r="J80" s="57">
        <f>VLOOKUP(C80,'EXHIBIT JDT-3 LCOM'!$D:$N,7,FALSE)</f>
        <v>1.5465</v>
      </c>
    </row>
    <row r="81" spans="1:10" x14ac:dyDescent="0.2">
      <c r="A81" s="32" t="s">
        <v>234</v>
      </c>
      <c r="B81" s="25" t="s">
        <v>61</v>
      </c>
      <c r="C81" s="1" t="s">
        <v>111</v>
      </c>
      <c r="D81" s="33" t="s">
        <v>184</v>
      </c>
      <c r="E81" s="11">
        <v>24</v>
      </c>
      <c r="F81" s="11"/>
      <c r="G81" s="56">
        <v>121.01</v>
      </c>
      <c r="H81" s="56">
        <f>VLOOKUP(C81,'EXHIBIT JDT-3 LCOM'!$D:$N,7,FALSE)</f>
        <v>181.5</v>
      </c>
      <c r="I81" s="56"/>
      <c r="J81" s="56"/>
    </row>
    <row r="82" spans="1:10" x14ac:dyDescent="0.2">
      <c r="A82" s="25"/>
      <c r="B82" s="25" t="s">
        <v>235</v>
      </c>
      <c r="C82" s="1" t="s">
        <v>129</v>
      </c>
      <c r="D82" s="33" t="s">
        <v>170</v>
      </c>
      <c r="E82" s="15"/>
      <c r="F82" s="11">
        <v>183396</v>
      </c>
      <c r="G82" s="56"/>
      <c r="H82" s="56"/>
      <c r="I82" s="56">
        <v>1.4161999999999999</v>
      </c>
      <c r="J82" s="56">
        <f>VLOOKUP(C82,'EXHIBIT JDT-3 LCOM'!$D:$N,7,FALSE)</f>
        <v>1.5465</v>
      </c>
    </row>
    <row r="83" spans="1:10" x14ac:dyDescent="0.2">
      <c r="A83" s="30" t="s">
        <v>236</v>
      </c>
      <c r="B83" s="24" t="s">
        <v>63</v>
      </c>
      <c r="C83" s="31" t="s">
        <v>111</v>
      </c>
      <c r="D83" s="28" t="s">
        <v>184</v>
      </c>
      <c r="E83" s="18">
        <v>24</v>
      </c>
      <c r="F83" s="18"/>
      <c r="G83" s="57">
        <v>121.01</v>
      </c>
      <c r="H83" s="57">
        <f>VLOOKUP(C83,'EXHIBIT JDT-3 LCOM'!$D:$N,7,FALSE)</f>
        <v>181.5</v>
      </c>
      <c r="I83" s="57"/>
      <c r="J83" s="57"/>
    </row>
    <row r="84" spans="1:10" x14ac:dyDescent="0.2">
      <c r="A84" s="24"/>
      <c r="B84" s="24" t="s">
        <v>237</v>
      </c>
      <c r="C84" s="31" t="s">
        <v>112</v>
      </c>
      <c r="D84" s="28" t="s">
        <v>200</v>
      </c>
      <c r="E84" s="22"/>
      <c r="F84" s="18">
        <v>3942</v>
      </c>
      <c r="G84" s="57"/>
      <c r="H84" s="57"/>
      <c r="I84" s="57">
        <v>1.4947999999999999</v>
      </c>
      <c r="J84" s="57"/>
    </row>
    <row r="85" spans="1:10" x14ac:dyDescent="0.2">
      <c r="A85" s="24"/>
      <c r="B85" s="24" t="s">
        <v>238</v>
      </c>
      <c r="C85" s="31" t="s">
        <v>113</v>
      </c>
      <c r="D85" s="28" t="s">
        <v>201</v>
      </c>
      <c r="E85" s="22"/>
      <c r="F85" s="18">
        <v>740</v>
      </c>
      <c r="G85" s="57"/>
      <c r="H85" s="57"/>
      <c r="I85" s="57">
        <v>1.3812</v>
      </c>
      <c r="J85" s="57"/>
    </row>
    <row r="86" spans="1:10" x14ac:dyDescent="0.2">
      <c r="A86" s="24"/>
      <c r="B86" s="24" t="s">
        <v>239</v>
      </c>
      <c r="C86" s="31" t="s">
        <v>114</v>
      </c>
      <c r="D86" s="28" t="s">
        <v>115</v>
      </c>
      <c r="E86" s="22"/>
      <c r="F86" s="18">
        <v>0</v>
      </c>
      <c r="G86" s="57"/>
      <c r="H86" s="57"/>
      <c r="I86" s="57">
        <v>1.2310989999999999</v>
      </c>
      <c r="J86" s="57"/>
    </row>
    <row r="87" spans="1:10" x14ac:dyDescent="0.2">
      <c r="A87" s="24"/>
      <c r="B87" s="24"/>
      <c r="C87" s="66" t="s">
        <v>348</v>
      </c>
      <c r="D87" s="21" t="s">
        <v>298</v>
      </c>
      <c r="E87" s="22"/>
      <c r="F87" s="18"/>
      <c r="G87" s="57"/>
      <c r="H87" s="57"/>
      <c r="I87" s="57"/>
      <c r="J87" s="57">
        <f>VLOOKUP(C87,'EXHIBIT JDT-3 LCOM'!$D:$N,7,FALSE)</f>
        <v>1.5465</v>
      </c>
    </row>
    <row r="88" spans="1:10" x14ac:dyDescent="0.2">
      <c r="A88" s="32" t="s">
        <v>240</v>
      </c>
      <c r="B88" s="25" t="s">
        <v>65</v>
      </c>
      <c r="C88" s="1" t="s">
        <v>116</v>
      </c>
      <c r="D88" s="33" t="s">
        <v>184</v>
      </c>
      <c r="E88" s="11">
        <v>1333</v>
      </c>
      <c r="F88" s="11"/>
      <c r="G88" s="56">
        <v>65.599999999999994</v>
      </c>
      <c r="H88" s="56">
        <f>VLOOKUP(C88,'EXHIBIT JDT-3 IND'!$D:$N,7,FALSE)</f>
        <v>98.5</v>
      </c>
      <c r="I88" s="56"/>
      <c r="J88" s="56"/>
    </row>
    <row r="89" spans="1:10" x14ac:dyDescent="0.2">
      <c r="A89" s="25"/>
      <c r="B89" s="25" t="s">
        <v>241</v>
      </c>
      <c r="C89" s="1" t="s">
        <v>117</v>
      </c>
      <c r="D89" s="33" t="s">
        <v>170</v>
      </c>
      <c r="E89" s="15"/>
      <c r="F89" s="11">
        <v>51040</v>
      </c>
      <c r="G89" s="56"/>
      <c r="H89" s="56"/>
      <c r="I89" s="56">
        <v>2.0531000000000001</v>
      </c>
      <c r="J89" s="56">
        <f>VLOOKUP(C89,'EXHIBIT JDT-3 IND'!$D:$N,7,FALSE)</f>
        <v>1.8742000000000001</v>
      </c>
    </row>
    <row r="90" spans="1:10" x14ac:dyDescent="0.2">
      <c r="A90" s="30" t="s">
        <v>243</v>
      </c>
      <c r="B90" s="24" t="s">
        <v>68</v>
      </c>
      <c r="C90" s="31" t="s">
        <v>116</v>
      </c>
      <c r="D90" s="28" t="s">
        <v>184</v>
      </c>
      <c r="E90" s="18">
        <v>744</v>
      </c>
      <c r="F90" s="18">
        <v>744</v>
      </c>
      <c r="G90" s="57">
        <v>65.599999999999994</v>
      </c>
      <c r="H90" s="57">
        <f>VLOOKUP(C90,'EXHIBIT JDT-3 IND'!$D:$N,7,FALSE)</f>
        <v>98.5</v>
      </c>
      <c r="I90" s="57"/>
      <c r="J90" s="57"/>
    </row>
    <row r="91" spans="1:10" x14ac:dyDescent="0.2">
      <c r="A91" s="24"/>
      <c r="B91" s="24" t="s">
        <v>242</v>
      </c>
      <c r="C91" s="31" t="s">
        <v>130</v>
      </c>
      <c r="D91" s="28" t="s">
        <v>170</v>
      </c>
      <c r="E91" s="22"/>
      <c r="F91" s="18">
        <v>35974</v>
      </c>
      <c r="G91" s="57"/>
      <c r="H91" s="57"/>
      <c r="I91" s="57">
        <v>2.1857000000000002</v>
      </c>
      <c r="J91" s="57">
        <f>VLOOKUP(C91,'EXHIBIT JDT-3 IND'!$D:$N,7,FALSE)</f>
        <v>1.8742000000000001</v>
      </c>
    </row>
    <row r="92" spans="1:10" x14ac:dyDescent="0.2">
      <c r="A92" s="32" t="s">
        <v>244</v>
      </c>
      <c r="B92" s="25" t="s">
        <v>70</v>
      </c>
      <c r="C92" s="1" t="s">
        <v>116</v>
      </c>
      <c r="D92" s="33" t="s">
        <v>184</v>
      </c>
      <c r="E92" s="11">
        <v>216</v>
      </c>
      <c r="F92" s="11"/>
      <c r="G92" s="56">
        <v>65.599999999999994</v>
      </c>
      <c r="H92" s="56">
        <f>VLOOKUP(C92,'EXHIBIT JDT-3 IND'!$D:$N,7,FALSE)</f>
        <v>98.5</v>
      </c>
      <c r="I92" s="56"/>
      <c r="J92" s="56"/>
    </row>
    <row r="93" spans="1:10" x14ac:dyDescent="0.2">
      <c r="A93" s="25"/>
      <c r="B93" s="25" t="s">
        <v>245</v>
      </c>
      <c r="C93" s="1" t="s">
        <v>117</v>
      </c>
      <c r="D93" s="33" t="s">
        <v>170</v>
      </c>
      <c r="E93" s="15"/>
      <c r="F93" s="11">
        <v>8406</v>
      </c>
      <c r="G93" s="56"/>
      <c r="H93" s="56"/>
      <c r="I93" s="56">
        <v>2.0531000000000001</v>
      </c>
      <c r="J93" s="56">
        <f>VLOOKUP(C93,'EXHIBIT JDT-3 IND'!$D:$N,7,FALSE)</f>
        <v>1.8742000000000001</v>
      </c>
    </row>
    <row r="94" spans="1:10" x14ac:dyDescent="0.2">
      <c r="A94" s="30" t="s">
        <v>246</v>
      </c>
      <c r="B94" s="24" t="s">
        <v>72</v>
      </c>
      <c r="C94" s="31" t="s">
        <v>118</v>
      </c>
      <c r="D94" s="28" t="s">
        <v>184</v>
      </c>
      <c r="E94" s="18">
        <v>669</v>
      </c>
      <c r="F94" s="18"/>
      <c r="G94" s="57">
        <v>201.91</v>
      </c>
      <c r="H94" s="57">
        <f>VLOOKUP(C94,'EXHIBIT JDT-3 IND'!$D:$N,7,FALSE)</f>
        <v>303</v>
      </c>
      <c r="I94" s="57"/>
      <c r="J94" s="57"/>
    </row>
    <row r="95" spans="1:10" x14ac:dyDescent="0.2">
      <c r="A95" s="24"/>
      <c r="B95" s="24" t="s">
        <v>247</v>
      </c>
      <c r="C95" s="31" t="s">
        <v>119</v>
      </c>
      <c r="D95" s="28" t="s">
        <v>250</v>
      </c>
      <c r="E95" s="22"/>
      <c r="F95" s="18">
        <v>42803</v>
      </c>
      <c r="G95" s="57"/>
      <c r="H95" s="57"/>
      <c r="I95" s="57">
        <v>1.4947999999999999</v>
      </c>
      <c r="J95" s="57"/>
    </row>
    <row r="96" spans="1:10" x14ac:dyDescent="0.2">
      <c r="A96" s="24"/>
      <c r="B96" s="24" t="s">
        <v>248</v>
      </c>
      <c r="C96" s="31" t="s">
        <v>120</v>
      </c>
      <c r="D96" s="28" t="s">
        <v>121</v>
      </c>
      <c r="E96" s="22"/>
      <c r="F96" s="18">
        <v>123969.8</v>
      </c>
      <c r="G96" s="57"/>
      <c r="H96" s="57"/>
      <c r="I96" s="57">
        <v>1.0999000000000001</v>
      </c>
      <c r="J96" s="57"/>
    </row>
    <row r="97" spans="1:10" x14ac:dyDescent="0.2">
      <c r="A97" s="24"/>
      <c r="B97" s="24" t="s">
        <v>249</v>
      </c>
      <c r="C97" s="31" t="s">
        <v>122</v>
      </c>
      <c r="D97" s="28" t="s">
        <v>115</v>
      </c>
      <c r="E97" s="22"/>
      <c r="F97" s="18">
        <v>20237.099999999999</v>
      </c>
      <c r="G97" s="57"/>
      <c r="H97" s="57"/>
      <c r="I97" s="57">
        <v>0.79079999999999995</v>
      </c>
      <c r="J97" s="57"/>
    </row>
    <row r="98" spans="1:10" x14ac:dyDescent="0.2">
      <c r="A98" s="24"/>
      <c r="B98" s="24"/>
      <c r="C98" s="66" t="s">
        <v>350</v>
      </c>
      <c r="D98" s="21" t="s">
        <v>298</v>
      </c>
      <c r="E98" s="22"/>
      <c r="F98" s="18"/>
      <c r="G98" s="57"/>
      <c r="H98" s="57"/>
      <c r="I98" s="57"/>
      <c r="J98" s="57">
        <f>VLOOKUP(C98,'EXHIBIT JDT-3 IND'!$D:$N,7,FALSE)</f>
        <v>1.1675</v>
      </c>
    </row>
    <row r="99" spans="1:10" x14ac:dyDescent="0.2">
      <c r="A99" s="32" t="s">
        <v>252</v>
      </c>
      <c r="B99" s="25" t="s">
        <v>74</v>
      </c>
      <c r="C99" s="1" t="s">
        <v>118</v>
      </c>
      <c r="D99" s="33" t="s">
        <v>184</v>
      </c>
      <c r="E99" s="11">
        <v>3275</v>
      </c>
      <c r="F99" s="11"/>
      <c r="G99" s="56">
        <v>201.91</v>
      </c>
      <c r="H99" s="56">
        <f>VLOOKUP(C99,'EXHIBIT JDT-3 IND'!$D:$N,7,FALSE)</f>
        <v>303</v>
      </c>
      <c r="I99" s="56"/>
      <c r="J99" s="56"/>
    </row>
    <row r="100" spans="1:10" x14ac:dyDescent="0.2">
      <c r="A100" s="25"/>
      <c r="B100" s="25" t="s">
        <v>251</v>
      </c>
      <c r="C100" s="1" t="s">
        <v>131</v>
      </c>
      <c r="D100" s="33" t="s">
        <v>170</v>
      </c>
      <c r="E100" s="15"/>
      <c r="F100" s="11">
        <v>2358513</v>
      </c>
      <c r="G100" s="56"/>
      <c r="H100" s="56"/>
      <c r="I100" s="56">
        <v>1.0904</v>
      </c>
      <c r="J100" s="56">
        <f>VLOOKUP(C100,'EXHIBIT JDT-3 IND'!$D:$N,7,FALSE)</f>
        <v>1.1675</v>
      </c>
    </row>
    <row r="101" spans="1:10" x14ac:dyDescent="0.2">
      <c r="A101" s="30" t="s">
        <v>254</v>
      </c>
      <c r="B101" s="24" t="s">
        <v>76</v>
      </c>
      <c r="C101" s="31" t="s">
        <v>118</v>
      </c>
      <c r="D101" s="28" t="s">
        <v>184</v>
      </c>
      <c r="E101" s="18">
        <v>240</v>
      </c>
      <c r="F101" s="18">
        <v>240</v>
      </c>
      <c r="G101" s="57">
        <v>201.91</v>
      </c>
      <c r="H101" s="57">
        <f>VLOOKUP(C101,'EXHIBIT JDT-3 IND'!$D:$N,7,FALSE)</f>
        <v>303</v>
      </c>
      <c r="I101" s="57"/>
      <c r="J101" s="57"/>
    </row>
    <row r="102" spans="1:10" x14ac:dyDescent="0.2">
      <c r="A102" s="24"/>
      <c r="B102" s="24" t="s">
        <v>253</v>
      </c>
      <c r="C102" s="31" t="s">
        <v>132</v>
      </c>
      <c r="D102" s="28" t="s">
        <v>170</v>
      </c>
      <c r="E102" s="22"/>
      <c r="F102" s="18">
        <v>557980</v>
      </c>
      <c r="G102" s="57"/>
      <c r="H102" s="57"/>
      <c r="I102" s="57">
        <v>1.0704</v>
      </c>
      <c r="J102" s="57">
        <f>VLOOKUP(C102,'EXHIBIT JDT-3 IND'!$D:$N,7,FALSE)</f>
        <v>1.1675</v>
      </c>
    </row>
    <row r="103" spans="1:10" x14ac:dyDescent="0.2">
      <c r="A103" s="32" t="s">
        <v>258</v>
      </c>
      <c r="B103" s="25" t="s">
        <v>78</v>
      </c>
      <c r="C103" s="1" t="s">
        <v>118</v>
      </c>
      <c r="D103" s="33" t="s">
        <v>184</v>
      </c>
      <c r="E103" s="11">
        <v>24</v>
      </c>
      <c r="F103" s="11"/>
      <c r="G103" s="56">
        <v>201.91</v>
      </c>
      <c r="H103" s="56">
        <f>VLOOKUP(C103,'EXHIBIT JDT-3 IND'!$D:$N,7,FALSE)</f>
        <v>303</v>
      </c>
      <c r="I103" s="56"/>
      <c r="J103" s="56"/>
    </row>
    <row r="104" spans="1:10" x14ac:dyDescent="0.2">
      <c r="A104" s="25"/>
      <c r="B104" s="25" t="s">
        <v>255</v>
      </c>
      <c r="C104" s="1" t="s">
        <v>119</v>
      </c>
      <c r="D104" s="33" t="s">
        <v>250</v>
      </c>
      <c r="E104" s="15"/>
      <c r="F104" s="11">
        <v>1495.6000000000001</v>
      </c>
      <c r="G104" s="56"/>
      <c r="H104" s="56"/>
      <c r="I104" s="56">
        <v>1.4947999999999999</v>
      </c>
      <c r="J104" s="56"/>
    </row>
    <row r="105" spans="1:10" x14ac:dyDescent="0.2">
      <c r="A105" s="25"/>
      <c r="B105" s="25" t="s">
        <v>256</v>
      </c>
      <c r="C105" s="1" t="s">
        <v>120</v>
      </c>
      <c r="D105" s="33" t="s">
        <v>121</v>
      </c>
      <c r="E105" s="15"/>
      <c r="F105" s="11">
        <v>934.4</v>
      </c>
      <c r="G105" s="56"/>
      <c r="H105" s="56"/>
      <c r="I105" s="56">
        <v>1.0999000000000001</v>
      </c>
      <c r="J105" s="56"/>
    </row>
    <row r="106" spans="1:10" x14ac:dyDescent="0.2">
      <c r="A106" s="25"/>
      <c r="B106" s="25" t="s">
        <v>257</v>
      </c>
      <c r="C106" s="1" t="s">
        <v>122</v>
      </c>
      <c r="D106" s="33" t="s">
        <v>115</v>
      </c>
      <c r="E106" s="15"/>
      <c r="F106" s="11">
        <v>0</v>
      </c>
      <c r="G106" s="56"/>
      <c r="H106" s="56"/>
      <c r="I106" s="56">
        <v>0.79079999999999995</v>
      </c>
      <c r="J106" s="56"/>
    </row>
    <row r="107" spans="1:10" x14ac:dyDescent="0.2">
      <c r="A107" s="25"/>
      <c r="B107" s="25"/>
      <c r="C107" s="65" t="s">
        <v>350</v>
      </c>
      <c r="D107" s="14" t="s">
        <v>298</v>
      </c>
      <c r="E107" s="15"/>
      <c r="F107" s="11"/>
      <c r="G107" s="56"/>
      <c r="H107" s="56"/>
      <c r="I107" s="56"/>
      <c r="J107" s="56">
        <f>VLOOKUP(C107,'EXHIBIT JDT-3 IND'!$D:$N,7,FALSE)</f>
        <v>1.1675</v>
      </c>
    </row>
    <row r="108" spans="1:10" x14ac:dyDescent="0.2">
      <c r="A108" s="30" t="s">
        <v>260</v>
      </c>
      <c r="B108" s="24" t="s">
        <v>80</v>
      </c>
      <c r="C108" s="31" t="s">
        <v>123</v>
      </c>
      <c r="D108" s="28" t="s">
        <v>184</v>
      </c>
      <c r="E108" s="18">
        <v>96</v>
      </c>
      <c r="F108" s="18">
        <v>96</v>
      </c>
      <c r="G108" s="57">
        <v>809</v>
      </c>
      <c r="H108" s="57">
        <f>VLOOKUP(C108,'EXHIBIT JDT-3 IND'!$D:$N,7,FALSE)</f>
        <v>1213.5</v>
      </c>
      <c r="I108" s="57"/>
      <c r="J108" s="57"/>
    </row>
    <row r="109" spans="1:10" x14ac:dyDescent="0.2">
      <c r="A109" s="24"/>
      <c r="B109" s="24" t="s">
        <v>259</v>
      </c>
      <c r="C109" s="31" t="s">
        <v>133</v>
      </c>
      <c r="D109" s="28" t="s">
        <v>170</v>
      </c>
      <c r="E109" s="22"/>
      <c r="F109" s="18">
        <v>562221.34570941317</v>
      </c>
      <c r="G109" s="57"/>
      <c r="H109" s="57"/>
      <c r="I109" s="57">
        <v>0.8286</v>
      </c>
      <c r="J109" s="57">
        <f>VLOOKUP(C109,'EXHIBIT JDT-3 IND'!$D:$N,7,FALSE)</f>
        <v>0.90549999999999997</v>
      </c>
    </row>
    <row r="110" spans="1:10" x14ac:dyDescent="0.2">
      <c r="A110" s="32" t="s">
        <v>261</v>
      </c>
      <c r="B110" s="25" t="s">
        <v>82</v>
      </c>
      <c r="C110" s="1" t="s">
        <v>123</v>
      </c>
      <c r="D110" s="33" t="s">
        <v>184</v>
      </c>
      <c r="E110" s="11">
        <v>216</v>
      </c>
      <c r="F110" s="11"/>
      <c r="G110" s="56">
        <v>809</v>
      </c>
      <c r="H110" s="56">
        <f>VLOOKUP(C110,'EXHIBIT JDT-3 IND'!$D:$N,7,FALSE)</f>
        <v>1213.5</v>
      </c>
      <c r="I110" s="56"/>
      <c r="J110" s="56"/>
    </row>
    <row r="111" spans="1:10" x14ac:dyDescent="0.2">
      <c r="A111" s="25"/>
      <c r="B111" s="25" t="s">
        <v>262</v>
      </c>
      <c r="C111" s="1" t="s">
        <v>134</v>
      </c>
      <c r="D111" s="33" t="s">
        <v>170</v>
      </c>
      <c r="E111" s="15"/>
      <c r="F111" s="11">
        <v>1769730.7337014659</v>
      </c>
      <c r="G111" s="56"/>
      <c r="H111" s="56"/>
      <c r="I111" s="56">
        <v>0.80859999999999999</v>
      </c>
      <c r="J111" s="56">
        <f>VLOOKUP(C111,'EXHIBIT JDT-3 IND'!$D:$N,7,FALSE)</f>
        <v>0.90549999999999997</v>
      </c>
    </row>
    <row r="112" spans="1:10" x14ac:dyDescent="0.2">
      <c r="A112" s="67" t="s">
        <v>263</v>
      </c>
      <c r="B112" s="24" t="s">
        <v>264</v>
      </c>
      <c r="C112" s="31" t="s">
        <v>123</v>
      </c>
      <c r="D112" s="28" t="s">
        <v>184</v>
      </c>
      <c r="E112" s="18" t="e">
        <v>#N/A</v>
      </c>
      <c r="F112" s="18" t="e">
        <v>#N/A</v>
      </c>
      <c r="G112" s="57">
        <v>809</v>
      </c>
      <c r="H112" s="57"/>
      <c r="I112" s="57"/>
      <c r="J112" s="57"/>
    </row>
    <row r="113" spans="1:10" x14ac:dyDescent="0.2">
      <c r="A113" s="24"/>
      <c r="B113" s="24" t="s">
        <v>265</v>
      </c>
      <c r="C113" s="31" t="s">
        <v>137</v>
      </c>
      <c r="D113" s="28" t="s">
        <v>170</v>
      </c>
      <c r="E113" s="22"/>
      <c r="F113" s="18" t="e">
        <v>#N/A</v>
      </c>
      <c r="G113" s="57"/>
      <c r="H113" s="57" t="s">
        <v>378</v>
      </c>
      <c r="I113" s="57" t="e">
        <v>#N/A</v>
      </c>
      <c r="J113" s="57" t="s">
        <v>378</v>
      </c>
    </row>
    <row r="114" spans="1:10" x14ac:dyDescent="0.2">
      <c r="A114" s="32" t="s">
        <v>266</v>
      </c>
      <c r="B114" s="25" t="s">
        <v>84</v>
      </c>
      <c r="C114" s="1" t="s">
        <v>124</v>
      </c>
      <c r="D114" s="33" t="s">
        <v>184</v>
      </c>
      <c r="E114" s="11">
        <v>12</v>
      </c>
      <c r="F114" s="11"/>
      <c r="G114" s="56">
        <v>1029</v>
      </c>
      <c r="H114" s="56"/>
      <c r="I114" s="56"/>
      <c r="J114" s="56"/>
    </row>
    <row r="115" spans="1:10" x14ac:dyDescent="0.2">
      <c r="A115" s="25"/>
      <c r="B115" s="25" t="s">
        <v>267</v>
      </c>
      <c r="C115" s="1" t="s">
        <v>135</v>
      </c>
      <c r="D115" s="33" t="s">
        <v>170</v>
      </c>
      <c r="E115" s="15"/>
      <c r="F115" s="11">
        <v>367094.96481140249</v>
      </c>
      <c r="G115" s="56"/>
      <c r="H115" s="56"/>
      <c r="I115" s="56">
        <v>0.50390000000000001</v>
      </c>
      <c r="J115" s="56"/>
    </row>
    <row r="116" spans="1:10" x14ac:dyDescent="0.2">
      <c r="A116" s="30" t="s">
        <v>268</v>
      </c>
      <c r="B116" s="24" t="s">
        <v>86</v>
      </c>
      <c r="C116" s="31" t="s">
        <v>124</v>
      </c>
      <c r="D116" s="28" t="s">
        <v>184</v>
      </c>
      <c r="E116" s="18">
        <v>132</v>
      </c>
      <c r="F116" s="18">
        <v>132</v>
      </c>
      <c r="G116" s="57">
        <v>1029</v>
      </c>
      <c r="H116" s="57">
        <f>VLOOKUP(C116,'EXHIBIT JDT-3 IND'!$D:$N,7,FALSE)</f>
        <v>1543.5</v>
      </c>
      <c r="I116" s="57"/>
      <c r="J116" s="57"/>
    </row>
    <row r="117" spans="1:10" x14ac:dyDescent="0.2">
      <c r="A117" s="24"/>
      <c r="B117" s="24" t="s">
        <v>269</v>
      </c>
      <c r="C117" s="31" t="s">
        <v>136</v>
      </c>
      <c r="D117" s="28" t="s">
        <v>170</v>
      </c>
      <c r="E117" s="22"/>
      <c r="F117" s="18">
        <v>6024011.2124933479</v>
      </c>
      <c r="G117" s="57"/>
      <c r="H117" s="57"/>
      <c r="I117" s="57">
        <v>0.4839</v>
      </c>
      <c r="J117" s="57">
        <f>VLOOKUP(C117,'EXHIBIT JDT-3 IND'!$D:$N,7,FALSE)</f>
        <v>0.55410000000000004</v>
      </c>
    </row>
    <row r="118" spans="1:10" x14ac:dyDescent="0.2">
      <c r="A118" s="67" t="s">
        <v>270</v>
      </c>
      <c r="B118" s="25" t="s">
        <v>88</v>
      </c>
      <c r="C118" s="1" t="s">
        <v>124</v>
      </c>
      <c r="D118" s="33" t="s">
        <v>184</v>
      </c>
      <c r="E118" s="11">
        <v>72</v>
      </c>
      <c r="F118" s="11"/>
      <c r="G118" s="56">
        <v>1029</v>
      </c>
      <c r="H118" s="56" t="s">
        <v>378</v>
      </c>
      <c r="I118" s="56"/>
      <c r="J118" s="56"/>
    </row>
    <row r="119" spans="1:10" x14ac:dyDescent="0.2">
      <c r="A119" s="25"/>
      <c r="B119" s="25" t="s">
        <v>271</v>
      </c>
      <c r="C119" s="1" t="s">
        <v>138</v>
      </c>
      <c r="D119" s="33" t="s">
        <v>170</v>
      </c>
      <c r="E119" s="15"/>
      <c r="F119" s="11">
        <v>4407021.3244040729</v>
      </c>
      <c r="G119" s="56"/>
      <c r="H119" s="56"/>
      <c r="I119" s="56">
        <v>0.28623199999999999</v>
      </c>
      <c r="J119" s="56" t="s">
        <v>378</v>
      </c>
    </row>
    <row r="120" spans="1:10" x14ac:dyDescent="0.2">
      <c r="A120" s="30" t="s">
        <v>272</v>
      </c>
      <c r="B120" s="24" t="s">
        <v>89</v>
      </c>
      <c r="C120" s="31" t="s">
        <v>124</v>
      </c>
      <c r="D120" s="28" t="s">
        <v>184</v>
      </c>
      <c r="E120" s="18">
        <v>12</v>
      </c>
      <c r="F120" s="18">
        <v>12</v>
      </c>
      <c r="G120" s="57">
        <v>1029</v>
      </c>
      <c r="H120" s="57" t="s">
        <v>378</v>
      </c>
      <c r="I120" s="57"/>
      <c r="J120" s="57"/>
    </row>
    <row r="121" spans="1:10" x14ac:dyDescent="0.2">
      <c r="A121" s="24"/>
      <c r="B121" s="24" t="s">
        <v>273</v>
      </c>
      <c r="C121" s="31" t="s">
        <v>139</v>
      </c>
      <c r="D121" s="28" t="s">
        <v>170</v>
      </c>
      <c r="E121" s="22"/>
      <c r="F121" s="18">
        <v>2800000.0000000005</v>
      </c>
      <c r="G121" s="57"/>
      <c r="H121" s="57"/>
      <c r="I121" s="57">
        <v>0.146838</v>
      </c>
      <c r="J121" s="57" t="s">
        <v>378</v>
      </c>
    </row>
    <row r="122" spans="1:10" x14ac:dyDescent="0.2">
      <c r="A122" s="32" t="s">
        <v>274</v>
      </c>
      <c r="B122" s="25" t="s">
        <v>275</v>
      </c>
      <c r="C122" s="1" t="s">
        <v>160</v>
      </c>
      <c r="D122" s="33" t="s">
        <v>184</v>
      </c>
      <c r="E122" s="11" t="e">
        <v>#N/A</v>
      </c>
      <c r="F122" s="11"/>
      <c r="G122" s="56" t="e">
        <v>#N/A</v>
      </c>
      <c r="H122" s="56" t="s">
        <v>378</v>
      </c>
      <c r="I122" s="56"/>
      <c r="J122" s="56"/>
    </row>
    <row r="123" spans="1:10" x14ac:dyDescent="0.2">
      <c r="A123" s="25"/>
      <c r="B123" s="25" t="s">
        <v>276</v>
      </c>
      <c r="C123" s="1" t="s">
        <v>161</v>
      </c>
      <c r="D123" s="33" t="s">
        <v>170</v>
      </c>
      <c r="E123" s="15"/>
      <c r="F123" s="11" t="e">
        <v>#N/A</v>
      </c>
      <c r="G123" s="56"/>
      <c r="H123" s="56"/>
      <c r="I123" s="56" t="e">
        <v>#N/A</v>
      </c>
      <c r="J123" s="56" t="s">
        <v>378</v>
      </c>
    </row>
    <row r="124" spans="1:10" x14ac:dyDescent="0.2">
      <c r="A124" s="40"/>
      <c r="B124" s="40"/>
      <c r="C124" s="50" t="s">
        <v>140</v>
      </c>
      <c r="D124" s="40" t="s">
        <v>141</v>
      </c>
      <c r="E124" s="42"/>
      <c r="F124" s="42"/>
      <c r="G124" s="60">
        <v>0.30549999999999999</v>
      </c>
      <c r="H124" s="61">
        <f>G124</f>
        <v>0.30549999999999999</v>
      </c>
      <c r="I124" s="61"/>
      <c r="J124" s="61"/>
    </row>
    <row r="125" spans="1:10" x14ac:dyDescent="0.2">
      <c r="A125" s="40"/>
      <c r="B125" s="40"/>
      <c r="C125" s="50" t="s">
        <v>142</v>
      </c>
      <c r="D125" s="40" t="s">
        <v>143</v>
      </c>
      <c r="E125" s="42"/>
      <c r="F125" s="42"/>
      <c r="G125" s="60">
        <v>7.8997999999999999</v>
      </c>
      <c r="H125" s="61">
        <f>G125</f>
        <v>7.8997999999999999</v>
      </c>
      <c r="I125" s="61"/>
      <c r="J125" s="61"/>
    </row>
    <row r="126" spans="1:10" x14ac:dyDescent="0.2">
      <c r="A126" s="40"/>
      <c r="B126" s="40"/>
      <c r="C126" s="50" t="s">
        <v>144</v>
      </c>
      <c r="D126" s="40" t="s">
        <v>145</v>
      </c>
      <c r="E126" s="42"/>
      <c r="F126" s="42"/>
      <c r="G126" s="60">
        <v>0.83830000000000005</v>
      </c>
      <c r="H126" s="61">
        <f>G126</f>
        <v>0.83830000000000005</v>
      </c>
      <c r="I126" s="61"/>
      <c r="J126" s="61"/>
    </row>
    <row r="127" spans="1:10" x14ac:dyDescent="0.2">
      <c r="A127" s="40"/>
      <c r="B127" s="40"/>
      <c r="C127" s="50" t="s">
        <v>146</v>
      </c>
      <c r="D127" s="40" t="s">
        <v>147</v>
      </c>
      <c r="E127" s="42"/>
      <c r="F127" s="42"/>
      <c r="G127" s="60">
        <v>-2.5000044378963621E-3</v>
      </c>
      <c r="H127" s="61">
        <v>0</v>
      </c>
      <c r="I127" s="61"/>
      <c r="J127" s="61"/>
    </row>
    <row r="128" spans="1:10" x14ac:dyDescent="0.2">
      <c r="A128" s="40"/>
      <c r="B128" s="40"/>
      <c r="C128" s="50" t="s">
        <v>148</v>
      </c>
      <c r="D128" s="40" t="s">
        <v>149</v>
      </c>
      <c r="E128" s="42"/>
      <c r="F128" s="42"/>
      <c r="G128" s="60">
        <v>0</v>
      </c>
      <c r="H128" s="61">
        <f>G128</f>
        <v>0</v>
      </c>
      <c r="I128" s="61"/>
      <c r="J128" s="61"/>
    </row>
    <row r="129" spans="1:10" x14ac:dyDescent="0.2">
      <c r="A129" s="40"/>
      <c r="B129" s="40"/>
      <c r="C129" s="50" t="s">
        <v>150</v>
      </c>
      <c r="D129" s="40" t="s">
        <v>151</v>
      </c>
      <c r="E129" s="42"/>
      <c r="F129" s="42"/>
      <c r="G129" s="60">
        <v>0</v>
      </c>
      <c r="H129" s="61">
        <f>G129</f>
        <v>0</v>
      </c>
      <c r="I129" s="61"/>
      <c r="J129" s="61"/>
    </row>
    <row r="130" spans="1:10" x14ac:dyDescent="0.2">
      <c r="A130" s="40"/>
      <c r="B130" s="40"/>
      <c r="C130" s="50" t="s">
        <v>152</v>
      </c>
      <c r="D130" s="40" t="s">
        <v>153</v>
      </c>
      <c r="E130" s="40"/>
      <c r="F130" s="40"/>
      <c r="G130" s="60">
        <v>0.37998399999999999</v>
      </c>
      <c r="H130" s="61">
        <f>G130</f>
        <v>0.37998399999999999</v>
      </c>
      <c r="I130" s="61"/>
      <c r="J130" s="61"/>
    </row>
    <row r="131" spans="1:10" x14ac:dyDescent="0.2">
      <c r="A131" s="40"/>
      <c r="B131" s="40"/>
      <c r="C131" s="50" t="s">
        <v>154</v>
      </c>
      <c r="D131" s="40" t="s">
        <v>155</v>
      </c>
      <c r="E131" s="43"/>
      <c r="F131" s="43"/>
      <c r="G131" s="60" t="e">
        <v>#N/A</v>
      </c>
      <c r="H131" s="61"/>
      <c r="I131" s="61"/>
      <c r="J131" s="61"/>
    </row>
    <row r="132" spans="1:10" x14ac:dyDescent="0.2">
      <c r="A132" s="40"/>
      <c r="B132" s="40"/>
      <c r="C132" s="50" t="s">
        <v>285</v>
      </c>
      <c r="D132" s="44" t="s">
        <v>283</v>
      </c>
      <c r="E132" s="43"/>
      <c r="F132" s="43"/>
      <c r="G132" s="60">
        <v>0.19486800000000001</v>
      </c>
      <c r="H132" s="61"/>
      <c r="I132" s="61"/>
      <c r="J132" s="61">
        <v>0.2349</v>
      </c>
    </row>
    <row r="133" spans="1:10" x14ac:dyDescent="0.2">
      <c r="A133" s="40"/>
      <c r="B133" s="40"/>
      <c r="C133" s="50" t="s">
        <v>286</v>
      </c>
      <c r="D133" s="44" t="s">
        <v>284</v>
      </c>
      <c r="E133" s="43"/>
      <c r="F133" s="43"/>
      <c r="G133" s="60">
        <v>0.105</v>
      </c>
      <c r="H133" s="61"/>
      <c r="I133" s="61"/>
      <c r="J133" s="61">
        <v>0.1149</v>
      </c>
    </row>
    <row r="134" spans="1:10" x14ac:dyDescent="0.2">
      <c r="A134" s="40"/>
      <c r="B134" s="40"/>
      <c r="C134" s="51" t="s">
        <v>289</v>
      </c>
      <c r="D134" s="44" t="s">
        <v>283</v>
      </c>
      <c r="E134" s="43"/>
      <c r="F134" s="43"/>
      <c r="G134" s="60">
        <v>1.9966999999999999E-2</v>
      </c>
      <c r="H134" s="61"/>
      <c r="I134" s="61"/>
      <c r="J134" s="61">
        <v>4.4499999999999998E-2</v>
      </c>
    </row>
    <row r="135" spans="1:10" x14ac:dyDescent="0.2">
      <c r="A135" s="40"/>
      <c r="B135" s="40"/>
      <c r="C135" s="50" t="s">
        <v>156</v>
      </c>
      <c r="D135" s="40" t="s">
        <v>157</v>
      </c>
      <c r="E135" s="42"/>
      <c r="F135" s="42"/>
      <c r="G135" s="60" t="e">
        <v>#N/A</v>
      </c>
      <c r="H135" s="61"/>
      <c r="I135" s="61"/>
      <c r="J135" s="61"/>
    </row>
    <row r="136" spans="1:10" x14ac:dyDescent="0.2">
      <c r="A136" s="40"/>
      <c r="B136" s="40"/>
      <c r="C136" s="41" t="s">
        <v>158</v>
      </c>
      <c r="D136" s="40" t="s">
        <v>159</v>
      </c>
      <c r="E136" s="42"/>
      <c r="F136" s="42"/>
      <c r="G136" s="60" t="e">
        <v>#N/A</v>
      </c>
      <c r="H136" s="61"/>
      <c r="I136" s="61"/>
      <c r="J136" s="61"/>
    </row>
  </sheetData>
  <autoFilter ref="A3:GE123" xr:uid="{7525F47E-ACC6-4606-A10D-86AEF70B7BF6}"/>
  <mergeCells count="14">
    <mergeCell ref="A43:A44"/>
    <mergeCell ref="A38:A42"/>
    <mergeCell ref="A22:A23"/>
    <mergeCell ref="A24:A27"/>
    <mergeCell ref="A28:A31"/>
    <mergeCell ref="A32:A33"/>
    <mergeCell ref="A34:A37"/>
    <mergeCell ref="A14:A17"/>
    <mergeCell ref="A18:A21"/>
    <mergeCell ref="G2:H2"/>
    <mergeCell ref="I2:J2"/>
    <mergeCell ref="A12:A13"/>
    <mergeCell ref="A4:A7"/>
    <mergeCell ref="A8:A11"/>
  </mergeCells>
  <printOptions horizontalCentered="1" headings="1" gridLines="1"/>
  <pageMargins left="0.75" right="0.75" top="0.5" bottom="0.5" header="0.25" footer="0.25"/>
  <pageSetup scale="31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85FD-B6F7-4AD3-B901-382D382E5D72}">
  <sheetPr>
    <pageSetUpPr fitToPage="1"/>
  </sheetPr>
  <dimension ref="A1:N69"/>
  <sheetViews>
    <sheetView workbookViewId="0"/>
  </sheetViews>
  <sheetFormatPr defaultColWidth="8.7109375" defaultRowHeight="12.75" x14ac:dyDescent="0.2"/>
  <cols>
    <col min="1" max="1" width="41.140625" style="6" bestFit="1" customWidth="1"/>
    <col min="2" max="2" width="23" style="6" customWidth="1"/>
    <col min="3" max="3" width="36.7109375" style="6" bestFit="1" customWidth="1"/>
    <col min="4" max="4" width="23" style="2" hidden="1" customWidth="1"/>
    <col min="5" max="5" width="22.140625" style="5" hidden="1" customWidth="1"/>
    <col min="6" max="6" width="11.140625" style="63" bestFit="1" customWidth="1"/>
    <col min="7" max="7" width="12.42578125" style="63" bestFit="1" customWidth="1"/>
    <col min="8" max="8" width="10" style="70" bestFit="1" customWidth="1"/>
    <col min="9" max="9" width="11.140625" style="74" bestFit="1" customWidth="1"/>
    <col min="10" max="10" width="12.42578125" style="75" bestFit="1" customWidth="1"/>
    <col min="11" max="11" width="11.7109375" style="69" customWidth="1"/>
    <col min="12" max="12" width="8.7109375" style="49"/>
    <col min="13" max="14" width="11" style="2" bestFit="1" customWidth="1"/>
    <col min="15" max="16384" width="8.7109375" style="2"/>
  </cols>
  <sheetData>
    <row r="1" spans="1:14" s="68" customFormat="1" x14ac:dyDescent="0.2">
      <c r="A1" s="48" t="s">
        <v>21</v>
      </c>
      <c r="B1" s="48"/>
      <c r="C1" s="131"/>
      <c r="D1" s="48"/>
      <c r="E1" s="3"/>
      <c r="F1" s="165"/>
      <c r="G1" s="165"/>
      <c r="H1" s="80"/>
      <c r="I1" s="81"/>
      <c r="J1" s="82"/>
      <c r="K1" s="83"/>
      <c r="L1" s="84"/>
    </row>
    <row r="2" spans="1:14" s="68" customFormat="1" x14ac:dyDescent="0.2">
      <c r="A2" s="48" t="s">
        <v>22</v>
      </c>
      <c r="B2" s="48"/>
      <c r="C2" s="131"/>
      <c r="D2" s="48"/>
      <c r="E2" s="3"/>
      <c r="F2" s="165"/>
      <c r="G2" s="165"/>
      <c r="H2" s="80"/>
      <c r="I2" s="81"/>
      <c r="J2" s="82"/>
      <c r="K2" s="83"/>
      <c r="L2" s="84"/>
    </row>
    <row r="3" spans="1:14" s="68" customFormat="1" x14ac:dyDescent="0.2">
      <c r="A3" s="48" t="s">
        <v>23</v>
      </c>
      <c r="B3" s="48"/>
      <c r="C3" s="131"/>
      <c r="D3" s="48"/>
      <c r="E3" s="3"/>
      <c r="F3" s="165"/>
      <c r="G3" s="165"/>
      <c r="H3" s="80"/>
      <c r="I3" s="81"/>
      <c r="J3" s="82"/>
      <c r="K3" s="83"/>
      <c r="L3" s="84"/>
    </row>
    <row r="4" spans="1:14" s="68" customFormat="1" x14ac:dyDescent="0.2">
      <c r="A4" s="45" t="s">
        <v>372</v>
      </c>
      <c r="B4" s="45"/>
      <c r="C4" s="131"/>
      <c r="D4" s="45"/>
      <c r="E4" s="3"/>
      <c r="F4" s="53"/>
      <c r="G4" s="53"/>
      <c r="H4" s="71"/>
      <c r="I4" s="76"/>
      <c r="J4" s="77"/>
      <c r="K4" s="83"/>
      <c r="L4" s="84"/>
    </row>
    <row r="5" spans="1:14" s="68" customFormat="1" x14ac:dyDescent="0.2">
      <c r="A5" s="45"/>
      <c r="B5" s="45"/>
      <c r="C5" s="131"/>
      <c r="D5" s="45"/>
      <c r="E5" s="3"/>
      <c r="F5" s="53"/>
      <c r="G5" s="53"/>
      <c r="H5" s="71"/>
      <c r="I5" s="76"/>
      <c r="J5" s="77"/>
      <c r="K5" s="83"/>
      <c r="L5" s="84"/>
    </row>
    <row r="6" spans="1:14" x14ac:dyDescent="0.2">
      <c r="A6" s="677" t="s">
        <v>373</v>
      </c>
      <c r="B6" s="679" t="s">
        <v>374</v>
      </c>
      <c r="C6" s="680"/>
      <c r="D6" s="156"/>
      <c r="E6" s="157"/>
      <c r="F6" s="649" t="s">
        <v>171</v>
      </c>
      <c r="G6" s="649"/>
      <c r="H6" s="649"/>
      <c r="I6" s="649" t="s">
        <v>24</v>
      </c>
      <c r="J6" s="649"/>
      <c r="K6" s="649"/>
    </row>
    <row r="7" spans="1:14" s="163" customFormat="1" ht="25.5" x14ac:dyDescent="0.25">
      <c r="A7" s="678"/>
      <c r="B7" s="681"/>
      <c r="C7" s="682"/>
      <c r="D7" s="159" t="s">
        <v>184</v>
      </c>
      <c r="E7" s="159"/>
      <c r="F7" s="166" t="s">
        <v>19</v>
      </c>
      <c r="G7" s="166" t="s">
        <v>20</v>
      </c>
      <c r="H7" s="158" t="s">
        <v>375</v>
      </c>
      <c r="I7" s="160" t="s">
        <v>19</v>
      </c>
      <c r="J7" s="160" t="s">
        <v>20</v>
      </c>
      <c r="K7" s="161" t="s">
        <v>375</v>
      </c>
      <c r="L7" s="162"/>
    </row>
    <row r="8" spans="1:14" x14ac:dyDescent="0.2">
      <c r="A8" s="660" t="s">
        <v>281</v>
      </c>
      <c r="B8" s="662" t="s">
        <v>376</v>
      </c>
      <c r="C8" s="132" t="s">
        <v>98</v>
      </c>
      <c r="D8" s="85" t="s">
        <v>99</v>
      </c>
      <c r="E8" s="86" t="s">
        <v>101</v>
      </c>
      <c r="F8" s="167">
        <f>VLOOKUP(E8,'EXHIBIT JDT-3 RES'!$D:$N,4,FALSE)</f>
        <v>2.9146000000000001</v>
      </c>
      <c r="G8" s="168">
        <f>G10</f>
        <v>2.6959</v>
      </c>
      <c r="H8" s="112">
        <f>G8/F8-1</f>
        <v>-7.5036025526658889E-2</v>
      </c>
      <c r="I8" s="657">
        <f>VLOOKUP(D8,'EXHIBIT JDT-3 RES'!$D:$N,4,FALSE)</f>
        <v>12</v>
      </c>
      <c r="J8" s="650">
        <f>VLOOKUP(D8,'EXHIBIT JDT-3 RES'!D:N,7,FALSE)</f>
        <v>18</v>
      </c>
      <c r="K8" s="653">
        <f>IFERROR((J8-I8)/I8,"na")</f>
        <v>0.5</v>
      </c>
      <c r="N8" s="164"/>
    </row>
    <row r="9" spans="1:14" x14ac:dyDescent="0.2">
      <c r="A9" s="659"/>
      <c r="B9" s="663"/>
      <c r="C9" s="133" t="s">
        <v>103</v>
      </c>
      <c r="D9" s="88"/>
      <c r="E9" s="86" t="s">
        <v>102</v>
      </c>
      <c r="F9" s="169">
        <f>VLOOKUP(E9,'EXHIBIT JDT-3 RES'!$D:$N,4,FALSE)</f>
        <v>1.9995000000000001</v>
      </c>
      <c r="G9" s="170">
        <f>G10</f>
        <v>2.6959</v>
      </c>
      <c r="H9" s="87">
        <f>G9/F9-1</f>
        <v>0.34828707176794182</v>
      </c>
      <c r="I9" s="656"/>
      <c r="J9" s="651"/>
      <c r="K9" s="654"/>
      <c r="N9" s="164"/>
    </row>
    <row r="10" spans="1:14" x14ac:dyDescent="0.2">
      <c r="A10" s="661"/>
      <c r="B10" s="664"/>
      <c r="C10" s="134" t="s">
        <v>298</v>
      </c>
      <c r="D10" s="89"/>
      <c r="E10" s="86" t="s">
        <v>344</v>
      </c>
      <c r="F10" s="171"/>
      <c r="G10" s="172">
        <f>VLOOKUP(E10,'EXHIBIT JDT-3 RES'!D:N,7,FALSE)</f>
        <v>2.6959</v>
      </c>
      <c r="H10" s="113"/>
      <c r="I10" s="658"/>
      <c r="J10" s="652"/>
      <c r="K10" s="655"/>
      <c r="N10" s="164"/>
    </row>
    <row r="11" spans="1:14" x14ac:dyDescent="0.2">
      <c r="A11" s="659" t="s">
        <v>281</v>
      </c>
      <c r="B11" s="663" t="s">
        <v>28</v>
      </c>
      <c r="C11" s="133" t="s">
        <v>98</v>
      </c>
      <c r="D11" s="110" t="s">
        <v>99</v>
      </c>
      <c r="E11" s="111" t="s">
        <v>101</v>
      </c>
      <c r="F11" s="169">
        <f>VLOOKUP(E11,'EXHIBIT JDT-3 RES'!$D:$N,4,FALSE)</f>
        <v>2.9146000000000001</v>
      </c>
      <c r="G11" s="170">
        <f>G13</f>
        <v>2.6959</v>
      </c>
      <c r="H11" s="87">
        <f>G11/F11-1</f>
        <v>-7.5036025526658889E-2</v>
      </c>
      <c r="I11" s="656">
        <f>VLOOKUP(D11,'EXHIBIT JDT-3 RES'!$D:$N,4,FALSE)</f>
        <v>12</v>
      </c>
      <c r="J11" s="651">
        <f>VLOOKUP(D11,'EXHIBIT JDT-3 RES'!D:N,7,FALSE)</f>
        <v>18</v>
      </c>
      <c r="K11" s="654">
        <f>IFERROR((J11-I11)/I11,"na")</f>
        <v>0.5</v>
      </c>
      <c r="N11" s="164"/>
    </row>
    <row r="12" spans="1:14" x14ac:dyDescent="0.2">
      <c r="A12" s="659"/>
      <c r="B12" s="663"/>
      <c r="C12" s="133" t="s">
        <v>103</v>
      </c>
      <c r="D12" s="88"/>
      <c r="E12" s="86" t="s">
        <v>102</v>
      </c>
      <c r="F12" s="169">
        <f>VLOOKUP(E12,'EXHIBIT JDT-3 RES'!$D:$N,4,FALSE)</f>
        <v>1.9995000000000001</v>
      </c>
      <c r="G12" s="170">
        <f>G13</f>
        <v>2.6959</v>
      </c>
      <c r="H12" s="87">
        <f>G12/F12-1</f>
        <v>0.34828707176794182</v>
      </c>
      <c r="I12" s="656"/>
      <c r="J12" s="651"/>
      <c r="K12" s="654"/>
      <c r="N12" s="164"/>
    </row>
    <row r="13" spans="1:14" x14ac:dyDescent="0.2">
      <c r="A13" s="659"/>
      <c r="B13" s="663"/>
      <c r="C13" s="133" t="s">
        <v>298</v>
      </c>
      <c r="D13" s="88"/>
      <c r="E13" s="114" t="s">
        <v>344</v>
      </c>
      <c r="F13" s="169"/>
      <c r="G13" s="170">
        <f>VLOOKUP(E13,'EXHIBIT JDT-3 RES'!D:N,7,FALSE)</f>
        <v>2.6959</v>
      </c>
      <c r="H13" s="90"/>
      <c r="I13" s="656"/>
      <c r="J13" s="651"/>
      <c r="K13" s="654"/>
      <c r="N13" s="164"/>
    </row>
    <row r="14" spans="1:14" x14ac:dyDescent="0.2">
      <c r="A14" s="135" t="s">
        <v>281</v>
      </c>
      <c r="B14" s="136" t="s">
        <v>381</v>
      </c>
      <c r="C14" s="137" t="s">
        <v>170</v>
      </c>
      <c r="D14" s="85" t="s">
        <v>99</v>
      </c>
      <c r="E14" s="91" t="s">
        <v>125</v>
      </c>
      <c r="F14" s="173">
        <f>VLOOKUP(E14,'EXHIBIT JDT-3 RES'!$D:$N,4,FALSE)</f>
        <v>2.4758</v>
      </c>
      <c r="G14" s="174">
        <f>VLOOKUP(E14,'EXHIBIT JDT-3 RES'!D:N,7,FALSE)</f>
        <v>2.6959</v>
      </c>
      <c r="H14" s="115">
        <f>IFERROR((G14-F14)/F14,"na")</f>
        <v>8.8900557395589289E-2</v>
      </c>
      <c r="I14" s="116">
        <f>VLOOKUP(D14,'EXHIBIT JDT-3 RES'!$D:$N,4,FALSE)</f>
        <v>12</v>
      </c>
      <c r="J14" s="117">
        <f>VLOOKUP(D14,'EXHIBIT JDT-3 RES'!$D:$N,7,FALSE)</f>
        <v>18</v>
      </c>
      <c r="K14" s="118">
        <f>IFERROR((J14-I14)/I14,"na")</f>
        <v>0.5</v>
      </c>
      <c r="N14" s="164"/>
    </row>
    <row r="15" spans="1:14" x14ac:dyDescent="0.2">
      <c r="A15" s="660" t="s">
        <v>281</v>
      </c>
      <c r="B15" s="662" t="s">
        <v>377</v>
      </c>
      <c r="C15" s="132" t="s">
        <v>98</v>
      </c>
      <c r="D15" s="85" t="s">
        <v>99</v>
      </c>
      <c r="E15" s="86" t="s">
        <v>101</v>
      </c>
      <c r="F15" s="167">
        <f>VLOOKUP(E15,'EXHIBIT JDT-3 RES'!$D:$N,4,FALSE)</f>
        <v>2.9146000000000001</v>
      </c>
      <c r="G15" s="168">
        <f>$G$17</f>
        <v>2.6959</v>
      </c>
      <c r="H15" s="119">
        <f t="shared" ref="H15:H59" si="0">G15/F15-1</f>
        <v>-7.5036025526658889E-2</v>
      </c>
      <c r="I15" s="657">
        <f>VLOOKUP(D15,'EXHIBIT JDT-3 RES'!$D:$N,4,FALSE)</f>
        <v>12</v>
      </c>
      <c r="J15" s="650">
        <f>VLOOKUP(D15,'EXHIBIT JDT-3 RES'!D:N,7,FALSE)</f>
        <v>18</v>
      </c>
      <c r="K15" s="653">
        <f>IFERROR((J15-I15)/I15,"na")</f>
        <v>0.5</v>
      </c>
      <c r="N15" s="164"/>
    </row>
    <row r="16" spans="1:14" x14ac:dyDescent="0.2">
      <c r="A16" s="659"/>
      <c r="B16" s="663"/>
      <c r="C16" s="133" t="s">
        <v>103</v>
      </c>
      <c r="D16" s="88"/>
      <c r="E16" s="86" t="s">
        <v>102</v>
      </c>
      <c r="F16" s="169">
        <f>VLOOKUP(E16,'EXHIBIT JDT-3 RES'!$D:$N,4,FALSE)</f>
        <v>1.9995000000000001</v>
      </c>
      <c r="G16" s="170">
        <f>$G$17</f>
        <v>2.6959</v>
      </c>
      <c r="H16" s="90">
        <f t="shared" si="0"/>
        <v>0.34828707176794182</v>
      </c>
      <c r="I16" s="656"/>
      <c r="J16" s="651"/>
      <c r="K16" s="654"/>
      <c r="N16" s="164"/>
    </row>
    <row r="17" spans="1:14" x14ac:dyDescent="0.2">
      <c r="A17" s="659"/>
      <c r="B17" s="663"/>
      <c r="C17" s="133" t="s">
        <v>298</v>
      </c>
      <c r="D17" s="88"/>
      <c r="E17" s="114" t="s">
        <v>344</v>
      </c>
      <c r="F17" s="169"/>
      <c r="G17" s="170">
        <f>VLOOKUP(E17,'EXHIBIT JDT-3 RES'!D:N,7,FALSE)</f>
        <v>2.6959</v>
      </c>
      <c r="H17" s="90"/>
      <c r="I17" s="656"/>
      <c r="J17" s="651"/>
      <c r="K17" s="654"/>
      <c r="N17" s="164"/>
    </row>
    <row r="18" spans="1:14" x14ac:dyDescent="0.2">
      <c r="A18" s="665" t="s">
        <v>333</v>
      </c>
      <c r="B18" s="662" t="s">
        <v>379</v>
      </c>
      <c r="C18" s="132" t="s">
        <v>98</v>
      </c>
      <c r="D18" s="85" t="s">
        <v>104</v>
      </c>
      <c r="E18" s="86" t="s">
        <v>105</v>
      </c>
      <c r="F18" s="167">
        <f>VLOOKUP(E18,'EXHIBIT JDT-3 SCOM'!$D:$N,4,FALSE)</f>
        <v>2.4148999999999998</v>
      </c>
      <c r="G18" s="168">
        <f>G19</f>
        <v>2.2273999999999998</v>
      </c>
      <c r="H18" s="119">
        <f t="shared" si="0"/>
        <v>-7.7642966582467166E-2</v>
      </c>
      <c r="I18" s="657">
        <f>VLOOKUP(D18,'EXHIBIT JDT-3 SCOM'!$D:$N,4,FALSE)</f>
        <v>19.89</v>
      </c>
      <c r="J18" s="650">
        <f>VLOOKUP(D18,'EXHIBIT JDT-3 SCOM'!$D:$N,7,FALSE)</f>
        <v>30</v>
      </c>
      <c r="K18" s="653">
        <f>IFERROR((J18-I18)/I18,"na")</f>
        <v>0.50829562594268474</v>
      </c>
      <c r="N18" s="164"/>
    </row>
    <row r="19" spans="1:14" x14ac:dyDescent="0.2">
      <c r="A19" s="666"/>
      <c r="B19" s="663"/>
      <c r="C19" s="133" t="s">
        <v>103</v>
      </c>
      <c r="D19" s="88"/>
      <c r="E19" s="86" t="s">
        <v>106</v>
      </c>
      <c r="F19" s="169">
        <f>VLOOKUP(E19,'EXHIBIT JDT-3 SCOM'!$D:$N,4,FALSE)</f>
        <v>2.1225000000000001</v>
      </c>
      <c r="G19" s="170">
        <f>G20</f>
        <v>2.2273999999999998</v>
      </c>
      <c r="H19" s="90">
        <f t="shared" si="0"/>
        <v>4.9422850412249586E-2</v>
      </c>
      <c r="I19" s="656"/>
      <c r="J19" s="651"/>
      <c r="K19" s="654"/>
      <c r="N19" s="164"/>
    </row>
    <row r="20" spans="1:14" x14ac:dyDescent="0.2">
      <c r="A20" s="667"/>
      <c r="B20" s="664"/>
      <c r="C20" s="134" t="s">
        <v>298</v>
      </c>
      <c r="D20" s="89"/>
      <c r="E20" s="86" t="s">
        <v>345</v>
      </c>
      <c r="F20" s="171"/>
      <c r="G20" s="172">
        <f>VLOOKUP(E20,'EXHIBIT JDT-3 SCOM'!$D:$N,7,FALSE)</f>
        <v>2.2273999999999998</v>
      </c>
      <c r="H20" s="113"/>
      <c r="I20" s="658"/>
      <c r="J20" s="652"/>
      <c r="K20" s="655"/>
      <c r="N20" s="164"/>
    </row>
    <row r="21" spans="1:14" ht="25.5" x14ac:dyDescent="0.2">
      <c r="A21" s="138" t="s">
        <v>333</v>
      </c>
      <c r="B21" s="136" t="s">
        <v>381</v>
      </c>
      <c r="C21" s="139" t="s">
        <v>170</v>
      </c>
      <c r="D21" s="85" t="s">
        <v>104</v>
      </c>
      <c r="E21" s="86" t="s">
        <v>126</v>
      </c>
      <c r="F21" s="173">
        <f>VLOOKUP(E21,'EXHIBIT JDT-3 SCOM'!$D:$N,4,FALSE)</f>
        <v>2.3856000000000002</v>
      </c>
      <c r="G21" s="174">
        <f>VLOOKUP(E21,'EXHIBIT JDT-3 SCOM'!$D:$N,7,FALSE)</f>
        <v>2.2273999999999998</v>
      </c>
      <c r="H21" s="115">
        <f t="shared" si="0"/>
        <v>-6.6314553990610481E-2</v>
      </c>
      <c r="I21" s="116">
        <f>VLOOKUP(D21,'EXHIBIT JDT-3 SCOM'!$D:$N,4,FALSE)</f>
        <v>19.89</v>
      </c>
      <c r="J21" s="117">
        <f>VLOOKUP(D21,'EXHIBIT JDT-3 SCOM'!$D:$N,7,FALSE)</f>
        <v>30</v>
      </c>
      <c r="K21" s="118">
        <f>IFERROR((J21-I21)/I21,"na")</f>
        <v>0.50829562594268474</v>
      </c>
      <c r="N21" s="164"/>
    </row>
    <row r="22" spans="1:14" x14ac:dyDescent="0.2">
      <c r="A22" s="665" t="s">
        <v>333</v>
      </c>
      <c r="B22" s="662" t="s">
        <v>377</v>
      </c>
      <c r="C22" s="132" t="s">
        <v>98</v>
      </c>
      <c r="D22" s="85" t="s">
        <v>104</v>
      </c>
      <c r="E22" s="86" t="s">
        <v>105</v>
      </c>
      <c r="F22" s="167">
        <f>VLOOKUP(E22,'EXHIBIT JDT-3 SCOM'!$D:$N,4,FALSE)</f>
        <v>2.4148999999999998</v>
      </c>
      <c r="G22" s="168">
        <f>G24</f>
        <v>2.2273999999999998</v>
      </c>
      <c r="H22" s="119">
        <f t="shared" si="0"/>
        <v>-7.7642966582467166E-2</v>
      </c>
      <c r="I22" s="657">
        <f>VLOOKUP(D22,'EXHIBIT JDT-3 SCOM'!$D:$N,4,FALSE)</f>
        <v>19.89</v>
      </c>
      <c r="J22" s="650">
        <f>VLOOKUP(D22,'EXHIBIT JDT-3 SCOM'!$D:$N,7,FALSE)</f>
        <v>30</v>
      </c>
      <c r="K22" s="653">
        <f>IFERROR((J22-I22)/I22,"na")</f>
        <v>0.50829562594268474</v>
      </c>
      <c r="N22" s="164"/>
    </row>
    <row r="23" spans="1:14" x14ac:dyDescent="0.2">
      <c r="A23" s="666"/>
      <c r="B23" s="663"/>
      <c r="C23" s="133" t="s">
        <v>103</v>
      </c>
      <c r="D23" s="88"/>
      <c r="E23" s="86" t="s">
        <v>106</v>
      </c>
      <c r="F23" s="169">
        <f>VLOOKUP(E23,'EXHIBIT JDT-3 SCOM'!$D:$N,4,FALSE)</f>
        <v>2.1225000000000001</v>
      </c>
      <c r="G23" s="170">
        <f>G24</f>
        <v>2.2273999999999998</v>
      </c>
      <c r="H23" s="90">
        <f t="shared" si="0"/>
        <v>4.9422850412249586E-2</v>
      </c>
      <c r="I23" s="656"/>
      <c r="J23" s="651"/>
      <c r="K23" s="654"/>
      <c r="N23" s="164"/>
    </row>
    <row r="24" spans="1:14" x14ac:dyDescent="0.2">
      <c r="A24" s="667"/>
      <c r="B24" s="664"/>
      <c r="C24" s="134" t="s">
        <v>298</v>
      </c>
      <c r="D24" s="89"/>
      <c r="E24" s="86" t="s">
        <v>345</v>
      </c>
      <c r="F24" s="171"/>
      <c r="G24" s="172">
        <f>VLOOKUP(E24,'EXHIBIT JDT-3 SCOM'!$D:$N,7,FALSE)</f>
        <v>2.2273999999999998</v>
      </c>
      <c r="H24" s="113"/>
      <c r="I24" s="658"/>
      <c r="J24" s="652"/>
      <c r="K24" s="655"/>
      <c r="N24" s="164"/>
    </row>
    <row r="25" spans="1:14" ht="25.5" customHeight="1" x14ac:dyDescent="0.2">
      <c r="A25" s="668" t="s">
        <v>334</v>
      </c>
      <c r="B25" s="671" t="s">
        <v>379</v>
      </c>
      <c r="C25" s="140" t="s">
        <v>190</v>
      </c>
      <c r="D25" s="95" t="s">
        <v>107</v>
      </c>
      <c r="E25" s="91" t="s">
        <v>108</v>
      </c>
      <c r="F25" s="167">
        <f>VLOOKUP(E25,'EXHIBIT JDT-3 SCOM'!$D:$N,4,FALSE)</f>
        <v>1.8344</v>
      </c>
      <c r="G25" s="168">
        <f>G27</f>
        <v>1.9850000000000001</v>
      </c>
      <c r="H25" s="119">
        <f t="shared" si="0"/>
        <v>8.209768861753175E-2</v>
      </c>
      <c r="I25" s="657">
        <f>VLOOKUP(D25,'EXHIBIT JDT-3 SCOM'!$D:$N,4,FALSE)</f>
        <v>27.53</v>
      </c>
      <c r="J25" s="650">
        <f>VLOOKUP(D25,'EXHIBIT JDT-3 SCOM'!$D:$N,7,FALSE)</f>
        <v>41.5</v>
      </c>
      <c r="K25" s="653">
        <f>IFERROR((J25-I25)/I25,"na")</f>
        <v>0.50744642208499813</v>
      </c>
      <c r="N25" s="164"/>
    </row>
    <row r="26" spans="1:14" x14ac:dyDescent="0.2">
      <c r="A26" s="669"/>
      <c r="B26" s="672"/>
      <c r="C26" s="141" t="s">
        <v>110</v>
      </c>
      <c r="D26" s="96"/>
      <c r="E26" s="91" t="s">
        <v>109</v>
      </c>
      <c r="F26" s="169">
        <f>VLOOKUP(E26,'EXHIBIT JDT-3 SCOM'!$D:$N,4,FALSE)</f>
        <v>1.7056</v>
      </c>
      <c r="G26" s="170">
        <f>G27</f>
        <v>1.9850000000000001</v>
      </c>
      <c r="H26" s="90">
        <f t="shared" si="0"/>
        <v>0.16381332082551592</v>
      </c>
      <c r="I26" s="656"/>
      <c r="J26" s="651"/>
      <c r="K26" s="654"/>
      <c r="N26" s="164"/>
    </row>
    <row r="27" spans="1:14" x14ac:dyDescent="0.2">
      <c r="A27" s="670"/>
      <c r="B27" s="673"/>
      <c r="C27" s="134" t="s">
        <v>298</v>
      </c>
      <c r="D27" s="120"/>
      <c r="E27" s="121" t="s">
        <v>346</v>
      </c>
      <c r="F27" s="171"/>
      <c r="G27" s="172">
        <f>VLOOKUP(E27,'EXHIBIT JDT-3 SCOM'!$D:$N,7,FALSE)</f>
        <v>1.9850000000000001</v>
      </c>
      <c r="H27" s="113"/>
      <c r="I27" s="658"/>
      <c r="J27" s="652"/>
      <c r="K27" s="655"/>
      <c r="N27" s="164"/>
    </row>
    <row r="28" spans="1:14" ht="25.5" x14ac:dyDescent="0.2">
      <c r="A28" s="142" t="s">
        <v>334</v>
      </c>
      <c r="B28" s="136" t="s">
        <v>381</v>
      </c>
      <c r="C28" s="139" t="s">
        <v>170</v>
      </c>
      <c r="D28" s="95" t="s">
        <v>107</v>
      </c>
      <c r="E28" s="91" t="s">
        <v>127</v>
      </c>
      <c r="F28" s="173">
        <v>1.8845000000000001</v>
      </c>
      <c r="G28" s="174">
        <f>VLOOKUP(E28,'EXHIBIT JDT-3 SCOM'!$D:$N,7,FALSE)</f>
        <v>1.9850000000000001</v>
      </c>
      <c r="H28" s="115">
        <f t="shared" si="0"/>
        <v>5.332979570177776E-2</v>
      </c>
      <c r="I28" s="116">
        <f>VLOOKUP(D28,'EXHIBIT JDT-3 SCOM'!$D:$N,4,FALSE)</f>
        <v>27.53</v>
      </c>
      <c r="J28" s="117">
        <f>VLOOKUP(D28,'EXHIBIT JDT-3 SCOM'!$D:$N,7,FALSE)</f>
        <v>41.5</v>
      </c>
      <c r="K28" s="118">
        <f>IFERROR((J28-I28)/I28,"na")</f>
        <v>0.50744642208499813</v>
      </c>
      <c r="N28" s="164"/>
    </row>
    <row r="29" spans="1:14" x14ac:dyDescent="0.2">
      <c r="A29" s="668" t="s">
        <v>334</v>
      </c>
      <c r="B29" s="671" t="s">
        <v>377</v>
      </c>
      <c r="C29" s="140" t="s">
        <v>190</v>
      </c>
      <c r="D29" s="95" t="s">
        <v>107</v>
      </c>
      <c r="E29" s="91" t="s">
        <v>108</v>
      </c>
      <c r="F29" s="167">
        <f>VLOOKUP(E29,'EXHIBIT JDT-3 SCOM'!$D:$N,4,FALSE)</f>
        <v>1.8344</v>
      </c>
      <c r="G29" s="168">
        <f>G31</f>
        <v>1.9850000000000001</v>
      </c>
      <c r="H29" s="119">
        <f t="shared" si="0"/>
        <v>8.209768861753175E-2</v>
      </c>
      <c r="I29" s="657">
        <f>VLOOKUP(D29,'EXHIBIT JDT-3 SCOM'!$D:$N,4,FALSE)</f>
        <v>27.53</v>
      </c>
      <c r="J29" s="650">
        <f>VLOOKUP(D29,'EXHIBIT JDT-3 SCOM'!$D:$N,7,FALSE)</f>
        <v>41.5</v>
      </c>
      <c r="K29" s="653">
        <f>IFERROR((J29-I29)/I29,"na")</f>
        <v>0.50744642208499813</v>
      </c>
      <c r="N29" s="164"/>
    </row>
    <row r="30" spans="1:14" x14ac:dyDescent="0.2">
      <c r="A30" s="669"/>
      <c r="B30" s="672"/>
      <c r="C30" s="141" t="s">
        <v>110</v>
      </c>
      <c r="D30" s="96"/>
      <c r="E30" s="91" t="s">
        <v>109</v>
      </c>
      <c r="F30" s="169">
        <f>VLOOKUP(E30,'EXHIBIT JDT-3 SCOM'!$D:$N,4,FALSE)</f>
        <v>1.7056</v>
      </c>
      <c r="G30" s="170">
        <f>G31</f>
        <v>1.9850000000000001</v>
      </c>
      <c r="H30" s="90">
        <f t="shared" si="0"/>
        <v>0.16381332082551592</v>
      </c>
      <c r="I30" s="656"/>
      <c r="J30" s="651"/>
      <c r="K30" s="654"/>
      <c r="N30" s="164"/>
    </row>
    <row r="31" spans="1:14" x14ac:dyDescent="0.2">
      <c r="A31" s="670"/>
      <c r="B31" s="673"/>
      <c r="C31" s="134" t="s">
        <v>298</v>
      </c>
      <c r="D31" s="120"/>
      <c r="E31" s="121" t="s">
        <v>346</v>
      </c>
      <c r="F31" s="171"/>
      <c r="G31" s="172">
        <f>VLOOKUP(E31,'EXHIBIT JDT-3 SCOM'!$D:$N,7,FALSE)</f>
        <v>1.9850000000000001</v>
      </c>
      <c r="H31" s="113"/>
      <c r="I31" s="658"/>
      <c r="J31" s="652"/>
      <c r="K31" s="655"/>
      <c r="N31" s="164"/>
    </row>
    <row r="32" spans="1:14" x14ac:dyDescent="0.2">
      <c r="A32" s="646" t="s">
        <v>336</v>
      </c>
      <c r="B32" s="671" t="s">
        <v>376</v>
      </c>
      <c r="C32" s="140" t="s">
        <v>200</v>
      </c>
      <c r="D32" s="95" t="s">
        <v>111</v>
      </c>
      <c r="E32" s="91" t="s">
        <v>112</v>
      </c>
      <c r="F32" s="167">
        <f>VLOOKUP(E32,'EXHIBIT JDT-3 LCOM'!$D:$N,4,FALSE)</f>
        <v>1.4947999999999999</v>
      </c>
      <c r="G32" s="168">
        <f>G35</f>
        <v>1.5465</v>
      </c>
      <c r="H32" s="119">
        <f t="shared" si="0"/>
        <v>3.4586566764784665E-2</v>
      </c>
      <c r="I32" s="657">
        <f>VLOOKUP(D32,'EXHIBIT JDT-3 LCOM'!$D:$N,4,FALSE)</f>
        <v>121.01</v>
      </c>
      <c r="J32" s="650">
        <f>VLOOKUP(D32,'EXHIBIT JDT-3 LCOM'!$D:$N,7,FALSE)</f>
        <v>181.5</v>
      </c>
      <c r="K32" s="653">
        <f>IFERROR((J32-I32)/I32,"na")</f>
        <v>0.49987604330220636</v>
      </c>
      <c r="N32" s="164"/>
    </row>
    <row r="33" spans="1:14" x14ac:dyDescent="0.2">
      <c r="A33" s="647"/>
      <c r="B33" s="672"/>
      <c r="C33" s="141" t="s">
        <v>201</v>
      </c>
      <c r="D33" s="96"/>
      <c r="E33" s="91" t="s">
        <v>113</v>
      </c>
      <c r="F33" s="169">
        <f>VLOOKUP(E33,'EXHIBIT JDT-3 LCOM'!$D:$N,4,FALSE)</f>
        <v>1.3812</v>
      </c>
      <c r="G33" s="170">
        <f>G36</f>
        <v>1.5465</v>
      </c>
      <c r="H33" s="90">
        <f t="shared" si="0"/>
        <v>0.11967854039965253</v>
      </c>
      <c r="I33" s="656"/>
      <c r="J33" s="651"/>
      <c r="K33" s="654"/>
      <c r="N33" s="164"/>
    </row>
    <row r="34" spans="1:14" x14ac:dyDescent="0.2">
      <c r="A34" s="647"/>
      <c r="B34" s="672"/>
      <c r="C34" s="141" t="s">
        <v>115</v>
      </c>
      <c r="D34" s="96"/>
      <c r="E34" s="91" t="s">
        <v>114</v>
      </c>
      <c r="F34" s="169">
        <f>VLOOKUP(E34,'EXHIBIT JDT-3 LCOM'!$D:$N,4,FALSE)</f>
        <v>1.2310989999999999</v>
      </c>
      <c r="G34" s="170">
        <f>G37</f>
        <v>1.5465</v>
      </c>
      <c r="H34" s="90">
        <f t="shared" si="0"/>
        <v>0.25619466834105142</v>
      </c>
      <c r="I34" s="656"/>
      <c r="J34" s="651"/>
      <c r="K34" s="654"/>
      <c r="N34" s="164"/>
    </row>
    <row r="35" spans="1:14" x14ac:dyDescent="0.2">
      <c r="A35" s="648"/>
      <c r="B35" s="673"/>
      <c r="C35" s="134" t="s">
        <v>298</v>
      </c>
      <c r="D35" s="120"/>
      <c r="E35" s="122" t="s">
        <v>348</v>
      </c>
      <c r="F35" s="171"/>
      <c r="G35" s="172">
        <f>VLOOKUP(E35,'EXHIBIT JDT-3 LCOM'!$D:$N,7,FALSE)</f>
        <v>1.5465</v>
      </c>
      <c r="H35" s="113"/>
      <c r="I35" s="658"/>
      <c r="J35" s="652"/>
      <c r="K35" s="655"/>
      <c r="N35" s="164"/>
    </row>
    <row r="36" spans="1:14" x14ac:dyDescent="0.2">
      <c r="A36" s="143" t="s">
        <v>336</v>
      </c>
      <c r="B36" s="144" t="s">
        <v>381</v>
      </c>
      <c r="C36" s="139" t="s">
        <v>170</v>
      </c>
      <c r="D36" s="95" t="s">
        <v>111</v>
      </c>
      <c r="E36" s="91" t="s">
        <v>128</v>
      </c>
      <c r="F36" s="173">
        <f>VLOOKUP(E36,'EXHIBIT JDT-3 LCOM'!$D:$N,4,FALSE)</f>
        <v>1.4361999999999999</v>
      </c>
      <c r="G36" s="174">
        <f>VLOOKUP(E36,'EXHIBIT JDT-3 LCOM'!$D:$N,7,FALSE)</f>
        <v>1.5465</v>
      </c>
      <c r="H36" s="115">
        <f t="shared" si="0"/>
        <v>7.6799888594903276E-2</v>
      </c>
      <c r="I36" s="116">
        <f>VLOOKUP(D36,'EXHIBIT JDT-3 LCOM'!$D:$N,4,FALSE)</f>
        <v>121.01</v>
      </c>
      <c r="J36" s="117">
        <f>VLOOKUP(D36,'EXHIBIT JDT-3 LCOM'!$D:$N,7,FALSE)</f>
        <v>181.5</v>
      </c>
      <c r="K36" s="118">
        <f>IFERROR((J36-I36)/I36,"na")</f>
        <v>0.49987604330220636</v>
      </c>
      <c r="N36" s="164"/>
    </row>
    <row r="37" spans="1:14" x14ac:dyDescent="0.2">
      <c r="A37" s="143" t="s">
        <v>336</v>
      </c>
      <c r="B37" s="145" t="s">
        <v>382</v>
      </c>
      <c r="C37" s="139" t="s">
        <v>170</v>
      </c>
      <c r="D37" s="95" t="s">
        <v>111</v>
      </c>
      <c r="E37" s="91" t="s">
        <v>129</v>
      </c>
      <c r="F37" s="173">
        <f>VLOOKUP(E37,'EXHIBIT JDT-3 LCOM'!$D:$N,4,FALSE)</f>
        <v>1.4161999999999999</v>
      </c>
      <c r="G37" s="174">
        <f>VLOOKUP(E37,'EXHIBIT JDT-3 LCOM'!$D:$N,7,FALSE)</f>
        <v>1.5465</v>
      </c>
      <c r="H37" s="115">
        <f t="shared" si="0"/>
        <v>9.2006778703572989E-2</v>
      </c>
      <c r="I37" s="116">
        <f>VLOOKUP(D37,'EXHIBIT JDT-3 LCOM'!$D:$N,4,FALSE)</f>
        <v>121.01</v>
      </c>
      <c r="J37" s="117">
        <f>VLOOKUP(D37,'EXHIBIT JDT-3 LCOM'!$D:$N,7,FALSE)</f>
        <v>181.5</v>
      </c>
      <c r="K37" s="118">
        <f>IFERROR((J37-I37)/I37,"na")</f>
        <v>0.49987604330220636</v>
      </c>
      <c r="N37" s="164"/>
    </row>
    <row r="38" spans="1:14" x14ac:dyDescent="0.2">
      <c r="A38" s="646" t="s">
        <v>336</v>
      </c>
      <c r="B38" s="671" t="s">
        <v>377</v>
      </c>
      <c r="C38" s="140" t="s">
        <v>200</v>
      </c>
      <c r="D38" s="95" t="s">
        <v>111</v>
      </c>
      <c r="E38" s="91" t="s">
        <v>112</v>
      </c>
      <c r="F38" s="167">
        <f>VLOOKUP(E38,'EXHIBIT JDT-3 LCOM'!$D:$N,4,FALSE)</f>
        <v>1.4947999999999999</v>
      </c>
      <c r="G38" s="168">
        <f>$G$41</f>
        <v>1.5465</v>
      </c>
      <c r="H38" s="119">
        <f t="shared" si="0"/>
        <v>3.4586566764784665E-2</v>
      </c>
      <c r="I38" s="657">
        <f>VLOOKUP(D38,'EXHIBIT JDT-3 LCOM'!$D:$N,4,FALSE)</f>
        <v>121.01</v>
      </c>
      <c r="J38" s="650">
        <f>VLOOKUP(D38,'EXHIBIT JDT-3 LCOM'!$D:$N,7,FALSE)</f>
        <v>181.5</v>
      </c>
      <c r="K38" s="653">
        <f>IFERROR((J38-I38)/I38,"na")</f>
        <v>0.49987604330220636</v>
      </c>
      <c r="N38" s="164"/>
    </row>
    <row r="39" spans="1:14" x14ac:dyDescent="0.2">
      <c r="A39" s="647"/>
      <c r="B39" s="672"/>
      <c r="C39" s="141" t="s">
        <v>201</v>
      </c>
      <c r="D39" s="97"/>
      <c r="E39" s="91" t="s">
        <v>113</v>
      </c>
      <c r="F39" s="169">
        <f>VLOOKUP(E39,'EXHIBIT JDT-3 LCOM'!$D:$N,4,FALSE)</f>
        <v>1.3812</v>
      </c>
      <c r="G39" s="170">
        <f>$G$41</f>
        <v>1.5465</v>
      </c>
      <c r="H39" s="90">
        <f t="shared" si="0"/>
        <v>0.11967854039965253</v>
      </c>
      <c r="I39" s="656"/>
      <c r="J39" s="651"/>
      <c r="K39" s="654"/>
      <c r="N39" s="164"/>
    </row>
    <row r="40" spans="1:14" x14ac:dyDescent="0.2">
      <c r="A40" s="647"/>
      <c r="B40" s="672"/>
      <c r="C40" s="141" t="s">
        <v>115</v>
      </c>
      <c r="D40" s="97"/>
      <c r="E40" s="91" t="s">
        <v>114</v>
      </c>
      <c r="F40" s="169">
        <f>VLOOKUP(E40,'EXHIBIT JDT-3 LCOM'!$D:$N,4,FALSE)</f>
        <v>1.2310989999999999</v>
      </c>
      <c r="G40" s="170">
        <f>$G$41</f>
        <v>1.5465</v>
      </c>
      <c r="H40" s="90">
        <f t="shared" si="0"/>
        <v>0.25619466834105142</v>
      </c>
      <c r="I40" s="656"/>
      <c r="J40" s="651"/>
      <c r="K40" s="654"/>
      <c r="N40" s="164"/>
    </row>
    <row r="41" spans="1:14" x14ac:dyDescent="0.2">
      <c r="A41" s="648"/>
      <c r="B41" s="673"/>
      <c r="C41" s="134" t="s">
        <v>298</v>
      </c>
      <c r="D41" s="123"/>
      <c r="E41" s="122" t="s">
        <v>348</v>
      </c>
      <c r="F41" s="171"/>
      <c r="G41" s="172">
        <f>VLOOKUP(E41,'EXHIBIT JDT-3 LCOM'!$D:$N,7,FALSE)</f>
        <v>1.5465</v>
      </c>
      <c r="H41" s="113"/>
      <c r="I41" s="658"/>
      <c r="J41" s="652"/>
      <c r="K41" s="655"/>
      <c r="N41" s="164"/>
    </row>
    <row r="42" spans="1:14" x14ac:dyDescent="0.2">
      <c r="A42" s="146" t="s">
        <v>293</v>
      </c>
      <c r="B42" s="147" t="s">
        <v>293</v>
      </c>
      <c r="C42" s="139" t="s">
        <v>170</v>
      </c>
      <c r="D42" s="98" t="s">
        <v>295</v>
      </c>
      <c r="E42" s="99" t="s">
        <v>294</v>
      </c>
      <c r="F42" s="173">
        <f>VLOOKUP(E42,'EXHIBIT JDT-3 LCOM'!$D:$N,4,FALSE)</f>
        <v>0.3</v>
      </c>
      <c r="G42" s="174">
        <f>VLOOKUP(E42,'EXHIBIT JDT-3 LCOM'!$D:$N,7,FALSE)</f>
        <v>0.35189999999999999</v>
      </c>
      <c r="H42" s="115">
        <f t="shared" si="0"/>
        <v>0.17300000000000004</v>
      </c>
      <c r="I42" s="116">
        <f>VLOOKUP(D42,'EXHIBIT JDT-3 LCOM'!$D:$N,4,FALSE)</f>
        <v>0</v>
      </c>
      <c r="J42" s="117">
        <f>VLOOKUP(D42,'EXHIBIT JDT-3 LCOM'!$D:$N,7,FALSE)</f>
        <v>0</v>
      </c>
      <c r="K42" s="124" t="str">
        <f>IFERROR((J42-I42)/I42,"na")</f>
        <v>na</v>
      </c>
      <c r="N42" s="164"/>
    </row>
    <row r="43" spans="1:14" x14ac:dyDescent="0.2">
      <c r="A43" s="148" t="s">
        <v>67</v>
      </c>
      <c r="B43" s="149" t="s">
        <v>376</v>
      </c>
      <c r="C43" s="140" t="s">
        <v>170</v>
      </c>
      <c r="D43" s="95" t="s">
        <v>116</v>
      </c>
      <c r="E43" s="91" t="s">
        <v>117</v>
      </c>
      <c r="F43" s="167">
        <f>VLOOKUP(E43,'EXHIBIT JDT-3 IND'!$D:$N,4,FALSE)</f>
        <v>2.0531000000000001</v>
      </c>
      <c r="G43" s="168">
        <f>VLOOKUP(E43,'EXHIBIT JDT-3 IND'!$D:$N,7,FALSE)</f>
        <v>1.8742000000000001</v>
      </c>
      <c r="H43" s="112">
        <f t="shared" si="0"/>
        <v>-8.7136525254493225E-2</v>
      </c>
      <c r="I43" s="125">
        <f>VLOOKUP(D43,'EXHIBIT JDT-3 IND'!$D:$N,4,FALSE)</f>
        <v>65.599999999999994</v>
      </c>
      <c r="J43" s="126">
        <f>VLOOKUP(D43,'EXHIBIT JDT-3 IND'!$D:$N,7,FALSE)</f>
        <v>98.5</v>
      </c>
      <c r="K43" s="127">
        <f t="shared" ref="K43:K46" si="1">IFERROR((J43-I43)/I43,"na")</f>
        <v>0.50152439024390261</v>
      </c>
      <c r="N43" s="164"/>
    </row>
    <row r="44" spans="1:14" x14ac:dyDescent="0.2">
      <c r="A44" s="150" t="s">
        <v>67</v>
      </c>
      <c r="B44" s="46" t="s">
        <v>381</v>
      </c>
      <c r="C44" s="141" t="s">
        <v>170</v>
      </c>
      <c r="D44" s="95" t="s">
        <v>116</v>
      </c>
      <c r="E44" s="91" t="s">
        <v>130</v>
      </c>
      <c r="F44" s="169">
        <f>VLOOKUP(E44,'EXHIBIT JDT-3 IND'!$D:$N,4,FALSE)</f>
        <v>2.1857000000000002</v>
      </c>
      <c r="G44" s="170">
        <f>VLOOKUP(E44,'EXHIBIT JDT-3 IND'!$D:$N,7,FALSE)</f>
        <v>1.8742000000000001</v>
      </c>
      <c r="H44" s="87">
        <f t="shared" si="0"/>
        <v>-0.14251727135471481</v>
      </c>
      <c r="I44" s="92">
        <f>VLOOKUP(D44,'EXHIBIT JDT-3 IND'!$D:$N,4,FALSE)</f>
        <v>65.599999999999994</v>
      </c>
      <c r="J44" s="93">
        <f>VLOOKUP(D44,'EXHIBIT JDT-3 IND'!$D:$N,7,FALSE)</f>
        <v>98.5</v>
      </c>
      <c r="K44" s="94">
        <f t="shared" si="1"/>
        <v>0.50152439024390261</v>
      </c>
      <c r="N44" s="164"/>
    </row>
    <row r="45" spans="1:14" x14ac:dyDescent="0.2">
      <c r="A45" s="151" t="s">
        <v>67</v>
      </c>
      <c r="B45" s="152" t="s">
        <v>377</v>
      </c>
      <c r="C45" s="153" t="s">
        <v>170</v>
      </c>
      <c r="D45" s="95" t="s">
        <v>116</v>
      </c>
      <c r="E45" s="91" t="s">
        <v>117</v>
      </c>
      <c r="F45" s="171">
        <f>VLOOKUP(E45,'EXHIBIT JDT-3 IND'!$D:$N,4,FALSE)</f>
        <v>2.0531000000000001</v>
      </c>
      <c r="G45" s="172">
        <f>VLOOKUP(E45,'EXHIBIT JDT-3 IND'!$D:$N,7,FALSE)</f>
        <v>1.8742000000000001</v>
      </c>
      <c r="H45" s="101">
        <f t="shared" si="0"/>
        <v>-8.7136525254493225E-2</v>
      </c>
      <c r="I45" s="102">
        <f>VLOOKUP(D45,'EXHIBIT JDT-3 IND'!$D:$N,4,FALSE)</f>
        <v>65.599999999999994</v>
      </c>
      <c r="J45" s="103">
        <f>VLOOKUP(D45,'EXHIBIT JDT-3 IND'!$D:$N,7,FALSE)</f>
        <v>98.5</v>
      </c>
      <c r="K45" s="104">
        <f t="shared" si="1"/>
        <v>0.50152439024390261</v>
      </c>
      <c r="N45" s="164"/>
    </row>
    <row r="46" spans="1:14" x14ac:dyDescent="0.2">
      <c r="A46" s="646" t="s">
        <v>380</v>
      </c>
      <c r="B46" s="671" t="s">
        <v>376</v>
      </c>
      <c r="C46" s="140" t="s">
        <v>250</v>
      </c>
      <c r="D46" s="95" t="s">
        <v>118</v>
      </c>
      <c r="E46" s="91" t="s">
        <v>119</v>
      </c>
      <c r="F46" s="167">
        <f>VLOOKUP(E46,'EXHIBIT JDT-3 IND'!$D:$N,4,FALSE)</f>
        <v>1.4947999999999999</v>
      </c>
      <c r="G46" s="168">
        <f>G49</f>
        <v>1.1675</v>
      </c>
      <c r="H46" s="112">
        <f t="shared" si="0"/>
        <v>-0.21895905806796889</v>
      </c>
      <c r="I46" s="657">
        <f>VLOOKUP(D46,'EXHIBIT JDT-3 IND'!$D:$N,4,FALSE)</f>
        <v>201.91</v>
      </c>
      <c r="J46" s="650">
        <f>VLOOKUP(D46,'EXHIBIT JDT-3 IND'!$D:$N,7,FALSE)</f>
        <v>303</v>
      </c>
      <c r="K46" s="653">
        <f t="shared" si="1"/>
        <v>0.50066861472933488</v>
      </c>
      <c r="N46" s="164"/>
    </row>
    <row r="47" spans="1:14" x14ac:dyDescent="0.2">
      <c r="A47" s="647"/>
      <c r="B47" s="672"/>
      <c r="C47" s="141" t="s">
        <v>121</v>
      </c>
      <c r="D47" s="100"/>
      <c r="E47" s="91" t="s">
        <v>120</v>
      </c>
      <c r="F47" s="169">
        <f>VLOOKUP(E47,'EXHIBIT JDT-3 IND'!$D:$N,4,FALSE)</f>
        <v>1.0999000000000001</v>
      </c>
      <c r="G47" s="170">
        <f t="shared" ref="G47:G48" si="2">G50</f>
        <v>1.1675</v>
      </c>
      <c r="H47" s="90">
        <f t="shared" si="0"/>
        <v>6.1460132739339812E-2</v>
      </c>
      <c r="I47" s="656"/>
      <c r="J47" s="651"/>
      <c r="K47" s="654"/>
      <c r="N47" s="164"/>
    </row>
    <row r="48" spans="1:14" x14ac:dyDescent="0.2">
      <c r="A48" s="647"/>
      <c r="B48" s="672"/>
      <c r="C48" s="141" t="s">
        <v>115</v>
      </c>
      <c r="D48" s="100"/>
      <c r="E48" s="91" t="s">
        <v>122</v>
      </c>
      <c r="F48" s="169">
        <f>VLOOKUP(E48,'EXHIBIT JDT-3 IND'!$D:$N,4,FALSE)</f>
        <v>0.79079999999999995</v>
      </c>
      <c r="G48" s="170">
        <f t="shared" si="2"/>
        <v>1.1675</v>
      </c>
      <c r="H48" s="90">
        <f t="shared" si="0"/>
        <v>0.47635306019221058</v>
      </c>
      <c r="I48" s="656"/>
      <c r="J48" s="651"/>
      <c r="K48" s="654"/>
      <c r="N48" s="164"/>
    </row>
    <row r="49" spans="1:14" x14ac:dyDescent="0.2">
      <c r="A49" s="648"/>
      <c r="B49" s="673"/>
      <c r="C49" s="134" t="s">
        <v>298</v>
      </c>
      <c r="D49" s="47"/>
      <c r="E49" s="122" t="s">
        <v>350</v>
      </c>
      <c r="F49" s="171"/>
      <c r="G49" s="172">
        <f>VLOOKUP(E49,'EXHIBIT JDT-3 IND'!$D:$N,7,FALSE)</f>
        <v>1.1675</v>
      </c>
      <c r="H49" s="113"/>
      <c r="I49" s="658"/>
      <c r="J49" s="652"/>
      <c r="K49" s="655"/>
      <c r="N49" s="164"/>
    </row>
    <row r="50" spans="1:14" x14ac:dyDescent="0.2">
      <c r="A50" s="148" t="s">
        <v>380</v>
      </c>
      <c r="B50" s="149" t="s">
        <v>381</v>
      </c>
      <c r="C50" s="140" t="s">
        <v>170</v>
      </c>
      <c r="D50" s="95" t="s">
        <v>118</v>
      </c>
      <c r="E50" s="91" t="s">
        <v>131</v>
      </c>
      <c r="F50" s="167">
        <f>VLOOKUP(E50,'EXHIBIT JDT-3 IND'!$D:$N,4,FALSE)</f>
        <v>1.0904</v>
      </c>
      <c r="G50" s="168">
        <f>VLOOKUP(E50,'EXHIBIT JDT-3 IND'!$D:$N,7,FALSE)</f>
        <v>1.1675</v>
      </c>
      <c r="H50" s="112">
        <f t="shared" si="0"/>
        <v>7.0707997065297068E-2</v>
      </c>
      <c r="I50" s="125">
        <f>VLOOKUP(D50,'EXHIBIT JDT-3 IND'!$D:$N,4,FALSE)</f>
        <v>201.91</v>
      </c>
      <c r="J50" s="126">
        <f>VLOOKUP(D50,'EXHIBIT JDT-3 IND'!$D:$N,7,FALSE)</f>
        <v>303</v>
      </c>
      <c r="K50" s="127">
        <f t="shared" ref="K50:K52" si="3">IFERROR((J50-I50)/I50,"na")</f>
        <v>0.50066861472933488</v>
      </c>
      <c r="N50" s="164"/>
    </row>
    <row r="51" spans="1:14" x14ac:dyDescent="0.2">
      <c r="A51" s="151" t="s">
        <v>380</v>
      </c>
      <c r="B51" s="152" t="s">
        <v>382</v>
      </c>
      <c r="C51" s="153" t="s">
        <v>170</v>
      </c>
      <c r="D51" s="95" t="s">
        <v>118</v>
      </c>
      <c r="E51" s="91" t="s">
        <v>132</v>
      </c>
      <c r="F51" s="171">
        <f>VLOOKUP(E51,'EXHIBIT JDT-3 IND'!$D:$N,4,FALSE)</f>
        <v>1.0704</v>
      </c>
      <c r="G51" s="172">
        <f>VLOOKUP(E51,'EXHIBIT JDT-3 IND'!$D:$N,7,FALSE)</f>
        <v>1.1675</v>
      </c>
      <c r="H51" s="101">
        <f t="shared" si="0"/>
        <v>9.0713751868460424E-2</v>
      </c>
      <c r="I51" s="102">
        <f>VLOOKUP(D51,'EXHIBIT JDT-3 IND'!$D:$N,4,FALSE)</f>
        <v>201.91</v>
      </c>
      <c r="J51" s="103">
        <f>VLOOKUP(D51,'EXHIBIT JDT-3 IND'!$D:$N,7,FALSE)</f>
        <v>303</v>
      </c>
      <c r="K51" s="104">
        <f t="shared" si="3"/>
        <v>0.50066861472933488</v>
      </c>
      <c r="N51" s="164"/>
    </row>
    <row r="52" spans="1:14" x14ac:dyDescent="0.2">
      <c r="A52" s="646" t="s">
        <v>380</v>
      </c>
      <c r="B52" s="671" t="s">
        <v>377</v>
      </c>
      <c r="C52" s="140" t="s">
        <v>250</v>
      </c>
      <c r="D52" s="95" t="s">
        <v>118</v>
      </c>
      <c r="E52" s="91" t="s">
        <v>119</v>
      </c>
      <c r="F52" s="167">
        <f>VLOOKUP(E52,'EXHIBIT JDT-3 IND'!$D:$N,4,FALSE)</f>
        <v>1.4947999999999999</v>
      </c>
      <c r="G52" s="168">
        <f>G55</f>
        <v>1.1675</v>
      </c>
      <c r="H52" s="119">
        <f t="shared" si="0"/>
        <v>-0.21895905806796889</v>
      </c>
      <c r="I52" s="657">
        <f>VLOOKUP(D52,'EXHIBIT JDT-3 IND'!$D:$N,4,FALSE)</f>
        <v>201.91</v>
      </c>
      <c r="J52" s="650">
        <f>VLOOKUP(D52,'EXHIBIT JDT-3 IND'!$D:$N,7,FALSE)</f>
        <v>303</v>
      </c>
      <c r="K52" s="674">
        <f t="shared" si="3"/>
        <v>0.50066861472933488</v>
      </c>
      <c r="N52" s="164"/>
    </row>
    <row r="53" spans="1:14" x14ac:dyDescent="0.2">
      <c r="A53" s="647"/>
      <c r="B53" s="672"/>
      <c r="C53" s="141" t="s">
        <v>121</v>
      </c>
      <c r="D53" s="100"/>
      <c r="E53" s="91" t="s">
        <v>120</v>
      </c>
      <c r="F53" s="169">
        <f>VLOOKUP(E53,'EXHIBIT JDT-3 IND'!$D:$N,4,FALSE)</f>
        <v>1.0999000000000001</v>
      </c>
      <c r="G53" s="170">
        <f>G55</f>
        <v>1.1675</v>
      </c>
      <c r="H53" s="90">
        <f t="shared" si="0"/>
        <v>6.1460132739339812E-2</v>
      </c>
      <c r="I53" s="656"/>
      <c r="J53" s="651"/>
      <c r="K53" s="675"/>
      <c r="N53" s="164"/>
    </row>
    <row r="54" spans="1:14" x14ac:dyDescent="0.2">
      <c r="A54" s="647"/>
      <c r="B54" s="672"/>
      <c r="C54" s="141" t="s">
        <v>115</v>
      </c>
      <c r="D54" s="100"/>
      <c r="E54" s="91" t="s">
        <v>122</v>
      </c>
      <c r="F54" s="169">
        <f>VLOOKUP(E54,'EXHIBIT JDT-3 IND'!$D:$N,4,FALSE)</f>
        <v>0.79079999999999995</v>
      </c>
      <c r="G54" s="170">
        <f>G55</f>
        <v>1.1675</v>
      </c>
      <c r="H54" s="90">
        <f t="shared" si="0"/>
        <v>0.47635306019221058</v>
      </c>
      <c r="I54" s="656"/>
      <c r="J54" s="651"/>
      <c r="K54" s="675"/>
      <c r="N54" s="164"/>
    </row>
    <row r="55" spans="1:14" x14ac:dyDescent="0.2">
      <c r="A55" s="648"/>
      <c r="B55" s="673"/>
      <c r="C55" s="134" t="s">
        <v>298</v>
      </c>
      <c r="D55" s="47"/>
      <c r="E55" s="122" t="s">
        <v>350</v>
      </c>
      <c r="F55" s="171"/>
      <c r="G55" s="172">
        <f>VLOOKUP(E55,'EXHIBIT JDT-3 IND'!$D:$N,7,FALSE)</f>
        <v>1.1675</v>
      </c>
      <c r="H55" s="113"/>
      <c r="I55" s="658"/>
      <c r="J55" s="652"/>
      <c r="K55" s="676"/>
      <c r="N55" s="164"/>
    </row>
    <row r="56" spans="1:14" x14ac:dyDescent="0.2">
      <c r="A56" s="154" t="s">
        <v>339</v>
      </c>
      <c r="B56" s="154" t="s">
        <v>381</v>
      </c>
      <c r="C56" s="154" t="s">
        <v>170</v>
      </c>
      <c r="D56" s="128" t="s">
        <v>123</v>
      </c>
      <c r="E56" s="128" t="s">
        <v>133</v>
      </c>
      <c r="F56" s="61">
        <f>VLOOKUP(E56,'EXHIBIT JDT-3 IND'!$D:$N,4,FALSE)</f>
        <v>0.8286</v>
      </c>
      <c r="G56" s="61">
        <f>VLOOKUP(E56,'EXHIBIT JDT-3 IND'!$D:$N,7,FALSE)</f>
        <v>0.90549999999999997</v>
      </c>
      <c r="H56" s="129">
        <f t="shared" si="0"/>
        <v>9.2807144581221301E-2</v>
      </c>
      <c r="I56" s="130">
        <f>VLOOKUP(D56,'EXHIBIT JDT-3 IND'!$D:$N,4,FALSE)</f>
        <v>809</v>
      </c>
      <c r="J56" s="130">
        <f>VLOOKUP(D56,'EXHIBIT JDT-3 IND'!$D:$N,7,FALSE)</f>
        <v>1213.5</v>
      </c>
      <c r="K56" s="108">
        <f t="shared" ref="K56:K68" si="4">IFERROR((J56-I56)/I56,"na")</f>
        <v>0.5</v>
      </c>
      <c r="N56" s="164"/>
    </row>
    <row r="57" spans="1:14" x14ac:dyDescent="0.2">
      <c r="A57" s="154" t="s">
        <v>339</v>
      </c>
      <c r="B57" s="154" t="s">
        <v>382</v>
      </c>
      <c r="C57" s="154" t="s">
        <v>170</v>
      </c>
      <c r="D57" s="128" t="s">
        <v>123</v>
      </c>
      <c r="E57" s="128" t="s">
        <v>134</v>
      </c>
      <c r="F57" s="61">
        <f>VLOOKUP(E57,'EXHIBIT JDT-3 IND'!$D:$N,4,FALSE)</f>
        <v>0.80859999999999999</v>
      </c>
      <c r="G57" s="61">
        <f>VLOOKUP(E57,'EXHIBIT JDT-3 IND'!$D:$N,7,FALSE)</f>
        <v>0.90549999999999997</v>
      </c>
      <c r="H57" s="129">
        <f t="shared" si="0"/>
        <v>0.11983675488498635</v>
      </c>
      <c r="I57" s="130">
        <f>VLOOKUP(D57,'EXHIBIT JDT-3 IND'!$D:$N,4,FALSE)</f>
        <v>809</v>
      </c>
      <c r="J57" s="130">
        <f>VLOOKUP(D57,'EXHIBIT JDT-3 IND'!$D:$N,7,FALSE)</f>
        <v>1213.5</v>
      </c>
      <c r="K57" s="108">
        <f t="shared" si="4"/>
        <v>0.5</v>
      </c>
      <c r="N57" s="164"/>
    </row>
    <row r="58" spans="1:14" x14ac:dyDescent="0.2">
      <c r="A58" s="154" t="s">
        <v>340</v>
      </c>
      <c r="B58" s="154" t="s">
        <v>381</v>
      </c>
      <c r="C58" s="154" t="s">
        <v>170</v>
      </c>
      <c r="D58" s="128" t="s">
        <v>124</v>
      </c>
      <c r="E58" s="128" t="s">
        <v>135</v>
      </c>
      <c r="F58" s="61">
        <f>VLOOKUP(E58,'EXHIBIT JDT-3 IND'!$D:$N,4,FALSE)</f>
        <v>0.50390000000000001</v>
      </c>
      <c r="G58" s="61">
        <f>VLOOKUP(E58,'EXHIBIT JDT-3 IND'!$D:$N,7,FALSE)</f>
        <v>0.55410000000000004</v>
      </c>
      <c r="H58" s="129">
        <f t="shared" si="0"/>
        <v>9.9622941059734016E-2</v>
      </c>
      <c r="I58" s="130">
        <f>VLOOKUP(D58,'EXHIBIT JDT-3 IND'!$D:$N,4,FALSE)</f>
        <v>1029</v>
      </c>
      <c r="J58" s="130">
        <f>VLOOKUP(D58,'EXHIBIT JDT-3 IND'!$D:$N,7,FALSE)</f>
        <v>1543.5</v>
      </c>
      <c r="K58" s="108">
        <f t="shared" si="4"/>
        <v>0.5</v>
      </c>
      <c r="N58" s="164"/>
    </row>
    <row r="59" spans="1:14" x14ac:dyDescent="0.2">
      <c r="A59" s="154" t="s">
        <v>340</v>
      </c>
      <c r="B59" s="154" t="s">
        <v>382</v>
      </c>
      <c r="C59" s="154" t="s">
        <v>170</v>
      </c>
      <c r="D59" s="128" t="s">
        <v>124</v>
      </c>
      <c r="E59" s="128" t="s">
        <v>136</v>
      </c>
      <c r="F59" s="61">
        <f>VLOOKUP(E59,'EXHIBIT JDT-3 IND'!$D:$N,4,FALSE)</f>
        <v>0.4839</v>
      </c>
      <c r="G59" s="61">
        <f>VLOOKUP(E59,'EXHIBIT JDT-3 IND'!$D:$N,7,FALSE)</f>
        <v>0.55410000000000004</v>
      </c>
      <c r="H59" s="129">
        <f t="shared" si="0"/>
        <v>0.14507129572225685</v>
      </c>
      <c r="I59" s="130">
        <f>VLOOKUP(D59,'EXHIBIT JDT-3 IND'!$D:$N,4,FALSE)</f>
        <v>1029</v>
      </c>
      <c r="J59" s="130">
        <f>VLOOKUP(D59,'EXHIBIT JDT-3 IND'!$D:$N,7,FALSE)</f>
        <v>1543.5</v>
      </c>
      <c r="K59" s="108">
        <f t="shared" si="4"/>
        <v>0.5</v>
      </c>
      <c r="N59" s="164"/>
    </row>
    <row r="60" spans="1:14" x14ac:dyDescent="0.2">
      <c r="A60" s="155"/>
      <c r="B60" s="155"/>
      <c r="C60" s="155" t="s">
        <v>141</v>
      </c>
      <c r="D60" s="105"/>
      <c r="E60" s="106" t="s">
        <v>140</v>
      </c>
      <c r="F60" s="175"/>
      <c r="G60" s="175"/>
      <c r="H60" s="72"/>
      <c r="I60" s="78">
        <v>0.30549999999999999</v>
      </c>
      <c r="J60" s="78">
        <f>I60</f>
        <v>0.30549999999999999</v>
      </c>
      <c r="K60" s="107">
        <f t="shared" si="4"/>
        <v>0</v>
      </c>
      <c r="N60" s="164"/>
    </row>
    <row r="61" spans="1:14" x14ac:dyDescent="0.2">
      <c r="A61" s="146"/>
      <c r="B61" s="146"/>
      <c r="C61" s="146" t="s">
        <v>143</v>
      </c>
      <c r="D61" s="105"/>
      <c r="E61" s="106" t="s">
        <v>142</v>
      </c>
      <c r="F61" s="61"/>
      <c r="G61" s="61"/>
      <c r="H61" s="73"/>
      <c r="I61" s="79">
        <v>7.8997999999999999</v>
      </c>
      <c r="J61" s="79">
        <f>I61</f>
        <v>7.8997999999999999</v>
      </c>
      <c r="K61" s="108">
        <f t="shared" si="4"/>
        <v>0</v>
      </c>
      <c r="N61" s="164"/>
    </row>
    <row r="62" spans="1:14" x14ac:dyDescent="0.2">
      <c r="A62" s="146"/>
      <c r="B62" s="146"/>
      <c r="C62" s="146" t="s">
        <v>145</v>
      </c>
      <c r="D62" s="105"/>
      <c r="E62" s="106" t="s">
        <v>144</v>
      </c>
      <c r="F62" s="61"/>
      <c r="G62" s="61"/>
      <c r="H62" s="73"/>
      <c r="I62" s="79">
        <v>0.83830000000000005</v>
      </c>
      <c r="J62" s="79">
        <f>I62</f>
        <v>0.83830000000000005</v>
      </c>
      <c r="K62" s="108">
        <f t="shared" si="4"/>
        <v>0</v>
      </c>
      <c r="N62" s="164"/>
    </row>
    <row r="63" spans="1:14" x14ac:dyDescent="0.2">
      <c r="A63" s="146"/>
      <c r="B63" s="146"/>
      <c r="C63" s="146" t="s">
        <v>147</v>
      </c>
      <c r="D63" s="105"/>
      <c r="E63" s="106" t="s">
        <v>146</v>
      </c>
      <c r="F63" s="61"/>
      <c r="G63" s="61"/>
      <c r="H63" s="73"/>
      <c r="I63" s="79">
        <v>-2.5000044378963621E-3</v>
      </c>
      <c r="J63" s="79">
        <v>0</v>
      </c>
      <c r="K63" s="108">
        <f t="shared" si="4"/>
        <v>-1</v>
      </c>
      <c r="N63" s="164"/>
    </row>
    <row r="64" spans="1:14" x14ac:dyDescent="0.2">
      <c r="A64" s="146"/>
      <c r="B64" s="146"/>
      <c r="C64" s="146" t="s">
        <v>149</v>
      </c>
      <c r="D64" s="105"/>
      <c r="E64" s="106" t="s">
        <v>148</v>
      </c>
      <c r="F64" s="61"/>
      <c r="G64" s="61"/>
      <c r="H64" s="73"/>
      <c r="I64" s="79">
        <v>0</v>
      </c>
      <c r="J64" s="79">
        <f>I64</f>
        <v>0</v>
      </c>
      <c r="K64" s="108" t="str">
        <f t="shared" si="4"/>
        <v>na</v>
      </c>
      <c r="N64" s="164"/>
    </row>
    <row r="65" spans="1:14" x14ac:dyDescent="0.2">
      <c r="A65" s="146"/>
      <c r="B65" s="146"/>
      <c r="C65" s="146" t="s">
        <v>151</v>
      </c>
      <c r="D65" s="105"/>
      <c r="E65" s="106" t="s">
        <v>150</v>
      </c>
      <c r="F65" s="61"/>
      <c r="G65" s="61"/>
      <c r="H65" s="73"/>
      <c r="I65" s="79">
        <v>0</v>
      </c>
      <c r="J65" s="79">
        <f>I65</f>
        <v>0</v>
      </c>
      <c r="K65" s="108" t="str">
        <f t="shared" si="4"/>
        <v>na</v>
      </c>
      <c r="N65" s="164"/>
    </row>
    <row r="66" spans="1:14" x14ac:dyDescent="0.2">
      <c r="A66" s="146"/>
      <c r="B66" s="146"/>
      <c r="C66" s="146" t="s">
        <v>153</v>
      </c>
      <c r="D66" s="105"/>
      <c r="E66" s="106" t="s">
        <v>152</v>
      </c>
      <c r="F66" s="61"/>
      <c r="G66" s="61"/>
      <c r="H66" s="73"/>
      <c r="I66" s="79">
        <v>0.37998399999999999</v>
      </c>
      <c r="J66" s="79">
        <f>I66</f>
        <v>0.37998399999999999</v>
      </c>
      <c r="K66" s="108">
        <f t="shared" si="4"/>
        <v>0</v>
      </c>
      <c r="N66" s="164"/>
    </row>
    <row r="67" spans="1:14" x14ac:dyDescent="0.2">
      <c r="A67" s="146"/>
      <c r="B67" s="146"/>
      <c r="C67" s="154" t="s">
        <v>283</v>
      </c>
      <c r="D67" s="105"/>
      <c r="E67" s="106" t="s">
        <v>285</v>
      </c>
      <c r="F67" s="61"/>
      <c r="G67" s="61"/>
      <c r="H67" s="73"/>
      <c r="I67" s="79">
        <v>0.19486800000000001</v>
      </c>
      <c r="J67" s="79">
        <v>0.23486996168995194</v>
      </c>
      <c r="K67" s="108">
        <f t="shared" si="4"/>
        <v>0.20527722196539158</v>
      </c>
      <c r="N67" s="164"/>
    </row>
    <row r="68" spans="1:14" x14ac:dyDescent="0.2">
      <c r="A68" s="146"/>
      <c r="B68" s="146"/>
      <c r="C68" s="154" t="s">
        <v>284</v>
      </c>
      <c r="D68" s="105"/>
      <c r="E68" s="106" t="s">
        <v>286</v>
      </c>
      <c r="F68" s="61"/>
      <c r="G68" s="61"/>
      <c r="H68" s="73"/>
      <c r="I68" s="79">
        <v>0.105</v>
      </c>
      <c r="J68" s="79">
        <v>0.1149</v>
      </c>
      <c r="K68" s="108">
        <f t="shared" si="4"/>
        <v>9.4285714285714348E-2</v>
      </c>
      <c r="N68" s="164"/>
    </row>
    <row r="69" spans="1:14" x14ac:dyDescent="0.2">
      <c r="A69" s="146"/>
      <c r="B69" s="146"/>
      <c r="C69" s="154" t="s">
        <v>283</v>
      </c>
      <c r="D69" s="105"/>
      <c r="E69" s="109" t="s">
        <v>289</v>
      </c>
      <c r="F69" s="61"/>
      <c r="G69" s="61"/>
      <c r="H69" s="73"/>
      <c r="I69" s="79">
        <v>1.9966999999999999E-2</v>
      </c>
      <c r="J69" s="79">
        <v>4.4541176122408391E-2</v>
      </c>
      <c r="K69" s="108">
        <f>IFERROR((J69-I69)/I69,"na")</f>
        <v>1.2307395263388787</v>
      </c>
      <c r="N69" s="164"/>
    </row>
  </sheetData>
  <mergeCells count="59">
    <mergeCell ref="B52:B55"/>
    <mergeCell ref="K46:K49"/>
    <mergeCell ref="K52:K55"/>
    <mergeCell ref="A6:A7"/>
    <mergeCell ref="B6:C7"/>
    <mergeCell ref="B29:B31"/>
    <mergeCell ref="B25:B27"/>
    <mergeCell ref="B22:B24"/>
    <mergeCell ref="B38:B41"/>
    <mergeCell ref="B32:B35"/>
    <mergeCell ref="B46:B49"/>
    <mergeCell ref="I52:I55"/>
    <mergeCell ref="J52:J55"/>
    <mergeCell ref="K15:K17"/>
    <mergeCell ref="K18:K20"/>
    <mergeCell ref="K22:K24"/>
    <mergeCell ref="K32:K35"/>
    <mergeCell ref="K38:K41"/>
    <mergeCell ref="I46:I49"/>
    <mergeCell ref="J46:J49"/>
    <mergeCell ref="J25:J27"/>
    <mergeCell ref="I29:I31"/>
    <mergeCell ref="J29:J31"/>
    <mergeCell ref="I32:I35"/>
    <mergeCell ref="J32:J35"/>
    <mergeCell ref="I38:I41"/>
    <mergeCell ref="J38:J41"/>
    <mergeCell ref="A46:A49"/>
    <mergeCell ref="A52:A55"/>
    <mergeCell ref="I15:I17"/>
    <mergeCell ref="J15:J17"/>
    <mergeCell ref="I18:I20"/>
    <mergeCell ref="J18:J20"/>
    <mergeCell ref="I22:I24"/>
    <mergeCell ref="J22:J24"/>
    <mergeCell ref="I25:I27"/>
    <mergeCell ref="B15:B17"/>
    <mergeCell ref="A15:A17"/>
    <mergeCell ref="A18:A20"/>
    <mergeCell ref="B18:B20"/>
    <mergeCell ref="A22:A24"/>
    <mergeCell ref="A25:A27"/>
    <mergeCell ref="A29:A31"/>
    <mergeCell ref="A32:A35"/>
    <mergeCell ref="A38:A41"/>
    <mergeCell ref="F6:H6"/>
    <mergeCell ref="I6:K6"/>
    <mergeCell ref="J8:J10"/>
    <mergeCell ref="K8:K10"/>
    <mergeCell ref="I11:I13"/>
    <mergeCell ref="J11:J13"/>
    <mergeCell ref="K11:K13"/>
    <mergeCell ref="I8:I10"/>
    <mergeCell ref="A11:A13"/>
    <mergeCell ref="A8:A10"/>
    <mergeCell ref="B8:B10"/>
    <mergeCell ref="B11:B13"/>
    <mergeCell ref="K25:K27"/>
    <mergeCell ref="K29:K31"/>
  </mergeCells>
  <conditionalFormatting sqref="K8">
    <cfRule type="iconSet" priority="28">
      <iconSet iconSet="3Arrows">
        <cfvo type="percent" val="0"/>
        <cfvo type="percent" val="0"/>
        <cfvo type="num" val="0" gte="0"/>
      </iconSet>
    </cfRule>
  </conditionalFormatting>
  <conditionalFormatting sqref="K11">
    <cfRule type="iconSet" priority="27">
      <iconSet iconSet="3Arrows">
        <cfvo type="percent" val="0"/>
        <cfvo type="percent" val="0"/>
        <cfvo type="num" val="0" gte="0"/>
      </iconSet>
    </cfRule>
  </conditionalFormatting>
  <conditionalFormatting sqref="K14">
    <cfRule type="iconSet" priority="26">
      <iconSet iconSet="3Arrows">
        <cfvo type="percent" val="0"/>
        <cfvo type="percent" val="0"/>
        <cfvo type="num" val="0" gte="0"/>
      </iconSet>
    </cfRule>
  </conditionalFormatting>
  <conditionalFormatting sqref="K15">
    <cfRule type="iconSet" priority="25">
      <iconSet iconSet="3Arrows">
        <cfvo type="percent" val="0"/>
        <cfvo type="percent" val="0"/>
        <cfvo type="num" val="0" gte="0"/>
      </iconSet>
    </cfRule>
  </conditionalFormatting>
  <conditionalFormatting sqref="K18">
    <cfRule type="iconSet" priority="24">
      <iconSet iconSet="3Arrows">
        <cfvo type="percent" val="0"/>
        <cfvo type="percent" val="0"/>
        <cfvo type="num" val="0" gte="0"/>
      </iconSet>
    </cfRule>
  </conditionalFormatting>
  <conditionalFormatting sqref="K21">
    <cfRule type="iconSet" priority="23">
      <iconSet iconSet="3Arrows">
        <cfvo type="percent" val="0"/>
        <cfvo type="percent" val="0"/>
        <cfvo type="num" val="0" gte="0"/>
      </iconSet>
    </cfRule>
  </conditionalFormatting>
  <conditionalFormatting sqref="K22">
    <cfRule type="iconSet" priority="22">
      <iconSet iconSet="3Arrows">
        <cfvo type="percent" val="0"/>
        <cfvo type="percent" val="0"/>
        <cfvo type="num" val="0" gte="0"/>
      </iconSet>
    </cfRule>
  </conditionalFormatting>
  <conditionalFormatting sqref="K25">
    <cfRule type="iconSet" priority="21">
      <iconSet iconSet="3Arrows">
        <cfvo type="percent" val="0"/>
        <cfvo type="percent" val="0"/>
        <cfvo type="num" val="0" gte="0"/>
      </iconSet>
    </cfRule>
  </conditionalFormatting>
  <conditionalFormatting sqref="K28">
    <cfRule type="iconSet" priority="20">
      <iconSet iconSet="3Arrows">
        <cfvo type="percent" val="0"/>
        <cfvo type="percent" val="0"/>
        <cfvo type="num" val="0" gte="0"/>
      </iconSet>
    </cfRule>
  </conditionalFormatting>
  <conditionalFormatting sqref="K29">
    <cfRule type="iconSet" priority="16">
      <iconSet iconSet="3Arrows">
        <cfvo type="percent" val="0"/>
        <cfvo type="percent" val="0"/>
        <cfvo type="num" val="0" gte="0"/>
      </iconSet>
    </cfRule>
  </conditionalFormatting>
  <conditionalFormatting sqref="K32">
    <cfRule type="iconSet" priority="15">
      <iconSet iconSet="3Arrows">
        <cfvo type="percent" val="0"/>
        <cfvo type="percent" val="0"/>
        <cfvo type="num" val="0" gte="0"/>
      </iconSet>
    </cfRule>
  </conditionalFormatting>
  <conditionalFormatting sqref="K36:K38">
    <cfRule type="iconSet" priority="13">
      <iconSet iconSet="3Arrows">
        <cfvo type="percent" val="0"/>
        <cfvo type="percent" val="0"/>
        <cfvo type="num" val="0" gte="0"/>
      </iconSet>
    </cfRule>
  </conditionalFormatting>
  <conditionalFormatting sqref="K42:K46">
    <cfRule type="iconSet" priority="29">
      <iconSet iconSet="3Arrows">
        <cfvo type="percent" val="0"/>
        <cfvo type="percent" val="0"/>
        <cfvo type="num" val="0" gte="0"/>
      </iconSet>
    </cfRule>
  </conditionalFormatting>
  <conditionalFormatting sqref="K50:K52">
    <cfRule type="iconSet" priority="7">
      <iconSet iconSet="3Arrows">
        <cfvo type="percent" val="0"/>
        <cfvo type="percent" val="0"/>
        <cfvo type="num" val="0" gte="0"/>
      </iconSet>
    </cfRule>
  </conditionalFormatting>
  <conditionalFormatting sqref="K56:K69">
    <cfRule type="iconSet" priority="4">
      <iconSet iconSet="3Arrows">
        <cfvo type="percent" val="0"/>
        <cfvo type="percent" val="0"/>
        <cfvo type="num" val="0" gte="0"/>
      </iconSet>
    </cfRule>
  </conditionalFormatting>
  <conditionalFormatting sqref="H8:H69">
    <cfRule type="iconSet" priority="1">
      <iconSet iconSet="3Arrows">
        <cfvo type="percent" val="0"/>
        <cfvo type="num" val="0"/>
        <cfvo type="num" val="0" gte="0"/>
      </iconSet>
    </cfRule>
  </conditionalFormatting>
  <printOptions horizontalCentered="1" headings="1" gridLines="1"/>
  <pageMargins left="0.75" right="0.75" top="0.5" bottom="0.5" header="0.25" footer="0.25"/>
  <pageSetup scale="59" orientation="landscape" r:id="rId1"/>
  <headerFooter scaleWithDoc="0"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E3F95A-D755-4CE1-835D-20905F203B9A}"/>
</file>

<file path=customXml/itemProps2.xml><?xml version="1.0" encoding="utf-8"?>
<ds:datastoreItem xmlns:ds="http://schemas.openxmlformats.org/officeDocument/2006/customXml" ds:itemID="{3B05A313-2BD7-4E77-820B-34FC7752F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8EB905-7EF3-4E6A-B1BE-6F789415E16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4e9379a4-87d5-42d4-a18e-c7a6c8888288"/>
    <ds:schemaRef ds:uri="a0dae52d-1c62-48d6-81ee-1bc57e2a09e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EXHIBIT JDT-3 RES</vt:lpstr>
      <vt:lpstr>EXHIBIT JDT-3 SCOM</vt:lpstr>
      <vt:lpstr>EXHIBIT JDT-3 LCOM</vt:lpstr>
      <vt:lpstr>EXHIBIT JDT-3 IND</vt:lpstr>
      <vt:lpstr>Exhibit JDT-4</vt:lpstr>
      <vt:lpstr>Attachment IV-B-5</vt:lpstr>
      <vt:lpstr>Rates</vt:lpstr>
      <vt:lpstr>Rates Summary</vt:lpstr>
      <vt:lpstr>'Attachment IV-B-5'!Print_Area</vt:lpstr>
      <vt:lpstr>'EXHIBIT JDT-3 IND'!Print_Area</vt:lpstr>
      <vt:lpstr>'EXHIBIT JDT-3 LCOM'!Print_Area</vt:lpstr>
      <vt:lpstr>'EXHIBIT JDT-3 RES'!Print_Area</vt:lpstr>
      <vt:lpstr>'EXHIBIT JDT-3 SCOM'!Print_Area</vt:lpstr>
      <vt:lpstr>'Exhibit JDT-4'!Print_Area</vt:lpstr>
      <vt:lpstr>'Attachment IV-B-5'!Print_Titles</vt:lpstr>
      <vt:lpstr>'EXHIBIT JDT-3 IND'!Print_Titles</vt:lpstr>
      <vt:lpstr>'EXHIBIT JDT-3 LCOM'!Print_Titles</vt:lpstr>
      <vt:lpstr>'EXHIBIT JDT-3 RES'!Print_Titles</vt:lpstr>
      <vt:lpstr>'EXHIBIT JDT-3 SCOM'!Print_Titles</vt:lpstr>
      <vt:lpstr>'Exhibit JDT-4'!Print_Titles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2022-10-11T20:45:43Z</dcterms:created>
  <dcterms:modified xsi:type="dcterms:W3CDTF">2022-10-21T20:43:11Z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