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lburge\AppData\Roaming\iManage\Work\Recent\PITTSBURGH WATER AND SEWER AUTHORITY-CP STAGE 2 (312111-00014)\"/>
    </mc:Choice>
  </mc:AlternateContent>
  <xr:revisionPtr revIDLastSave="0" documentId="13_ncr:1_{C73AD96E-D51A-42F2-A55F-C83E5559E9D4}" xr6:coauthVersionLast="47" xr6:coauthVersionMax="47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Watershed Regional Storage" sheetId="4" r:id="rId1"/>
    <sheet name="Watershed Ravine Storage" sheetId="5" r:id="rId2"/>
    <sheet name="Watershed Developer Add-On" sheetId="6" r:id="rId3"/>
    <sheet name="Floodplain Storage" sheetId="10" r:id="rId4"/>
    <sheet name="Conveyance_Sewer Size Groupings" sheetId="11" r:id="rId5"/>
    <sheet name="Conveyance_Unit Costs by Size" sheetId="8" r:id="rId6"/>
    <sheet name="Conveyance_Sewer Capacity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6" l="1"/>
  <c r="B5" i="6"/>
  <c r="B6" i="6"/>
  <c r="E56" i="6"/>
  <c r="E53" i="6"/>
  <c r="G42" i="4"/>
  <c r="E7" i="11"/>
  <c r="H7" i="11"/>
  <c r="F7" i="11" s="1"/>
  <c r="D8" i="11" s="1"/>
  <c r="E8" i="11"/>
  <c r="H8" i="11"/>
  <c r="F8" i="11" s="1"/>
  <c r="D9" i="11" s="1"/>
  <c r="E9" i="11"/>
  <c r="H9" i="11"/>
  <c r="F9" i="11" s="1"/>
  <c r="D10" i="11" s="1"/>
  <c r="E10" i="11"/>
  <c r="H10" i="11"/>
  <c r="F10" i="11" s="1"/>
  <c r="D11" i="11" s="1"/>
  <c r="E11" i="11"/>
  <c r="H11" i="11"/>
  <c r="F11" i="11" s="1"/>
  <c r="E12" i="11"/>
  <c r="H12" i="11"/>
  <c r="I11" i="11" l="1"/>
  <c r="I10" i="11"/>
  <c r="I9" i="11"/>
  <c r="I8" i="11"/>
  <c r="I7" i="11"/>
  <c r="G7" i="11"/>
  <c r="G11" i="11"/>
  <c r="G10" i="11"/>
  <c r="G9" i="11"/>
  <c r="G8" i="11"/>
  <c r="C23" i="10" l="1"/>
  <c r="E23" i="10" s="1"/>
  <c r="D23" i="10"/>
  <c r="C24" i="10"/>
  <c r="E24" i="10" s="1"/>
  <c r="C28" i="10"/>
  <c r="E28" i="10" s="1"/>
  <c r="C30" i="10"/>
  <c r="E30" i="10"/>
  <c r="C31" i="10"/>
  <c r="E31" i="10"/>
  <c r="C32" i="10"/>
  <c r="E32" i="10" s="1"/>
  <c r="C33" i="10"/>
  <c r="E33" i="10" s="1"/>
  <c r="D33" i="10"/>
  <c r="C34" i="10"/>
  <c r="E34" i="10"/>
  <c r="E25" i="10" l="1"/>
  <c r="C29" i="10"/>
  <c r="E29" i="10" s="1"/>
  <c r="E35" i="10" s="1"/>
  <c r="B14" i="9"/>
  <c r="B7" i="9" s="1"/>
  <c r="B15" i="9"/>
  <c r="C7" i="9" s="1"/>
  <c r="E7" i="9" s="1"/>
  <c r="B16" i="9"/>
  <c r="D7" i="9" s="1"/>
  <c r="F7" i="9" s="1"/>
  <c r="C8" i="8"/>
  <c r="C10" i="8" s="1"/>
  <c r="C28" i="8" s="1"/>
  <c r="D8" i="8"/>
  <c r="E8" i="8"/>
  <c r="F8" i="8"/>
  <c r="G8" i="8"/>
  <c r="H8" i="8"/>
  <c r="H10" i="8" s="1"/>
  <c r="H28" i="8" s="1"/>
  <c r="I8" i="8"/>
  <c r="I10" i="8" s="1"/>
  <c r="I28" i="8" s="1"/>
  <c r="J8" i="8"/>
  <c r="J10" i="8" s="1"/>
  <c r="J28" i="8" s="1"/>
  <c r="K8" i="8"/>
  <c r="K10" i="8" s="1"/>
  <c r="K28" i="8" s="1"/>
  <c r="L8" i="8"/>
  <c r="M8" i="8"/>
  <c r="N8" i="8"/>
  <c r="O8" i="8"/>
  <c r="P8" i="8"/>
  <c r="P10" i="8" s="1"/>
  <c r="P28" i="8" s="1"/>
  <c r="Q8" i="8"/>
  <c r="Q10" i="8" s="1"/>
  <c r="Q28" i="8" s="1"/>
  <c r="R8" i="8"/>
  <c r="R10" i="8" s="1"/>
  <c r="R28" i="8" s="1"/>
  <c r="S8" i="8"/>
  <c r="S10" i="8" s="1"/>
  <c r="S28" i="8" s="1"/>
  <c r="T8" i="8"/>
  <c r="U8" i="8"/>
  <c r="V8" i="8"/>
  <c r="W8" i="8"/>
  <c r="X8" i="8"/>
  <c r="X10" i="8" s="1"/>
  <c r="X28" i="8" s="1"/>
  <c r="C9" i="8"/>
  <c r="C12" i="8" s="1"/>
  <c r="C30" i="8" s="1"/>
  <c r="D9" i="8"/>
  <c r="D12" i="8" s="1"/>
  <c r="D30" i="8" s="1"/>
  <c r="E9" i="8"/>
  <c r="E12" i="8" s="1"/>
  <c r="E30" i="8" s="1"/>
  <c r="F9" i="8"/>
  <c r="G9" i="8"/>
  <c r="H9" i="8"/>
  <c r="I9" i="8"/>
  <c r="J9" i="8"/>
  <c r="J11" i="8" s="1"/>
  <c r="J29" i="8" s="1"/>
  <c r="K9" i="8"/>
  <c r="K12" i="8" s="1"/>
  <c r="K30" i="8" s="1"/>
  <c r="L9" i="8"/>
  <c r="L12" i="8" s="1"/>
  <c r="L30" i="8" s="1"/>
  <c r="M9" i="8"/>
  <c r="M12" i="8" s="1"/>
  <c r="M30" i="8" s="1"/>
  <c r="N9" i="8"/>
  <c r="O9" i="8"/>
  <c r="P9" i="8"/>
  <c r="Q9" i="8"/>
  <c r="R9" i="8"/>
  <c r="R11" i="8" s="1"/>
  <c r="R29" i="8" s="1"/>
  <c r="S9" i="8"/>
  <c r="S12" i="8" s="1"/>
  <c r="S30" i="8" s="1"/>
  <c r="T9" i="8"/>
  <c r="T12" i="8" s="1"/>
  <c r="T30" i="8" s="1"/>
  <c r="U9" i="8"/>
  <c r="U12" i="8" s="1"/>
  <c r="U30" i="8" s="1"/>
  <c r="V9" i="8"/>
  <c r="W9" i="8"/>
  <c r="X9" i="8"/>
  <c r="E10" i="8"/>
  <c r="F10" i="8"/>
  <c r="F28" i="8" s="1"/>
  <c r="G10" i="8"/>
  <c r="G28" i="8" s="1"/>
  <c r="G35" i="8" s="1"/>
  <c r="G37" i="8" s="1"/>
  <c r="M10" i="8"/>
  <c r="N10" i="8"/>
  <c r="N28" i="8" s="1"/>
  <c r="O10" i="8"/>
  <c r="O28" i="8" s="1"/>
  <c r="U10" i="8"/>
  <c r="V10" i="8"/>
  <c r="V28" i="8" s="1"/>
  <c r="V35" i="8" s="1"/>
  <c r="V37" i="8" s="1"/>
  <c r="W10" i="8"/>
  <c r="W28" i="8" s="1"/>
  <c r="F11" i="8"/>
  <c r="G11" i="8"/>
  <c r="H11" i="8"/>
  <c r="H29" i="8" s="1"/>
  <c r="I11" i="8"/>
  <c r="I29" i="8" s="1"/>
  <c r="N11" i="8"/>
  <c r="O11" i="8"/>
  <c r="P11" i="8"/>
  <c r="P29" i="8" s="1"/>
  <c r="Q11" i="8"/>
  <c r="Q29" i="8" s="1"/>
  <c r="V11" i="8"/>
  <c r="W11" i="8"/>
  <c r="X11" i="8"/>
  <c r="X29" i="8" s="1"/>
  <c r="F12" i="8"/>
  <c r="G12" i="8"/>
  <c r="H12" i="8"/>
  <c r="I12" i="8"/>
  <c r="J12" i="8"/>
  <c r="J30" i="8" s="1"/>
  <c r="N12" i="8"/>
  <c r="O12" i="8"/>
  <c r="P12" i="8"/>
  <c r="Q12" i="8"/>
  <c r="R12" i="8"/>
  <c r="R30" i="8" s="1"/>
  <c r="V12" i="8"/>
  <c r="W12" i="8"/>
  <c r="X12" i="8"/>
  <c r="C13" i="8"/>
  <c r="D13" i="8"/>
  <c r="D31" i="8" s="1"/>
  <c r="E13" i="8"/>
  <c r="E31" i="8" s="1"/>
  <c r="F13" i="8"/>
  <c r="G13" i="8"/>
  <c r="H13" i="8"/>
  <c r="I13" i="8"/>
  <c r="J13" i="8"/>
  <c r="K13" i="8"/>
  <c r="L13" i="8"/>
  <c r="L31" i="8" s="1"/>
  <c r="M13" i="8"/>
  <c r="M31" i="8" s="1"/>
  <c r="N13" i="8"/>
  <c r="O13" i="8"/>
  <c r="P13" i="8"/>
  <c r="Q13" i="8"/>
  <c r="R13" i="8"/>
  <c r="S13" i="8"/>
  <c r="T13" i="8"/>
  <c r="T31" i="8" s="1"/>
  <c r="U13" i="8"/>
  <c r="U31" i="8" s="1"/>
  <c r="V13" i="8"/>
  <c r="W13" i="8"/>
  <c r="X13" i="8"/>
  <c r="E14" i="8"/>
  <c r="F14" i="8"/>
  <c r="F32" i="8" s="1"/>
  <c r="G14" i="8"/>
  <c r="G32" i="8" s="1"/>
  <c r="H14" i="8"/>
  <c r="I14" i="8"/>
  <c r="M14" i="8"/>
  <c r="N14" i="8"/>
  <c r="N32" i="8" s="1"/>
  <c r="O14" i="8"/>
  <c r="O32" i="8" s="1"/>
  <c r="P14" i="8"/>
  <c r="Q14" i="8"/>
  <c r="U14" i="8"/>
  <c r="V14" i="8"/>
  <c r="V32" i="8" s="1"/>
  <c r="W14" i="8"/>
  <c r="W32" i="8" s="1"/>
  <c r="X14" i="8"/>
  <c r="C15" i="8"/>
  <c r="D15" i="8"/>
  <c r="E15" i="8"/>
  <c r="F15" i="8"/>
  <c r="G15" i="8"/>
  <c r="H15" i="8"/>
  <c r="H33" i="8" s="1"/>
  <c r="I15" i="8"/>
  <c r="I33" i="8" s="1"/>
  <c r="J15" i="8"/>
  <c r="K15" i="8"/>
  <c r="L15" i="8"/>
  <c r="M15" i="8"/>
  <c r="N15" i="8"/>
  <c r="O15" i="8"/>
  <c r="P15" i="8"/>
  <c r="P33" i="8" s="1"/>
  <c r="Q15" i="8"/>
  <c r="Q33" i="8" s="1"/>
  <c r="R15" i="8"/>
  <c r="S15" i="8"/>
  <c r="T15" i="8"/>
  <c r="U15" i="8"/>
  <c r="V15" i="8"/>
  <c r="W15" i="8"/>
  <c r="X15" i="8"/>
  <c r="X33" i="8" s="1"/>
  <c r="M18" i="8"/>
  <c r="M27" i="8" s="1"/>
  <c r="N18" i="8"/>
  <c r="O18" i="8"/>
  <c r="P18" i="8"/>
  <c r="P27" i="8" s="1"/>
  <c r="Q18" i="8"/>
  <c r="R18" i="8"/>
  <c r="S18" i="8"/>
  <c r="T18" i="8"/>
  <c r="T27" i="8" s="1"/>
  <c r="U18" i="8"/>
  <c r="U27" i="8" s="1"/>
  <c r="V18" i="8"/>
  <c r="W18" i="8"/>
  <c r="X18" i="8"/>
  <c r="X27" i="8" s="1"/>
  <c r="N24" i="8"/>
  <c r="O24" i="8"/>
  <c r="P24" i="8"/>
  <c r="Q24" i="8"/>
  <c r="R24" i="8"/>
  <c r="R33" i="8" s="1"/>
  <c r="S24" i="8"/>
  <c r="T24" i="8"/>
  <c r="T33" i="8" s="1"/>
  <c r="U24" i="8"/>
  <c r="V24" i="8"/>
  <c r="W24" i="8"/>
  <c r="X24" i="8"/>
  <c r="C27" i="8"/>
  <c r="D27" i="8"/>
  <c r="E27" i="8"/>
  <c r="F27" i="8"/>
  <c r="G27" i="8"/>
  <c r="H27" i="8"/>
  <c r="I27" i="8"/>
  <c r="J27" i="8"/>
  <c r="K27" i="8"/>
  <c r="L27" i="8"/>
  <c r="N27" i="8"/>
  <c r="O27" i="8"/>
  <c r="Q27" i="8"/>
  <c r="R27" i="8"/>
  <c r="S27" i="8"/>
  <c r="V27" i="8"/>
  <c r="W27" i="8"/>
  <c r="E28" i="8"/>
  <c r="M28" i="8"/>
  <c r="U28" i="8"/>
  <c r="F29" i="8"/>
  <c r="G29" i="8"/>
  <c r="N29" i="8"/>
  <c r="O29" i="8"/>
  <c r="V29" i="8"/>
  <c r="W29" i="8"/>
  <c r="F30" i="8"/>
  <c r="G30" i="8"/>
  <c r="H30" i="8"/>
  <c r="I30" i="8"/>
  <c r="N30" i="8"/>
  <c r="O30" i="8"/>
  <c r="P30" i="8"/>
  <c r="Q30" i="8"/>
  <c r="V30" i="8"/>
  <c r="W30" i="8"/>
  <c r="X30" i="8"/>
  <c r="C31" i="8"/>
  <c r="F31" i="8"/>
  <c r="G31" i="8"/>
  <c r="H31" i="8"/>
  <c r="I31" i="8"/>
  <c r="J31" i="8"/>
  <c r="K31" i="8"/>
  <c r="N31" i="8"/>
  <c r="O31" i="8"/>
  <c r="P31" i="8"/>
  <c r="Q31" i="8"/>
  <c r="R31" i="8"/>
  <c r="S31" i="8"/>
  <c r="V31" i="8"/>
  <c r="W31" i="8"/>
  <c r="X31" i="8"/>
  <c r="E32" i="8"/>
  <c r="H32" i="8"/>
  <c r="I32" i="8"/>
  <c r="M32" i="8"/>
  <c r="P32" i="8"/>
  <c r="Q32" i="8"/>
  <c r="U32" i="8"/>
  <c r="X32" i="8"/>
  <c r="C33" i="8"/>
  <c r="D33" i="8"/>
  <c r="E33" i="8"/>
  <c r="F33" i="8"/>
  <c r="G33" i="8"/>
  <c r="J33" i="8"/>
  <c r="K33" i="8"/>
  <c r="L33" i="8"/>
  <c r="M33" i="8"/>
  <c r="N33" i="8"/>
  <c r="O33" i="8"/>
  <c r="S33" i="8"/>
  <c r="U33" i="8"/>
  <c r="V33" i="8"/>
  <c r="W33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E38" i="10" l="1"/>
  <c r="D8" i="9"/>
  <c r="C8" i="9"/>
  <c r="B8" i="9"/>
  <c r="D9" i="9"/>
  <c r="C9" i="9"/>
  <c r="B9" i="9"/>
  <c r="M35" i="8"/>
  <c r="M37" i="8" s="1"/>
  <c r="Q35" i="8"/>
  <c r="Q37" i="8" s="1"/>
  <c r="I35" i="8"/>
  <c r="I37" i="8" s="1"/>
  <c r="U35" i="8"/>
  <c r="U37" i="8" s="1"/>
  <c r="F35" i="8"/>
  <c r="F37" i="8" s="1"/>
  <c r="H35" i="8"/>
  <c r="H37" i="8" s="1"/>
  <c r="O35" i="8"/>
  <c r="O37" i="8" s="1"/>
  <c r="W35" i="8"/>
  <c r="W37" i="8" s="1"/>
  <c r="X35" i="8"/>
  <c r="X37" i="8" s="1"/>
  <c r="P35" i="8"/>
  <c r="P37" i="8" s="1"/>
  <c r="N35" i="8"/>
  <c r="N37" i="8" s="1"/>
  <c r="K35" i="8"/>
  <c r="K37" i="8" s="1"/>
  <c r="T14" i="8"/>
  <c r="T32" i="8" s="1"/>
  <c r="L14" i="8"/>
  <c r="L32" i="8" s="1"/>
  <c r="D14" i="8"/>
  <c r="D32" i="8" s="1"/>
  <c r="T10" i="8"/>
  <c r="T28" i="8" s="1"/>
  <c r="L10" i="8"/>
  <c r="L28" i="8" s="1"/>
  <c r="L35" i="8" s="1"/>
  <c r="L37" i="8" s="1"/>
  <c r="D10" i="8"/>
  <c r="D28" i="8" s="1"/>
  <c r="D35" i="8" s="1"/>
  <c r="D37" i="8" s="1"/>
  <c r="S14" i="8"/>
  <c r="S32" i="8" s="1"/>
  <c r="S35" i="8" s="1"/>
  <c r="S37" i="8" s="1"/>
  <c r="K14" i="8"/>
  <c r="K32" i="8" s="1"/>
  <c r="C14" i="8"/>
  <c r="C32" i="8" s="1"/>
  <c r="U11" i="8"/>
  <c r="U29" i="8" s="1"/>
  <c r="M11" i="8"/>
  <c r="M29" i="8" s="1"/>
  <c r="E11" i="8"/>
  <c r="E29" i="8" s="1"/>
  <c r="E35" i="8" s="1"/>
  <c r="E37" i="8" s="1"/>
  <c r="R14" i="8"/>
  <c r="R32" i="8" s="1"/>
  <c r="R35" i="8" s="1"/>
  <c r="R37" i="8" s="1"/>
  <c r="J14" i="8"/>
  <c r="J32" i="8" s="1"/>
  <c r="J35" i="8" s="1"/>
  <c r="J37" i="8" s="1"/>
  <c r="T11" i="8"/>
  <c r="T29" i="8" s="1"/>
  <c r="T35" i="8" s="1"/>
  <c r="T37" i="8" s="1"/>
  <c r="L11" i="8"/>
  <c r="L29" i="8" s="1"/>
  <c r="D11" i="8"/>
  <c r="D29" i="8" s="1"/>
  <c r="S11" i="8"/>
  <c r="S29" i="8" s="1"/>
  <c r="K11" i="8"/>
  <c r="K29" i="8" s="1"/>
  <c r="C11" i="8"/>
  <c r="C29" i="8" s="1"/>
  <c r="C35" i="8" s="1"/>
  <c r="C37" i="8" s="1"/>
  <c r="E39" i="10" l="1"/>
  <c r="E40" i="10"/>
  <c r="F9" i="9"/>
  <c r="E8" i="9"/>
  <c r="E9" i="9"/>
  <c r="F8" i="9"/>
  <c r="E41" i="10" l="1"/>
  <c r="E42" i="10"/>
  <c r="B5" i="10" s="1"/>
  <c r="B6" i="10" s="1"/>
  <c r="B16" i="6" l="1"/>
  <c r="B22" i="6"/>
  <c r="B24" i="6" s="1"/>
  <c r="B28" i="6" s="1"/>
  <c r="B23" i="6"/>
  <c r="B25" i="6" s="1"/>
  <c r="B29" i="6" s="1"/>
  <c r="B34" i="6"/>
  <c r="B35" i="6"/>
  <c r="C40" i="6"/>
  <c r="E40" i="6" s="1"/>
  <c r="E42" i="6" s="1"/>
  <c r="E45" i="6" s="1"/>
  <c r="C41" i="6"/>
  <c r="E41" i="6"/>
  <c r="C52" i="6"/>
  <c r="E52" i="6"/>
  <c r="B14" i="5"/>
  <c r="B23" i="5"/>
  <c r="B25" i="5"/>
  <c r="B26" i="5"/>
  <c r="C54" i="5" s="1"/>
  <c r="E54" i="5" s="1"/>
  <c r="B27" i="5"/>
  <c r="C52" i="5" s="1"/>
  <c r="E52" i="5" s="1"/>
  <c r="B28" i="5"/>
  <c r="C51" i="5" s="1"/>
  <c r="E51" i="5" s="1"/>
  <c r="B32" i="5"/>
  <c r="B33" i="5"/>
  <c r="C53" i="5"/>
  <c r="E53" i="5"/>
  <c r="E59" i="5"/>
  <c r="E61" i="5"/>
  <c r="C51" i="4"/>
  <c r="C52" i="4"/>
  <c r="C53" i="4"/>
  <c r="C54" i="4"/>
  <c r="E46" i="6" l="1"/>
  <c r="E47" i="6" s="1"/>
  <c r="E54" i="6"/>
  <c r="E55" i="5"/>
  <c r="B24" i="5"/>
  <c r="E61" i="4"/>
  <c r="E60" i="4"/>
  <c r="E59" i="4"/>
  <c r="E48" i="6" l="1"/>
  <c r="E49" i="6" s="1"/>
  <c r="B44" i="5"/>
  <c r="B45" i="5" s="1"/>
  <c r="B46" i="5"/>
  <c r="B31" i="5"/>
  <c r="B33" i="4"/>
  <c r="B32" i="4"/>
  <c r="B23" i="4"/>
  <c r="B28" i="4"/>
  <c r="B27" i="4"/>
  <c r="E52" i="4" s="1"/>
  <c r="B25" i="4"/>
  <c r="B26" i="4"/>
  <c r="E54" i="4" s="1"/>
  <c r="B14" i="4"/>
  <c r="B34" i="5" l="1"/>
  <c r="B38" i="5" s="1"/>
  <c r="B35" i="5"/>
  <c r="B39" i="5" s="1"/>
  <c r="C60" i="5"/>
  <c r="E60" i="5" s="1"/>
  <c r="C58" i="5"/>
  <c r="E58" i="5" s="1"/>
  <c r="E62" i="5" s="1"/>
  <c r="E65" i="5" s="1"/>
  <c r="E51" i="4"/>
  <c r="E53" i="4"/>
  <c r="B24" i="4"/>
  <c r="E66" i="5" l="1"/>
  <c r="E67" i="5" s="1"/>
  <c r="E55" i="4"/>
  <c r="B31" i="4"/>
  <c r="B35" i="4" s="1"/>
  <c r="B39" i="4" s="1"/>
  <c r="B44" i="4"/>
  <c r="B45" i="4" s="1"/>
  <c r="C58" i="4" s="1"/>
  <c r="E68" i="5" l="1"/>
  <c r="E69" i="5"/>
  <c r="B46" i="4"/>
  <c r="E58" i="4"/>
  <c r="E62" i="4" s="1"/>
  <c r="E65" i="4" s="1"/>
  <c r="B34" i="4"/>
  <c r="B38" i="4" s="1"/>
  <c r="B5" i="5" l="1"/>
  <c r="B6" i="5"/>
  <c r="B7" i="5"/>
  <c r="E66" i="4"/>
  <c r="E67" i="4" s="1"/>
  <c r="E68" i="4" l="1"/>
  <c r="E69" i="4" s="1"/>
  <c r="B5" i="4" l="1"/>
  <c r="B7" i="4"/>
  <c r="B6" i="4"/>
  <c r="D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tc={0997FC53-95E2-B745-97CD-BA4C021557F5}</author>
    <author>tc={EE317489-D4FB-4244-BC4F-49207B06CE9D}</author>
  </authors>
  <commentList>
    <comment ref="K18" authorId="0" shapeId="0" xr:uid="{0997FC53-95E2-B745-97CD-BA4C021557F5}">
      <text>
        <t>[Threaded comment]
Your version of Excel allows you to read this threaded comment; however, any edits to it will get removed if the file is opened in a newer version of Excel. Learn more: https://go.microsoft.com/fwlink/?linkid=870924
Comment:
    PWD unit cost</t>
      </text>
    </comment>
    <comment ref="M18" authorId="1" shapeId="0" xr:uid="{EE317489-D4FB-4244-BC4F-49207B06CE9D}">
      <text>
        <t>[Threaded comment]
Your version of Excel allows you to read this threaded comment; however, any edits to it will get removed if the file is opened in a newer version of Excel. Learn more: https://go.microsoft.com/fwlink/?linkid=870924
Comment:
    Scaled from 54" pipe unit cost</t>
      </text>
    </comment>
  </commentList>
</comments>
</file>

<file path=xl/sharedStrings.xml><?xml version="1.0" encoding="utf-8"?>
<sst xmlns="http://schemas.openxmlformats.org/spreadsheetml/2006/main" count="559" uniqueCount="236">
  <si>
    <t>Description</t>
  </si>
  <si>
    <t>Unit</t>
  </si>
  <si>
    <t xml:space="preserve">Qty </t>
  </si>
  <si>
    <t>Unit Cost</t>
  </si>
  <si>
    <t>Total</t>
  </si>
  <si>
    <t>LF</t>
  </si>
  <si>
    <t>CY</t>
  </si>
  <si>
    <t xml:space="preserve">Inflow and outflow connections </t>
  </si>
  <si>
    <t>Total area</t>
  </si>
  <si>
    <t>Total impervious area</t>
  </si>
  <si>
    <t>ac</t>
  </si>
  <si>
    <t>Total sewer length</t>
  </si>
  <si>
    <t>ac-in</t>
  </si>
  <si>
    <t>in</t>
  </si>
  <si>
    <t>Q5</t>
  </si>
  <si>
    <t>Q10</t>
  </si>
  <si>
    <t>cfs</t>
  </si>
  <si>
    <t>C-value (weighted)</t>
  </si>
  <si>
    <t>Assume 2 feet of effective storage depth per acre</t>
  </si>
  <si>
    <t>Total existing inlets</t>
  </si>
  <si>
    <t>Each</t>
  </si>
  <si>
    <t>Stormwater Management Storage - Regional Wetland</t>
  </si>
  <si>
    <t>Qty Notes</t>
  </si>
  <si>
    <t>Unit Cost Notes</t>
  </si>
  <si>
    <t>G-38 - PWSA Average Unit Cost</t>
  </si>
  <si>
    <t>Curb replacement</t>
  </si>
  <si>
    <t>R-4 - PWSA Average Unit Cost 2021</t>
  </si>
  <si>
    <t>Impervious Area Percentage for City = 42.34%</t>
  </si>
  <si>
    <t>Intensity 5-year storm</t>
  </si>
  <si>
    <t>in/hr</t>
  </si>
  <si>
    <t>NOAA Atlas 14, 5 min Tc, 1.15 climate change adjustment per SW Design Manual</t>
  </si>
  <si>
    <t>Intensity 10-year storm</t>
  </si>
  <si>
    <t>Pervious Areas = 0.35; Impervious Areas = 0.95</t>
  </si>
  <si>
    <t>Total properties</t>
  </si>
  <si>
    <t>Typical block size in Homewood measured along roadway centerline</t>
  </si>
  <si>
    <t>Total curb length</t>
  </si>
  <si>
    <t>Curb immediately surrounding block</t>
  </si>
  <si>
    <t>Downslope ends of curb line immediately surrounding block</t>
  </si>
  <si>
    <t>Downslope sides of block only (upslope sewers counted with next upslope block)</t>
  </si>
  <si>
    <t>Typical Block in Homewood</t>
  </si>
  <si>
    <t>20 acre project</t>
  </si>
  <si>
    <t>Total blocks</t>
  </si>
  <si>
    <t>Project attributes scaled from typical block in Homewood</t>
  </si>
  <si>
    <t>blocks</t>
  </si>
  <si>
    <t>Project area attributes</t>
  </si>
  <si>
    <t>Storm sewer sizing</t>
  </si>
  <si>
    <t>Assume: 2% slope, n=0.013</t>
  </si>
  <si>
    <t>Max pipe diameter for 5-year storm</t>
  </si>
  <si>
    <t>Max pipe diameter for 10-year storm</t>
  </si>
  <si>
    <t>Average pipe diameter for 5-year storm throughout project area</t>
  </si>
  <si>
    <t>Average pipe diameter for 10-year storm throughout project area</t>
  </si>
  <si>
    <t>Assume 2% slope, n=0.013</t>
  </si>
  <si>
    <t>Stormwater management storage sizing</t>
  </si>
  <si>
    <t>IA x 1.66" (95th percentile storm per new Code)</t>
  </si>
  <si>
    <t>Volume storage needed</t>
  </si>
  <si>
    <t>Storage area footprint needed</t>
  </si>
  <si>
    <t>Loading Ratio</t>
  </si>
  <si>
    <t>Storage area footprint : IA</t>
  </si>
  <si>
    <t>Rational Method Calculation. 5-year storm for CS area LOS.</t>
  </si>
  <si>
    <t>Rational Method Calculation. 10-year storm for MS4 area LOS.</t>
  </si>
  <si>
    <t>Unit Cost Estimate Calculations</t>
  </si>
  <si>
    <t>Value</t>
  </si>
  <si>
    <t>Units</t>
  </si>
  <si>
    <t>Notes</t>
  </si>
  <si>
    <t>Construction Cost Estimate</t>
  </si>
  <si>
    <t>Project Area Characteristics</t>
  </si>
  <si>
    <t>Stormwater Conveyance</t>
  </si>
  <si>
    <t>New high level storm sewer (CS) or storm sewer replacement (MS4)</t>
  </si>
  <si>
    <t>New storm sewer inlets</t>
  </si>
  <si>
    <t>Replace all inlets or redirect inlet laterals</t>
  </si>
  <si>
    <t>New storm sewer laterals from existing structures</t>
  </si>
  <si>
    <t>Assume 25 LF per lateral. Assume 50% of properties.</t>
  </si>
  <si>
    <t>S-34 - PWSA Average Unit Cost 2021</t>
  </si>
  <si>
    <t>20% of existing curbs</t>
  </si>
  <si>
    <t>Stormwater Conveyance Subtotal</t>
  </si>
  <si>
    <t>G-19 - PWSA Average Unit Cost</t>
  </si>
  <si>
    <t>Excavation and disposal of material</t>
  </si>
  <si>
    <t>Outlet control structure</t>
  </si>
  <si>
    <t>EA</t>
  </si>
  <si>
    <t>G-47 - PWSA Average Unit Cost</t>
  </si>
  <si>
    <t>Assume 5 foot deep excavation over storage area footprint needed</t>
  </si>
  <si>
    <t>Assume 1 gal containers approx 36" O.C.</t>
  </si>
  <si>
    <t>G-52 and 55 - PWSA Average Unit Cost</t>
  </si>
  <si>
    <t>LS</t>
  </si>
  <si>
    <t>Landscaping</t>
  </si>
  <si>
    <t>Estimated</t>
  </si>
  <si>
    <t>Stormwater Management Storage Subtotal</t>
  </si>
  <si>
    <t>Stormwater Conveyance + Stormwater Management Storage</t>
  </si>
  <si>
    <t>Additional Items and Contingencies</t>
  </si>
  <si>
    <t>Additional miscellaneous items (10%)</t>
  </si>
  <si>
    <t>Subtotal</t>
  </si>
  <si>
    <t>Sum of subtotals above</t>
  </si>
  <si>
    <t>General conditions, MOT, MOF, E&amp;SC, contingency (35%)</t>
  </si>
  <si>
    <t>TOTAL CONSTRUCTION COST</t>
  </si>
  <si>
    <t>Rounded to thousands</t>
  </si>
  <si>
    <t>Unit Cost Summary</t>
  </si>
  <si>
    <t>Cost per total contributing project area</t>
  </si>
  <si>
    <t>Cost per total contributing impervious area</t>
  </si>
  <si>
    <t>per acre</t>
  </si>
  <si>
    <t>per acre-inch</t>
  </si>
  <si>
    <t>Cost per volume of stormwater management storage</t>
  </si>
  <si>
    <t>(1/3)*Q5</t>
  </si>
  <si>
    <t>(1/3)*Q10</t>
  </si>
  <si>
    <t>24-in dia sewer unit cost derived from PWSA average unit costs. Includes excavation, pipe, manholes, and repaving.</t>
  </si>
  <si>
    <t xml:space="preserve">1/3 of Q5 used to calculate average pipe diameter throughout project area </t>
  </si>
  <si>
    <t xml:space="preserve">1/3 of Q10 used to calculate average pipe diameter throughout project area </t>
  </si>
  <si>
    <t>Project Type: Stand Alone Regional Storage</t>
  </si>
  <si>
    <t>Stormwater Management Storage</t>
  </si>
  <si>
    <t>36-in dia sewer unit cost derived from PWSA average unit costs. Includes excavation, pipe, manholes, and repaving.</t>
  </si>
  <si>
    <t>Assume: 5% slope, n=0.013</t>
  </si>
  <si>
    <t>1/6 of Q10 used to calculate average pipe diameter throughout project area (3 outfalls to ravine, 1/3 of Q10 used to calculate avg pipe dia to each outfall)</t>
  </si>
  <si>
    <t>(1/6)*Q10</t>
  </si>
  <si>
    <t>1/6 of Q5 used to calculate average pipe diameter throughout project area (3 outfalls to ravine, 1/3 of Q5 used to calculate avg pipe dia to each outfall)</t>
  </si>
  <si>
    <t>(1/6)*Q5</t>
  </si>
  <si>
    <t>Project attributes scaled from typical block in Knoxville</t>
  </si>
  <si>
    <t>McKinley Park Upslope Area</t>
  </si>
  <si>
    <t>Typical block size in Knoxville measured along roadway centerline</t>
  </si>
  <si>
    <t>Typical Block in Knoxville (upslope of McKinley Park)</t>
  </si>
  <si>
    <t>Project Type: Ravine Storage</t>
  </si>
  <si>
    <t>TOTAL PROJECT COST</t>
  </si>
  <si>
    <t>Administrative costs associated with negotations and city coordination (10%)</t>
  </si>
  <si>
    <t>Stormwater Design Manual volume control incentive payment rate</t>
  </si>
  <si>
    <t>Volume control incentive payment</t>
  </si>
  <si>
    <t>Volume storage needed for on-site management</t>
  </si>
  <si>
    <t>Volume storage needed for right-of-way management</t>
  </si>
  <si>
    <t>Total inlets</t>
  </si>
  <si>
    <t>Total project impervious area</t>
  </si>
  <si>
    <t>Include directly adjacent block and inlets at upslope intersection in each direction</t>
  </si>
  <si>
    <t>Right-of-way impervious area to be conveyed by new storm sewer</t>
  </si>
  <si>
    <t>Total on-site impervious area</t>
  </si>
  <si>
    <t>Sample development site</t>
  </si>
  <si>
    <t>Total development site area</t>
  </si>
  <si>
    <t>Strip District Development Site</t>
  </si>
  <si>
    <t>Project Type: Developer Add-on Regional Storage</t>
  </si>
  <si>
    <t>60 to 66</t>
  </si>
  <si>
    <t>48 to 54</t>
  </si>
  <si>
    <t>30 to 42</t>
  </si>
  <si>
    <t>15 to 24</t>
  </si>
  <si>
    <t>8 to 12</t>
  </si>
  <si>
    <t>($/LF)</t>
  </si>
  <si>
    <t>(Diameter - Inches)</t>
  </si>
  <si>
    <t>(cfs)</t>
  </si>
  <si>
    <t>Q10 - Marginal Replacement Cost</t>
  </si>
  <si>
    <t>Q10 - New Size Category</t>
  </si>
  <si>
    <t>Q10 - Capacity Needed</t>
  </si>
  <si>
    <t>Q5 - Marginal Replacement Cost</t>
  </si>
  <si>
    <t>Q5 - New Size Category</t>
  </si>
  <si>
    <t>Q5 - Capacity Needed</t>
  </si>
  <si>
    <t>Average Capacity</t>
  </si>
  <si>
    <t>Average Unit Cost</t>
  </si>
  <si>
    <t>Size Category</t>
  </si>
  <si>
    <t>Sewer Size Categories</t>
  </si>
  <si>
    <t>Project Type: Sewer Replacement</t>
  </si>
  <si>
    <t>Pipe Capacity (S=3%, n=0.013)</t>
  </si>
  <si>
    <t>inches</t>
  </si>
  <si>
    <t>Pipe Diameter</t>
  </si>
  <si>
    <t>Total Cost per LF</t>
  </si>
  <si>
    <t>Total Cost</t>
  </si>
  <si>
    <t>$</t>
  </si>
  <si>
    <t>Manholes</t>
  </si>
  <si>
    <t xml:space="preserve">R-21 - Crushed Stone Sub-Base </t>
  </si>
  <si>
    <t xml:space="preserve">R-12 - Bituminous Pavement - Binder Course - Primary Street </t>
  </si>
  <si>
    <t>R-11 - Bituminous Pavement Replacement - Wearing Course</t>
  </si>
  <si>
    <t xml:space="preserve">R-1 - Concrete Paving Base (All Classes) </t>
  </si>
  <si>
    <t xml:space="preserve">S-35 - Trench Excavation 0' - 15' Depth </t>
  </si>
  <si>
    <t>Sewer pipe</t>
  </si>
  <si>
    <t>$/Each</t>
  </si>
  <si>
    <t>Manhole</t>
  </si>
  <si>
    <t>$/CY</t>
  </si>
  <si>
    <t>$/SY</t>
  </si>
  <si>
    <t>$/LF</t>
  </si>
  <si>
    <t>Unit Cost Item</t>
  </si>
  <si>
    <t>Manholes (1 per 300 LF)</t>
  </si>
  <si>
    <t>Crushed Stone Sub-Base (8")</t>
  </si>
  <si>
    <t>SY</t>
  </si>
  <si>
    <t>Bituminous Pavement - Binder Course (2")</t>
  </si>
  <si>
    <t>Bituminous Pavement Replacement - Wearing Course (1.5")</t>
  </si>
  <si>
    <t>Concrete Paving Base (10")</t>
  </si>
  <si>
    <t>Trench excavation volume</t>
  </si>
  <si>
    <t>FT</t>
  </si>
  <si>
    <t>Trench width (3.5x dia.)</t>
  </si>
  <si>
    <t>Excavation depth (3 ft cover)</t>
  </si>
  <si>
    <t>Length of replacement</t>
  </si>
  <si>
    <t>Diameter</t>
  </si>
  <si>
    <t>Item</t>
  </si>
  <si>
    <t>Sewer Unit Cost</t>
  </si>
  <si>
    <t xml:space="preserve">NOAA Atlas 14, 5 min Tc; 79% of the city’s CSS by area has at least one pipe reach capacity during the 1 year, 24 hour storm event. </t>
  </si>
  <si>
    <t>Intensity 1-year storm</t>
  </si>
  <si>
    <t>Impervious Area Percentage for City = 42.34%; Pervious Areas = 0.35; Impervious Areas = 0.95</t>
  </si>
  <si>
    <t>(% increase of capacity)</t>
  </si>
  <si>
    <t>(acres)</t>
  </si>
  <si>
    <t>Q1 to Q10</t>
  </si>
  <si>
    <t>Q1 to Q5</t>
  </si>
  <si>
    <t>Q1</t>
  </si>
  <si>
    <t>Drainage Area</t>
  </si>
  <si>
    <t>Sewer Capacity</t>
  </si>
  <si>
    <t>Property Acquisition and Structure Demolition + Floodplain Creation</t>
  </si>
  <si>
    <t>Floodplain Creation Subtotal</t>
  </si>
  <si>
    <t>Estimate</t>
  </si>
  <si>
    <t>Bridge/culvert modifications</t>
  </si>
  <si>
    <t>Stream length X Potential floodplain width</t>
  </si>
  <si>
    <t>AC</t>
  </si>
  <si>
    <t>Seeding</t>
  </si>
  <si>
    <t>Recent contractor quote obtained by AKRF</t>
  </si>
  <si>
    <t xml:space="preserve">30% of banks receive this treatment. </t>
  </si>
  <si>
    <t>Bank stabilization - boulder toe</t>
  </si>
  <si>
    <t>70% of banks receive this treatment.</t>
  </si>
  <si>
    <t>Bank stabilization - soil lifts</t>
  </si>
  <si>
    <t>U-503 - PWSA Average Unit Cost</t>
  </si>
  <si>
    <t>Assume 1.2 lbs/cf. Assume 40% of material is hazardous</t>
  </si>
  <si>
    <t>Ton</t>
  </si>
  <si>
    <t>Disposal of regulated material</t>
  </si>
  <si>
    <t>Floodplain Creation</t>
  </si>
  <si>
    <t>Property Acquisition and Structure Demolition Subtotal</t>
  </si>
  <si>
    <t>2018 demo cost from PLI audit: https://archive.triblive.com/local/pittsburgh-allegheny/audit-addresses-pittsburghs-soaring-demolition-costs/</t>
  </si>
  <si>
    <t>Building demolition</t>
  </si>
  <si>
    <t>$10/SF of land based on current listings found online</t>
  </si>
  <si>
    <t>Stream length X Potential floodplain width X 20% buffer</t>
  </si>
  <si>
    <t>Acres</t>
  </si>
  <si>
    <t>Property acquisition</t>
  </si>
  <si>
    <t>Property Acquisition and Structure Demolition</t>
  </si>
  <si>
    <t>Total bridges/culverts</t>
  </si>
  <si>
    <t>Total impacted buildings</t>
  </si>
  <si>
    <t>Total impacted properties</t>
  </si>
  <si>
    <t>ft</t>
  </si>
  <si>
    <t>Potential average vertical cut for floodplain creation</t>
  </si>
  <si>
    <t>Potential floodplain and buffer width</t>
  </si>
  <si>
    <t>miles</t>
  </si>
  <si>
    <t>Length of stream</t>
  </si>
  <si>
    <t>Floodplain in Saw Mill Run</t>
  </si>
  <si>
    <t>per linear foot</t>
  </si>
  <si>
    <t>Cost per linear foot of floodplain</t>
  </si>
  <si>
    <t>per mile</t>
  </si>
  <si>
    <t>Cost per mile of floodplain</t>
  </si>
  <si>
    <t>Project Type: Floodplain Storage</t>
  </si>
  <si>
    <t>72 to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</si>
</sst>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2" fontId="4" fillId="0" borderId="0" xfId="0" applyNumberFormat="1" applyFont="1"/>
    <xf numFmtId="4" fontId="4" fillId="0" borderId="0" xfId="0" applyNumberFormat="1" applyFont="1"/>
    <xf numFmtId="8" fontId="4" fillId="0" borderId="0" xfId="0" applyNumberFormat="1" applyFont="1"/>
    <xf numFmtId="0" fontId="4" fillId="0" borderId="0" xfId="0" applyFont="1" applyAlignment="1">
      <alignment horizontal="left"/>
    </xf>
    <xf numFmtId="6" fontId="4" fillId="0" borderId="0" xfId="0" applyNumberFormat="1" applyFont="1"/>
    <xf numFmtId="6" fontId="4" fillId="0" borderId="0" xfId="1" applyNumberFormat="1" applyFont="1"/>
    <xf numFmtId="9" fontId="4" fillId="0" borderId="0" xfId="0" applyNumberFormat="1" applyFont="1"/>
    <xf numFmtId="0" fontId="2" fillId="0" borderId="0" xfId="0" applyFont="1"/>
    <xf numFmtId="3" fontId="4" fillId="0" borderId="0" xfId="0" applyNumberFormat="1" applyFont="1"/>
    <xf numFmtId="165" fontId="4" fillId="0" borderId="0" xfId="0" applyNumberFormat="1" applyFont="1"/>
    <xf numFmtId="0" fontId="4" fillId="0" borderId="0" xfId="0" applyFont="1" applyFill="1"/>
    <xf numFmtId="0" fontId="5" fillId="2" borderId="0" xfId="0" applyFont="1" applyFill="1"/>
    <xf numFmtId="0" fontId="4" fillId="2" borderId="0" xfId="0" applyFont="1" applyFill="1"/>
    <xf numFmtId="2" fontId="4" fillId="2" borderId="0" xfId="0" applyNumberFormat="1" applyFont="1" applyFill="1"/>
    <xf numFmtId="0" fontId="7" fillId="3" borderId="0" xfId="0" applyFont="1" applyFill="1"/>
    <xf numFmtId="2" fontId="4" fillId="3" borderId="0" xfId="0" applyNumberFormat="1" applyFont="1" applyFill="1"/>
    <xf numFmtId="0" fontId="4" fillId="3" borderId="0" xfId="0" applyFont="1" applyFill="1"/>
    <xf numFmtId="4" fontId="4" fillId="3" borderId="0" xfId="0" applyNumberFormat="1" applyFont="1" applyFill="1"/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left"/>
    </xf>
    <xf numFmtId="0" fontId="11" fillId="0" borderId="0" xfId="0" applyFont="1"/>
    <xf numFmtId="0" fontId="11" fillId="4" borderId="0" xfId="0" applyFont="1" applyFill="1"/>
    <xf numFmtId="0" fontId="4" fillId="4" borderId="0" xfId="0" applyFont="1" applyFill="1"/>
    <xf numFmtId="2" fontId="4" fillId="4" borderId="0" xfId="0" applyNumberFormat="1" applyFont="1" applyFill="1"/>
    <xf numFmtId="164" fontId="4" fillId="4" borderId="0" xfId="1" applyNumberFormat="1" applyFont="1" applyFill="1"/>
    <xf numFmtId="164" fontId="4" fillId="2" borderId="0" xfId="1" applyNumberFormat="1" applyFont="1" applyFill="1"/>
    <xf numFmtId="6" fontId="3" fillId="0" borderId="0" xfId="1" applyNumberFormat="1" applyFont="1"/>
    <xf numFmtId="0" fontId="8" fillId="2" borderId="0" xfId="0" applyFont="1" applyFill="1"/>
    <xf numFmtId="4" fontId="4" fillId="0" borderId="0" xfId="1" applyNumberFormat="1" applyFont="1"/>
    <xf numFmtId="6" fontId="8" fillId="0" borderId="0" xfId="1" applyNumberFormat="1" applyFont="1"/>
    <xf numFmtId="164" fontId="4" fillId="0" borderId="0" xfId="1" applyNumberFormat="1" applyFont="1" applyBorder="1"/>
    <xf numFmtId="0" fontId="4" fillId="0" borderId="0" xfId="0" applyFont="1" applyBorder="1"/>
    <xf numFmtId="164" fontId="12" fillId="0" borderId="0" xfId="1" applyNumberFormat="1" applyFont="1" applyBorder="1"/>
    <xf numFmtId="0" fontId="11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0" borderId="4" xfId="0" applyFont="1" applyBorder="1"/>
    <xf numFmtId="6" fontId="4" fillId="0" borderId="0" xfId="0" applyNumberFormat="1" applyFont="1" applyBorder="1"/>
    <xf numFmtId="0" fontId="4" fillId="0" borderId="5" xfId="0" applyFont="1" applyBorder="1"/>
    <xf numFmtId="0" fontId="4" fillId="0" borderId="6" xfId="0" applyFont="1" applyBorder="1"/>
    <xf numFmtId="6" fontId="4" fillId="0" borderId="7" xfId="0" applyNumberFormat="1" applyFont="1" applyBorder="1"/>
    <xf numFmtId="0" fontId="4" fillId="0" borderId="7" xfId="0" applyFont="1" applyBorder="1"/>
    <xf numFmtId="0" fontId="4" fillId="0" borderId="8" xfId="0" applyFont="1" applyBorder="1"/>
    <xf numFmtId="3" fontId="4" fillId="0" borderId="0" xfId="1" applyNumberFormat="1" applyFont="1"/>
    <xf numFmtId="8" fontId="4" fillId="0" borderId="9" xfId="0" applyNumberFormat="1" applyFont="1" applyBorder="1"/>
    <xf numFmtId="16" fontId="4" fillId="0" borderId="10" xfId="0" applyNumberFormat="1" applyFont="1" applyBorder="1" applyAlignment="1">
      <alignment horizontal="right"/>
    </xf>
    <xf numFmtId="4" fontId="4" fillId="0" borderId="11" xfId="0" applyNumberFormat="1" applyFont="1" applyBorder="1"/>
    <xf numFmtId="4" fontId="4" fillId="0" borderId="10" xfId="0" applyNumberFormat="1" applyFont="1" applyBorder="1" applyAlignment="1">
      <alignment horizontal="right"/>
    </xf>
    <xf numFmtId="4" fontId="4" fillId="0" borderId="12" xfId="0" applyNumberFormat="1" applyFont="1" applyBorder="1"/>
    <xf numFmtId="6" fontId="4" fillId="0" borderId="13" xfId="0" applyNumberFormat="1" applyFont="1" applyBorder="1"/>
    <xf numFmtId="16" fontId="4" fillId="0" borderId="13" xfId="0" applyNumberFormat="1" applyFont="1" applyBorder="1" applyAlignment="1">
      <alignment horizontal="right"/>
    </xf>
    <xf numFmtId="8" fontId="4" fillId="0" borderId="14" xfId="0" applyNumberFormat="1" applyFont="1" applyBorder="1"/>
    <xf numFmtId="4" fontId="4" fillId="0" borderId="15" xfId="0" applyNumberFormat="1" applyFont="1" applyBorder="1"/>
    <xf numFmtId="4" fontId="4" fillId="0" borderId="13" xfId="0" applyNumberFormat="1" applyFont="1" applyBorder="1" applyAlignment="1">
      <alignment horizontal="right"/>
    </xf>
    <xf numFmtId="9" fontId="6" fillId="2" borderId="14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9" fontId="6" fillId="2" borderId="15" xfId="0" applyNumberFormat="1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4" fontId="4" fillId="0" borderId="19" xfId="0" applyNumberFormat="1" applyFont="1" applyBorder="1"/>
    <xf numFmtId="4" fontId="4" fillId="0" borderId="20" xfId="0" applyNumberFormat="1" applyFont="1" applyBorder="1"/>
    <xf numFmtId="0" fontId="4" fillId="0" borderId="20" xfId="0" applyFont="1" applyBorder="1"/>
    <xf numFmtId="0" fontId="5" fillId="0" borderId="21" xfId="0" applyFont="1" applyBorder="1"/>
    <xf numFmtId="0" fontId="4" fillId="0" borderId="22" xfId="0" applyFont="1" applyBorder="1"/>
    <xf numFmtId="0" fontId="5" fillId="0" borderId="23" xfId="0" applyFont="1" applyBorder="1"/>
    <xf numFmtId="8" fontId="4" fillId="0" borderId="24" xfId="0" applyNumberFormat="1" applyFont="1" applyBorder="1"/>
    <xf numFmtId="8" fontId="4" fillId="0" borderId="25" xfId="0" applyNumberFormat="1" applyFont="1" applyBorder="1"/>
    <xf numFmtId="0" fontId="4" fillId="0" borderId="25" xfId="0" applyFont="1" applyBorder="1"/>
    <xf numFmtId="0" fontId="5" fillId="0" borderId="26" xfId="0" applyFont="1" applyBorder="1"/>
    <xf numFmtId="8" fontId="4" fillId="5" borderId="0" xfId="0" applyNumberFormat="1" applyFont="1" applyFill="1"/>
    <xf numFmtId="8" fontId="4" fillId="6" borderId="0" xfId="0" applyNumberFormat="1" applyFont="1" applyFill="1"/>
    <xf numFmtId="1" fontId="4" fillId="0" borderId="0" xfId="0" applyNumberFormat="1" applyFont="1"/>
    <xf numFmtId="9" fontId="4" fillId="0" borderId="13" xfId="0" applyNumberFormat="1" applyFont="1" applyBorder="1"/>
    <xf numFmtId="4" fontId="4" fillId="0" borderId="13" xfId="0" applyNumberFormat="1" applyFont="1" applyBorder="1"/>
    <xf numFmtId="0" fontId="4" fillId="0" borderId="13" xfId="0" applyFont="1" applyBorder="1"/>
    <xf numFmtId="0" fontId="4" fillId="0" borderId="19" xfId="0" applyFont="1" applyBorder="1"/>
    <xf numFmtId="6" fontId="4" fillId="0" borderId="20" xfId="0" applyNumberFormat="1" applyFont="1" applyBorder="1"/>
    <xf numFmtId="0" fontId="4" fillId="0" borderId="21" xfId="0" applyFont="1" applyBorder="1"/>
    <xf numFmtId="0" fontId="4" fillId="0" borderId="23" xfId="0" applyFont="1" applyBorder="1"/>
    <xf numFmtId="0" fontId="4" fillId="4" borderId="24" xfId="0" applyFont="1" applyFill="1" applyBorder="1"/>
    <xf numFmtId="0" fontId="4" fillId="4" borderId="25" xfId="0" applyFont="1" applyFill="1" applyBorder="1"/>
    <xf numFmtId="0" fontId="11" fillId="4" borderId="26" xfId="0" applyFont="1" applyFill="1" applyBorder="1"/>
    <xf numFmtId="0" fontId="6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 10 2" xfId="4" xr:uid="{C96719DE-FCEE-48E1-89E7-17929AF4DC14}"/>
    <cellStyle name="Normal 2 2" xfId="5" xr:uid="{CF7D1715-027B-4D12-9037-D074BF7D3FF3}"/>
    <cellStyle name="Normal 5 6" xfId="6" xr:uid="{3D242EB1-B7F3-4543-AB53-7111077059CD}"/>
    <cellStyle name="Normal 7" xfId="2" xr:uid="{748E2E9F-17A7-41E7-B302-A0104D913B12}"/>
    <cellStyle name="Normal 7 6" xfId="3" xr:uid="{2747FC2F-4691-41CC-B58D-C651CAF17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18143</xdr:colOff>
      <xdr:row>125</xdr:row>
      <xdr:rowOff>27214</xdr:rowOff>
    </xdr:from>
    <xdr:to>
      <xdr:col>5</xdr:col>
      <xdr:colOff>3086443</xdr:colOff>
      <xdr:row>175</xdr:row>
      <xdr:rowOff>3896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792FF9-9CF4-44B7-B017-A252904F9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3" y="18632714"/>
          <a:ext cx="10153086" cy="7682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131</xdr:row>
      <xdr:rowOff>0</xdr:rowOff>
    </xdr:from>
    <xdr:ext cx="9541710" cy="4219048"/>
    <xdr:pic>
      <xdr:nvPicPr>
        <xdr:cNvPr id="2" name="Picture 1">
          <a:extLst>
            <a:ext uri="{FF2B5EF4-FFF2-40B4-BE49-F238E27FC236}">
              <a16:creationId xmlns:a16="http://schemas.microsoft.com/office/drawing/2014/main" id="{F8F60B1C-98C9-014C-A4C3-08A7BA160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955500"/>
          <a:ext cx="9541710" cy="421904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161</xdr:row>
      <xdr:rowOff>0</xdr:rowOff>
    </xdr:from>
    <xdr:ext cx="14132477" cy="8906333"/>
    <xdr:pic>
      <xdr:nvPicPr>
        <xdr:cNvPr id="3" name="Picture 2">
          <a:extLst>
            <a:ext uri="{FF2B5EF4-FFF2-40B4-BE49-F238E27FC236}">
              <a16:creationId xmlns:a16="http://schemas.microsoft.com/office/drawing/2014/main" id="{7275C53F-43F9-3A4C-AF8C-D7CEF6224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670500"/>
          <a:ext cx="14132477" cy="89063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108</xdr:row>
      <xdr:rowOff>73025</xdr:rowOff>
    </xdr:from>
    <xdr:ext cx="11409640" cy="6447619"/>
    <xdr:pic>
      <xdr:nvPicPr>
        <xdr:cNvPr id="2" name="Picture 1">
          <a:extLst>
            <a:ext uri="{FF2B5EF4-FFF2-40B4-BE49-F238E27FC236}">
              <a16:creationId xmlns:a16="http://schemas.microsoft.com/office/drawing/2014/main" id="{5B3E29BA-BFF2-3349-9053-9D15AFA5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647025"/>
          <a:ext cx="11409640" cy="644761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10365159" cy="7199999"/>
    <xdr:pic>
      <xdr:nvPicPr>
        <xdr:cNvPr id="3" name="Picture 2">
          <a:extLst>
            <a:ext uri="{FF2B5EF4-FFF2-40B4-BE49-F238E27FC236}">
              <a16:creationId xmlns:a16="http://schemas.microsoft.com/office/drawing/2014/main" id="{70131791-517C-AB48-94C8-F53B11CA9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146500"/>
          <a:ext cx="10365159" cy="71999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103</xdr:row>
      <xdr:rowOff>0</xdr:rowOff>
    </xdr:from>
    <xdr:ext cx="7533776" cy="6535030"/>
    <xdr:pic>
      <xdr:nvPicPr>
        <xdr:cNvPr id="3" name="Picture 2">
          <a:extLst>
            <a:ext uri="{FF2B5EF4-FFF2-40B4-BE49-F238E27FC236}">
              <a16:creationId xmlns:a16="http://schemas.microsoft.com/office/drawing/2014/main" id="{AA877498-F82B-CA43-B824-15B3F476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21500"/>
          <a:ext cx="7533776" cy="653503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evin M. Flynn" id="{EFFA8FDE-C768-B649-B776-9D8DACF20C55}" userId="S::kflynn@akrf.com::f33aa976-19e5-451c-9e1a-c6ffd029264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8" dT="2022-06-10T05:43:10.27" personId="{EFFA8FDE-C768-B649-B776-9D8DACF20C55}" id="{0997FC53-95E2-B745-97CD-BA4C021557F5}">
    <text>PWD unit cost</text>
  </threadedComment>
  <threadedComment ref="M18" dT="2022-06-10T05:43:00.00" personId="{EFFA8FDE-C768-B649-B776-9D8DACF20C55}" id="{EE317489-D4FB-4244-BC4F-49207B06CE9D}">
    <text>Scaled from 54" pipe unit cost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A361-C78F-41FF-9B0C-1D56103599AA}">
  <dimension ref="A1:G70"/>
  <sheetViews>
    <sheetView topLeftCell="C1" zoomScale="125" zoomScaleNormal="100" workbookViewId="0">
      <selection activeCell="G42" sqref="G42"/>
    </sheetView>
  </sheetViews>
  <sheetFormatPr defaultColWidth="8.6328125" defaultRowHeight="12" x14ac:dyDescent="0.3"/>
  <cols>
    <col min="1" max="1" width="45.6328125" style="2" customWidth="1"/>
    <col min="2" max="2" width="12.36328125" style="2" customWidth="1"/>
    <col min="3" max="3" width="8.6328125" style="2"/>
    <col min="4" max="4" width="23.36328125" style="2" customWidth="1"/>
    <col min="5" max="5" width="11.453125" style="2" bestFit="1" customWidth="1"/>
    <col min="6" max="6" width="46.1796875" style="2" bestFit="1" customWidth="1"/>
    <col min="7" max="7" width="79" style="2" bestFit="1" customWidth="1"/>
    <col min="8" max="16384" width="8.6328125" style="2"/>
  </cols>
  <sheetData>
    <row r="1" spans="1:5" ht="14.5" x14ac:dyDescent="0.35">
      <c r="A1" s="12" t="s">
        <v>106</v>
      </c>
    </row>
    <row r="2" spans="1:5" ht="14.5" x14ac:dyDescent="0.35">
      <c r="A2" s="12" t="s">
        <v>60</v>
      </c>
    </row>
    <row r="3" spans="1:5" ht="15" thickBot="1" x14ac:dyDescent="0.4">
      <c r="A3" s="12"/>
    </row>
    <row r="4" spans="1:5" ht="12.5" thickTop="1" x14ac:dyDescent="0.3">
      <c r="A4" s="38" t="s">
        <v>95</v>
      </c>
      <c r="B4" s="39"/>
      <c r="C4" s="39"/>
      <c r="D4" s="40"/>
    </row>
    <row r="5" spans="1:5" x14ac:dyDescent="0.3">
      <c r="A5" s="41" t="s">
        <v>96</v>
      </c>
      <c r="B5" s="42">
        <f>$E$69/B23</f>
        <v>220600</v>
      </c>
      <c r="C5" s="36" t="s">
        <v>98</v>
      </c>
      <c r="D5" s="43"/>
    </row>
    <row r="6" spans="1:5" x14ac:dyDescent="0.3">
      <c r="A6" s="41" t="s">
        <v>97</v>
      </c>
      <c r="B6" s="42">
        <f>$E$69/B24</f>
        <v>520897.28453364811</v>
      </c>
      <c r="C6" s="36" t="s">
        <v>98</v>
      </c>
      <c r="D6" s="43"/>
    </row>
    <row r="7" spans="1:5" ht="12.5" thickBot="1" x14ac:dyDescent="0.35">
      <c r="A7" s="44" t="s">
        <v>100</v>
      </c>
      <c r="B7" s="45">
        <f>$E$69/B44</f>
        <v>313793.54489978804</v>
      </c>
      <c r="C7" s="46" t="s">
        <v>99</v>
      </c>
      <c r="D7" s="47"/>
    </row>
    <row r="8" spans="1:5" ht="12.5" thickTop="1" x14ac:dyDescent="0.3">
      <c r="A8" s="3"/>
    </row>
    <row r="9" spans="1:5" x14ac:dyDescent="0.3">
      <c r="A9" s="3"/>
    </row>
    <row r="10" spans="1:5" x14ac:dyDescent="0.3">
      <c r="A10" s="26" t="s">
        <v>65</v>
      </c>
      <c r="B10" s="27"/>
      <c r="C10" s="27"/>
      <c r="D10" s="27"/>
    </row>
    <row r="11" spans="1:5" x14ac:dyDescent="0.3">
      <c r="A11" s="23" t="s">
        <v>0</v>
      </c>
      <c r="B11" s="23" t="s">
        <v>61</v>
      </c>
      <c r="C11" s="23" t="s">
        <v>62</v>
      </c>
      <c r="D11" s="23" t="s">
        <v>63</v>
      </c>
    </row>
    <row r="12" spans="1:5" x14ac:dyDescent="0.3">
      <c r="A12" s="16" t="s">
        <v>39</v>
      </c>
      <c r="B12" s="17"/>
      <c r="C12" s="17"/>
      <c r="D12" s="17"/>
      <c r="E12" s="4"/>
    </row>
    <row r="13" spans="1:5" x14ac:dyDescent="0.3">
      <c r="A13" s="2" t="s">
        <v>8</v>
      </c>
      <c r="B13" s="6">
        <v>3.7</v>
      </c>
      <c r="C13" s="2" t="s">
        <v>10</v>
      </c>
      <c r="D13" s="2" t="s">
        <v>34</v>
      </c>
      <c r="E13" s="4"/>
    </row>
    <row r="14" spans="1:5" x14ac:dyDescent="0.3">
      <c r="A14" s="2" t="s">
        <v>9</v>
      </c>
      <c r="B14" s="6">
        <f>B13*0.4234</f>
        <v>1.5665800000000001</v>
      </c>
      <c r="C14" s="2" t="s">
        <v>10</v>
      </c>
      <c r="D14" s="2" t="s">
        <v>27</v>
      </c>
      <c r="E14" s="4"/>
    </row>
    <row r="15" spans="1:5" x14ac:dyDescent="0.3">
      <c r="A15" s="2" t="s">
        <v>33</v>
      </c>
      <c r="B15" s="13">
        <v>38</v>
      </c>
      <c r="E15" s="4"/>
    </row>
    <row r="16" spans="1:5" x14ac:dyDescent="0.3">
      <c r="A16" s="2" t="s">
        <v>35</v>
      </c>
      <c r="B16" s="13">
        <v>1400</v>
      </c>
      <c r="C16" s="2" t="s">
        <v>5</v>
      </c>
      <c r="D16" s="2" t="s">
        <v>36</v>
      </c>
      <c r="E16" s="4"/>
    </row>
    <row r="17" spans="1:5" x14ac:dyDescent="0.3">
      <c r="A17" s="2" t="s">
        <v>19</v>
      </c>
      <c r="B17" s="13">
        <v>4</v>
      </c>
      <c r="D17" s="2" t="s">
        <v>37</v>
      </c>
      <c r="E17" s="4"/>
    </row>
    <row r="18" spans="1:5" x14ac:dyDescent="0.3">
      <c r="A18" s="2" t="s">
        <v>11</v>
      </c>
      <c r="B18" s="13">
        <v>880</v>
      </c>
      <c r="C18" s="2" t="s">
        <v>5</v>
      </c>
      <c r="D18" s="2" t="s">
        <v>38</v>
      </c>
      <c r="E18" s="4"/>
    </row>
    <row r="19" spans="1:5" x14ac:dyDescent="0.3">
      <c r="B19" s="5"/>
      <c r="E19" s="4"/>
    </row>
    <row r="20" spans="1:5" x14ac:dyDescent="0.3">
      <c r="A20" s="16" t="s">
        <v>40</v>
      </c>
      <c r="B20" s="18"/>
      <c r="C20" s="17"/>
      <c r="D20" s="17"/>
      <c r="E20" s="4"/>
    </row>
    <row r="21" spans="1:5" x14ac:dyDescent="0.3">
      <c r="A21" s="19" t="s">
        <v>44</v>
      </c>
      <c r="B21" s="20"/>
      <c r="C21" s="21"/>
      <c r="D21" s="21"/>
      <c r="E21" s="4"/>
    </row>
    <row r="22" spans="1:5" x14ac:dyDescent="0.3">
      <c r="A22" s="2" t="s">
        <v>41</v>
      </c>
      <c r="B22" s="14">
        <v>5.4050000000000002</v>
      </c>
      <c r="C22" s="2" t="s">
        <v>43</v>
      </c>
      <c r="D22" s="2" t="s">
        <v>42</v>
      </c>
      <c r="E22" s="4"/>
    </row>
    <row r="23" spans="1:5" x14ac:dyDescent="0.3">
      <c r="A23" s="2" t="s">
        <v>8</v>
      </c>
      <c r="B23" s="6">
        <f>ROUND(B13*$B$22,2)</f>
        <v>20</v>
      </c>
      <c r="C23" s="2" t="s">
        <v>10</v>
      </c>
      <c r="E23" s="4"/>
    </row>
    <row r="24" spans="1:5" x14ac:dyDescent="0.3">
      <c r="A24" s="2" t="s">
        <v>9</v>
      </c>
      <c r="B24" s="6">
        <f>ROUND(B23*0.4234,2)</f>
        <v>8.4700000000000006</v>
      </c>
      <c r="C24" s="2" t="s">
        <v>10</v>
      </c>
      <c r="D24" s="2" t="s">
        <v>27</v>
      </c>
      <c r="E24" s="4"/>
    </row>
    <row r="25" spans="1:5" x14ac:dyDescent="0.3">
      <c r="A25" s="2" t="s">
        <v>33</v>
      </c>
      <c r="B25" s="13">
        <f>ROUND(B15*$B$22,0)</f>
        <v>205</v>
      </c>
      <c r="E25" s="4"/>
    </row>
    <row r="26" spans="1:5" x14ac:dyDescent="0.3">
      <c r="A26" s="2" t="s">
        <v>35</v>
      </c>
      <c r="B26" s="13">
        <f>ROUND(B16*$B$22,0)</f>
        <v>7567</v>
      </c>
      <c r="C26" s="2" t="s">
        <v>5</v>
      </c>
      <c r="E26" s="4"/>
    </row>
    <row r="27" spans="1:5" x14ac:dyDescent="0.3">
      <c r="A27" s="2" t="s">
        <v>19</v>
      </c>
      <c r="B27" s="13">
        <f>ROUND(B17*$B$22,0)</f>
        <v>22</v>
      </c>
      <c r="E27" s="4"/>
    </row>
    <row r="28" spans="1:5" x14ac:dyDescent="0.3">
      <c r="A28" s="2" t="s">
        <v>11</v>
      </c>
      <c r="B28" s="13">
        <f>ROUND(B18*$B$22,0)</f>
        <v>4756</v>
      </c>
      <c r="C28" s="2" t="s">
        <v>5</v>
      </c>
      <c r="E28" s="4"/>
    </row>
    <row r="29" spans="1:5" x14ac:dyDescent="0.3">
      <c r="A29" s="3"/>
      <c r="B29" s="5"/>
      <c r="E29" s="4"/>
    </row>
    <row r="30" spans="1:5" x14ac:dyDescent="0.3">
      <c r="A30" s="19" t="s">
        <v>45</v>
      </c>
      <c r="B30" s="20"/>
      <c r="C30" s="21"/>
      <c r="D30" s="21"/>
      <c r="E30" s="4"/>
    </row>
    <row r="31" spans="1:5" x14ac:dyDescent="0.3">
      <c r="A31" s="2" t="s">
        <v>17</v>
      </c>
      <c r="B31" s="5">
        <f>ROUND(((B23-B24)*0.35+B24*0.95)/B23,2)</f>
        <v>0.6</v>
      </c>
      <c r="D31" s="2" t="s">
        <v>32</v>
      </c>
      <c r="E31" s="4"/>
    </row>
    <row r="32" spans="1:5" x14ac:dyDescent="0.3">
      <c r="A32" s="2" t="s">
        <v>28</v>
      </c>
      <c r="B32" s="5">
        <f>ROUND(5.47*1.15,2)</f>
        <v>6.29</v>
      </c>
      <c r="C32" s="2" t="s">
        <v>29</v>
      </c>
      <c r="D32" s="2" t="s">
        <v>30</v>
      </c>
      <c r="E32" s="4"/>
    </row>
    <row r="33" spans="1:7" x14ac:dyDescent="0.3">
      <c r="A33" s="2" t="s">
        <v>31</v>
      </c>
      <c r="B33" s="5">
        <f>ROUND(6.19*1.15,2)</f>
        <v>7.12</v>
      </c>
      <c r="C33" s="2" t="s">
        <v>29</v>
      </c>
      <c r="D33" s="2" t="s">
        <v>30</v>
      </c>
      <c r="E33" s="4"/>
    </row>
    <row r="34" spans="1:7" x14ac:dyDescent="0.3">
      <c r="A34" s="2" t="s">
        <v>14</v>
      </c>
      <c r="B34" s="6">
        <f>B23*B31*B32</f>
        <v>75.48</v>
      </c>
      <c r="C34" s="2" t="s">
        <v>16</v>
      </c>
      <c r="D34" s="2" t="s">
        <v>58</v>
      </c>
      <c r="E34" s="4"/>
    </row>
    <row r="35" spans="1:7" x14ac:dyDescent="0.3">
      <c r="A35" s="2" t="s">
        <v>15</v>
      </c>
      <c r="B35" s="6">
        <f>B23*B31*B33</f>
        <v>85.44</v>
      </c>
      <c r="C35" s="2" t="s">
        <v>16</v>
      </c>
      <c r="D35" s="2" t="s">
        <v>59</v>
      </c>
      <c r="E35" s="4"/>
    </row>
    <row r="36" spans="1:7" x14ac:dyDescent="0.3">
      <c r="A36" s="2" t="s">
        <v>47</v>
      </c>
      <c r="B36" s="13">
        <v>36</v>
      </c>
      <c r="C36" s="2" t="s">
        <v>13</v>
      </c>
      <c r="D36" s="2" t="s">
        <v>46</v>
      </c>
      <c r="E36" s="4"/>
    </row>
    <row r="37" spans="1:7" x14ac:dyDescent="0.3">
      <c r="A37" s="2" t="s">
        <v>48</v>
      </c>
      <c r="B37" s="13">
        <v>36</v>
      </c>
      <c r="C37" s="2" t="s">
        <v>13</v>
      </c>
      <c r="D37" s="2" t="s">
        <v>46</v>
      </c>
      <c r="E37" s="4"/>
    </row>
    <row r="38" spans="1:7" x14ac:dyDescent="0.3">
      <c r="A38" s="2" t="s">
        <v>101</v>
      </c>
      <c r="B38" s="6">
        <f>(1/3)*B34</f>
        <v>25.16</v>
      </c>
      <c r="C38" s="2" t="s">
        <v>16</v>
      </c>
      <c r="D38" s="2" t="s">
        <v>104</v>
      </c>
      <c r="E38" s="4"/>
    </row>
    <row r="39" spans="1:7" x14ac:dyDescent="0.3">
      <c r="A39" s="2" t="s">
        <v>102</v>
      </c>
      <c r="B39" s="6">
        <f>(1/3)*B35</f>
        <v>28.479999999999997</v>
      </c>
      <c r="C39" s="2" t="s">
        <v>16</v>
      </c>
      <c r="D39" s="2" t="s">
        <v>105</v>
      </c>
      <c r="E39" s="4"/>
    </row>
    <row r="40" spans="1:7" x14ac:dyDescent="0.3">
      <c r="A40" s="2" t="s">
        <v>49</v>
      </c>
      <c r="B40" s="13">
        <v>24</v>
      </c>
      <c r="C40" s="2" t="s">
        <v>13</v>
      </c>
      <c r="D40" s="2" t="s">
        <v>51</v>
      </c>
      <c r="E40" s="4"/>
    </row>
    <row r="41" spans="1:7" x14ac:dyDescent="0.3">
      <c r="A41" s="2" t="s">
        <v>50</v>
      </c>
      <c r="B41" s="13">
        <v>24</v>
      </c>
      <c r="C41" s="2" t="s">
        <v>13</v>
      </c>
      <c r="D41" s="2" t="s">
        <v>51</v>
      </c>
      <c r="E41" s="4"/>
    </row>
    <row r="42" spans="1:7" x14ac:dyDescent="0.3">
      <c r="B42" s="6"/>
      <c r="E42" s="4"/>
      <c r="G42" s="7">
        <f>E55/B24</f>
        <v>311388.58323494683</v>
      </c>
    </row>
    <row r="43" spans="1:7" x14ac:dyDescent="0.3">
      <c r="A43" s="19" t="s">
        <v>52</v>
      </c>
      <c r="B43" s="22"/>
      <c r="C43" s="21"/>
      <c r="D43" s="21"/>
      <c r="E43" s="4"/>
    </row>
    <row r="44" spans="1:7" x14ac:dyDescent="0.3">
      <c r="A44" s="2" t="s">
        <v>54</v>
      </c>
      <c r="B44" s="6">
        <f>B24*1.66</f>
        <v>14.0602</v>
      </c>
      <c r="C44" s="2" t="s">
        <v>12</v>
      </c>
      <c r="D44" s="15" t="s">
        <v>53</v>
      </c>
      <c r="E44" s="4"/>
    </row>
    <row r="45" spans="1:7" x14ac:dyDescent="0.3">
      <c r="A45" s="2" t="s">
        <v>55</v>
      </c>
      <c r="B45" s="6">
        <f>B44/(2*12)</f>
        <v>0.5858416666666667</v>
      </c>
      <c r="C45" s="2" t="s">
        <v>10</v>
      </c>
      <c r="D45" s="2" t="s">
        <v>18</v>
      </c>
      <c r="E45" s="4"/>
    </row>
    <row r="46" spans="1:7" x14ac:dyDescent="0.3">
      <c r="A46" s="2" t="s">
        <v>56</v>
      </c>
      <c r="B46" s="13">
        <f>B24/B45</f>
        <v>14.457831325301205</v>
      </c>
      <c r="D46" s="2" t="s">
        <v>57</v>
      </c>
      <c r="E46" s="4"/>
    </row>
    <row r="47" spans="1:7" x14ac:dyDescent="0.3">
      <c r="E47" s="4"/>
    </row>
    <row r="48" spans="1:7" x14ac:dyDescent="0.3">
      <c r="A48" s="26" t="s">
        <v>64</v>
      </c>
      <c r="B48" s="28"/>
      <c r="C48" s="27"/>
      <c r="D48" s="27"/>
      <c r="E48" s="29"/>
      <c r="F48" s="27"/>
      <c r="G48" s="27"/>
    </row>
    <row r="49" spans="1:7" x14ac:dyDescent="0.3">
      <c r="A49" s="23" t="s">
        <v>0</v>
      </c>
      <c r="B49" s="23" t="s">
        <v>1</v>
      </c>
      <c r="C49" s="23" t="s">
        <v>2</v>
      </c>
      <c r="D49" s="23" t="s">
        <v>3</v>
      </c>
      <c r="E49" s="24" t="s">
        <v>4</v>
      </c>
      <c r="F49" s="23" t="s">
        <v>22</v>
      </c>
      <c r="G49" s="23" t="s">
        <v>23</v>
      </c>
    </row>
    <row r="50" spans="1:7" x14ac:dyDescent="0.3">
      <c r="A50" s="32" t="s">
        <v>66</v>
      </c>
      <c r="B50" s="17"/>
      <c r="C50" s="17"/>
      <c r="D50" s="17"/>
      <c r="E50" s="30"/>
      <c r="F50" s="17"/>
      <c r="G50" s="17"/>
    </row>
    <row r="51" spans="1:7" x14ac:dyDescent="0.3">
      <c r="A51" s="8" t="s">
        <v>67</v>
      </c>
      <c r="B51" s="2" t="s">
        <v>5</v>
      </c>
      <c r="C51" s="13">
        <f>B28</f>
        <v>4756</v>
      </c>
      <c r="D51" s="7">
        <v>445.25</v>
      </c>
      <c r="E51" s="10">
        <f>C51*D51</f>
        <v>2117609</v>
      </c>
      <c r="G51" s="2" t="s">
        <v>103</v>
      </c>
    </row>
    <row r="52" spans="1:7" x14ac:dyDescent="0.3">
      <c r="A52" s="8" t="s">
        <v>68</v>
      </c>
      <c r="B52" s="2" t="s">
        <v>20</v>
      </c>
      <c r="C52" s="13">
        <f>B27</f>
        <v>22</v>
      </c>
      <c r="D52" s="9">
        <v>5499</v>
      </c>
      <c r="E52" s="10">
        <f>C52*D52</f>
        <v>120978</v>
      </c>
      <c r="F52" s="2" t="s">
        <v>69</v>
      </c>
      <c r="G52" s="2" t="s">
        <v>24</v>
      </c>
    </row>
    <row r="53" spans="1:7" x14ac:dyDescent="0.3">
      <c r="A53" s="8" t="s">
        <v>70</v>
      </c>
      <c r="B53" s="2" t="s">
        <v>5</v>
      </c>
      <c r="C53" s="13">
        <f>25*B25</f>
        <v>5125</v>
      </c>
      <c r="D53" s="7">
        <v>51.4</v>
      </c>
      <c r="E53" s="10">
        <f>C53*D53</f>
        <v>263425</v>
      </c>
      <c r="F53" s="2" t="s">
        <v>71</v>
      </c>
      <c r="G53" s="2" t="s">
        <v>72</v>
      </c>
    </row>
    <row r="54" spans="1:7" x14ac:dyDescent="0.3">
      <c r="A54" s="2" t="s">
        <v>25</v>
      </c>
      <c r="B54" s="2" t="s">
        <v>5</v>
      </c>
      <c r="C54" s="13">
        <f>B26*0.2</f>
        <v>1513.4</v>
      </c>
      <c r="D54" s="7">
        <v>89.5</v>
      </c>
      <c r="E54" s="10">
        <f>C54*D54</f>
        <v>135449.30000000002</v>
      </c>
      <c r="F54" s="2" t="s">
        <v>73</v>
      </c>
      <c r="G54" s="2" t="s">
        <v>26</v>
      </c>
    </row>
    <row r="55" spans="1:7" x14ac:dyDescent="0.3">
      <c r="A55" s="1" t="s">
        <v>74</v>
      </c>
      <c r="C55" s="13"/>
      <c r="D55" s="7"/>
      <c r="E55" s="31">
        <f>SUM(E51:E54)</f>
        <v>2637461.2999999998</v>
      </c>
    </row>
    <row r="57" spans="1:7" x14ac:dyDescent="0.3">
      <c r="A57" s="32" t="s">
        <v>21</v>
      </c>
      <c r="B57" s="17"/>
      <c r="C57" s="17"/>
      <c r="D57" s="17"/>
      <c r="E57" s="17"/>
      <c r="F57" s="17"/>
      <c r="G57" s="17"/>
    </row>
    <row r="58" spans="1:7" x14ac:dyDescent="0.3">
      <c r="A58" s="2" t="s">
        <v>76</v>
      </c>
      <c r="B58" s="2" t="s">
        <v>6</v>
      </c>
      <c r="C58" s="33">
        <f>((B45*43560)*5)/27</f>
        <v>4725.7894444444455</v>
      </c>
      <c r="D58" s="7">
        <v>51.35</v>
      </c>
      <c r="E58" s="10">
        <f>C58*D58</f>
        <v>242669.28797222229</v>
      </c>
      <c r="F58" s="2" t="s">
        <v>80</v>
      </c>
      <c r="G58" s="2" t="s">
        <v>75</v>
      </c>
    </row>
    <row r="59" spans="1:7" x14ac:dyDescent="0.3">
      <c r="A59" s="2" t="s">
        <v>77</v>
      </c>
      <c r="B59" s="2" t="s">
        <v>78</v>
      </c>
      <c r="C59" s="33">
        <v>2</v>
      </c>
      <c r="D59" s="7">
        <v>8446.67</v>
      </c>
      <c r="E59" s="10">
        <f>C59*D59</f>
        <v>16893.34</v>
      </c>
      <c r="G59" s="2" t="s">
        <v>79</v>
      </c>
    </row>
    <row r="60" spans="1:7" x14ac:dyDescent="0.3">
      <c r="A60" s="2" t="s">
        <v>84</v>
      </c>
      <c r="B60" s="2" t="s">
        <v>78</v>
      </c>
      <c r="C60" s="33">
        <v>3000</v>
      </c>
      <c r="D60" s="7">
        <v>18</v>
      </c>
      <c r="E60" s="10">
        <f>C60*D60</f>
        <v>54000</v>
      </c>
      <c r="F60" s="2" t="s">
        <v>81</v>
      </c>
      <c r="G60" s="2" t="s">
        <v>82</v>
      </c>
    </row>
    <row r="61" spans="1:7" x14ac:dyDescent="0.3">
      <c r="A61" s="2" t="s">
        <v>7</v>
      </c>
      <c r="B61" s="2" t="s">
        <v>83</v>
      </c>
      <c r="C61" s="6">
        <v>1</v>
      </c>
      <c r="D61" s="7">
        <v>20000</v>
      </c>
      <c r="E61" s="10">
        <f>C61*D61</f>
        <v>20000</v>
      </c>
      <c r="G61" s="2" t="s">
        <v>85</v>
      </c>
    </row>
    <row r="62" spans="1:7" x14ac:dyDescent="0.3">
      <c r="A62" s="1" t="s">
        <v>86</v>
      </c>
      <c r="C62" s="6"/>
      <c r="D62" s="7"/>
      <c r="E62" s="31">
        <f>SUM(E58:E61)</f>
        <v>333562.62797222228</v>
      </c>
    </row>
    <row r="63" spans="1:7" x14ac:dyDescent="0.3">
      <c r="A63" s="1"/>
      <c r="C63" s="6"/>
      <c r="D63" s="7"/>
      <c r="E63" s="31"/>
    </row>
    <row r="64" spans="1:7" x14ac:dyDescent="0.3">
      <c r="A64" s="32" t="s">
        <v>88</v>
      </c>
      <c r="B64" s="17"/>
      <c r="C64" s="17"/>
      <c r="D64" s="17"/>
      <c r="E64" s="17"/>
      <c r="F64" s="17"/>
      <c r="G64" s="17"/>
    </row>
    <row r="65" spans="1:7" x14ac:dyDescent="0.3">
      <c r="A65" s="2" t="s">
        <v>87</v>
      </c>
      <c r="E65" s="10">
        <f>E55+E62</f>
        <v>2971023.9279722222</v>
      </c>
      <c r="F65" s="2" t="s">
        <v>91</v>
      </c>
      <c r="G65" s="11"/>
    </row>
    <row r="66" spans="1:7" x14ac:dyDescent="0.3">
      <c r="A66" s="2" t="s">
        <v>89</v>
      </c>
      <c r="E66" s="10">
        <f>E65*0.1</f>
        <v>297102.39279722224</v>
      </c>
      <c r="G66" s="11"/>
    </row>
    <row r="67" spans="1:7" x14ac:dyDescent="0.3">
      <c r="A67" s="25" t="s">
        <v>90</v>
      </c>
      <c r="E67" s="34">
        <f>E65+E66</f>
        <v>3268126.3207694446</v>
      </c>
      <c r="G67" s="11"/>
    </row>
    <row r="68" spans="1:7" x14ac:dyDescent="0.3">
      <c r="A68" s="2" t="s">
        <v>92</v>
      </c>
      <c r="E68" s="35">
        <f>E67*0.35</f>
        <v>1143844.2122693055</v>
      </c>
    </row>
    <row r="69" spans="1:7" ht="13.5" x14ac:dyDescent="0.45">
      <c r="A69" s="25" t="s">
        <v>93</v>
      </c>
      <c r="D69" s="36"/>
      <c r="E69" s="37">
        <f>ROUND(E67+E68,-3)</f>
        <v>4412000</v>
      </c>
      <c r="F69" s="36" t="s">
        <v>94</v>
      </c>
    </row>
    <row r="70" spans="1:7" x14ac:dyDescent="0.3">
      <c r="E70" s="4"/>
    </row>
  </sheetData>
  <phoneticPr fontId="1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D28F-C0B2-F243-8CF6-402D2DAA5BDF}">
  <dimension ref="A1:G70"/>
  <sheetViews>
    <sheetView zoomScale="125" zoomScaleNormal="100" workbookViewId="0">
      <selection activeCell="A34" sqref="A34"/>
    </sheetView>
  </sheetViews>
  <sheetFormatPr defaultColWidth="8.6328125" defaultRowHeight="12" x14ac:dyDescent="0.3"/>
  <cols>
    <col min="1" max="1" width="45.6328125" style="2" customWidth="1"/>
    <col min="2" max="2" width="12.453125" style="2" customWidth="1"/>
    <col min="3" max="3" width="8.6328125" style="2"/>
    <col min="4" max="4" width="23.36328125" style="2" customWidth="1"/>
    <col min="5" max="5" width="11.453125" style="2" bestFit="1" customWidth="1"/>
    <col min="6" max="6" width="46.1796875" style="2" bestFit="1" customWidth="1"/>
    <col min="7" max="7" width="79" style="2" bestFit="1" customWidth="1"/>
    <col min="8" max="16384" width="8.6328125" style="2"/>
  </cols>
  <sheetData>
    <row r="1" spans="1:5" ht="14.5" x14ac:dyDescent="0.35">
      <c r="A1" s="12" t="s">
        <v>118</v>
      </c>
    </row>
    <row r="2" spans="1:5" ht="14.5" x14ac:dyDescent="0.35">
      <c r="A2" s="12" t="s">
        <v>60</v>
      </c>
    </row>
    <row r="3" spans="1:5" ht="15" thickBot="1" x14ac:dyDescent="0.4">
      <c r="A3" s="12"/>
    </row>
    <row r="4" spans="1:5" ht="12.5" thickTop="1" x14ac:dyDescent="0.3">
      <c r="A4" s="38" t="s">
        <v>95</v>
      </c>
      <c r="B4" s="39"/>
      <c r="C4" s="39"/>
      <c r="D4" s="40"/>
    </row>
    <row r="5" spans="1:5" x14ac:dyDescent="0.3">
      <c r="A5" s="41" t="s">
        <v>96</v>
      </c>
      <c r="B5" s="9">
        <f>$E$69/B23</f>
        <v>260206.3492063492</v>
      </c>
      <c r="C5" s="2" t="s">
        <v>98</v>
      </c>
      <c r="D5" s="43"/>
    </row>
    <row r="6" spans="1:5" x14ac:dyDescent="0.3">
      <c r="A6" s="41" t="s">
        <v>97</v>
      </c>
      <c r="B6" s="9">
        <f>$E$69/B24</f>
        <v>614583.8540364909</v>
      </c>
      <c r="C6" s="2" t="s">
        <v>98</v>
      </c>
      <c r="D6" s="43"/>
    </row>
    <row r="7" spans="1:5" ht="12.5" thickBot="1" x14ac:dyDescent="0.35">
      <c r="A7" s="44" t="s">
        <v>100</v>
      </c>
      <c r="B7" s="45">
        <f>$E$69/B44</f>
        <v>370231.23737138009</v>
      </c>
      <c r="C7" s="46" t="s">
        <v>99</v>
      </c>
      <c r="D7" s="47"/>
    </row>
    <row r="8" spans="1:5" ht="12.5" thickTop="1" x14ac:dyDescent="0.3">
      <c r="A8" s="3"/>
    </row>
    <row r="9" spans="1:5" x14ac:dyDescent="0.3">
      <c r="A9" s="3"/>
    </row>
    <row r="10" spans="1:5" x14ac:dyDescent="0.3">
      <c r="A10" s="26" t="s">
        <v>65</v>
      </c>
      <c r="B10" s="27"/>
      <c r="C10" s="27"/>
      <c r="D10" s="27"/>
    </row>
    <row r="11" spans="1:5" x14ac:dyDescent="0.3">
      <c r="A11" s="23" t="s">
        <v>0</v>
      </c>
      <c r="B11" s="23" t="s">
        <v>61</v>
      </c>
      <c r="C11" s="23" t="s">
        <v>62</v>
      </c>
      <c r="D11" s="23" t="s">
        <v>63</v>
      </c>
    </row>
    <row r="12" spans="1:5" x14ac:dyDescent="0.3">
      <c r="A12" s="16" t="s">
        <v>117</v>
      </c>
      <c r="B12" s="17"/>
      <c r="C12" s="17"/>
      <c r="D12" s="17"/>
      <c r="E12" s="4"/>
    </row>
    <row r="13" spans="1:5" x14ac:dyDescent="0.3">
      <c r="A13" s="2" t="s">
        <v>8</v>
      </c>
      <c r="B13" s="6">
        <v>4.2</v>
      </c>
      <c r="C13" s="2" t="s">
        <v>10</v>
      </c>
      <c r="D13" s="2" t="s">
        <v>116</v>
      </c>
      <c r="E13" s="4"/>
    </row>
    <row r="14" spans="1:5" x14ac:dyDescent="0.3">
      <c r="A14" s="2" t="s">
        <v>9</v>
      </c>
      <c r="B14" s="6">
        <f>B13*0.4234</f>
        <v>1.7782800000000001</v>
      </c>
      <c r="C14" s="2" t="s">
        <v>10</v>
      </c>
      <c r="D14" s="2" t="s">
        <v>27</v>
      </c>
      <c r="E14" s="4"/>
    </row>
    <row r="15" spans="1:5" x14ac:dyDescent="0.3">
      <c r="A15" s="2" t="s">
        <v>33</v>
      </c>
      <c r="B15" s="13">
        <v>35</v>
      </c>
      <c r="E15" s="4"/>
    </row>
    <row r="16" spans="1:5" x14ac:dyDescent="0.3">
      <c r="A16" s="2" t="s">
        <v>35</v>
      </c>
      <c r="B16" s="13">
        <v>1800</v>
      </c>
      <c r="C16" s="2" t="s">
        <v>5</v>
      </c>
      <c r="D16" s="2" t="s">
        <v>36</v>
      </c>
      <c r="E16" s="4"/>
    </row>
    <row r="17" spans="1:5" x14ac:dyDescent="0.3">
      <c r="A17" s="2" t="s">
        <v>19</v>
      </c>
      <c r="B17" s="13">
        <v>4</v>
      </c>
      <c r="D17" s="2" t="s">
        <v>37</v>
      </c>
      <c r="E17" s="4"/>
    </row>
    <row r="18" spans="1:5" x14ac:dyDescent="0.3">
      <c r="A18" s="2" t="s">
        <v>11</v>
      </c>
      <c r="B18" s="13">
        <v>950</v>
      </c>
      <c r="C18" s="2" t="s">
        <v>5</v>
      </c>
      <c r="D18" s="2" t="s">
        <v>38</v>
      </c>
      <c r="E18" s="4"/>
    </row>
    <row r="19" spans="1:5" x14ac:dyDescent="0.3">
      <c r="B19" s="5"/>
      <c r="E19" s="4"/>
    </row>
    <row r="20" spans="1:5" x14ac:dyDescent="0.3">
      <c r="A20" s="16" t="s">
        <v>115</v>
      </c>
      <c r="B20" s="18"/>
      <c r="C20" s="17"/>
      <c r="D20" s="17"/>
      <c r="E20" s="4"/>
    </row>
    <row r="21" spans="1:5" x14ac:dyDescent="0.3">
      <c r="A21" s="19" t="s">
        <v>44</v>
      </c>
      <c r="B21" s="20"/>
      <c r="C21" s="21"/>
      <c r="D21" s="21"/>
      <c r="E21" s="4"/>
    </row>
    <row r="22" spans="1:5" x14ac:dyDescent="0.3">
      <c r="A22" s="2" t="s">
        <v>41</v>
      </c>
      <c r="B22" s="13">
        <v>45</v>
      </c>
      <c r="C22" s="2" t="s">
        <v>43</v>
      </c>
      <c r="D22" s="2" t="s">
        <v>114</v>
      </c>
      <c r="E22" s="4"/>
    </row>
    <row r="23" spans="1:5" x14ac:dyDescent="0.3">
      <c r="A23" s="2" t="s">
        <v>8</v>
      </c>
      <c r="B23" s="6">
        <f>ROUND(B13*$B$22,2)</f>
        <v>189</v>
      </c>
      <c r="C23" s="2" t="s">
        <v>10</v>
      </c>
      <c r="E23" s="4"/>
    </row>
    <row r="24" spans="1:5" x14ac:dyDescent="0.3">
      <c r="A24" s="2" t="s">
        <v>9</v>
      </c>
      <c r="B24" s="6">
        <f>ROUND(B23*0.4234,2)</f>
        <v>80.02</v>
      </c>
      <c r="C24" s="2" t="s">
        <v>10</v>
      </c>
      <c r="D24" s="2" t="s">
        <v>27</v>
      </c>
      <c r="E24" s="4"/>
    </row>
    <row r="25" spans="1:5" x14ac:dyDescent="0.3">
      <c r="A25" s="2" t="s">
        <v>33</v>
      </c>
      <c r="B25" s="13">
        <f>ROUND(B15*$B$22,0)</f>
        <v>1575</v>
      </c>
      <c r="E25" s="4"/>
    </row>
    <row r="26" spans="1:5" x14ac:dyDescent="0.3">
      <c r="A26" s="2" t="s">
        <v>35</v>
      </c>
      <c r="B26" s="13">
        <f>ROUND(B16*$B$22,0)</f>
        <v>81000</v>
      </c>
      <c r="C26" s="2" t="s">
        <v>5</v>
      </c>
      <c r="E26" s="4"/>
    </row>
    <row r="27" spans="1:5" x14ac:dyDescent="0.3">
      <c r="A27" s="2" t="s">
        <v>19</v>
      </c>
      <c r="B27" s="13">
        <f>ROUND(B17*$B$22,0)</f>
        <v>180</v>
      </c>
      <c r="E27" s="4"/>
    </row>
    <row r="28" spans="1:5" x14ac:dyDescent="0.3">
      <c r="A28" s="2" t="s">
        <v>11</v>
      </c>
      <c r="B28" s="13">
        <f>ROUND(B18*$B$22,0)</f>
        <v>42750</v>
      </c>
      <c r="C28" s="2" t="s">
        <v>5</v>
      </c>
      <c r="E28" s="4"/>
    </row>
    <row r="29" spans="1:5" x14ac:dyDescent="0.3">
      <c r="A29" s="3"/>
      <c r="B29" s="5"/>
      <c r="E29" s="4"/>
    </row>
    <row r="30" spans="1:5" x14ac:dyDescent="0.3">
      <c r="A30" s="19" t="s">
        <v>45</v>
      </c>
      <c r="B30" s="20"/>
      <c r="C30" s="21"/>
      <c r="D30" s="21"/>
      <c r="E30" s="4"/>
    </row>
    <row r="31" spans="1:5" x14ac:dyDescent="0.3">
      <c r="A31" s="2" t="s">
        <v>17</v>
      </c>
      <c r="B31" s="5">
        <f>ROUND(((B23-B24)*0.35+B24*0.95)/B23,2)</f>
        <v>0.6</v>
      </c>
      <c r="D31" s="2" t="s">
        <v>32</v>
      </c>
      <c r="E31" s="4"/>
    </row>
    <row r="32" spans="1:5" x14ac:dyDescent="0.3">
      <c r="A32" s="2" t="s">
        <v>28</v>
      </c>
      <c r="B32" s="5">
        <f>ROUND(5.47*1.15,2)</f>
        <v>6.29</v>
      </c>
      <c r="C32" s="2" t="s">
        <v>29</v>
      </c>
      <c r="D32" s="2" t="s">
        <v>30</v>
      </c>
      <c r="E32" s="4"/>
    </row>
    <row r="33" spans="1:7" x14ac:dyDescent="0.3">
      <c r="A33" s="2" t="s">
        <v>31</v>
      </c>
      <c r="B33" s="5">
        <f>ROUND(6.19*1.15,2)</f>
        <v>7.12</v>
      </c>
      <c r="C33" s="2" t="s">
        <v>29</v>
      </c>
      <c r="D33" s="2" t="s">
        <v>30</v>
      </c>
      <c r="E33" s="4"/>
    </row>
    <row r="34" spans="1:7" x14ac:dyDescent="0.3">
      <c r="A34" s="2" t="s">
        <v>14</v>
      </c>
      <c r="B34" s="6">
        <f>B23*B31*B32</f>
        <v>713.28599999999994</v>
      </c>
      <c r="C34" s="2" t="s">
        <v>16</v>
      </c>
      <c r="D34" s="2" t="s">
        <v>58</v>
      </c>
      <c r="E34" s="4"/>
    </row>
    <row r="35" spans="1:7" x14ac:dyDescent="0.3">
      <c r="A35" s="2" t="s">
        <v>15</v>
      </c>
      <c r="B35" s="6">
        <f>B23*B31*B33</f>
        <v>807.4079999999999</v>
      </c>
      <c r="C35" s="2" t="s">
        <v>16</v>
      </c>
      <c r="D35" s="2" t="s">
        <v>59</v>
      </c>
      <c r="E35" s="4"/>
    </row>
    <row r="36" spans="1:7" x14ac:dyDescent="0.3">
      <c r="A36" s="2" t="s">
        <v>47</v>
      </c>
      <c r="B36" s="13">
        <v>66</v>
      </c>
      <c r="C36" s="2" t="s">
        <v>13</v>
      </c>
      <c r="D36" s="2" t="s">
        <v>109</v>
      </c>
      <c r="E36" s="4"/>
    </row>
    <row r="37" spans="1:7" x14ac:dyDescent="0.3">
      <c r="A37" s="2" t="s">
        <v>48</v>
      </c>
      <c r="B37" s="13">
        <v>72</v>
      </c>
      <c r="C37" s="2" t="s">
        <v>13</v>
      </c>
      <c r="D37" s="2" t="s">
        <v>109</v>
      </c>
      <c r="E37" s="4"/>
    </row>
    <row r="38" spans="1:7" x14ac:dyDescent="0.3">
      <c r="A38" s="2" t="s">
        <v>113</v>
      </c>
      <c r="B38" s="6">
        <f>(1/6)*B34</f>
        <v>118.88099999999999</v>
      </c>
      <c r="C38" s="2" t="s">
        <v>16</v>
      </c>
      <c r="D38" s="2" t="s">
        <v>112</v>
      </c>
      <c r="E38" s="4"/>
    </row>
    <row r="39" spans="1:7" x14ac:dyDescent="0.3">
      <c r="A39" s="2" t="s">
        <v>111</v>
      </c>
      <c r="B39" s="6">
        <f>(1/6)*B35</f>
        <v>134.56799999999998</v>
      </c>
      <c r="C39" s="2" t="s">
        <v>16</v>
      </c>
      <c r="D39" s="2" t="s">
        <v>110</v>
      </c>
      <c r="E39" s="4"/>
    </row>
    <row r="40" spans="1:7" x14ac:dyDescent="0.3">
      <c r="A40" s="2" t="s">
        <v>49</v>
      </c>
      <c r="B40" s="13">
        <v>36</v>
      </c>
      <c r="C40" s="2" t="s">
        <v>13</v>
      </c>
      <c r="D40" s="2" t="s">
        <v>109</v>
      </c>
      <c r="E40" s="4"/>
    </row>
    <row r="41" spans="1:7" x14ac:dyDescent="0.3">
      <c r="A41" s="2" t="s">
        <v>50</v>
      </c>
      <c r="B41" s="13">
        <v>36</v>
      </c>
      <c r="C41" s="2" t="s">
        <v>13</v>
      </c>
      <c r="D41" s="2" t="s">
        <v>109</v>
      </c>
      <c r="E41" s="4"/>
    </row>
    <row r="42" spans="1:7" x14ac:dyDescent="0.3">
      <c r="B42" s="6"/>
      <c r="E42" s="4"/>
    </row>
    <row r="43" spans="1:7" x14ac:dyDescent="0.3">
      <c r="A43" s="19" t="s">
        <v>52</v>
      </c>
      <c r="B43" s="22"/>
      <c r="C43" s="21"/>
      <c r="D43" s="21"/>
      <c r="E43" s="4"/>
    </row>
    <row r="44" spans="1:7" x14ac:dyDescent="0.3">
      <c r="A44" s="2" t="s">
        <v>54</v>
      </c>
      <c r="B44" s="6">
        <f>B24*1.66</f>
        <v>132.83319999999998</v>
      </c>
      <c r="C44" s="2" t="s">
        <v>12</v>
      </c>
      <c r="D44" s="2" t="s">
        <v>53</v>
      </c>
      <c r="E44" s="4"/>
    </row>
    <row r="45" spans="1:7" x14ac:dyDescent="0.3">
      <c r="A45" s="2" t="s">
        <v>55</v>
      </c>
      <c r="B45" s="6">
        <f>B44/(2*12)</f>
        <v>5.5347166666666654</v>
      </c>
      <c r="C45" s="2" t="s">
        <v>10</v>
      </c>
      <c r="D45" s="2" t="s">
        <v>18</v>
      </c>
      <c r="E45" s="4"/>
    </row>
    <row r="46" spans="1:7" x14ac:dyDescent="0.3">
      <c r="A46" s="2" t="s">
        <v>56</v>
      </c>
      <c r="B46" s="13">
        <f>B24/B45</f>
        <v>14.457831325301207</v>
      </c>
      <c r="D46" s="2" t="s">
        <v>57</v>
      </c>
      <c r="E46" s="4"/>
    </row>
    <row r="47" spans="1:7" x14ac:dyDescent="0.3">
      <c r="E47" s="4"/>
    </row>
    <row r="48" spans="1:7" x14ac:dyDescent="0.3">
      <c r="A48" s="26" t="s">
        <v>64</v>
      </c>
      <c r="B48" s="28"/>
      <c r="C48" s="27"/>
      <c r="D48" s="27"/>
      <c r="E48" s="29"/>
      <c r="F48" s="27"/>
      <c r="G48" s="27"/>
    </row>
    <row r="49" spans="1:7" x14ac:dyDescent="0.3">
      <c r="A49" s="23" t="s">
        <v>0</v>
      </c>
      <c r="B49" s="23" t="s">
        <v>1</v>
      </c>
      <c r="C49" s="23" t="s">
        <v>2</v>
      </c>
      <c r="D49" s="23" t="s">
        <v>3</v>
      </c>
      <c r="E49" s="24" t="s">
        <v>4</v>
      </c>
      <c r="F49" s="23" t="s">
        <v>22</v>
      </c>
      <c r="G49" s="23" t="s">
        <v>23</v>
      </c>
    </row>
    <row r="50" spans="1:7" x14ac:dyDescent="0.3">
      <c r="A50" s="32" t="s">
        <v>66</v>
      </c>
      <c r="B50" s="17"/>
      <c r="C50" s="17"/>
      <c r="D50" s="17"/>
      <c r="E50" s="30"/>
      <c r="F50" s="17"/>
      <c r="G50" s="17"/>
    </row>
    <row r="51" spans="1:7" x14ac:dyDescent="0.3">
      <c r="A51" s="8" t="s">
        <v>67</v>
      </c>
      <c r="B51" s="2" t="s">
        <v>5</v>
      </c>
      <c r="C51" s="13">
        <f>B28</f>
        <v>42750</v>
      </c>
      <c r="D51" s="7">
        <v>599.12</v>
      </c>
      <c r="E51" s="10">
        <f>C51*D51</f>
        <v>25612380</v>
      </c>
      <c r="G51" s="2" t="s">
        <v>108</v>
      </c>
    </row>
    <row r="52" spans="1:7" x14ac:dyDescent="0.3">
      <c r="A52" s="8" t="s">
        <v>68</v>
      </c>
      <c r="B52" s="2" t="s">
        <v>20</v>
      </c>
      <c r="C52" s="13">
        <f>B27</f>
        <v>180</v>
      </c>
      <c r="D52" s="9">
        <v>5499</v>
      </c>
      <c r="E52" s="10">
        <f>C52*D52</f>
        <v>989820</v>
      </c>
      <c r="F52" s="2" t="s">
        <v>69</v>
      </c>
      <c r="G52" s="2" t="s">
        <v>24</v>
      </c>
    </row>
    <row r="53" spans="1:7" x14ac:dyDescent="0.3">
      <c r="A53" s="8" t="s">
        <v>70</v>
      </c>
      <c r="B53" s="2" t="s">
        <v>5</v>
      </c>
      <c r="C53" s="13">
        <f>25*B25</f>
        <v>39375</v>
      </c>
      <c r="D53" s="7">
        <v>51.4</v>
      </c>
      <c r="E53" s="10">
        <f>C53*D53</f>
        <v>2023875</v>
      </c>
      <c r="F53" s="2" t="s">
        <v>71</v>
      </c>
      <c r="G53" s="2" t="s">
        <v>72</v>
      </c>
    </row>
    <row r="54" spans="1:7" x14ac:dyDescent="0.3">
      <c r="A54" s="2" t="s">
        <v>25</v>
      </c>
      <c r="B54" s="2" t="s">
        <v>5</v>
      </c>
      <c r="C54" s="13">
        <f>B26*0.2</f>
        <v>16200</v>
      </c>
      <c r="D54" s="7">
        <v>89.5</v>
      </c>
      <c r="E54" s="10">
        <f>C54*D54</f>
        <v>1449900</v>
      </c>
      <c r="F54" s="2" t="s">
        <v>73</v>
      </c>
      <c r="G54" s="2" t="s">
        <v>26</v>
      </c>
    </row>
    <row r="55" spans="1:7" x14ac:dyDescent="0.3">
      <c r="A55" s="1" t="s">
        <v>74</v>
      </c>
      <c r="C55" s="13"/>
      <c r="D55" s="7"/>
      <c r="E55" s="31">
        <f>SUM(E51:E54)</f>
        <v>30075975</v>
      </c>
    </row>
    <row r="57" spans="1:7" x14ac:dyDescent="0.3">
      <c r="A57" s="32" t="s">
        <v>107</v>
      </c>
      <c r="B57" s="17"/>
      <c r="C57" s="17"/>
      <c r="D57" s="17"/>
      <c r="E57" s="17"/>
      <c r="F57" s="17"/>
      <c r="G57" s="17"/>
    </row>
    <row r="58" spans="1:7" x14ac:dyDescent="0.3">
      <c r="A58" s="2" t="s">
        <v>76</v>
      </c>
      <c r="B58" s="2" t="s">
        <v>6</v>
      </c>
      <c r="C58" s="48">
        <f>((B45*43560)*5)/27</f>
        <v>44646.714444444435</v>
      </c>
      <c r="D58" s="7">
        <v>51.35</v>
      </c>
      <c r="E58" s="10">
        <f>C58*D58</f>
        <v>2292608.7867222219</v>
      </c>
      <c r="F58" s="2" t="s">
        <v>80</v>
      </c>
      <c r="G58" s="2" t="s">
        <v>75</v>
      </c>
    </row>
    <row r="59" spans="1:7" x14ac:dyDescent="0.3">
      <c r="A59" s="2" t="s">
        <v>77</v>
      </c>
      <c r="B59" s="2" t="s">
        <v>78</v>
      </c>
      <c r="C59" s="33">
        <v>6</v>
      </c>
      <c r="D59" s="7">
        <v>8446.67</v>
      </c>
      <c r="E59" s="10">
        <f>C59*D59</f>
        <v>50680.020000000004</v>
      </c>
      <c r="G59" s="2" t="s">
        <v>79</v>
      </c>
    </row>
    <row r="60" spans="1:7" x14ac:dyDescent="0.3">
      <c r="A60" s="2" t="s">
        <v>84</v>
      </c>
      <c r="B60" s="2" t="s">
        <v>78</v>
      </c>
      <c r="C60" s="48">
        <f>5000*B45</f>
        <v>27673.583333333328</v>
      </c>
      <c r="D60" s="7">
        <v>18</v>
      </c>
      <c r="E60" s="10">
        <f>C60*D60</f>
        <v>498124.49999999988</v>
      </c>
      <c r="F60" s="2" t="s">
        <v>81</v>
      </c>
      <c r="G60" s="2" t="s">
        <v>82</v>
      </c>
    </row>
    <row r="61" spans="1:7" x14ac:dyDescent="0.3">
      <c r="A61" s="2" t="s">
        <v>7</v>
      </c>
      <c r="B61" s="2" t="s">
        <v>83</v>
      </c>
      <c r="C61" s="6">
        <v>4</v>
      </c>
      <c r="D61" s="7">
        <v>50000</v>
      </c>
      <c r="E61" s="10">
        <f>C61*D61</f>
        <v>200000</v>
      </c>
      <c r="G61" s="2" t="s">
        <v>85</v>
      </c>
    </row>
    <row r="62" spans="1:7" x14ac:dyDescent="0.3">
      <c r="A62" s="1" t="s">
        <v>86</v>
      </c>
      <c r="C62" s="6"/>
      <c r="D62" s="7"/>
      <c r="E62" s="31">
        <f>SUM(E58:E61)</f>
        <v>3041413.3067222219</v>
      </c>
    </row>
    <row r="63" spans="1:7" x14ac:dyDescent="0.3">
      <c r="A63" s="1"/>
      <c r="C63" s="6"/>
      <c r="D63" s="7"/>
      <c r="E63" s="31"/>
    </row>
    <row r="64" spans="1:7" x14ac:dyDescent="0.3">
      <c r="A64" s="32" t="s">
        <v>88</v>
      </c>
      <c r="B64" s="17"/>
      <c r="C64" s="17"/>
      <c r="D64" s="17"/>
      <c r="E64" s="17"/>
      <c r="F64" s="17"/>
      <c r="G64" s="17"/>
    </row>
    <row r="65" spans="1:7" x14ac:dyDescent="0.3">
      <c r="A65" s="2" t="s">
        <v>87</v>
      </c>
      <c r="E65" s="10">
        <f>E55+E62</f>
        <v>33117388.306722224</v>
      </c>
      <c r="F65" s="2" t="s">
        <v>91</v>
      </c>
      <c r="G65" s="11"/>
    </row>
    <row r="66" spans="1:7" x14ac:dyDescent="0.3">
      <c r="A66" s="2" t="s">
        <v>89</v>
      </c>
      <c r="E66" s="10">
        <f>E65*0.1</f>
        <v>3311738.8306722227</v>
      </c>
      <c r="G66" s="11"/>
    </row>
    <row r="67" spans="1:7" x14ac:dyDescent="0.3">
      <c r="A67" s="25" t="s">
        <v>90</v>
      </c>
      <c r="E67" s="34">
        <f>E65+E66</f>
        <v>36429127.137394443</v>
      </c>
      <c r="G67" s="11"/>
    </row>
    <row r="68" spans="1:7" x14ac:dyDescent="0.3">
      <c r="A68" s="2" t="s">
        <v>92</v>
      </c>
      <c r="E68" s="35">
        <f>E67*0.35</f>
        <v>12750194.498088054</v>
      </c>
    </row>
    <row r="69" spans="1:7" ht="13.5" x14ac:dyDescent="0.45">
      <c r="A69" s="25" t="s">
        <v>93</v>
      </c>
      <c r="E69" s="37">
        <f>ROUND(E67+E68,-3)</f>
        <v>49179000</v>
      </c>
      <c r="F69" s="2" t="s">
        <v>94</v>
      </c>
    </row>
    <row r="70" spans="1:7" x14ac:dyDescent="0.3">
      <c r="E70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18F4-3321-7544-A6A6-BEA5587782D5}">
  <dimension ref="A1:G57"/>
  <sheetViews>
    <sheetView tabSelected="1" zoomScale="118" zoomScaleNormal="100" workbookViewId="0">
      <selection activeCell="G58" sqref="G58"/>
    </sheetView>
  </sheetViews>
  <sheetFormatPr defaultColWidth="8.6328125" defaultRowHeight="12" x14ac:dyDescent="0.3"/>
  <cols>
    <col min="1" max="1" width="45.6328125" style="2" customWidth="1"/>
    <col min="2" max="2" width="12.36328125" style="2" customWidth="1"/>
    <col min="3" max="3" width="8.6328125" style="2"/>
    <col min="4" max="4" width="23.36328125" style="2" customWidth="1"/>
    <col min="5" max="5" width="11.453125" style="2" bestFit="1" customWidth="1"/>
    <col min="6" max="6" width="46.1796875" style="2" bestFit="1" customWidth="1"/>
    <col min="7" max="7" width="79" style="2" bestFit="1" customWidth="1"/>
    <col min="8" max="16384" width="8.6328125" style="2"/>
  </cols>
  <sheetData>
    <row r="1" spans="1:5" ht="14.5" x14ac:dyDescent="0.35">
      <c r="A1" s="12" t="s">
        <v>133</v>
      </c>
    </row>
    <row r="2" spans="1:5" ht="14.5" x14ac:dyDescent="0.35">
      <c r="A2" s="12" t="s">
        <v>60</v>
      </c>
    </row>
    <row r="3" spans="1:5" ht="15" thickBot="1" x14ac:dyDescent="0.4">
      <c r="A3" s="12"/>
    </row>
    <row r="4" spans="1:5" ht="12.5" thickTop="1" x14ac:dyDescent="0.3">
      <c r="A4" s="38" t="s">
        <v>95</v>
      </c>
      <c r="B4" s="39"/>
      <c r="C4" s="39"/>
      <c r="D4" s="40"/>
    </row>
    <row r="5" spans="1:5" x14ac:dyDescent="0.3">
      <c r="A5" s="41" t="s">
        <v>96</v>
      </c>
      <c r="B5" s="9">
        <f>$E$56/B15</f>
        <v>384381.38319999998</v>
      </c>
      <c r="C5" s="2" t="s">
        <v>98</v>
      </c>
      <c r="D5" s="43"/>
    </row>
    <row r="6" spans="1:5" x14ac:dyDescent="0.3">
      <c r="A6" s="41" t="s">
        <v>97</v>
      </c>
      <c r="B6" s="9">
        <f>$E$56/B15</f>
        <v>384381.38319999998</v>
      </c>
      <c r="C6" s="2" t="s">
        <v>98</v>
      </c>
      <c r="D6" s="43"/>
    </row>
    <row r="7" spans="1:5" ht="12.5" thickBot="1" x14ac:dyDescent="0.35">
      <c r="A7" s="44" t="s">
        <v>100</v>
      </c>
      <c r="B7" s="45">
        <f>$E$56/(B34)</f>
        <v>231555.05012048196</v>
      </c>
      <c r="C7" s="46" t="s">
        <v>99</v>
      </c>
      <c r="D7" s="47"/>
    </row>
    <row r="8" spans="1:5" ht="12.5" thickTop="1" x14ac:dyDescent="0.3">
      <c r="A8" s="3"/>
    </row>
    <row r="9" spans="1:5" x14ac:dyDescent="0.3">
      <c r="A9" s="3"/>
    </row>
    <row r="10" spans="1:5" x14ac:dyDescent="0.3">
      <c r="A10" s="26" t="s">
        <v>65</v>
      </c>
      <c r="B10" s="27"/>
      <c r="C10" s="27"/>
      <c r="D10" s="27"/>
    </row>
    <row r="11" spans="1:5" x14ac:dyDescent="0.3">
      <c r="A11" s="23" t="s">
        <v>0</v>
      </c>
      <c r="B11" s="23" t="s">
        <v>61</v>
      </c>
      <c r="C11" s="23" t="s">
        <v>62</v>
      </c>
      <c r="D11" s="23" t="s">
        <v>63</v>
      </c>
    </row>
    <row r="12" spans="1:5" x14ac:dyDescent="0.3">
      <c r="A12" s="16" t="s">
        <v>132</v>
      </c>
      <c r="B12" s="17"/>
      <c r="C12" s="17"/>
      <c r="D12" s="17"/>
      <c r="E12" s="4"/>
    </row>
    <row r="13" spans="1:5" x14ac:dyDescent="0.3">
      <c r="A13" s="2" t="s">
        <v>131</v>
      </c>
      <c r="B13" s="6">
        <v>6</v>
      </c>
      <c r="C13" s="2" t="s">
        <v>10</v>
      </c>
      <c r="D13" s="2" t="s">
        <v>130</v>
      </c>
      <c r="E13" s="4"/>
    </row>
    <row r="14" spans="1:5" x14ac:dyDescent="0.3">
      <c r="A14" s="2" t="s">
        <v>129</v>
      </c>
      <c r="B14" s="6">
        <v>6</v>
      </c>
      <c r="C14" s="2" t="s">
        <v>10</v>
      </c>
      <c r="E14" s="4"/>
    </row>
    <row r="15" spans="1:5" x14ac:dyDescent="0.3">
      <c r="A15" s="2" t="s">
        <v>128</v>
      </c>
      <c r="B15" s="6">
        <v>5</v>
      </c>
      <c r="C15" s="2" t="s">
        <v>10</v>
      </c>
      <c r="D15" s="2" t="s">
        <v>127</v>
      </c>
      <c r="E15" s="4"/>
    </row>
    <row r="16" spans="1:5" x14ac:dyDescent="0.3">
      <c r="A16" s="2" t="s">
        <v>126</v>
      </c>
      <c r="B16" s="6">
        <f>B14+B15</f>
        <v>11</v>
      </c>
      <c r="C16" s="2" t="s">
        <v>10</v>
      </c>
      <c r="E16" s="4"/>
    </row>
    <row r="17" spans="1:7" x14ac:dyDescent="0.3">
      <c r="A17" s="2" t="s">
        <v>125</v>
      </c>
      <c r="B17" s="13">
        <v>18</v>
      </c>
      <c r="E17" s="4"/>
    </row>
    <row r="18" spans="1:7" x14ac:dyDescent="0.3">
      <c r="A18" s="2" t="s">
        <v>11</v>
      </c>
      <c r="B18" s="13">
        <v>1700</v>
      </c>
      <c r="C18" s="2" t="s">
        <v>5</v>
      </c>
      <c r="E18" s="4"/>
    </row>
    <row r="19" spans="1:7" x14ac:dyDescent="0.3">
      <c r="A19" s="3"/>
      <c r="B19" s="5"/>
      <c r="E19" s="4"/>
    </row>
    <row r="20" spans="1:7" x14ac:dyDescent="0.3">
      <c r="A20" s="19" t="s">
        <v>45</v>
      </c>
      <c r="B20" s="20"/>
      <c r="C20" s="21"/>
      <c r="D20" s="21"/>
      <c r="E20" s="4"/>
    </row>
    <row r="21" spans="1:7" x14ac:dyDescent="0.3">
      <c r="A21" s="2" t="s">
        <v>17</v>
      </c>
      <c r="B21" s="5">
        <v>0.95</v>
      </c>
      <c r="D21" s="2" t="s">
        <v>32</v>
      </c>
      <c r="E21" s="4"/>
    </row>
    <row r="22" spans="1:7" x14ac:dyDescent="0.3">
      <c r="A22" s="2" t="s">
        <v>28</v>
      </c>
      <c r="B22" s="5">
        <f>ROUND(5.47*1.15,2)</f>
        <v>6.29</v>
      </c>
      <c r="C22" s="2" t="s">
        <v>29</v>
      </c>
      <c r="D22" s="2" t="s">
        <v>30</v>
      </c>
      <c r="E22" s="4"/>
    </row>
    <row r="23" spans="1:7" x14ac:dyDescent="0.3">
      <c r="A23" s="2" t="s">
        <v>31</v>
      </c>
      <c r="B23" s="5">
        <f>ROUND(6.19*1.15,2)</f>
        <v>7.12</v>
      </c>
      <c r="C23" s="2" t="s">
        <v>29</v>
      </c>
      <c r="D23" s="2" t="s">
        <v>30</v>
      </c>
      <c r="E23" s="4"/>
    </row>
    <row r="24" spans="1:7" x14ac:dyDescent="0.3">
      <c r="A24" s="2" t="s">
        <v>14</v>
      </c>
      <c r="B24" s="6">
        <f>B15*B21*B22</f>
        <v>29.877500000000001</v>
      </c>
      <c r="C24" s="2" t="s">
        <v>16</v>
      </c>
      <c r="D24" s="2" t="s">
        <v>58</v>
      </c>
      <c r="E24" s="4"/>
    </row>
    <row r="25" spans="1:7" x14ac:dyDescent="0.3">
      <c r="A25" s="2" t="s">
        <v>15</v>
      </c>
      <c r="B25" s="6">
        <f>B15*B21*B23</f>
        <v>33.82</v>
      </c>
      <c r="C25" s="2" t="s">
        <v>16</v>
      </c>
      <c r="D25" s="2" t="s">
        <v>59</v>
      </c>
      <c r="E25" s="4"/>
    </row>
    <row r="26" spans="1:7" x14ac:dyDescent="0.3">
      <c r="A26" s="2" t="s">
        <v>47</v>
      </c>
      <c r="B26" s="13">
        <v>24</v>
      </c>
      <c r="C26" s="2" t="s">
        <v>13</v>
      </c>
      <c r="D26" s="2" t="s">
        <v>46</v>
      </c>
      <c r="E26" s="4"/>
    </row>
    <row r="27" spans="1:7" x14ac:dyDescent="0.3">
      <c r="A27" s="2" t="s">
        <v>48</v>
      </c>
      <c r="B27" s="13">
        <v>24</v>
      </c>
      <c r="C27" s="2" t="s">
        <v>13</v>
      </c>
      <c r="D27" s="2" t="s">
        <v>46</v>
      </c>
      <c r="E27" s="4"/>
    </row>
    <row r="28" spans="1:7" x14ac:dyDescent="0.3">
      <c r="A28" s="2" t="s">
        <v>101</v>
      </c>
      <c r="B28" s="6">
        <f>(1/3)*B24</f>
        <v>9.9591666666666665</v>
      </c>
      <c r="C28" s="2" t="s">
        <v>16</v>
      </c>
      <c r="D28" s="2" t="s">
        <v>104</v>
      </c>
      <c r="E28" s="4"/>
      <c r="G28" s="7"/>
    </row>
    <row r="29" spans="1:7" x14ac:dyDescent="0.3">
      <c r="A29" s="2" t="s">
        <v>102</v>
      </c>
      <c r="B29" s="6">
        <f>(1/3)*B25</f>
        <v>11.273333333333333</v>
      </c>
      <c r="C29" s="2" t="s">
        <v>16</v>
      </c>
      <c r="D29" s="2" t="s">
        <v>105</v>
      </c>
      <c r="E29" s="4"/>
    </row>
    <row r="30" spans="1:7" x14ac:dyDescent="0.3">
      <c r="A30" s="2" t="s">
        <v>49</v>
      </c>
      <c r="B30" s="13">
        <v>18</v>
      </c>
      <c r="C30" s="2" t="s">
        <v>13</v>
      </c>
      <c r="D30" s="2" t="s">
        <v>51</v>
      </c>
      <c r="E30" s="4"/>
    </row>
    <row r="31" spans="1:7" x14ac:dyDescent="0.3">
      <c r="A31" s="2" t="s">
        <v>50</v>
      </c>
      <c r="B31" s="13">
        <v>18</v>
      </c>
      <c r="C31" s="2" t="s">
        <v>13</v>
      </c>
      <c r="D31" s="2" t="s">
        <v>51</v>
      </c>
      <c r="E31" s="4"/>
    </row>
    <row r="32" spans="1:7" x14ac:dyDescent="0.3">
      <c r="B32" s="6"/>
      <c r="E32" s="4"/>
    </row>
    <row r="33" spans="1:7" x14ac:dyDescent="0.3">
      <c r="A33" s="19" t="s">
        <v>52</v>
      </c>
      <c r="B33" s="22"/>
      <c r="C33" s="21"/>
      <c r="D33" s="21"/>
      <c r="E33" s="4"/>
    </row>
    <row r="34" spans="1:7" x14ac:dyDescent="0.3">
      <c r="A34" s="2" t="s">
        <v>124</v>
      </c>
      <c r="B34" s="6">
        <f>B15*1.66</f>
        <v>8.2999999999999989</v>
      </c>
      <c r="C34" s="2" t="s">
        <v>12</v>
      </c>
      <c r="D34" s="2" t="s">
        <v>53</v>
      </c>
      <c r="E34" s="4"/>
    </row>
    <row r="35" spans="1:7" x14ac:dyDescent="0.3">
      <c r="A35" s="2" t="s">
        <v>123</v>
      </c>
      <c r="B35" s="6">
        <f>B14*1.66</f>
        <v>9.9599999999999991</v>
      </c>
      <c r="C35" s="2" t="s">
        <v>12</v>
      </c>
      <c r="D35" s="2" t="s">
        <v>53</v>
      </c>
      <c r="E35" s="4"/>
    </row>
    <row r="36" spans="1:7" x14ac:dyDescent="0.3">
      <c r="E36" s="4"/>
    </row>
    <row r="37" spans="1:7" x14ac:dyDescent="0.3">
      <c r="A37" s="26" t="s">
        <v>64</v>
      </c>
      <c r="B37" s="28"/>
      <c r="C37" s="27"/>
      <c r="D37" s="27"/>
      <c r="E37" s="29"/>
      <c r="F37" s="27"/>
      <c r="G37" s="27"/>
    </row>
    <row r="38" spans="1:7" x14ac:dyDescent="0.3">
      <c r="A38" s="23" t="s">
        <v>0</v>
      </c>
      <c r="B38" s="23" t="s">
        <v>1</v>
      </c>
      <c r="C38" s="23" t="s">
        <v>2</v>
      </c>
      <c r="D38" s="23" t="s">
        <v>3</v>
      </c>
      <c r="E38" s="24" t="s">
        <v>4</v>
      </c>
      <c r="F38" s="23" t="s">
        <v>22</v>
      </c>
      <c r="G38" s="23" t="s">
        <v>23</v>
      </c>
    </row>
    <row r="39" spans="1:7" x14ac:dyDescent="0.3">
      <c r="A39" s="32" t="s">
        <v>66</v>
      </c>
      <c r="B39" s="17"/>
      <c r="C39" s="17"/>
      <c r="D39" s="17"/>
      <c r="E39" s="30"/>
      <c r="F39" s="17"/>
      <c r="G39" s="17"/>
    </row>
    <row r="40" spans="1:7" x14ac:dyDescent="0.3">
      <c r="A40" s="8" t="s">
        <v>67</v>
      </c>
      <c r="B40" s="2" t="s">
        <v>5</v>
      </c>
      <c r="C40" s="13">
        <f>B18</f>
        <v>1700</v>
      </c>
      <c r="D40" s="7">
        <v>445.25</v>
      </c>
      <c r="E40" s="10">
        <f>C40*D40</f>
        <v>756925</v>
      </c>
      <c r="G40" s="2" t="s">
        <v>103</v>
      </c>
    </row>
    <row r="41" spans="1:7" x14ac:dyDescent="0.3">
      <c r="A41" s="8" t="s">
        <v>68</v>
      </c>
      <c r="B41" s="2" t="s">
        <v>20</v>
      </c>
      <c r="C41" s="13">
        <f>B17</f>
        <v>18</v>
      </c>
      <c r="D41" s="9">
        <v>5499</v>
      </c>
      <c r="E41" s="10">
        <f>C41*D41</f>
        <v>98982</v>
      </c>
      <c r="G41" s="2" t="s">
        <v>24</v>
      </c>
    </row>
    <row r="42" spans="1:7" x14ac:dyDescent="0.3">
      <c r="A42" s="1" t="s">
        <v>74</v>
      </c>
      <c r="C42" s="13"/>
      <c r="D42" s="7"/>
      <c r="E42" s="31">
        <f>SUM(E40:E41)</f>
        <v>855907</v>
      </c>
    </row>
    <row r="43" spans="1:7" x14ac:dyDescent="0.3">
      <c r="A43" s="1"/>
      <c r="C43" s="6"/>
      <c r="D43" s="7"/>
      <c r="E43" s="31"/>
    </row>
    <row r="44" spans="1:7" x14ac:dyDescent="0.3">
      <c r="A44" s="32" t="s">
        <v>88</v>
      </c>
      <c r="B44" s="17"/>
      <c r="C44" s="17"/>
      <c r="D44" s="17"/>
      <c r="E44" s="17"/>
      <c r="F44" s="17"/>
      <c r="G44" s="17"/>
    </row>
    <row r="45" spans="1:7" x14ac:dyDescent="0.3">
      <c r="A45" s="2" t="s">
        <v>66</v>
      </c>
      <c r="E45" s="10">
        <f>E42</f>
        <v>855907</v>
      </c>
      <c r="F45" s="2" t="s">
        <v>91</v>
      </c>
      <c r="G45" s="11"/>
    </row>
    <row r="46" spans="1:7" x14ac:dyDescent="0.3">
      <c r="A46" s="2" t="s">
        <v>89</v>
      </c>
      <c r="E46" s="10">
        <f>E45*0.1</f>
        <v>85590.700000000012</v>
      </c>
      <c r="G46" s="11"/>
    </row>
    <row r="47" spans="1:7" x14ac:dyDescent="0.3">
      <c r="A47" s="25" t="s">
        <v>90</v>
      </c>
      <c r="E47" s="34">
        <f>E45+E46</f>
        <v>941497.7</v>
      </c>
      <c r="G47" s="11"/>
    </row>
    <row r="48" spans="1:7" x14ac:dyDescent="0.3">
      <c r="A48" s="2" t="s">
        <v>92</v>
      </c>
      <c r="E48" s="35">
        <f>E47*0.35</f>
        <v>329524.19499999995</v>
      </c>
    </row>
    <row r="49" spans="1:7" ht="13.5" x14ac:dyDescent="0.45">
      <c r="A49" s="25" t="s">
        <v>93</v>
      </c>
      <c r="E49" s="37">
        <f>ROUND(E47+E48,-3)</f>
        <v>1271000</v>
      </c>
      <c r="F49" s="2" t="s">
        <v>94</v>
      </c>
    </row>
    <row r="50" spans="1:7" x14ac:dyDescent="0.3">
      <c r="E50" s="4"/>
    </row>
    <row r="51" spans="1:7" x14ac:dyDescent="0.3">
      <c r="A51" s="32" t="s">
        <v>21</v>
      </c>
      <c r="B51" s="17"/>
      <c r="C51" s="17"/>
      <c r="D51" s="17"/>
      <c r="E51" s="17"/>
      <c r="F51" s="17"/>
      <c r="G51" s="17"/>
    </row>
    <row r="52" spans="1:7" x14ac:dyDescent="0.3">
      <c r="A52" s="2" t="s">
        <v>122</v>
      </c>
      <c r="B52" s="2" t="s">
        <v>12</v>
      </c>
      <c r="C52" s="33">
        <f>B34</f>
        <v>8.2999999999999989</v>
      </c>
      <c r="D52" s="7">
        <v>71293.2</v>
      </c>
      <c r="E52" s="10">
        <f>C52*D52</f>
        <v>591733.55999999994</v>
      </c>
      <c r="G52" s="2" t="s">
        <v>121</v>
      </c>
    </row>
    <row r="53" spans="1:7" x14ac:dyDescent="0.3">
      <c r="A53" s="2" t="s">
        <v>120</v>
      </c>
      <c r="C53" s="33"/>
      <c r="D53" s="7"/>
      <c r="E53" s="10">
        <f>E52*0.1</f>
        <v>59173.356</v>
      </c>
    </row>
    <row r="54" spans="1:7" x14ac:dyDescent="0.3">
      <c r="A54" s="1" t="s">
        <v>86</v>
      </c>
      <c r="C54" s="6"/>
      <c r="D54" s="7"/>
      <c r="E54" s="31">
        <f>SUM(E52:E53)</f>
        <v>650906.91599999997</v>
      </c>
    </row>
    <row r="55" spans="1:7" x14ac:dyDescent="0.3">
      <c r="A55" s="1"/>
      <c r="C55" s="6"/>
      <c r="D55" s="7"/>
      <c r="E55" s="31"/>
    </row>
    <row r="56" spans="1:7" ht="13.5" x14ac:dyDescent="0.45">
      <c r="A56" s="25" t="s">
        <v>119</v>
      </c>
      <c r="E56" s="37">
        <f>E49+E54</f>
        <v>1921906.916</v>
      </c>
    </row>
    <row r="57" spans="1:7" x14ac:dyDescent="0.3">
      <c r="A57" s="1"/>
      <c r="C57" s="6"/>
      <c r="D57" s="7"/>
      <c r="E57" s="3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0481-5FAE-B441-9366-DEB07261CD43}">
  <dimension ref="A1:G43"/>
  <sheetViews>
    <sheetView zoomScale="125" zoomScaleNormal="100" workbookViewId="0">
      <selection activeCell="F47" sqref="F47"/>
    </sheetView>
  </sheetViews>
  <sheetFormatPr defaultColWidth="8.6328125" defaultRowHeight="12" x14ac:dyDescent="0.3"/>
  <cols>
    <col min="1" max="1" width="45.6328125" style="2" customWidth="1"/>
    <col min="2" max="2" width="12.36328125" style="2" customWidth="1"/>
    <col min="3" max="3" width="8.6328125" style="2"/>
    <col min="4" max="4" width="23.36328125" style="2" customWidth="1"/>
    <col min="5" max="5" width="11.453125" style="2" bestFit="1" customWidth="1"/>
    <col min="6" max="6" width="46.1796875" style="2" bestFit="1" customWidth="1"/>
    <col min="7" max="7" width="79" style="2" bestFit="1" customWidth="1"/>
    <col min="8" max="16384" width="8.6328125" style="2"/>
  </cols>
  <sheetData>
    <row r="1" spans="1:5" ht="14.5" x14ac:dyDescent="0.35">
      <c r="A1" s="12" t="s">
        <v>234</v>
      </c>
    </row>
    <row r="2" spans="1:5" ht="14.5" x14ac:dyDescent="0.35">
      <c r="A2" s="12" t="s">
        <v>60</v>
      </c>
    </row>
    <row r="3" spans="1:5" ht="15" thickBot="1" x14ac:dyDescent="0.4">
      <c r="A3" s="12"/>
    </row>
    <row r="4" spans="1:5" x14ac:dyDescent="0.3">
      <c r="A4" s="88" t="s">
        <v>95</v>
      </c>
      <c r="B4" s="87"/>
      <c r="C4" s="87"/>
      <c r="D4" s="86"/>
    </row>
    <row r="5" spans="1:5" x14ac:dyDescent="0.3">
      <c r="A5" s="85" t="s">
        <v>233</v>
      </c>
      <c r="B5" s="9">
        <f>E42/B12</f>
        <v>74968000</v>
      </c>
      <c r="C5" s="2" t="s">
        <v>232</v>
      </c>
      <c r="D5" s="70"/>
    </row>
    <row r="6" spans="1:5" ht="12.5" thickBot="1" x14ac:dyDescent="0.35">
      <c r="A6" s="84" t="s">
        <v>231</v>
      </c>
      <c r="B6" s="83">
        <f>B5/5280</f>
        <v>14198.484848484848</v>
      </c>
      <c r="C6" s="68" t="s">
        <v>230</v>
      </c>
      <c r="D6" s="82"/>
    </row>
    <row r="7" spans="1:5" x14ac:dyDescent="0.3">
      <c r="A7" s="3"/>
    </row>
    <row r="8" spans="1:5" x14ac:dyDescent="0.3">
      <c r="A8" s="3"/>
    </row>
    <row r="9" spans="1:5" x14ac:dyDescent="0.3">
      <c r="A9" s="26" t="s">
        <v>65</v>
      </c>
      <c r="B9" s="27"/>
      <c r="C9" s="27"/>
      <c r="D9" s="27"/>
    </row>
    <row r="10" spans="1:5" x14ac:dyDescent="0.3">
      <c r="A10" s="23" t="s">
        <v>0</v>
      </c>
      <c r="B10" s="23" t="s">
        <v>61</v>
      </c>
      <c r="C10" s="23" t="s">
        <v>62</v>
      </c>
      <c r="D10" s="23" t="s">
        <v>63</v>
      </c>
    </row>
    <row r="11" spans="1:5" x14ac:dyDescent="0.3">
      <c r="A11" s="16" t="s">
        <v>229</v>
      </c>
      <c r="B11" s="17"/>
      <c r="C11" s="17"/>
      <c r="D11" s="17"/>
      <c r="E11" s="4"/>
    </row>
    <row r="12" spans="1:5" x14ac:dyDescent="0.3">
      <c r="A12" s="2" t="s">
        <v>228</v>
      </c>
      <c r="B12" s="2">
        <v>0.5</v>
      </c>
      <c r="C12" s="2" t="s">
        <v>227</v>
      </c>
      <c r="E12" s="4"/>
    </row>
    <row r="13" spans="1:5" x14ac:dyDescent="0.3">
      <c r="A13" s="2" t="s">
        <v>226</v>
      </c>
      <c r="B13" s="13">
        <v>325</v>
      </c>
      <c r="C13" s="2" t="s">
        <v>224</v>
      </c>
      <c r="E13" s="4"/>
    </row>
    <row r="14" spans="1:5" x14ac:dyDescent="0.3">
      <c r="A14" s="2" t="s">
        <v>225</v>
      </c>
      <c r="B14" s="13">
        <v>8</v>
      </c>
      <c r="C14" s="2" t="s">
        <v>224</v>
      </c>
      <c r="E14" s="4"/>
    </row>
    <row r="15" spans="1:5" x14ac:dyDescent="0.3">
      <c r="A15" s="2" t="s">
        <v>223</v>
      </c>
      <c r="B15" s="13">
        <v>15</v>
      </c>
      <c r="E15" s="4"/>
    </row>
    <row r="16" spans="1:5" x14ac:dyDescent="0.3">
      <c r="A16" s="2" t="s">
        <v>222</v>
      </c>
      <c r="B16" s="13">
        <v>8</v>
      </c>
      <c r="E16" s="4"/>
    </row>
    <row r="17" spans="1:7" x14ac:dyDescent="0.3">
      <c r="A17" s="2" t="s">
        <v>221</v>
      </c>
      <c r="B17" s="13">
        <v>2</v>
      </c>
      <c r="E17" s="4"/>
    </row>
    <row r="18" spans="1:7" x14ac:dyDescent="0.3">
      <c r="B18" s="5"/>
      <c r="E18" s="4"/>
    </row>
    <row r="19" spans="1:7" x14ac:dyDescent="0.3">
      <c r="E19" s="4"/>
    </row>
    <row r="20" spans="1:7" x14ac:dyDescent="0.3">
      <c r="A20" s="26" t="s">
        <v>64</v>
      </c>
      <c r="B20" s="28"/>
      <c r="C20" s="27"/>
      <c r="D20" s="27"/>
      <c r="E20" s="29"/>
      <c r="F20" s="27"/>
      <c r="G20" s="27"/>
    </row>
    <row r="21" spans="1:7" x14ac:dyDescent="0.3">
      <c r="A21" s="23" t="s">
        <v>0</v>
      </c>
      <c r="B21" s="23" t="s">
        <v>1</v>
      </c>
      <c r="C21" s="23" t="s">
        <v>2</v>
      </c>
      <c r="D21" s="23" t="s">
        <v>3</v>
      </c>
      <c r="E21" s="24" t="s">
        <v>4</v>
      </c>
      <c r="F21" s="23" t="s">
        <v>22</v>
      </c>
      <c r="G21" s="23" t="s">
        <v>23</v>
      </c>
    </row>
    <row r="22" spans="1:7" x14ac:dyDescent="0.3">
      <c r="A22" s="32" t="s">
        <v>220</v>
      </c>
      <c r="B22" s="17"/>
      <c r="C22" s="17"/>
      <c r="D22" s="17"/>
      <c r="E22" s="30"/>
      <c r="F22" s="17"/>
      <c r="G22" s="17"/>
    </row>
    <row r="23" spans="1:7" x14ac:dyDescent="0.3">
      <c r="A23" s="8" t="s">
        <v>219</v>
      </c>
      <c r="B23" s="2" t="s">
        <v>218</v>
      </c>
      <c r="C23" s="13">
        <f>((B12*5280*B13)/43560)*1.2</f>
        <v>23.636363636363633</v>
      </c>
      <c r="D23" s="9">
        <f>10*43560</f>
        <v>435600</v>
      </c>
      <c r="E23" s="10">
        <f>C23*D23</f>
        <v>10295999.999999998</v>
      </c>
      <c r="F23" s="2" t="s">
        <v>217</v>
      </c>
      <c r="G23" s="2" t="s">
        <v>216</v>
      </c>
    </row>
    <row r="24" spans="1:7" x14ac:dyDescent="0.3">
      <c r="A24" s="8" t="s">
        <v>215</v>
      </c>
      <c r="B24" s="2" t="s">
        <v>20</v>
      </c>
      <c r="C24" s="13">
        <f>B16</f>
        <v>8</v>
      </c>
      <c r="D24" s="7">
        <v>30000</v>
      </c>
      <c r="E24" s="10">
        <f>C24*D24</f>
        <v>240000</v>
      </c>
      <c r="G24" s="2" t="s">
        <v>214</v>
      </c>
    </row>
    <row r="25" spans="1:7" x14ac:dyDescent="0.3">
      <c r="A25" s="1" t="s">
        <v>213</v>
      </c>
      <c r="C25" s="13"/>
      <c r="D25" s="7"/>
      <c r="E25" s="31">
        <f>SUM(E23:E24)</f>
        <v>10535999.999999998</v>
      </c>
    </row>
    <row r="27" spans="1:7" x14ac:dyDescent="0.3">
      <c r="A27" s="32" t="s">
        <v>212</v>
      </c>
      <c r="B27" s="17"/>
      <c r="C27" s="17"/>
      <c r="D27" s="17"/>
      <c r="E27" s="17"/>
      <c r="F27" s="17"/>
      <c r="G27" s="17"/>
    </row>
    <row r="28" spans="1:7" x14ac:dyDescent="0.3">
      <c r="A28" s="2" t="s">
        <v>76</v>
      </c>
      <c r="B28" s="2" t="s">
        <v>6</v>
      </c>
      <c r="C28" s="48">
        <f>((B12*5280*B13*B14)/27)</f>
        <v>254222.22222222222</v>
      </c>
      <c r="D28" s="7">
        <v>51.35</v>
      </c>
      <c r="E28" s="10">
        <f t="shared" ref="E28:E34" si="0">C28*D28</f>
        <v>13054311.111111112</v>
      </c>
      <c r="G28" s="2" t="s">
        <v>75</v>
      </c>
    </row>
    <row r="29" spans="1:7" x14ac:dyDescent="0.3">
      <c r="A29" s="2" t="s">
        <v>211</v>
      </c>
      <c r="B29" s="2" t="s">
        <v>210</v>
      </c>
      <c r="C29" s="48">
        <f>(C28*27*1.2/2000)*0.4</f>
        <v>1647.36</v>
      </c>
      <c r="D29" s="7">
        <v>147.33000000000001</v>
      </c>
      <c r="E29" s="10">
        <f t="shared" si="0"/>
        <v>242705.54880000002</v>
      </c>
      <c r="F29" s="2" t="s">
        <v>209</v>
      </c>
      <c r="G29" s="2" t="s">
        <v>208</v>
      </c>
    </row>
    <row r="30" spans="1:7" x14ac:dyDescent="0.3">
      <c r="A30" s="2" t="s">
        <v>207</v>
      </c>
      <c r="B30" s="2" t="s">
        <v>5</v>
      </c>
      <c r="C30" s="48">
        <f>((B12*5280*2*0.7))</f>
        <v>3695.9999999999995</v>
      </c>
      <c r="D30" s="7">
        <v>108</v>
      </c>
      <c r="E30" s="10">
        <f t="shared" si="0"/>
        <v>399167.99999999994</v>
      </c>
      <c r="F30" s="2" t="s">
        <v>206</v>
      </c>
      <c r="G30" s="2" t="s">
        <v>203</v>
      </c>
    </row>
    <row r="31" spans="1:7" x14ac:dyDescent="0.3">
      <c r="A31" s="2" t="s">
        <v>205</v>
      </c>
      <c r="B31" s="2" t="s">
        <v>5</v>
      </c>
      <c r="C31" s="48">
        <f>((B12*5280*2*0.3))</f>
        <v>1584</v>
      </c>
      <c r="D31" s="7">
        <v>260</v>
      </c>
      <c r="E31" s="10">
        <f t="shared" si="0"/>
        <v>411840</v>
      </c>
      <c r="F31" s="2" t="s">
        <v>204</v>
      </c>
      <c r="G31" s="2" t="s">
        <v>203</v>
      </c>
    </row>
    <row r="32" spans="1:7" x14ac:dyDescent="0.3">
      <c r="A32" s="2" t="s">
        <v>84</v>
      </c>
      <c r="B32" s="2" t="s">
        <v>201</v>
      </c>
      <c r="C32" s="33">
        <f>((B12*5280*B13)/43560)</f>
        <v>19.696969696969695</v>
      </c>
      <c r="D32" s="7">
        <v>12200</v>
      </c>
      <c r="E32" s="10">
        <f t="shared" si="0"/>
        <v>240303.03030303027</v>
      </c>
      <c r="F32" s="2" t="s">
        <v>200</v>
      </c>
      <c r="G32" s="2" t="s">
        <v>198</v>
      </c>
    </row>
    <row r="33" spans="1:7" x14ac:dyDescent="0.3">
      <c r="A33" s="2" t="s">
        <v>202</v>
      </c>
      <c r="B33" s="2" t="s">
        <v>201</v>
      </c>
      <c r="C33" s="33">
        <f>((B12*5280*B13)/43560)</f>
        <v>19.696969696969695</v>
      </c>
      <c r="D33" s="7">
        <f>(0.6/9)*43560</f>
        <v>2904</v>
      </c>
      <c r="E33" s="10">
        <f t="shared" si="0"/>
        <v>57199.999999999993</v>
      </c>
      <c r="F33" s="2" t="s">
        <v>200</v>
      </c>
      <c r="G33" s="2" t="s">
        <v>198</v>
      </c>
    </row>
    <row r="34" spans="1:7" x14ac:dyDescent="0.3">
      <c r="A34" s="2" t="s">
        <v>199</v>
      </c>
      <c r="B34" s="2" t="s">
        <v>20</v>
      </c>
      <c r="C34" s="6">
        <f>B17</f>
        <v>2</v>
      </c>
      <c r="D34" s="7">
        <v>150000</v>
      </c>
      <c r="E34" s="10">
        <f t="shared" si="0"/>
        <v>300000</v>
      </c>
      <c r="G34" s="2" t="s">
        <v>198</v>
      </c>
    </row>
    <row r="35" spans="1:7" x14ac:dyDescent="0.3">
      <c r="A35" s="1" t="s">
        <v>197</v>
      </c>
      <c r="C35" s="6"/>
      <c r="D35" s="7"/>
      <c r="E35" s="31">
        <f>SUM(E28:E34)</f>
        <v>14705527.690214142</v>
      </c>
    </row>
    <row r="36" spans="1:7" x14ac:dyDescent="0.3">
      <c r="A36" s="1"/>
      <c r="C36" s="6"/>
      <c r="D36" s="7"/>
      <c r="E36" s="31"/>
    </row>
    <row r="37" spans="1:7" x14ac:dyDescent="0.3">
      <c r="A37" s="32" t="s">
        <v>88</v>
      </c>
      <c r="B37" s="17"/>
      <c r="C37" s="17"/>
      <c r="D37" s="17"/>
      <c r="E37" s="17"/>
      <c r="F37" s="17"/>
      <c r="G37" s="17"/>
    </row>
    <row r="38" spans="1:7" x14ac:dyDescent="0.3">
      <c r="A38" s="2" t="s">
        <v>196</v>
      </c>
      <c r="E38" s="10">
        <f>E25+E35</f>
        <v>25241527.690214142</v>
      </c>
      <c r="F38" s="2" t="s">
        <v>91</v>
      </c>
      <c r="G38" s="11"/>
    </row>
    <row r="39" spans="1:7" x14ac:dyDescent="0.3">
      <c r="A39" s="2" t="s">
        <v>89</v>
      </c>
      <c r="E39" s="10">
        <f>E38*0.1</f>
        <v>2524152.7690214142</v>
      </c>
      <c r="G39" s="11"/>
    </row>
    <row r="40" spans="1:7" x14ac:dyDescent="0.3">
      <c r="A40" s="25" t="s">
        <v>90</v>
      </c>
      <c r="E40" s="34">
        <f>E38+E39</f>
        <v>27765680.459235556</v>
      </c>
      <c r="G40" s="11"/>
    </row>
    <row r="41" spans="1:7" x14ac:dyDescent="0.3">
      <c r="A41" s="2" t="s">
        <v>92</v>
      </c>
      <c r="E41" s="35">
        <f>E40*0.35</f>
        <v>9717988.1607324444</v>
      </c>
    </row>
    <row r="42" spans="1:7" ht="13.5" x14ac:dyDescent="0.45">
      <c r="A42" s="25" t="s">
        <v>93</v>
      </c>
      <c r="E42" s="37">
        <f>ROUND(E40+E41,-3)</f>
        <v>37484000</v>
      </c>
      <c r="F42" s="2" t="s">
        <v>94</v>
      </c>
    </row>
    <row r="43" spans="1:7" x14ac:dyDescent="0.3">
      <c r="E43" s="4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E8E5-C381-EB41-A06D-CAA93BECB81F}">
  <dimension ref="A1:I12"/>
  <sheetViews>
    <sheetView workbookViewId="0">
      <selection activeCell="E68" sqref="E68"/>
    </sheetView>
  </sheetViews>
  <sheetFormatPr defaultColWidth="8.81640625" defaultRowHeight="14.5" x14ac:dyDescent="0.35"/>
  <cols>
    <col min="1" max="1" width="16.6328125" customWidth="1"/>
    <col min="2" max="3" width="13.6328125" customWidth="1"/>
    <col min="4" max="4" width="16.1796875" bestFit="1" customWidth="1"/>
    <col min="5" max="5" width="16.81640625" bestFit="1" customWidth="1"/>
    <col min="6" max="6" width="22.81640625" bestFit="1" customWidth="1"/>
    <col min="7" max="7" width="16.1796875" customWidth="1"/>
    <col min="8" max="8" width="18" customWidth="1"/>
    <col min="9" max="9" width="22.81640625" bestFit="1" customWidth="1"/>
  </cols>
  <sheetData>
    <row r="1" spans="1:9" x14ac:dyDescent="0.35">
      <c r="A1" s="12" t="s">
        <v>152</v>
      </c>
      <c r="B1" s="2"/>
      <c r="C1" s="2"/>
      <c r="D1" s="2"/>
      <c r="E1" s="2"/>
      <c r="F1" s="2"/>
      <c r="G1" s="2"/>
      <c r="H1" s="2"/>
    </row>
    <row r="2" spans="1:9" x14ac:dyDescent="0.35">
      <c r="A2" s="12" t="s">
        <v>60</v>
      </c>
      <c r="B2" s="2"/>
      <c r="C2" s="2"/>
      <c r="D2" s="2"/>
      <c r="E2" s="2"/>
      <c r="F2" s="2"/>
      <c r="G2" s="2"/>
      <c r="H2" s="2"/>
    </row>
    <row r="3" spans="1:9" x14ac:dyDescent="0.35">
      <c r="A3" s="12"/>
      <c r="B3" s="2"/>
      <c r="C3" s="2"/>
      <c r="D3" s="2"/>
      <c r="E3" s="2"/>
      <c r="F3" s="2"/>
      <c r="G3" s="2"/>
      <c r="H3" s="2"/>
    </row>
    <row r="4" spans="1:9" s="2" customFormat="1" ht="12.5" thickBot="1" x14ac:dyDescent="0.35">
      <c r="A4" s="26" t="s">
        <v>151</v>
      </c>
      <c r="B4" s="27"/>
      <c r="C4" s="27"/>
      <c r="D4" s="27"/>
      <c r="E4" s="27"/>
      <c r="F4" s="27"/>
      <c r="G4" s="27"/>
      <c r="H4" s="27"/>
      <c r="I4" s="27"/>
    </row>
    <row r="5" spans="1:9" s="2" customFormat="1" ht="12" x14ac:dyDescent="0.3">
      <c r="A5" s="89" t="s">
        <v>150</v>
      </c>
      <c r="B5" s="89" t="s">
        <v>149</v>
      </c>
      <c r="C5" s="62" t="s">
        <v>148</v>
      </c>
      <c r="D5" s="65" t="s">
        <v>147</v>
      </c>
      <c r="E5" s="64" t="s">
        <v>146</v>
      </c>
      <c r="F5" s="63" t="s">
        <v>145</v>
      </c>
      <c r="G5" s="65" t="s">
        <v>144</v>
      </c>
      <c r="H5" s="64" t="s">
        <v>143</v>
      </c>
      <c r="I5" s="63" t="s">
        <v>142</v>
      </c>
    </row>
    <row r="6" spans="1:9" s="2" customFormat="1" ht="12" x14ac:dyDescent="0.3">
      <c r="A6" s="89" t="s">
        <v>140</v>
      </c>
      <c r="B6" s="89" t="s">
        <v>139</v>
      </c>
      <c r="C6" s="62" t="s">
        <v>141</v>
      </c>
      <c r="D6" s="61">
        <v>0.66</v>
      </c>
      <c r="E6" s="89" t="s">
        <v>140</v>
      </c>
      <c r="F6" s="59" t="s">
        <v>139</v>
      </c>
      <c r="G6" s="61">
        <v>0.88</v>
      </c>
      <c r="H6" s="89" t="s">
        <v>140</v>
      </c>
      <c r="I6" s="59" t="s">
        <v>139</v>
      </c>
    </row>
    <row r="7" spans="1:9" s="2" customFormat="1" ht="12" x14ac:dyDescent="0.3">
      <c r="A7" s="55" t="s">
        <v>138</v>
      </c>
      <c r="B7" s="54">
        <v>187.09531359207489</v>
      </c>
      <c r="C7" s="53">
        <v>4.1319955298761029</v>
      </c>
      <c r="D7" s="57">
        <f>C7*(1+$D$6)</f>
        <v>6.8591125795943313</v>
      </c>
      <c r="E7" s="58" t="str">
        <f>A8</f>
        <v>15 to 24</v>
      </c>
      <c r="F7" s="56">
        <f>B8-B7</f>
        <v>252.10337453022885</v>
      </c>
      <c r="G7" s="57">
        <f>C7*(1+$G$6)</f>
        <v>7.7681515961670726</v>
      </c>
      <c r="H7" s="58" t="str">
        <f>A8</f>
        <v>15 to 24</v>
      </c>
      <c r="I7" s="56">
        <f>B8-B7</f>
        <v>252.10337453022885</v>
      </c>
    </row>
    <row r="8" spans="1:9" s="2" customFormat="1" ht="12" x14ac:dyDescent="0.3">
      <c r="A8" s="55" t="s">
        <v>137</v>
      </c>
      <c r="B8" s="54">
        <v>439.19868812230374</v>
      </c>
      <c r="C8" s="53">
        <v>25.938753510992388</v>
      </c>
      <c r="D8" s="57">
        <f>C8*(1+$D$6)</f>
        <v>43.058330828247371</v>
      </c>
      <c r="E8" s="58" t="str">
        <f>A9</f>
        <v>30 to 42</v>
      </c>
      <c r="F8" s="56">
        <f>B9-B8</f>
        <v>280.04867758019662</v>
      </c>
      <c r="G8" s="57">
        <f>C8*(1+$G$6)</f>
        <v>48.764856600665688</v>
      </c>
      <c r="H8" s="58" t="str">
        <f>A9</f>
        <v>30 to 42</v>
      </c>
      <c r="I8" s="56">
        <f>B9-B8</f>
        <v>280.04867758019662</v>
      </c>
    </row>
    <row r="9" spans="1:9" s="2" customFormat="1" ht="12" x14ac:dyDescent="0.3">
      <c r="A9" s="55" t="s">
        <v>136</v>
      </c>
      <c r="B9" s="54">
        <v>719.24736570250036</v>
      </c>
      <c r="C9" s="53">
        <v>120.27666454226043</v>
      </c>
      <c r="D9" s="57">
        <f>C9*(1+$D$6)</f>
        <v>199.65926314015235</v>
      </c>
      <c r="E9" s="58" t="str">
        <f>A10</f>
        <v>48 to 54</v>
      </c>
      <c r="F9" s="56">
        <f>B10-B9</f>
        <v>845.87781980781926</v>
      </c>
      <c r="G9" s="57">
        <f>C9*(1+$G$6)</f>
        <v>226.12012933944959</v>
      </c>
      <c r="H9" s="58" t="str">
        <f>A10</f>
        <v>48 to 54</v>
      </c>
      <c r="I9" s="56">
        <f>B10-B9</f>
        <v>845.87781980781926</v>
      </c>
    </row>
    <row r="10" spans="1:9" s="2" customFormat="1" ht="12" x14ac:dyDescent="0.3">
      <c r="A10" s="55" t="s">
        <v>135</v>
      </c>
      <c r="B10" s="54">
        <v>1565.1251855103196</v>
      </c>
      <c r="C10" s="53">
        <v>294.7018811645753</v>
      </c>
      <c r="D10" s="57">
        <f>C10*(1+$D$6)</f>
        <v>489.20512273319503</v>
      </c>
      <c r="E10" s="58" t="str">
        <f>A11</f>
        <v>60 to 66</v>
      </c>
      <c r="F10" s="56">
        <f>B11-B10</f>
        <v>629.9650787215046</v>
      </c>
      <c r="G10" s="57">
        <f>C10*(1+$G$6)</f>
        <v>554.03953658940156</v>
      </c>
      <c r="H10" s="55" t="str">
        <f>A12</f>
        <v>72 to 90</v>
      </c>
      <c r="I10" s="56">
        <f>B12-B10</f>
        <v>1407.7425867119027</v>
      </c>
    </row>
    <row r="11" spans="1:9" s="2" customFormat="1" ht="12" x14ac:dyDescent="0.3">
      <c r="A11" s="55" t="s">
        <v>134</v>
      </c>
      <c r="B11" s="54">
        <v>2195.0902642318242</v>
      </c>
      <c r="C11" s="53">
        <v>516.36915650886488</v>
      </c>
      <c r="D11" s="57">
        <f>C11*(1+$D$6)</f>
        <v>857.17279980471574</v>
      </c>
      <c r="E11" s="58" t="str">
        <f>A12</f>
        <v>72 to 90</v>
      </c>
      <c r="F11" s="56">
        <f>B12-B11</f>
        <v>777.77750799039814</v>
      </c>
      <c r="G11" s="57">
        <f>C11*(1+$G$6)</f>
        <v>970.77401423666595</v>
      </c>
      <c r="H11" s="55" t="str">
        <f>A12</f>
        <v>72 to 90</v>
      </c>
      <c r="I11" s="56">
        <f>B12-B11</f>
        <v>777.77750799039814</v>
      </c>
    </row>
    <row r="12" spans="1:9" ht="15" thickBot="1" x14ac:dyDescent="0.4">
      <c r="A12" s="55" t="s">
        <v>235</v>
      </c>
      <c r="B12" s="54">
        <v>2972.8677722222224</v>
      </c>
      <c r="C12" s="53">
        <v>1019.5238783884881</v>
      </c>
      <c r="D12" s="51"/>
      <c r="E12" s="52" t="str">
        <f>A12</f>
        <v>72 to 90</v>
      </c>
      <c r="F12" s="49">
        <v>0</v>
      </c>
      <c r="G12" s="51"/>
      <c r="H12" s="50" t="str">
        <f>A12</f>
        <v>72 to 90</v>
      </c>
      <c r="I12" s="49"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5910-1FC8-0347-8871-DED20236D2BB}">
  <dimension ref="A1:X39"/>
  <sheetViews>
    <sheetView zoomScale="119" workbookViewId="0">
      <selection activeCell="B50" sqref="B50"/>
    </sheetView>
  </sheetViews>
  <sheetFormatPr defaultColWidth="8.6328125" defaultRowHeight="12" x14ac:dyDescent="0.3"/>
  <cols>
    <col min="1" max="1" width="42" style="2" bestFit="1" customWidth="1"/>
    <col min="2" max="2" width="11.1796875" style="2" customWidth="1"/>
    <col min="3" max="11" width="8.81640625" style="2" bestFit="1" customWidth="1"/>
    <col min="12" max="23" width="9" style="2" bestFit="1" customWidth="1"/>
    <col min="24" max="16384" width="8.6328125" style="2"/>
  </cols>
  <sheetData>
    <row r="1" spans="1:24" x14ac:dyDescent="0.3">
      <c r="A1" s="3" t="s">
        <v>152</v>
      </c>
      <c r="B1" s="3"/>
    </row>
    <row r="2" spans="1:24" x14ac:dyDescent="0.3">
      <c r="A2" s="3" t="s">
        <v>60</v>
      </c>
      <c r="B2" s="3"/>
    </row>
    <row r="3" spans="1:24" x14ac:dyDescent="0.3">
      <c r="A3" s="3"/>
      <c r="B3" s="3"/>
    </row>
    <row r="4" spans="1:24" x14ac:dyDescent="0.3">
      <c r="A4" s="26" t="s">
        <v>185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x14ac:dyDescent="0.3">
      <c r="A5" s="32" t="s">
        <v>184</v>
      </c>
      <c r="B5" s="32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3">
      <c r="A6" s="2" t="s">
        <v>183</v>
      </c>
      <c r="B6" s="2" t="s">
        <v>154</v>
      </c>
      <c r="C6" s="2">
        <v>8</v>
      </c>
      <c r="D6" s="2">
        <v>12</v>
      </c>
      <c r="E6" s="2">
        <v>15</v>
      </c>
      <c r="F6" s="2">
        <v>21</v>
      </c>
      <c r="G6" s="2">
        <v>24</v>
      </c>
      <c r="H6" s="2">
        <v>30</v>
      </c>
      <c r="I6" s="2">
        <v>36</v>
      </c>
      <c r="J6" s="2">
        <v>42</v>
      </c>
      <c r="K6" s="2">
        <v>48</v>
      </c>
      <c r="L6" s="2">
        <v>54</v>
      </c>
      <c r="M6" s="2">
        <v>60</v>
      </c>
      <c r="N6" s="2">
        <v>66</v>
      </c>
      <c r="O6" s="2">
        <v>72</v>
      </c>
      <c r="P6" s="2">
        <v>78</v>
      </c>
      <c r="Q6" s="2">
        <v>84</v>
      </c>
      <c r="R6" s="2">
        <v>90</v>
      </c>
      <c r="S6" s="2">
        <v>96</v>
      </c>
      <c r="T6" s="2">
        <v>108</v>
      </c>
      <c r="U6" s="2">
        <v>120</v>
      </c>
      <c r="V6" s="2">
        <v>132</v>
      </c>
      <c r="W6" s="2">
        <v>144</v>
      </c>
      <c r="X6" s="2">
        <v>156</v>
      </c>
    </row>
    <row r="7" spans="1:24" x14ac:dyDescent="0.3">
      <c r="A7" s="2" t="s">
        <v>182</v>
      </c>
      <c r="B7" s="2" t="s">
        <v>5</v>
      </c>
      <c r="C7" s="2">
        <v>300</v>
      </c>
      <c r="D7" s="2">
        <v>300</v>
      </c>
      <c r="E7" s="2">
        <v>300</v>
      </c>
      <c r="F7" s="2">
        <v>300</v>
      </c>
      <c r="G7" s="2">
        <v>300</v>
      </c>
      <c r="H7" s="2">
        <v>300</v>
      </c>
      <c r="I7" s="2">
        <v>300</v>
      </c>
      <c r="J7" s="2">
        <v>300</v>
      </c>
      <c r="K7" s="2">
        <v>300</v>
      </c>
      <c r="L7" s="2">
        <v>300</v>
      </c>
      <c r="M7" s="2">
        <v>300</v>
      </c>
      <c r="N7" s="2">
        <v>300</v>
      </c>
      <c r="O7" s="2">
        <v>300</v>
      </c>
      <c r="P7" s="2">
        <v>300</v>
      </c>
      <c r="Q7" s="2">
        <v>300</v>
      </c>
      <c r="R7" s="2">
        <v>300</v>
      </c>
      <c r="S7" s="2">
        <v>300</v>
      </c>
      <c r="T7" s="2">
        <v>300</v>
      </c>
      <c r="U7" s="2">
        <v>300</v>
      </c>
      <c r="V7" s="2">
        <v>300</v>
      </c>
      <c r="W7" s="2">
        <v>300</v>
      </c>
      <c r="X7" s="2">
        <v>300</v>
      </c>
    </row>
    <row r="8" spans="1:24" x14ac:dyDescent="0.3">
      <c r="A8" s="2" t="s">
        <v>181</v>
      </c>
      <c r="B8" s="2" t="s">
        <v>179</v>
      </c>
      <c r="C8" s="6">
        <f t="shared" ref="C8:X8" si="0">(C6/12)+3</f>
        <v>3.6666666666666665</v>
      </c>
      <c r="D8" s="6">
        <f t="shared" si="0"/>
        <v>4</v>
      </c>
      <c r="E8" s="6">
        <f t="shared" si="0"/>
        <v>4.25</v>
      </c>
      <c r="F8" s="6">
        <f t="shared" si="0"/>
        <v>4.75</v>
      </c>
      <c r="G8" s="6">
        <f t="shared" si="0"/>
        <v>5</v>
      </c>
      <c r="H8" s="6">
        <f t="shared" si="0"/>
        <v>5.5</v>
      </c>
      <c r="I8" s="6">
        <f t="shared" si="0"/>
        <v>6</v>
      </c>
      <c r="J8" s="6">
        <f t="shared" si="0"/>
        <v>6.5</v>
      </c>
      <c r="K8" s="6">
        <f t="shared" si="0"/>
        <v>7</v>
      </c>
      <c r="L8" s="6">
        <f t="shared" si="0"/>
        <v>7.5</v>
      </c>
      <c r="M8" s="6">
        <f t="shared" si="0"/>
        <v>8</v>
      </c>
      <c r="N8" s="6">
        <f t="shared" si="0"/>
        <v>8.5</v>
      </c>
      <c r="O8" s="6">
        <f t="shared" si="0"/>
        <v>9</v>
      </c>
      <c r="P8" s="6">
        <f t="shared" si="0"/>
        <v>9.5</v>
      </c>
      <c r="Q8" s="6">
        <f t="shared" si="0"/>
        <v>10</v>
      </c>
      <c r="R8" s="6">
        <f t="shared" si="0"/>
        <v>10.5</v>
      </c>
      <c r="S8" s="6">
        <f t="shared" si="0"/>
        <v>11</v>
      </c>
      <c r="T8" s="6">
        <f t="shared" si="0"/>
        <v>12</v>
      </c>
      <c r="U8" s="6">
        <f t="shared" si="0"/>
        <v>13</v>
      </c>
      <c r="V8" s="6">
        <f t="shared" si="0"/>
        <v>14</v>
      </c>
      <c r="W8" s="6">
        <f t="shared" si="0"/>
        <v>15</v>
      </c>
      <c r="X8" s="6">
        <f t="shared" si="0"/>
        <v>16</v>
      </c>
    </row>
    <row r="9" spans="1:24" x14ac:dyDescent="0.3">
      <c r="A9" s="2" t="s">
        <v>180</v>
      </c>
      <c r="B9" s="2" t="s">
        <v>179</v>
      </c>
      <c r="C9" s="6">
        <f t="shared" ref="C9:X9" si="1">(C6/12)*3.5</f>
        <v>2.333333333333333</v>
      </c>
      <c r="D9" s="6">
        <f t="shared" si="1"/>
        <v>3.5</v>
      </c>
      <c r="E9" s="6">
        <f t="shared" si="1"/>
        <v>4.375</v>
      </c>
      <c r="F9" s="6">
        <f t="shared" si="1"/>
        <v>6.125</v>
      </c>
      <c r="G9" s="6">
        <f t="shared" si="1"/>
        <v>7</v>
      </c>
      <c r="H9" s="6">
        <f t="shared" si="1"/>
        <v>8.75</v>
      </c>
      <c r="I9" s="6">
        <f t="shared" si="1"/>
        <v>10.5</v>
      </c>
      <c r="J9" s="6">
        <f t="shared" si="1"/>
        <v>12.25</v>
      </c>
      <c r="K9" s="6">
        <f t="shared" si="1"/>
        <v>14</v>
      </c>
      <c r="L9" s="6">
        <f t="shared" si="1"/>
        <v>15.75</v>
      </c>
      <c r="M9" s="6">
        <f t="shared" si="1"/>
        <v>17.5</v>
      </c>
      <c r="N9" s="6">
        <f t="shared" si="1"/>
        <v>19.25</v>
      </c>
      <c r="O9" s="6">
        <f t="shared" si="1"/>
        <v>21</v>
      </c>
      <c r="P9" s="6">
        <f t="shared" si="1"/>
        <v>22.75</v>
      </c>
      <c r="Q9" s="6">
        <f t="shared" si="1"/>
        <v>24.5</v>
      </c>
      <c r="R9" s="6">
        <f t="shared" si="1"/>
        <v>26.25</v>
      </c>
      <c r="S9" s="6">
        <f t="shared" si="1"/>
        <v>28</v>
      </c>
      <c r="T9" s="6">
        <f t="shared" si="1"/>
        <v>31.5</v>
      </c>
      <c r="U9" s="6">
        <f t="shared" si="1"/>
        <v>35</v>
      </c>
      <c r="V9" s="6">
        <f t="shared" si="1"/>
        <v>38.5</v>
      </c>
      <c r="W9" s="6">
        <f t="shared" si="1"/>
        <v>42</v>
      </c>
      <c r="X9" s="6">
        <f t="shared" si="1"/>
        <v>45.5</v>
      </c>
    </row>
    <row r="10" spans="1:24" x14ac:dyDescent="0.3">
      <c r="A10" s="2" t="s">
        <v>178</v>
      </c>
      <c r="B10" s="2" t="s">
        <v>6</v>
      </c>
      <c r="C10" s="13">
        <f t="shared" ref="C10:X10" si="2">(C7*C8*C9)/27</f>
        <v>95.061728395061721</v>
      </c>
      <c r="D10" s="13">
        <f t="shared" si="2"/>
        <v>155.55555555555554</v>
      </c>
      <c r="E10" s="13">
        <f t="shared" si="2"/>
        <v>206.59722222222223</v>
      </c>
      <c r="F10" s="13">
        <f t="shared" si="2"/>
        <v>323.26388888888891</v>
      </c>
      <c r="G10" s="13">
        <f t="shared" si="2"/>
        <v>388.88888888888891</v>
      </c>
      <c r="H10" s="13">
        <f t="shared" si="2"/>
        <v>534.72222222222217</v>
      </c>
      <c r="I10" s="13">
        <f t="shared" si="2"/>
        <v>700</v>
      </c>
      <c r="J10" s="13">
        <f t="shared" si="2"/>
        <v>884.72222222222217</v>
      </c>
      <c r="K10" s="13">
        <f t="shared" si="2"/>
        <v>1088.8888888888889</v>
      </c>
      <c r="L10" s="13">
        <f t="shared" si="2"/>
        <v>1312.5</v>
      </c>
      <c r="M10" s="13">
        <f t="shared" si="2"/>
        <v>1555.5555555555557</v>
      </c>
      <c r="N10" s="13">
        <f t="shared" si="2"/>
        <v>1818.0555555555557</v>
      </c>
      <c r="O10" s="13">
        <f t="shared" si="2"/>
        <v>2100</v>
      </c>
      <c r="P10" s="13">
        <f t="shared" si="2"/>
        <v>2401.3888888888887</v>
      </c>
      <c r="Q10" s="13">
        <f t="shared" si="2"/>
        <v>2722.2222222222222</v>
      </c>
      <c r="R10" s="13">
        <f t="shared" si="2"/>
        <v>3062.5</v>
      </c>
      <c r="S10" s="13">
        <f t="shared" si="2"/>
        <v>3422.2222222222222</v>
      </c>
      <c r="T10" s="13">
        <f t="shared" si="2"/>
        <v>4200</v>
      </c>
      <c r="U10" s="13">
        <f t="shared" si="2"/>
        <v>5055.5555555555557</v>
      </c>
      <c r="V10" s="13">
        <f t="shared" si="2"/>
        <v>5988.8888888888887</v>
      </c>
      <c r="W10" s="13">
        <f t="shared" si="2"/>
        <v>7000</v>
      </c>
      <c r="X10" s="13">
        <f t="shared" si="2"/>
        <v>8088.8888888888887</v>
      </c>
    </row>
    <row r="11" spans="1:24" x14ac:dyDescent="0.3">
      <c r="A11" s="2" t="s">
        <v>177</v>
      </c>
      <c r="B11" s="2" t="s">
        <v>6</v>
      </c>
      <c r="C11" s="13">
        <f t="shared" ref="C11:X11" si="3">(C7*C9*(10/12))/27</f>
        <v>21.604938271604937</v>
      </c>
      <c r="D11" s="13">
        <f t="shared" si="3"/>
        <v>32.407407407407405</v>
      </c>
      <c r="E11" s="13">
        <f t="shared" si="3"/>
        <v>40.50925925925926</v>
      </c>
      <c r="F11" s="13">
        <f t="shared" si="3"/>
        <v>56.712962962962962</v>
      </c>
      <c r="G11" s="13">
        <f t="shared" si="3"/>
        <v>64.81481481481481</v>
      </c>
      <c r="H11" s="13">
        <f t="shared" si="3"/>
        <v>81.018518518518519</v>
      </c>
      <c r="I11" s="13">
        <f t="shared" si="3"/>
        <v>97.222222222222229</v>
      </c>
      <c r="J11" s="13">
        <f t="shared" si="3"/>
        <v>113.42592592592592</v>
      </c>
      <c r="K11" s="13">
        <f t="shared" si="3"/>
        <v>129.62962962962962</v>
      </c>
      <c r="L11" s="13">
        <f t="shared" si="3"/>
        <v>145.83333333333334</v>
      </c>
      <c r="M11" s="13">
        <f t="shared" si="3"/>
        <v>162.03703703703704</v>
      </c>
      <c r="N11" s="13">
        <f t="shared" si="3"/>
        <v>178.24074074074073</v>
      </c>
      <c r="O11" s="13">
        <f t="shared" si="3"/>
        <v>194.44444444444446</v>
      </c>
      <c r="P11" s="13">
        <f t="shared" si="3"/>
        <v>210.64814814814815</v>
      </c>
      <c r="Q11" s="13">
        <f t="shared" si="3"/>
        <v>226.85185185185185</v>
      </c>
      <c r="R11" s="13">
        <f t="shared" si="3"/>
        <v>243.05555555555554</v>
      </c>
      <c r="S11" s="13">
        <f t="shared" si="3"/>
        <v>259.25925925925924</v>
      </c>
      <c r="T11" s="13">
        <f t="shared" si="3"/>
        <v>291.66666666666669</v>
      </c>
      <c r="U11" s="13">
        <f t="shared" si="3"/>
        <v>324.07407407407408</v>
      </c>
      <c r="V11" s="13">
        <f t="shared" si="3"/>
        <v>356.48148148148147</v>
      </c>
      <c r="W11" s="13">
        <f t="shared" si="3"/>
        <v>388.88888888888891</v>
      </c>
      <c r="X11" s="13">
        <f t="shared" si="3"/>
        <v>421.2962962962963</v>
      </c>
    </row>
    <row r="12" spans="1:24" x14ac:dyDescent="0.3">
      <c r="A12" s="2" t="s">
        <v>176</v>
      </c>
      <c r="B12" s="2" t="s">
        <v>174</v>
      </c>
      <c r="C12" s="13">
        <f t="shared" ref="C12:X12" si="4">(C7*C9)/9</f>
        <v>77.777777777777771</v>
      </c>
      <c r="D12" s="13">
        <f t="shared" si="4"/>
        <v>116.66666666666667</v>
      </c>
      <c r="E12" s="13">
        <f t="shared" si="4"/>
        <v>145.83333333333334</v>
      </c>
      <c r="F12" s="13">
        <f t="shared" si="4"/>
        <v>204.16666666666666</v>
      </c>
      <c r="G12" s="13">
        <f t="shared" si="4"/>
        <v>233.33333333333334</v>
      </c>
      <c r="H12" s="13">
        <f t="shared" si="4"/>
        <v>291.66666666666669</v>
      </c>
      <c r="I12" s="13">
        <f t="shared" si="4"/>
        <v>350</v>
      </c>
      <c r="J12" s="13">
        <f t="shared" si="4"/>
        <v>408.33333333333331</v>
      </c>
      <c r="K12" s="13">
        <f t="shared" si="4"/>
        <v>466.66666666666669</v>
      </c>
      <c r="L12" s="13">
        <f t="shared" si="4"/>
        <v>525</v>
      </c>
      <c r="M12" s="13">
        <f t="shared" si="4"/>
        <v>583.33333333333337</v>
      </c>
      <c r="N12" s="13">
        <f t="shared" si="4"/>
        <v>641.66666666666663</v>
      </c>
      <c r="O12" s="13">
        <f t="shared" si="4"/>
        <v>700</v>
      </c>
      <c r="P12" s="13">
        <f t="shared" si="4"/>
        <v>758.33333333333337</v>
      </c>
      <c r="Q12" s="13">
        <f t="shared" si="4"/>
        <v>816.66666666666663</v>
      </c>
      <c r="R12" s="13">
        <f t="shared" si="4"/>
        <v>875</v>
      </c>
      <c r="S12" s="13">
        <f t="shared" si="4"/>
        <v>933.33333333333337</v>
      </c>
      <c r="T12" s="13">
        <f t="shared" si="4"/>
        <v>1050</v>
      </c>
      <c r="U12" s="13">
        <f t="shared" si="4"/>
        <v>1166.6666666666667</v>
      </c>
      <c r="V12" s="13">
        <f t="shared" si="4"/>
        <v>1283.3333333333333</v>
      </c>
      <c r="W12" s="13">
        <f t="shared" si="4"/>
        <v>1400</v>
      </c>
      <c r="X12" s="13">
        <f t="shared" si="4"/>
        <v>1516.6666666666667</v>
      </c>
    </row>
    <row r="13" spans="1:24" x14ac:dyDescent="0.3">
      <c r="A13" s="2" t="s">
        <v>175</v>
      </c>
      <c r="B13" s="2" t="s">
        <v>174</v>
      </c>
      <c r="C13" s="78">
        <f t="shared" ref="C13:X13" si="5">(C7*C9)/9</f>
        <v>77.777777777777771</v>
      </c>
      <c r="D13" s="78">
        <f t="shared" si="5"/>
        <v>116.66666666666667</v>
      </c>
      <c r="E13" s="78">
        <f t="shared" si="5"/>
        <v>145.83333333333334</v>
      </c>
      <c r="F13" s="78">
        <f t="shared" si="5"/>
        <v>204.16666666666666</v>
      </c>
      <c r="G13" s="78">
        <f t="shared" si="5"/>
        <v>233.33333333333334</v>
      </c>
      <c r="H13" s="78">
        <f t="shared" si="5"/>
        <v>291.66666666666669</v>
      </c>
      <c r="I13" s="78">
        <f t="shared" si="5"/>
        <v>350</v>
      </c>
      <c r="J13" s="78">
        <f t="shared" si="5"/>
        <v>408.33333333333331</v>
      </c>
      <c r="K13" s="78">
        <f t="shared" si="5"/>
        <v>466.66666666666669</v>
      </c>
      <c r="L13" s="78">
        <f t="shared" si="5"/>
        <v>525</v>
      </c>
      <c r="M13" s="78">
        <f t="shared" si="5"/>
        <v>583.33333333333337</v>
      </c>
      <c r="N13" s="78">
        <f t="shared" si="5"/>
        <v>641.66666666666663</v>
      </c>
      <c r="O13" s="78">
        <f t="shared" si="5"/>
        <v>700</v>
      </c>
      <c r="P13" s="78">
        <f t="shared" si="5"/>
        <v>758.33333333333337</v>
      </c>
      <c r="Q13" s="78">
        <f t="shared" si="5"/>
        <v>816.66666666666663</v>
      </c>
      <c r="R13" s="78">
        <f t="shared" si="5"/>
        <v>875</v>
      </c>
      <c r="S13" s="78">
        <f t="shared" si="5"/>
        <v>933.33333333333337</v>
      </c>
      <c r="T13" s="78">
        <f t="shared" si="5"/>
        <v>1050</v>
      </c>
      <c r="U13" s="78">
        <f t="shared" si="5"/>
        <v>1166.6666666666667</v>
      </c>
      <c r="V13" s="78">
        <f t="shared" si="5"/>
        <v>1283.3333333333333</v>
      </c>
      <c r="W13" s="78">
        <f t="shared" si="5"/>
        <v>1400</v>
      </c>
      <c r="X13" s="78">
        <f t="shared" si="5"/>
        <v>1516.6666666666667</v>
      </c>
    </row>
    <row r="14" spans="1:24" x14ac:dyDescent="0.3">
      <c r="A14" s="2" t="s">
        <v>173</v>
      </c>
      <c r="B14" s="2" t="s">
        <v>6</v>
      </c>
      <c r="C14" s="78">
        <f t="shared" ref="C14:X14" si="6">(C7*C9*(8/12))/27</f>
        <v>17.283950617283946</v>
      </c>
      <c r="D14" s="78">
        <f t="shared" si="6"/>
        <v>25.925925925925927</v>
      </c>
      <c r="E14" s="78">
        <f t="shared" si="6"/>
        <v>32.407407407407405</v>
      </c>
      <c r="F14" s="78">
        <f t="shared" si="6"/>
        <v>45.370370370370374</v>
      </c>
      <c r="G14" s="78">
        <f t="shared" si="6"/>
        <v>51.851851851851855</v>
      </c>
      <c r="H14" s="78">
        <f t="shared" si="6"/>
        <v>64.81481481481481</v>
      </c>
      <c r="I14" s="78">
        <f t="shared" si="6"/>
        <v>77.777777777777771</v>
      </c>
      <c r="J14" s="78">
        <f t="shared" si="6"/>
        <v>90.740740740740748</v>
      </c>
      <c r="K14" s="78">
        <f t="shared" si="6"/>
        <v>103.70370370370371</v>
      </c>
      <c r="L14" s="78">
        <f t="shared" si="6"/>
        <v>116.66666666666667</v>
      </c>
      <c r="M14" s="78">
        <f t="shared" si="6"/>
        <v>129.62962962962962</v>
      </c>
      <c r="N14" s="78">
        <f t="shared" si="6"/>
        <v>142.59259259259258</v>
      </c>
      <c r="O14" s="78">
        <f t="shared" si="6"/>
        <v>155.55555555555554</v>
      </c>
      <c r="P14" s="78">
        <f t="shared" si="6"/>
        <v>168.5185185185185</v>
      </c>
      <c r="Q14" s="78">
        <f t="shared" si="6"/>
        <v>181.4814814814815</v>
      </c>
      <c r="R14" s="78">
        <f t="shared" si="6"/>
        <v>194.44444444444446</v>
      </c>
      <c r="S14" s="78">
        <f t="shared" si="6"/>
        <v>207.40740740740742</v>
      </c>
      <c r="T14" s="78">
        <f t="shared" si="6"/>
        <v>233.33333333333334</v>
      </c>
      <c r="U14" s="78">
        <f t="shared" si="6"/>
        <v>259.25925925925924</v>
      </c>
      <c r="V14" s="78">
        <f t="shared" si="6"/>
        <v>285.18518518518516</v>
      </c>
      <c r="W14" s="78">
        <f t="shared" si="6"/>
        <v>311.11111111111109</v>
      </c>
      <c r="X14" s="78">
        <f t="shared" si="6"/>
        <v>337.03703703703701</v>
      </c>
    </row>
    <row r="15" spans="1:24" x14ac:dyDescent="0.3">
      <c r="A15" s="2" t="s">
        <v>172</v>
      </c>
      <c r="B15" s="2" t="s">
        <v>20</v>
      </c>
      <c r="C15" s="2">
        <f t="shared" ref="C15:X15" si="7">C7/300</f>
        <v>1</v>
      </c>
      <c r="D15" s="2">
        <f t="shared" si="7"/>
        <v>1</v>
      </c>
      <c r="E15" s="2">
        <f t="shared" si="7"/>
        <v>1</v>
      </c>
      <c r="F15" s="2">
        <f t="shared" si="7"/>
        <v>1</v>
      </c>
      <c r="G15" s="2">
        <f t="shared" si="7"/>
        <v>1</v>
      </c>
      <c r="H15" s="2">
        <f t="shared" si="7"/>
        <v>1</v>
      </c>
      <c r="I15" s="2">
        <f t="shared" si="7"/>
        <v>1</v>
      </c>
      <c r="J15" s="2">
        <f t="shared" si="7"/>
        <v>1</v>
      </c>
      <c r="K15" s="2">
        <f t="shared" si="7"/>
        <v>1</v>
      </c>
      <c r="L15" s="2">
        <f t="shared" si="7"/>
        <v>1</v>
      </c>
      <c r="M15" s="2">
        <f t="shared" si="7"/>
        <v>1</v>
      </c>
      <c r="N15" s="2">
        <f t="shared" si="7"/>
        <v>1</v>
      </c>
      <c r="O15" s="2">
        <f t="shared" si="7"/>
        <v>1</v>
      </c>
      <c r="P15" s="2">
        <f t="shared" si="7"/>
        <v>1</v>
      </c>
      <c r="Q15" s="2">
        <f t="shared" si="7"/>
        <v>1</v>
      </c>
      <c r="R15" s="2">
        <f t="shared" si="7"/>
        <v>1</v>
      </c>
      <c r="S15" s="2">
        <f t="shared" si="7"/>
        <v>1</v>
      </c>
      <c r="T15" s="2">
        <f t="shared" si="7"/>
        <v>1</v>
      </c>
      <c r="U15" s="2">
        <f t="shared" si="7"/>
        <v>1</v>
      </c>
      <c r="V15" s="2">
        <f t="shared" si="7"/>
        <v>1</v>
      </c>
      <c r="W15" s="2">
        <f t="shared" si="7"/>
        <v>1</v>
      </c>
      <c r="X15" s="2">
        <f t="shared" si="7"/>
        <v>1</v>
      </c>
    </row>
    <row r="17" spans="1:24" x14ac:dyDescent="0.3">
      <c r="A17" s="32" t="s">
        <v>171</v>
      </c>
      <c r="B17" s="32" t="s">
        <v>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3">
      <c r="A18" s="2" t="s">
        <v>165</v>
      </c>
      <c r="B18" s="2" t="s">
        <v>170</v>
      </c>
      <c r="C18" s="7">
        <v>61.907288135593213</v>
      </c>
      <c r="D18" s="7">
        <v>76.048837209302306</v>
      </c>
      <c r="E18" s="7">
        <v>358.8890909090909</v>
      </c>
      <c r="F18" s="7">
        <v>99.058823529411768</v>
      </c>
      <c r="G18" s="7">
        <v>164.18682926829271</v>
      </c>
      <c r="H18" s="7">
        <v>189.07733333333331</v>
      </c>
      <c r="I18" s="7">
        <v>143.93076923076924</v>
      </c>
      <c r="J18" s="7">
        <v>452.05500000000001</v>
      </c>
      <c r="K18" s="77">
        <v>641</v>
      </c>
      <c r="L18" s="7">
        <v>1055.0174999999999</v>
      </c>
      <c r="M18" s="76">
        <f t="shared" ref="M18:X18" si="8">$L$18*(M6/$L$6)</f>
        <v>1172.2416666666666</v>
      </c>
      <c r="N18" s="76">
        <f t="shared" si="8"/>
        <v>1289.4658333333334</v>
      </c>
      <c r="O18" s="76">
        <f t="shared" si="8"/>
        <v>1406.6899999999998</v>
      </c>
      <c r="P18" s="76">
        <f t="shared" si="8"/>
        <v>1523.9141666666665</v>
      </c>
      <c r="Q18" s="76">
        <f t="shared" si="8"/>
        <v>1641.1383333333333</v>
      </c>
      <c r="R18" s="76">
        <f t="shared" si="8"/>
        <v>1758.3625</v>
      </c>
      <c r="S18" s="76">
        <f t="shared" si="8"/>
        <v>1875.5866666666664</v>
      </c>
      <c r="T18" s="76">
        <f t="shared" si="8"/>
        <v>2110.0349999999999</v>
      </c>
      <c r="U18" s="76">
        <f t="shared" si="8"/>
        <v>2344.4833333333331</v>
      </c>
      <c r="V18" s="76">
        <f t="shared" si="8"/>
        <v>2578.9316666666668</v>
      </c>
      <c r="W18" s="76">
        <f t="shared" si="8"/>
        <v>2813.3799999999997</v>
      </c>
      <c r="X18" s="76">
        <f t="shared" si="8"/>
        <v>3047.8283333333329</v>
      </c>
    </row>
    <row r="19" spans="1:24" x14ac:dyDescent="0.3">
      <c r="A19" s="2" t="s">
        <v>164</v>
      </c>
      <c r="B19" s="2" t="s">
        <v>168</v>
      </c>
      <c r="C19" s="7">
        <v>109.9</v>
      </c>
      <c r="D19" s="7">
        <v>109.9</v>
      </c>
      <c r="E19" s="7">
        <v>109.9</v>
      </c>
      <c r="F19" s="7">
        <v>109.9</v>
      </c>
      <c r="G19" s="7">
        <v>109.9</v>
      </c>
      <c r="H19" s="7">
        <v>109.9</v>
      </c>
      <c r="I19" s="7">
        <v>109.9</v>
      </c>
      <c r="J19" s="7">
        <v>109.9</v>
      </c>
      <c r="K19" s="7">
        <v>109.9</v>
      </c>
      <c r="L19" s="7">
        <v>109.9</v>
      </c>
      <c r="M19" s="7">
        <v>109.9</v>
      </c>
      <c r="N19" s="7">
        <v>109.9</v>
      </c>
      <c r="O19" s="7">
        <v>109.9</v>
      </c>
      <c r="P19" s="7">
        <v>109.9</v>
      </c>
      <c r="Q19" s="7">
        <v>109.9</v>
      </c>
      <c r="R19" s="7">
        <v>109.9</v>
      </c>
      <c r="S19" s="7">
        <v>109.9</v>
      </c>
      <c r="T19" s="7">
        <v>109.9</v>
      </c>
      <c r="U19" s="7">
        <v>109.9</v>
      </c>
      <c r="V19" s="7">
        <v>109.9</v>
      </c>
      <c r="W19" s="7">
        <v>109.9</v>
      </c>
      <c r="X19" s="7">
        <v>109.9</v>
      </c>
    </row>
    <row r="20" spans="1:24" x14ac:dyDescent="0.3">
      <c r="A20" s="2" t="s">
        <v>163</v>
      </c>
      <c r="B20" s="2" t="s">
        <v>168</v>
      </c>
      <c r="C20" s="7">
        <v>408.75</v>
      </c>
      <c r="D20" s="7">
        <v>408.75</v>
      </c>
      <c r="E20" s="7">
        <v>408.75</v>
      </c>
      <c r="F20" s="7">
        <v>408.75</v>
      </c>
      <c r="G20" s="7">
        <v>408.75</v>
      </c>
      <c r="H20" s="7">
        <v>408.75</v>
      </c>
      <c r="I20" s="7">
        <v>408.75</v>
      </c>
      <c r="J20" s="7">
        <v>408.75</v>
      </c>
      <c r="K20" s="7">
        <v>408.75</v>
      </c>
      <c r="L20" s="7">
        <v>408.75</v>
      </c>
      <c r="M20" s="7">
        <v>408.75</v>
      </c>
      <c r="N20" s="7">
        <v>408.75</v>
      </c>
      <c r="O20" s="7">
        <v>408.75</v>
      </c>
      <c r="P20" s="7">
        <v>408.75</v>
      </c>
      <c r="Q20" s="7">
        <v>408.75</v>
      </c>
      <c r="R20" s="7">
        <v>408.75</v>
      </c>
      <c r="S20" s="7">
        <v>408.75</v>
      </c>
      <c r="T20" s="7">
        <v>408.75</v>
      </c>
      <c r="U20" s="7">
        <v>408.75</v>
      </c>
      <c r="V20" s="7">
        <v>408.75</v>
      </c>
      <c r="W20" s="7">
        <v>408.75</v>
      </c>
      <c r="X20" s="7">
        <v>408.75</v>
      </c>
    </row>
    <row r="21" spans="1:24" x14ac:dyDescent="0.3">
      <c r="A21" s="2" t="s">
        <v>162</v>
      </c>
      <c r="B21" s="2" t="s">
        <v>169</v>
      </c>
      <c r="C21" s="7">
        <v>9.5</v>
      </c>
      <c r="D21" s="7">
        <v>9.5</v>
      </c>
      <c r="E21" s="7">
        <v>9.5</v>
      </c>
      <c r="F21" s="7">
        <v>9.5</v>
      </c>
      <c r="G21" s="7">
        <v>9.5</v>
      </c>
      <c r="H21" s="7">
        <v>9.5</v>
      </c>
      <c r="I21" s="7">
        <v>9.5</v>
      </c>
      <c r="J21" s="7">
        <v>9.5</v>
      </c>
      <c r="K21" s="7">
        <v>9.5</v>
      </c>
      <c r="L21" s="7">
        <v>9.5</v>
      </c>
      <c r="M21" s="7">
        <v>9.5</v>
      </c>
      <c r="N21" s="7">
        <v>9.5</v>
      </c>
      <c r="O21" s="7">
        <v>9.5</v>
      </c>
      <c r="P21" s="7">
        <v>9.5</v>
      </c>
      <c r="Q21" s="7">
        <v>9.5</v>
      </c>
      <c r="R21" s="7">
        <v>9.5</v>
      </c>
      <c r="S21" s="7">
        <v>9.5</v>
      </c>
      <c r="T21" s="7">
        <v>9.5</v>
      </c>
      <c r="U21" s="7">
        <v>9.5</v>
      </c>
      <c r="V21" s="7">
        <v>9.5</v>
      </c>
      <c r="W21" s="7">
        <v>9.5</v>
      </c>
      <c r="X21" s="7">
        <v>9.5</v>
      </c>
    </row>
    <row r="22" spans="1:24" x14ac:dyDescent="0.3">
      <c r="A22" s="2" t="s">
        <v>161</v>
      </c>
      <c r="B22" s="2" t="s">
        <v>169</v>
      </c>
      <c r="C22" s="7">
        <v>12.3</v>
      </c>
      <c r="D22" s="7">
        <v>12.3</v>
      </c>
      <c r="E22" s="7">
        <v>12.3</v>
      </c>
      <c r="F22" s="7">
        <v>12.3</v>
      </c>
      <c r="G22" s="7">
        <v>12.3</v>
      </c>
      <c r="H22" s="7">
        <v>12.3</v>
      </c>
      <c r="I22" s="7">
        <v>12.3</v>
      </c>
      <c r="J22" s="7">
        <v>12.3</v>
      </c>
      <c r="K22" s="7">
        <v>12.3</v>
      </c>
      <c r="L22" s="7">
        <v>12.3</v>
      </c>
      <c r="M22" s="7">
        <v>12.3</v>
      </c>
      <c r="N22" s="7">
        <v>12.3</v>
      </c>
      <c r="O22" s="7">
        <v>12.3</v>
      </c>
      <c r="P22" s="7">
        <v>12.3</v>
      </c>
      <c r="Q22" s="7">
        <v>12.3</v>
      </c>
      <c r="R22" s="7">
        <v>12.3</v>
      </c>
      <c r="S22" s="7">
        <v>12.3</v>
      </c>
      <c r="T22" s="7">
        <v>12.3</v>
      </c>
      <c r="U22" s="7">
        <v>12.3</v>
      </c>
      <c r="V22" s="7">
        <v>12.3</v>
      </c>
      <c r="W22" s="7">
        <v>12.3</v>
      </c>
      <c r="X22" s="7">
        <v>12.3</v>
      </c>
    </row>
    <row r="23" spans="1:24" x14ac:dyDescent="0.3">
      <c r="A23" s="2" t="s">
        <v>160</v>
      </c>
      <c r="B23" s="2" t="s">
        <v>168</v>
      </c>
      <c r="C23" s="7">
        <v>49.4</v>
      </c>
      <c r="D23" s="7">
        <v>49.4</v>
      </c>
      <c r="E23" s="7">
        <v>49.4</v>
      </c>
      <c r="F23" s="7">
        <v>49.4</v>
      </c>
      <c r="G23" s="7">
        <v>49.4</v>
      </c>
      <c r="H23" s="7">
        <v>49.4</v>
      </c>
      <c r="I23" s="7">
        <v>49.4</v>
      </c>
      <c r="J23" s="7">
        <v>49.4</v>
      </c>
      <c r="K23" s="7">
        <v>49.4</v>
      </c>
      <c r="L23" s="7">
        <v>49.4</v>
      </c>
      <c r="M23" s="7">
        <v>49.4</v>
      </c>
      <c r="N23" s="7">
        <v>49.4</v>
      </c>
      <c r="O23" s="7">
        <v>49.4</v>
      </c>
      <c r="P23" s="7">
        <v>49.4</v>
      </c>
      <c r="Q23" s="7">
        <v>49.4</v>
      </c>
      <c r="R23" s="7">
        <v>49.4</v>
      </c>
      <c r="S23" s="7">
        <v>49.4</v>
      </c>
      <c r="T23" s="7">
        <v>49.4</v>
      </c>
      <c r="U23" s="7">
        <v>49.4</v>
      </c>
      <c r="V23" s="7">
        <v>49.4</v>
      </c>
      <c r="W23" s="7">
        <v>49.4</v>
      </c>
      <c r="X23" s="7">
        <v>49.4</v>
      </c>
    </row>
    <row r="24" spans="1:24" x14ac:dyDescent="0.3">
      <c r="A24" s="2" t="s">
        <v>167</v>
      </c>
      <c r="B24" s="2" t="s">
        <v>166</v>
      </c>
      <c r="C24" s="7">
        <v>7438.2539795918356</v>
      </c>
      <c r="D24" s="7">
        <v>7438.2539795918356</v>
      </c>
      <c r="E24" s="7">
        <v>7438.2539795918356</v>
      </c>
      <c r="F24" s="7">
        <v>7438.2539795918356</v>
      </c>
      <c r="G24" s="7">
        <v>7438.2539795918356</v>
      </c>
      <c r="H24" s="7">
        <v>8413.7790839694662</v>
      </c>
      <c r="I24" s="7">
        <v>8413.7790839694662</v>
      </c>
      <c r="J24" s="7">
        <v>8413.7790839694662</v>
      </c>
      <c r="K24" s="7">
        <v>8413.7790839694662</v>
      </c>
      <c r="L24" s="7">
        <v>12843.327592592595</v>
      </c>
      <c r="M24" s="7">
        <v>12843.327592592595</v>
      </c>
      <c r="N24" s="76">
        <f t="shared" ref="N24:X24" si="9">$M$24*(N6/$L$6)</f>
        <v>15697.400390946506</v>
      </c>
      <c r="O24" s="76">
        <f t="shared" si="9"/>
        <v>17124.436790123458</v>
      </c>
      <c r="P24" s="76">
        <f t="shared" si="9"/>
        <v>18551.473189300414</v>
      </c>
      <c r="Q24" s="76">
        <f t="shared" si="9"/>
        <v>19978.509588477373</v>
      </c>
      <c r="R24" s="76">
        <f t="shared" si="9"/>
        <v>21405.545987654328</v>
      </c>
      <c r="S24" s="76">
        <f t="shared" si="9"/>
        <v>22832.58238683128</v>
      </c>
      <c r="T24" s="76">
        <f t="shared" si="9"/>
        <v>25686.655185185191</v>
      </c>
      <c r="U24" s="76">
        <f t="shared" si="9"/>
        <v>28540.727983539102</v>
      </c>
      <c r="V24" s="76">
        <f t="shared" si="9"/>
        <v>31394.800781893013</v>
      </c>
      <c r="W24" s="76">
        <f t="shared" si="9"/>
        <v>34248.873580246916</v>
      </c>
      <c r="X24" s="76">
        <f t="shared" si="9"/>
        <v>37102.946378600827</v>
      </c>
    </row>
    <row r="26" spans="1:24" x14ac:dyDescent="0.3">
      <c r="A26" s="32" t="s">
        <v>157</v>
      </c>
      <c r="B26" s="32" t="s">
        <v>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x14ac:dyDescent="0.3">
      <c r="A27" s="2" t="s">
        <v>165</v>
      </c>
      <c r="B27" s="2" t="s">
        <v>158</v>
      </c>
      <c r="C27" s="9">
        <f t="shared" ref="C27:X27" si="10">C7*C18</f>
        <v>18572.186440677964</v>
      </c>
      <c r="D27" s="9">
        <f t="shared" si="10"/>
        <v>22814.651162790691</v>
      </c>
      <c r="E27" s="9">
        <f t="shared" si="10"/>
        <v>107666.72727272726</v>
      </c>
      <c r="F27" s="9">
        <f t="shared" si="10"/>
        <v>29717.647058823532</v>
      </c>
      <c r="G27" s="9">
        <f t="shared" si="10"/>
        <v>49256.048780487814</v>
      </c>
      <c r="H27" s="9">
        <f t="shared" si="10"/>
        <v>56723.199999999997</v>
      </c>
      <c r="I27" s="9">
        <f t="shared" si="10"/>
        <v>43179.230769230773</v>
      </c>
      <c r="J27" s="9">
        <f t="shared" si="10"/>
        <v>135616.5</v>
      </c>
      <c r="K27" s="9">
        <f t="shared" si="10"/>
        <v>192300</v>
      </c>
      <c r="L27" s="9">
        <f t="shared" si="10"/>
        <v>316505.25</v>
      </c>
      <c r="M27" s="9">
        <f t="shared" si="10"/>
        <v>351672.49999999994</v>
      </c>
      <c r="N27" s="9">
        <f t="shared" si="10"/>
        <v>386839.75</v>
      </c>
      <c r="O27" s="9">
        <f t="shared" si="10"/>
        <v>422006.99999999994</v>
      </c>
      <c r="P27" s="9">
        <f t="shared" si="10"/>
        <v>457174.24999999994</v>
      </c>
      <c r="Q27" s="9">
        <f t="shared" si="10"/>
        <v>492341.5</v>
      </c>
      <c r="R27" s="9">
        <f t="shared" si="10"/>
        <v>527508.75</v>
      </c>
      <c r="S27" s="9">
        <f t="shared" si="10"/>
        <v>562675.99999999988</v>
      </c>
      <c r="T27" s="9">
        <f t="shared" si="10"/>
        <v>633010.5</v>
      </c>
      <c r="U27" s="9">
        <f t="shared" si="10"/>
        <v>703344.99999999988</v>
      </c>
      <c r="V27" s="9">
        <f t="shared" si="10"/>
        <v>773679.5</v>
      </c>
      <c r="W27" s="9">
        <f t="shared" si="10"/>
        <v>844013.99999999988</v>
      </c>
      <c r="X27" s="9">
        <f t="shared" si="10"/>
        <v>914348.49999999988</v>
      </c>
    </row>
    <row r="28" spans="1:24" x14ac:dyDescent="0.3">
      <c r="A28" s="2" t="s">
        <v>164</v>
      </c>
      <c r="B28" s="2" t="s">
        <v>158</v>
      </c>
      <c r="C28" s="9">
        <f t="shared" ref="C28:X28" si="11">C10*C19</f>
        <v>10447.283950617284</v>
      </c>
      <c r="D28" s="9">
        <f t="shared" si="11"/>
        <v>17095.555555555555</v>
      </c>
      <c r="E28" s="9">
        <f t="shared" si="11"/>
        <v>22705.034722222223</v>
      </c>
      <c r="F28" s="9">
        <f t="shared" si="11"/>
        <v>35526.701388888891</v>
      </c>
      <c r="G28" s="9">
        <f t="shared" si="11"/>
        <v>42738.888888888891</v>
      </c>
      <c r="H28" s="9">
        <f t="shared" si="11"/>
        <v>58765.972222222219</v>
      </c>
      <c r="I28" s="9">
        <f t="shared" si="11"/>
        <v>76930</v>
      </c>
      <c r="J28" s="9">
        <f t="shared" si="11"/>
        <v>97230.972222222219</v>
      </c>
      <c r="K28" s="9">
        <f t="shared" si="11"/>
        <v>119668.88888888891</v>
      </c>
      <c r="L28" s="9">
        <f t="shared" si="11"/>
        <v>144243.75</v>
      </c>
      <c r="M28" s="9">
        <f t="shared" si="11"/>
        <v>170955.55555555556</v>
      </c>
      <c r="N28" s="9">
        <f t="shared" si="11"/>
        <v>199804.30555555559</v>
      </c>
      <c r="O28" s="9">
        <f t="shared" si="11"/>
        <v>230790</v>
      </c>
      <c r="P28" s="9">
        <f t="shared" si="11"/>
        <v>263912.63888888888</v>
      </c>
      <c r="Q28" s="9">
        <f t="shared" si="11"/>
        <v>299172.22222222225</v>
      </c>
      <c r="R28" s="9">
        <f t="shared" si="11"/>
        <v>336568.75</v>
      </c>
      <c r="S28" s="9">
        <f t="shared" si="11"/>
        <v>376102.22222222225</v>
      </c>
      <c r="T28" s="9">
        <f t="shared" si="11"/>
        <v>461580</v>
      </c>
      <c r="U28" s="9">
        <f t="shared" si="11"/>
        <v>555605.55555555562</v>
      </c>
      <c r="V28" s="9">
        <f t="shared" si="11"/>
        <v>658178.88888888888</v>
      </c>
      <c r="W28" s="9">
        <f t="shared" si="11"/>
        <v>769300</v>
      </c>
      <c r="X28" s="9">
        <f t="shared" si="11"/>
        <v>888968.88888888888</v>
      </c>
    </row>
    <row r="29" spans="1:24" x14ac:dyDescent="0.3">
      <c r="A29" s="2" t="s">
        <v>163</v>
      </c>
      <c r="B29" s="2" t="s">
        <v>158</v>
      </c>
      <c r="C29" s="9">
        <f t="shared" ref="C29:X29" si="12">C11*C20</f>
        <v>8831.0185185185182</v>
      </c>
      <c r="D29" s="9">
        <f t="shared" si="12"/>
        <v>13246.527777777777</v>
      </c>
      <c r="E29" s="9">
        <f t="shared" si="12"/>
        <v>16558.159722222223</v>
      </c>
      <c r="F29" s="9">
        <f t="shared" si="12"/>
        <v>23181.423611111109</v>
      </c>
      <c r="G29" s="9">
        <f t="shared" si="12"/>
        <v>26493.055555555555</v>
      </c>
      <c r="H29" s="9">
        <f t="shared" si="12"/>
        <v>33116.319444444445</v>
      </c>
      <c r="I29" s="9">
        <f t="shared" si="12"/>
        <v>39739.583333333336</v>
      </c>
      <c r="J29" s="9">
        <f t="shared" si="12"/>
        <v>46362.847222222219</v>
      </c>
      <c r="K29" s="9">
        <f t="shared" si="12"/>
        <v>52986.111111111109</v>
      </c>
      <c r="L29" s="9">
        <f t="shared" si="12"/>
        <v>59609.375000000007</v>
      </c>
      <c r="M29" s="9">
        <f t="shared" si="12"/>
        <v>66232.638888888891</v>
      </c>
      <c r="N29" s="9">
        <f t="shared" si="12"/>
        <v>72855.902777777781</v>
      </c>
      <c r="O29" s="9">
        <f t="shared" si="12"/>
        <v>79479.166666666672</v>
      </c>
      <c r="P29" s="9">
        <f t="shared" si="12"/>
        <v>86102.430555555562</v>
      </c>
      <c r="Q29" s="9">
        <f t="shared" si="12"/>
        <v>92725.694444444438</v>
      </c>
      <c r="R29" s="9">
        <f t="shared" si="12"/>
        <v>99348.958333333328</v>
      </c>
      <c r="S29" s="9">
        <f t="shared" si="12"/>
        <v>105972.22222222222</v>
      </c>
      <c r="T29" s="9">
        <f t="shared" si="12"/>
        <v>119218.75000000001</v>
      </c>
      <c r="U29" s="9">
        <f t="shared" si="12"/>
        <v>132465.27777777778</v>
      </c>
      <c r="V29" s="9">
        <f t="shared" si="12"/>
        <v>145711.80555555556</v>
      </c>
      <c r="W29" s="9">
        <f t="shared" si="12"/>
        <v>158958.33333333334</v>
      </c>
      <c r="X29" s="9">
        <f t="shared" si="12"/>
        <v>172204.86111111112</v>
      </c>
    </row>
    <row r="30" spans="1:24" x14ac:dyDescent="0.3">
      <c r="A30" s="2" t="s">
        <v>162</v>
      </c>
      <c r="B30" s="2" t="s">
        <v>158</v>
      </c>
      <c r="C30" s="9">
        <f t="shared" ref="C30:X30" si="13">C12*C21</f>
        <v>738.8888888888888</v>
      </c>
      <c r="D30" s="9">
        <f t="shared" si="13"/>
        <v>1108.3333333333335</v>
      </c>
      <c r="E30" s="9">
        <f t="shared" si="13"/>
        <v>1385.4166666666667</v>
      </c>
      <c r="F30" s="9">
        <f t="shared" si="13"/>
        <v>1939.5833333333333</v>
      </c>
      <c r="G30" s="9">
        <f t="shared" si="13"/>
        <v>2216.666666666667</v>
      </c>
      <c r="H30" s="9">
        <f t="shared" si="13"/>
        <v>2770.8333333333335</v>
      </c>
      <c r="I30" s="9">
        <f t="shared" si="13"/>
        <v>3325</v>
      </c>
      <c r="J30" s="9">
        <f t="shared" si="13"/>
        <v>3879.1666666666665</v>
      </c>
      <c r="K30" s="9">
        <f t="shared" si="13"/>
        <v>4433.3333333333339</v>
      </c>
      <c r="L30" s="9">
        <f t="shared" si="13"/>
        <v>4987.5</v>
      </c>
      <c r="M30" s="9">
        <f t="shared" si="13"/>
        <v>5541.666666666667</v>
      </c>
      <c r="N30" s="9">
        <f t="shared" si="13"/>
        <v>6095.833333333333</v>
      </c>
      <c r="O30" s="9">
        <f t="shared" si="13"/>
        <v>6650</v>
      </c>
      <c r="P30" s="9">
        <f t="shared" si="13"/>
        <v>7204.166666666667</v>
      </c>
      <c r="Q30" s="9">
        <f t="shared" si="13"/>
        <v>7758.333333333333</v>
      </c>
      <c r="R30" s="9">
        <f t="shared" si="13"/>
        <v>8312.5</v>
      </c>
      <c r="S30" s="9">
        <f t="shared" si="13"/>
        <v>8866.6666666666679</v>
      </c>
      <c r="T30" s="9">
        <f t="shared" si="13"/>
        <v>9975</v>
      </c>
      <c r="U30" s="9">
        <f t="shared" si="13"/>
        <v>11083.333333333334</v>
      </c>
      <c r="V30" s="9">
        <f t="shared" si="13"/>
        <v>12191.666666666666</v>
      </c>
      <c r="W30" s="9">
        <f t="shared" si="13"/>
        <v>13300</v>
      </c>
      <c r="X30" s="9">
        <f t="shared" si="13"/>
        <v>14408.333333333334</v>
      </c>
    </row>
    <row r="31" spans="1:24" x14ac:dyDescent="0.3">
      <c r="A31" s="2" t="s">
        <v>161</v>
      </c>
      <c r="B31" s="2" t="s">
        <v>158</v>
      </c>
      <c r="C31" s="9">
        <f t="shared" ref="C31:X31" si="14">C13*C22</f>
        <v>956.66666666666663</v>
      </c>
      <c r="D31" s="9">
        <f t="shared" si="14"/>
        <v>1435.0000000000002</v>
      </c>
      <c r="E31" s="9">
        <f t="shared" si="14"/>
        <v>1793.7500000000002</v>
      </c>
      <c r="F31" s="9">
        <f t="shared" si="14"/>
        <v>2511.25</v>
      </c>
      <c r="G31" s="9">
        <f t="shared" si="14"/>
        <v>2870.0000000000005</v>
      </c>
      <c r="H31" s="9">
        <f t="shared" si="14"/>
        <v>3587.5000000000005</v>
      </c>
      <c r="I31" s="9">
        <f t="shared" si="14"/>
        <v>4305</v>
      </c>
      <c r="J31" s="9">
        <f t="shared" si="14"/>
        <v>5022.5</v>
      </c>
      <c r="K31" s="9">
        <f t="shared" si="14"/>
        <v>5740.0000000000009</v>
      </c>
      <c r="L31" s="9">
        <f t="shared" si="14"/>
        <v>6457.5</v>
      </c>
      <c r="M31" s="9">
        <f t="shared" si="14"/>
        <v>7175.0000000000009</v>
      </c>
      <c r="N31" s="9">
        <f t="shared" si="14"/>
        <v>7892.5</v>
      </c>
      <c r="O31" s="9">
        <f t="shared" si="14"/>
        <v>8610</v>
      </c>
      <c r="P31" s="9">
        <f t="shared" si="14"/>
        <v>9327.5000000000018</v>
      </c>
      <c r="Q31" s="9">
        <f t="shared" si="14"/>
        <v>10045</v>
      </c>
      <c r="R31" s="9">
        <f t="shared" si="14"/>
        <v>10762.5</v>
      </c>
      <c r="S31" s="9">
        <f t="shared" si="14"/>
        <v>11480.000000000002</v>
      </c>
      <c r="T31" s="9">
        <f t="shared" si="14"/>
        <v>12915</v>
      </c>
      <c r="U31" s="9">
        <f t="shared" si="14"/>
        <v>14350.000000000002</v>
      </c>
      <c r="V31" s="9">
        <f t="shared" si="14"/>
        <v>15785</v>
      </c>
      <c r="W31" s="9">
        <f t="shared" si="14"/>
        <v>17220</v>
      </c>
      <c r="X31" s="9">
        <f t="shared" si="14"/>
        <v>18655.000000000004</v>
      </c>
    </row>
    <row r="32" spans="1:24" x14ac:dyDescent="0.3">
      <c r="A32" s="2" t="s">
        <v>160</v>
      </c>
      <c r="B32" s="2" t="s">
        <v>158</v>
      </c>
      <c r="C32" s="9">
        <f t="shared" ref="C32:X32" si="15">C14*C23</f>
        <v>853.82716049382691</v>
      </c>
      <c r="D32" s="9">
        <f t="shared" si="15"/>
        <v>1280.7407407407409</v>
      </c>
      <c r="E32" s="9">
        <f t="shared" si="15"/>
        <v>1600.9259259259256</v>
      </c>
      <c r="F32" s="9">
        <f t="shared" si="15"/>
        <v>2241.2962962962965</v>
      </c>
      <c r="G32" s="9">
        <f t="shared" si="15"/>
        <v>2561.4814814814818</v>
      </c>
      <c r="H32" s="9">
        <f t="shared" si="15"/>
        <v>3201.8518518518513</v>
      </c>
      <c r="I32" s="9">
        <f t="shared" si="15"/>
        <v>3842.2222222222217</v>
      </c>
      <c r="J32" s="9">
        <f t="shared" si="15"/>
        <v>4482.5925925925931</v>
      </c>
      <c r="K32" s="9">
        <f t="shared" si="15"/>
        <v>5122.9629629629635</v>
      </c>
      <c r="L32" s="9">
        <f t="shared" si="15"/>
        <v>5763.333333333333</v>
      </c>
      <c r="M32" s="9">
        <f t="shared" si="15"/>
        <v>6403.7037037037026</v>
      </c>
      <c r="N32" s="9">
        <f t="shared" si="15"/>
        <v>7044.074074074073</v>
      </c>
      <c r="O32" s="9">
        <f t="shared" si="15"/>
        <v>7684.4444444444434</v>
      </c>
      <c r="P32" s="9">
        <f t="shared" si="15"/>
        <v>8324.8148148148139</v>
      </c>
      <c r="Q32" s="9">
        <f t="shared" si="15"/>
        <v>8965.1851851851861</v>
      </c>
      <c r="R32" s="9">
        <f t="shared" si="15"/>
        <v>9605.5555555555566</v>
      </c>
      <c r="S32" s="9">
        <f t="shared" si="15"/>
        <v>10245.925925925927</v>
      </c>
      <c r="T32" s="9">
        <f t="shared" si="15"/>
        <v>11526.666666666666</v>
      </c>
      <c r="U32" s="9">
        <f t="shared" si="15"/>
        <v>12807.407407407405</v>
      </c>
      <c r="V32" s="9">
        <f t="shared" si="15"/>
        <v>14088.148148148146</v>
      </c>
      <c r="W32" s="9">
        <f t="shared" si="15"/>
        <v>15368.888888888887</v>
      </c>
      <c r="X32" s="9">
        <f t="shared" si="15"/>
        <v>16649.629629629628</v>
      </c>
    </row>
    <row r="33" spans="1:24" x14ac:dyDescent="0.3">
      <c r="A33" s="2" t="s">
        <v>159</v>
      </c>
      <c r="B33" s="2" t="s">
        <v>158</v>
      </c>
      <c r="C33" s="9">
        <f t="shared" ref="C33:X33" si="16">C15*C24</f>
        <v>7438.2539795918356</v>
      </c>
      <c r="D33" s="9">
        <f t="shared" si="16"/>
        <v>7438.2539795918356</v>
      </c>
      <c r="E33" s="9">
        <f t="shared" si="16"/>
        <v>7438.2539795918356</v>
      </c>
      <c r="F33" s="9">
        <f t="shared" si="16"/>
        <v>7438.2539795918356</v>
      </c>
      <c r="G33" s="9">
        <f t="shared" si="16"/>
        <v>7438.2539795918356</v>
      </c>
      <c r="H33" s="9">
        <f t="shared" si="16"/>
        <v>8413.7790839694662</v>
      </c>
      <c r="I33" s="9">
        <f t="shared" si="16"/>
        <v>8413.7790839694662</v>
      </c>
      <c r="J33" s="9">
        <f t="shared" si="16"/>
        <v>8413.7790839694662</v>
      </c>
      <c r="K33" s="9">
        <f t="shared" si="16"/>
        <v>8413.7790839694662</v>
      </c>
      <c r="L33" s="9">
        <f t="shared" si="16"/>
        <v>12843.327592592595</v>
      </c>
      <c r="M33" s="9">
        <f t="shared" si="16"/>
        <v>12843.327592592595</v>
      </c>
      <c r="N33" s="9">
        <f t="shared" si="16"/>
        <v>15697.400390946506</v>
      </c>
      <c r="O33" s="9">
        <f t="shared" si="16"/>
        <v>17124.436790123458</v>
      </c>
      <c r="P33" s="9">
        <f t="shared" si="16"/>
        <v>18551.473189300414</v>
      </c>
      <c r="Q33" s="9">
        <f t="shared" si="16"/>
        <v>19978.509588477373</v>
      </c>
      <c r="R33" s="9">
        <f t="shared" si="16"/>
        <v>21405.545987654328</v>
      </c>
      <c r="S33" s="9">
        <f t="shared" si="16"/>
        <v>22832.58238683128</v>
      </c>
      <c r="T33" s="9">
        <f t="shared" si="16"/>
        <v>25686.655185185191</v>
      </c>
      <c r="U33" s="9">
        <f t="shared" si="16"/>
        <v>28540.727983539102</v>
      </c>
      <c r="V33" s="9">
        <f t="shared" si="16"/>
        <v>31394.800781893013</v>
      </c>
      <c r="W33" s="9">
        <f t="shared" si="16"/>
        <v>34248.873580246916</v>
      </c>
      <c r="X33" s="9">
        <f t="shared" si="16"/>
        <v>37102.946378600827</v>
      </c>
    </row>
    <row r="34" spans="1:24" x14ac:dyDescent="0.3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x14ac:dyDescent="0.3">
      <c r="A35" s="3" t="s">
        <v>157</v>
      </c>
      <c r="C35" s="9">
        <f t="shared" ref="C35:X35" si="17">SUM(C27:C33)</f>
        <v>47838.125605454981</v>
      </c>
      <c r="D35" s="9">
        <f t="shared" si="17"/>
        <v>64419.062549789938</v>
      </c>
      <c r="E35" s="9">
        <f t="shared" si="17"/>
        <v>159148.26828935611</v>
      </c>
      <c r="F35" s="9">
        <f t="shared" si="17"/>
        <v>102556.15566804499</v>
      </c>
      <c r="G35" s="9">
        <f t="shared" si="17"/>
        <v>133574.39535267223</v>
      </c>
      <c r="H35" s="9">
        <f t="shared" si="17"/>
        <v>166579.45593582134</v>
      </c>
      <c r="I35" s="9">
        <f t="shared" si="17"/>
        <v>179734.81540875582</v>
      </c>
      <c r="J35" s="9">
        <f t="shared" si="17"/>
        <v>301008.35778767319</v>
      </c>
      <c r="K35" s="9">
        <f t="shared" si="17"/>
        <v>388665.07538026577</v>
      </c>
      <c r="L35" s="9">
        <f t="shared" si="17"/>
        <v>550410.03592592594</v>
      </c>
      <c r="M35" s="9">
        <f t="shared" si="17"/>
        <v>620824.39240740729</v>
      </c>
      <c r="N35" s="9">
        <f t="shared" si="17"/>
        <v>696229.76613168733</v>
      </c>
      <c r="O35" s="9">
        <f t="shared" si="17"/>
        <v>772345.04790123459</v>
      </c>
      <c r="P35" s="9">
        <f t="shared" si="17"/>
        <v>850597.27411522612</v>
      </c>
      <c r="Q35" s="9">
        <f t="shared" si="17"/>
        <v>930986.4447736626</v>
      </c>
      <c r="R35" s="9">
        <f t="shared" si="17"/>
        <v>1013512.5598765432</v>
      </c>
      <c r="S35" s="9">
        <f t="shared" si="17"/>
        <v>1098175.6194238681</v>
      </c>
      <c r="T35" s="9">
        <f t="shared" si="17"/>
        <v>1273912.5718518519</v>
      </c>
      <c r="U35" s="9">
        <f t="shared" si="17"/>
        <v>1458197.3020576129</v>
      </c>
      <c r="V35" s="9">
        <f t="shared" si="17"/>
        <v>1651029.8100411524</v>
      </c>
      <c r="W35" s="9">
        <f t="shared" si="17"/>
        <v>1852410.0958024692</v>
      </c>
      <c r="X35" s="9">
        <f t="shared" si="17"/>
        <v>2062338.1593415637</v>
      </c>
    </row>
    <row r="36" spans="1:24" ht="12.5" thickBot="1" x14ac:dyDescent="0.35">
      <c r="A36" s="3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x14ac:dyDescent="0.3">
      <c r="A37" s="75" t="s">
        <v>156</v>
      </c>
      <c r="B37" s="74"/>
      <c r="C37" s="73">
        <f t="shared" ref="C37:X37" si="18">C35/C7</f>
        <v>159.46041868484994</v>
      </c>
      <c r="D37" s="73">
        <f t="shared" si="18"/>
        <v>214.73020849929981</v>
      </c>
      <c r="E37" s="73">
        <f t="shared" si="18"/>
        <v>530.49422763118707</v>
      </c>
      <c r="F37" s="73">
        <f t="shared" si="18"/>
        <v>341.85385222681663</v>
      </c>
      <c r="G37" s="73">
        <f t="shared" si="18"/>
        <v>445.24798450890745</v>
      </c>
      <c r="H37" s="73">
        <f t="shared" si="18"/>
        <v>555.26485311940451</v>
      </c>
      <c r="I37" s="73">
        <f t="shared" si="18"/>
        <v>599.11605136251944</v>
      </c>
      <c r="J37" s="73">
        <f t="shared" si="18"/>
        <v>1003.3611926255772</v>
      </c>
      <c r="K37" s="73">
        <f t="shared" si="18"/>
        <v>1295.5502512675525</v>
      </c>
      <c r="L37" s="73">
        <f t="shared" si="18"/>
        <v>1834.7001197530865</v>
      </c>
      <c r="M37" s="73">
        <f t="shared" si="18"/>
        <v>2069.4146413580243</v>
      </c>
      <c r="N37" s="73">
        <f t="shared" si="18"/>
        <v>2320.7658871056246</v>
      </c>
      <c r="O37" s="73">
        <f t="shared" si="18"/>
        <v>2574.4834930041152</v>
      </c>
      <c r="P37" s="73">
        <f t="shared" si="18"/>
        <v>2835.3242470507539</v>
      </c>
      <c r="Q37" s="73">
        <f t="shared" si="18"/>
        <v>3103.2881492455422</v>
      </c>
      <c r="R37" s="73">
        <f t="shared" si="18"/>
        <v>3378.3751995884772</v>
      </c>
      <c r="S37" s="73">
        <f t="shared" si="18"/>
        <v>3660.5853980795605</v>
      </c>
      <c r="T37" s="73">
        <f t="shared" si="18"/>
        <v>4246.3752395061729</v>
      </c>
      <c r="U37" s="73">
        <f t="shared" si="18"/>
        <v>4860.6576735253766</v>
      </c>
      <c r="V37" s="73">
        <f t="shared" si="18"/>
        <v>5503.4327001371748</v>
      </c>
      <c r="W37" s="73">
        <f t="shared" si="18"/>
        <v>6174.700319341564</v>
      </c>
      <c r="X37" s="72">
        <f t="shared" si="18"/>
        <v>6874.4605311385458</v>
      </c>
    </row>
    <row r="38" spans="1:24" x14ac:dyDescent="0.3">
      <c r="A38" s="71" t="s">
        <v>155</v>
      </c>
      <c r="B38" s="2" t="s">
        <v>154</v>
      </c>
      <c r="C38" s="2">
        <f t="shared" ref="C38:X38" si="19">C6</f>
        <v>8</v>
      </c>
      <c r="D38" s="2">
        <f t="shared" si="19"/>
        <v>12</v>
      </c>
      <c r="E38" s="2">
        <f t="shared" si="19"/>
        <v>15</v>
      </c>
      <c r="F38" s="2">
        <f t="shared" si="19"/>
        <v>21</v>
      </c>
      <c r="G38" s="2">
        <f t="shared" si="19"/>
        <v>24</v>
      </c>
      <c r="H38" s="2">
        <f t="shared" si="19"/>
        <v>30</v>
      </c>
      <c r="I38" s="2">
        <f t="shared" si="19"/>
        <v>36</v>
      </c>
      <c r="J38" s="2">
        <f t="shared" si="19"/>
        <v>42</v>
      </c>
      <c r="K38" s="2">
        <f t="shared" si="19"/>
        <v>48</v>
      </c>
      <c r="L38" s="2">
        <f t="shared" si="19"/>
        <v>54</v>
      </c>
      <c r="M38" s="2">
        <f t="shared" si="19"/>
        <v>60</v>
      </c>
      <c r="N38" s="2">
        <f t="shared" si="19"/>
        <v>66</v>
      </c>
      <c r="O38" s="2">
        <f t="shared" si="19"/>
        <v>72</v>
      </c>
      <c r="P38" s="2">
        <f t="shared" si="19"/>
        <v>78</v>
      </c>
      <c r="Q38" s="2">
        <f t="shared" si="19"/>
        <v>84</v>
      </c>
      <c r="R38" s="2">
        <f t="shared" si="19"/>
        <v>90</v>
      </c>
      <c r="S38" s="2">
        <f t="shared" si="19"/>
        <v>96</v>
      </c>
      <c r="T38" s="2">
        <f t="shared" si="19"/>
        <v>108</v>
      </c>
      <c r="U38" s="2">
        <f t="shared" si="19"/>
        <v>120</v>
      </c>
      <c r="V38" s="2">
        <f t="shared" si="19"/>
        <v>132</v>
      </c>
      <c r="W38" s="2">
        <f t="shared" si="19"/>
        <v>144</v>
      </c>
      <c r="X38" s="70">
        <f t="shared" si="19"/>
        <v>156</v>
      </c>
    </row>
    <row r="39" spans="1:24" ht="12.5" thickBot="1" x14ac:dyDescent="0.35">
      <c r="A39" s="69" t="s">
        <v>153</v>
      </c>
      <c r="B39" s="68" t="s">
        <v>16</v>
      </c>
      <c r="C39" s="67">
        <v>2.093032381863051</v>
      </c>
      <c r="D39" s="67">
        <v>6.1709586778891552</v>
      </c>
      <c r="E39" s="67">
        <v>11.188692535928197</v>
      </c>
      <c r="F39" s="67">
        <v>27.444422809314833</v>
      </c>
      <c r="G39" s="67">
        <v>39.183145187734141</v>
      </c>
      <c r="H39" s="67">
        <v>71.043769206724633</v>
      </c>
      <c r="I39" s="67">
        <v>115.52500186739098</v>
      </c>
      <c r="J39" s="67">
        <v>174.26122255266566</v>
      </c>
      <c r="K39" s="67">
        <v>248.79746356172745</v>
      </c>
      <c r="L39" s="67">
        <v>340.60629876742308</v>
      </c>
      <c r="M39" s="67">
        <v>451.09981589816272</v>
      </c>
      <c r="N39" s="67">
        <v>581.63849711956709</v>
      </c>
      <c r="O39" s="67">
        <v>733.5380379716986</v>
      </c>
      <c r="P39" s="67">
        <v>908.07472809292165</v>
      </c>
      <c r="Q39" s="67">
        <v>1106.4897919894638</v>
      </c>
      <c r="R39" s="67">
        <v>1329.9929554998685</v>
      </c>
      <c r="S39" s="67">
        <v>1579.7654215396237</v>
      </c>
      <c r="T39" s="67">
        <v>2162.7151878816089</v>
      </c>
      <c r="U39" s="67">
        <v>2864.3052891976181</v>
      </c>
      <c r="V39" s="67">
        <v>3693.1742487712136</v>
      </c>
      <c r="W39" s="67">
        <v>4657.6762125398536</v>
      </c>
      <c r="X39" s="66">
        <v>5765.9151145617607</v>
      </c>
    </row>
  </sheetData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4943-4C30-1A4D-A350-0B18ABB97347}">
  <dimension ref="A1:F16"/>
  <sheetViews>
    <sheetView zoomScaleNormal="100" workbookViewId="0">
      <selection activeCell="F20" sqref="F20"/>
    </sheetView>
  </sheetViews>
  <sheetFormatPr defaultColWidth="8.81640625" defaultRowHeight="14.5" x14ac:dyDescent="0.35"/>
  <cols>
    <col min="1" max="1" width="16.6328125" customWidth="1"/>
  </cols>
  <sheetData>
    <row r="1" spans="1:6" x14ac:dyDescent="0.35">
      <c r="A1" s="12" t="s">
        <v>152</v>
      </c>
      <c r="B1" s="2"/>
      <c r="C1" s="2"/>
      <c r="D1" s="2"/>
    </row>
    <row r="2" spans="1:6" x14ac:dyDescent="0.35">
      <c r="A2" s="12" t="s">
        <v>60</v>
      </c>
      <c r="B2" s="2"/>
      <c r="C2" s="2"/>
      <c r="D2" s="2"/>
    </row>
    <row r="3" spans="1:6" x14ac:dyDescent="0.35">
      <c r="A3" s="12"/>
      <c r="B3" s="2"/>
      <c r="C3" s="2"/>
      <c r="D3" s="2"/>
    </row>
    <row r="4" spans="1:6" s="2" customFormat="1" ht="12" x14ac:dyDescent="0.3">
      <c r="A4" s="26" t="s">
        <v>195</v>
      </c>
      <c r="B4" s="27"/>
      <c r="C4" s="27"/>
      <c r="D4" s="27"/>
      <c r="E4" s="27"/>
      <c r="F4" s="27"/>
    </row>
    <row r="5" spans="1:6" s="2" customFormat="1" ht="12" x14ac:dyDescent="0.3">
      <c r="A5" s="60" t="s">
        <v>194</v>
      </c>
      <c r="B5" s="60" t="s">
        <v>193</v>
      </c>
      <c r="C5" s="60" t="s">
        <v>14</v>
      </c>
      <c r="D5" s="60" t="s">
        <v>15</v>
      </c>
      <c r="E5" s="60" t="s">
        <v>192</v>
      </c>
      <c r="F5" s="60" t="s">
        <v>191</v>
      </c>
    </row>
    <row r="6" spans="1:6" s="2" customFormat="1" ht="12" x14ac:dyDescent="0.3">
      <c r="A6" s="60" t="s">
        <v>190</v>
      </c>
      <c r="B6" s="90" t="s">
        <v>141</v>
      </c>
      <c r="C6" s="90"/>
      <c r="D6" s="90"/>
      <c r="E6" s="90" t="s">
        <v>189</v>
      </c>
      <c r="F6" s="90"/>
    </row>
    <row r="7" spans="1:6" s="2" customFormat="1" ht="12" x14ac:dyDescent="0.3">
      <c r="A7" s="81">
        <v>1</v>
      </c>
      <c r="B7" s="80">
        <f>A7*$B$13*$B$14</f>
        <v>2.2679999999999998</v>
      </c>
      <c r="C7" s="80">
        <f>A7*$B$13*$B$15</f>
        <v>3.774</v>
      </c>
      <c r="D7" s="80">
        <f>A7*$B$13*$B$16</f>
        <v>4.2720000000000002</v>
      </c>
      <c r="E7" s="79">
        <f>(C7-B7)/B7</f>
        <v>0.66402116402116418</v>
      </c>
      <c r="F7" s="79">
        <f>(D7-B7)/B7</f>
        <v>0.88359788359788383</v>
      </c>
    </row>
    <row r="8" spans="1:6" s="2" customFormat="1" ht="12" x14ac:dyDescent="0.3">
      <c r="A8" s="81">
        <v>20</v>
      </c>
      <c r="B8" s="80">
        <f>A8*$B$13*$B$14</f>
        <v>45.36</v>
      </c>
      <c r="C8" s="80">
        <f>A8*$B$13*$B$15</f>
        <v>75.48</v>
      </c>
      <c r="D8" s="80">
        <f>A8*$B$13*$B$16</f>
        <v>85.44</v>
      </c>
      <c r="E8" s="79">
        <f>(C8-B8)/B8</f>
        <v>0.66402116402116418</v>
      </c>
      <c r="F8" s="79">
        <f>(D8-B8)/B8</f>
        <v>0.8835978835978836</v>
      </c>
    </row>
    <row r="9" spans="1:6" s="2" customFormat="1" ht="12" x14ac:dyDescent="0.3">
      <c r="A9" s="81">
        <v>100</v>
      </c>
      <c r="B9" s="80">
        <f>A9*$B$13*$B$14</f>
        <v>226.79999999999998</v>
      </c>
      <c r="C9" s="80">
        <f>A9*$B$13*$B$15</f>
        <v>377.4</v>
      </c>
      <c r="D9" s="80">
        <f>A9*$B$13*$B$16</f>
        <v>427.2</v>
      </c>
      <c r="E9" s="79">
        <f>(C9-B9)/B9</f>
        <v>0.66402116402116407</v>
      </c>
      <c r="F9" s="79">
        <f>(D9-B9)/B9</f>
        <v>0.88359788359788372</v>
      </c>
    </row>
    <row r="10" spans="1:6" s="2" customFormat="1" ht="12" x14ac:dyDescent="0.3"/>
    <row r="11" spans="1:6" s="2" customFormat="1" ht="12" x14ac:dyDescent="0.3"/>
    <row r="13" spans="1:6" x14ac:dyDescent="0.35">
      <c r="A13" s="2" t="s">
        <v>17</v>
      </c>
      <c r="B13" s="5">
        <v>0.6</v>
      </c>
      <c r="C13" s="2"/>
      <c r="D13" s="2" t="s">
        <v>188</v>
      </c>
    </row>
    <row r="14" spans="1:6" x14ac:dyDescent="0.35">
      <c r="A14" s="2" t="s">
        <v>187</v>
      </c>
      <c r="B14" s="5">
        <f>3.78</f>
        <v>3.78</v>
      </c>
      <c r="C14" s="2" t="s">
        <v>29</v>
      </c>
      <c r="D14" s="2" t="s">
        <v>186</v>
      </c>
    </row>
    <row r="15" spans="1:6" x14ac:dyDescent="0.35">
      <c r="A15" s="2" t="s">
        <v>28</v>
      </c>
      <c r="B15" s="5">
        <f>ROUND(5.47*1.15,2)</f>
        <v>6.29</v>
      </c>
      <c r="C15" s="2" t="s">
        <v>29</v>
      </c>
      <c r="D15" s="2" t="s">
        <v>30</v>
      </c>
    </row>
    <row r="16" spans="1:6" x14ac:dyDescent="0.35">
      <c r="A16" s="2" t="s">
        <v>31</v>
      </c>
      <c r="B16" s="5">
        <f>ROUND(6.19*1.15,2)</f>
        <v>7.12</v>
      </c>
      <c r="C16" s="2" t="s">
        <v>29</v>
      </c>
      <c r="D16" s="2" t="s">
        <v>30</v>
      </c>
    </row>
  </sheetData>
  <mergeCells count="2">
    <mergeCell ref="B6:D6"/>
    <mergeCell ref="E6:F6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74a36b-73f3-4e73-b6d8-23b229058adf" xsi:nil="true"/>
    <lcf76f155ced4ddcb4097134ff3c332f xmlns="d2323d4d-f5e5-4c7c-823d-ca5465028b1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C29852501054488A95A00EAB52FF44" ma:contentTypeVersion="14" ma:contentTypeDescription="Create a new document." ma:contentTypeScope="" ma:versionID="cf6f2f8e3323681dca188e277ec8fd76">
  <xsd:schema xmlns:xsd="http://www.w3.org/2001/XMLSchema" xmlns:xs="http://www.w3.org/2001/XMLSchema" xmlns:p="http://schemas.microsoft.com/office/2006/metadata/properties" xmlns:ns2="d2323d4d-f5e5-4c7c-823d-ca5465028b19" xmlns:ns3="b974a36b-73f3-4e73-b6d8-23b229058adf" targetNamespace="http://schemas.microsoft.com/office/2006/metadata/properties" ma:root="true" ma:fieldsID="5156fa6c2d1fca7a0b09550cd22c4379" ns2:_="" ns3:_="">
    <xsd:import namespace="d2323d4d-f5e5-4c7c-823d-ca5465028b19"/>
    <xsd:import namespace="b974a36b-73f3-4e73-b6d8-23b229058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23d4d-f5e5-4c7c-823d-ca5465028b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3e50ec9-e24e-4853-8237-8964ebb799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4a36b-73f3-4e73-b6d8-23b229058ad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f5bd3de-3f05-443b-ad8b-38e9dda9faa8}" ma:internalName="TaxCatchAll" ma:showField="CatchAllData" ma:web="b974a36b-73f3-4e73-b6d8-23b229058a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4B27C-0B0B-41DF-BF07-E8A7808ECF8F}">
  <ds:schemaRefs>
    <ds:schemaRef ds:uri="http://schemas.microsoft.com/office/2006/metadata/properties"/>
    <ds:schemaRef ds:uri="http://schemas.microsoft.com/office/infopath/2007/PartnerControls"/>
    <ds:schemaRef ds:uri="b974a36b-73f3-4e73-b6d8-23b229058adf"/>
    <ds:schemaRef ds:uri="d2323d4d-f5e5-4c7c-823d-ca5465028b19"/>
  </ds:schemaRefs>
</ds:datastoreItem>
</file>

<file path=customXml/itemProps2.xml><?xml version="1.0" encoding="utf-8"?>
<ds:datastoreItem xmlns:ds="http://schemas.openxmlformats.org/officeDocument/2006/customXml" ds:itemID="{99EC568C-4A54-4F43-BD1B-2153069D74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3D8AD6-33A2-4A31-A309-6CE728FB3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23d4d-f5e5-4c7c-823d-ca5465028b19"/>
    <ds:schemaRef ds:uri="b974a36b-73f3-4e73-b6d8-23b229058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Watershed Regional Storage</vt:lpstr>
      <vt:lpstr>Watershed Ravine Storage</vt:lpstr>
      <vt:lpstr>Watershed Developer Add-On</vt:lpstr>
      <vt:lpstr>Floodplain Storage</vt:lpstr>
      <vt:lpstr>Conveyance_Sewer Size Groupings</vt:lpstr>
      <vt:lpstr>Conveyance_Unit Costs by Size</vt:lpstr>
      <vt:lpstr>Conveyance_Sewer Capacity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M. Flynn</dc:creator>
  <cp:lastModifiedBy>Lauren Burge</cp:lastModifiedBy>
  <dcterms:created xsi:type="dcterms:W3CDTF">2015-06-05T18:17:20Z</dcterms:created>
  <dcterms:modified xsi:type="dcterms:W3CDTF">2023-01-25T22:15:20Z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0x0101005FC29852501054488A95A00EAB52FF44</vt:lpwstr>
  </property>
</Properties>
</file>