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mc:AlternateContent xmlns:mc="http://schemas.openxmlformats.org/markup-compatibility/2006">
    <mc:Choice Requires="x15">
      <x15ac:absPath xmlns:x15ac="http://schemas.microsoft.com/office/spreadsheetml/2010/11/ac" url="S:\UFW_NRW\2022\AWWA Water Audit\AWWA Water Audit for PUC\"/>
    </mc:Choice>
  </mc:AlternateContent>
  <xr:revisionPtr revIDLastSave="0" documentId="13_ncr:1_{0DDC83FE-46B2-4290-A757-CBFF49562D3A}" xr6:coauthVersionLast="46" xr6:coauthVersionMax="46" xr10:uidLastSave="{00000000-0000-0000-0000-000000000000}"/>
  <workbookProtection workbookPassword="FDB7" lockStructure="1"/>
  <bookViews>
    <workbookView xWindow="3120" yWindow="3120" windowWidth="21600" windowHeight="1116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P70" i="53"/>
  <c r="BS57" i="53"/>
  <c r="BS71"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<sst xmlns="http://schemas.openxmlformats.org/spreadsheetml/2006/main" count="2534" uniqueCount="1283">
  <si>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</si>
  <si>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</si>
  <si>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</si>
  <si>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</si>
  <si>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</si>
  <si>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</si>
  <si>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</si>
  <si>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</si>
  <si>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</si>
  <si>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</si>
  <si>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</si>
  <si>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</si>
  <si>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</si>
  <si>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</si>
  <si>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</si>
  <si>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</si>
  <si>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</si>
  <si>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</si>
  <si>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</si>
  <si>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</si>
  <si>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</si>
  <si>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</si>
  <si>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</si>
  <si>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</si>
  <si>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</si>
  <si>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</si>
  <si>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</si>
  <si>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</si>
  <si>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</si>
  <si>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</si>
  <si>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</si>
  <si>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</si>
  <si>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</si>
  <si>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</si>
  <si>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</si>
  <si>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</si>
  <si>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</si>
  <si>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</si>
  <si>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</si>
  <si>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</si>
  <si>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</si>
  <si>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</si>
  <si>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</si>
  <si>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</si>
  <si>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</si>
  <si>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</si>
  <si>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</si>
  <si>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</si>
  <si>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</si>
  <si>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</si>
  <si>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</si>
  <si>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</si>
  <si>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</si>
  <si>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</si>
  <si>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</si>
  <si>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</si>
  <si>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</si>
  <si>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</si>
  <si>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</si>
  <si>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</si>
  <si>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</si>
  <si>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</si>
  <si>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</si>
  <si>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</si>
  <si>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</si>
  <si>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</si>
  <si>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</si>
  <si>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</si>
  <si>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</si>
  <si>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</si>
  <si>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</si>
  <si>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</si>
  <si>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</si>
  <si>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</si>
  <si>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</si>
  <si>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</si>
  <si>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</si>
  <si>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</si>
  <si>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</si>
  <si>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</si>
  <si>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</si>
  <si>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</si>
  <si>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</si>
  <si>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</si>
  <si>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</si>
  <si>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</si>
  <si>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</si>
  <si>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</si>
  <si>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</si>
  <si>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</si>
  <si>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</si>
  <si>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</si>
  <si>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</si>
  <si>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</si>
  <si>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</si>
  <si>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</si>
  <si>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</si>
  <si>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</si>
  <si>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</si>
  <si>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</si>
  <si>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</si>
  <si>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</si>
  <si>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</si>
  <si>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</si>
  <si>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</si>
  <si>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</si>
  <si>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</si>
  <si>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</si>
  <si>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</si>
  <si>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</si>
  <si>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</si>
  <si>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</si>
  <si>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</si>
  <si>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</si>
  <si>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</si>
  <si>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</si>
  <si>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</si>
  <si>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</si>
  <si>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</si>
  <si>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</si>
  <si>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</si>
  <si>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</si>
  <si>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</si>
  <si>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</si>
  <si>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</si>
  <si>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</si>
  <si>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</si>
  <si>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</si>
  <si>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</si>
  <si>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</si>
  <si>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</si>
  <si>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</si>
  <si>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</si>
  <si>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</si>
  <si>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</si>
  <si>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</si>
  <si>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</si>
  <si>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</si>
  <si>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</si>
  <si>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</si>
  <si>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</si>
  <si>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</si>
  <si>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</si>
  <si>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</si>
  <si>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</si>
  <si>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</si>
  <si>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</si>
  <si>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</si>
  <si>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</si>
  <si>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</si>
  <si>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</si>
  <si>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</si>
  <si>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</si>
  <si>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</si>
  <si>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</si>
  <si>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</si>
  <si>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</si>
  <si>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</si>
  <si>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</si>
  <si>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</si>
  <si>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</si>
  <si>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</si>
  <si>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</si>
  <si>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</si>
  <si>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</si>
  <si>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</si>
  <si>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</si>
  <si>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</si>
  <si>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</si>
  <si>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</si>
  <si>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</si>
  <si>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</si>
  <si>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</si>
  <si>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</si>
  <si>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</si>
  <si>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</si>
  <si>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</si>
  <si>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</si>
  <si>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</si>
  <si>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</si>
  <si>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</si>
  <si>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</si>
  <si>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</si>
  <si>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</si>
  <si>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</si>
  <si>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</si>
  <si>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</si>
  <si>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</si>
  <si>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</si>
  <si>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</si>
  <si>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</si>
  <si>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</si>
  <si>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</si>
  <si>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</si>
  <si>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</si>
  <si>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</si>
  <si>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</si>
  <si>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</si>
  <si>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</si>
  <si>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</si>
  <si>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</si>
  <si>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</si>
  <si>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</si>
  <si>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</si>
  <si>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</si>
  <si>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</si>
  <si>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</si>
  <si>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</si>
  <si>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</si>
  <si>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</si>
  <si>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</si>
  <si>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</si>
  <si>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</si>
  <si>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</si>
  <si>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</si>
  <si>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</si>
  <si>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</si>
  <si>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</si>
  <si>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</si>
  <si>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</si>
  <si>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</si>
  <si>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</si>
  <si>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</si>
  <si>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</si>
  <si>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</si>
  <si>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</si>
  <si>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</si>
  <si>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</si>
  <si>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</si>
  <si>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</si>
  <si>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</si>
  <si>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</si>
  <si>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</si>
  <si>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</si>
  <si>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</si>
  <si>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</si>
  <si>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</si>
  <si>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</si>
  <si>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</si>
  <si>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</si>
  <si>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</si>
  <si>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</si>
  <si>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</si>
  <si>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</si>
  <si>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</si>
  <si>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</si>
  <si>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</si>
  <si>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</si>
  <si>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</si>
  <si>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</si>
  <si>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</si>
  <si>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</si>
  <si>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</si>
  <si>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</si>
  <si>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</si>
  <si>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</si>
  <si>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</si>
  <si>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</si>
  <si>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</si>
  <si>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</si>
  <si>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</si>
  <si>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</si>
  <si>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</si>
  <si>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</si>
  <si>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</si>
  <si>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</si>
  <si>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</si>
  <si>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</si>
  <si>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</si>
  <si>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</si>
  <si>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</si>
  <si>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</si>
  <si>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</si>
  <si>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</si>
  <si>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</si>
  <si>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</si>
  <si>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</si>
  <si>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</si>
  <si>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</si>
  <si>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</si>
  <si>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</si>
  <si>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</si>
  <si>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</si>
  <si>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</si>
  <si>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</si>
  <si>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</si>
  <si>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</si>
  <si>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</si>
  <si>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</si>
  <si>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</si>
  <si>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</si>
  <si>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</si>
  <si>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</si>
  <si>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</si>
  <si>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</si>
  <si>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</si>
  <si>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</si>
  <si>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</si>
  <si>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</si>
  <si>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</si>
  <si>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</si>
  <si>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</si>
  <si>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</si>
  <si>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</si>
  <si>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</si>
  <si>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</si>
  <si>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</si>
  <si>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</si>
  <si>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</si>
  <si>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</si>
  <si>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</si>
  <si>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</si>
  <si>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</si>
  <si>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</si>
  <si>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</si>
  <si>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</si>
  <si>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</si>
  <si>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</si>
  <si>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</si>
  <si>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</si>
  <si>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</si>
  <si>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</si>
  <si>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</si>
  <si>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</si>
  <si>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</si>
  <si>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</si>
  <si>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</si>
  <si>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</si>
  <si>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</si>
  <si>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</si>
  <si>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</si>
  <si>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</si>
  <si>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</si>
  <si>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</si>
  <si>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</si>
  <si>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</si>
  <si>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</si>
  <si>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</si>
  <si>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</si>
  <si>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</si>
  <si>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</si>
  <si>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</si>
  <si>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</si>
  <si>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</si>
  <si>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</si>
  <si>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</si>
  <si>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</si>
  <si>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</si>
  <si>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</si>
  <si>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</si>
  <si>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</si>
  <si>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</si>
  <si>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</si>
  <si>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</si>
  <si>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</si>
  <si>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</si>
  <si>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</si>
  <si>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</si>
  <si>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</si>
  <si>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</si>
  <si>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</si>
  <si>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</si>
  <si>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</si>
  <si>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</si>
  <si>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</si>
  <si>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</si>
  <si>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</si>
  <si>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</si>
  <si>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</si>
  <si>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</si>
  <si>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</si>
  <si>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</si>
  <si>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</si>
  <si>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</si>
  <si>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</si>
  <si>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</si>
  <si>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</si>
  <si>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</si>
  <si>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</si>
  <si>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</si>
  <si>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</si>
  <si>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</si>
  <si>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</si>
  <si>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</si>
  <si>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</si>
  <si>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</si>
  <si>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</si>
  <si>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</si>
  <si>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</si>
  <si>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</si>
  <si>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</si>
  <si>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</si>
  <si>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</si>
  <si>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</si>
  <si>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</si>
  <si>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</si>
  <si>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</si>
  <si>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</si>
  <si>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</si>
  <si>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</si>
  <si>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</si>
  <si>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</si>
  <si>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</si>
  <si>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</si>
  <si>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</si>
  <si>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</si>
  <si>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</si>
  <si>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</si>
  <si>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</si>
  <si>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</si>
  <si>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</si>
  <si>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</si>
  <si>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</si>
  <si>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</si>
  <si>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</si>
  <si>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</si>
  <si>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</si>
  <si>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</si>
  <si>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</si>
  <si>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</si>
  <si>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</si>
  <si>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</si>
  <si>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</si>
  <si>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</si>
  <si>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</si>
  <si>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</si>
  <si>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</si>
  <si>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</si>
  <si>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</si>
  <si>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</si>
  <si>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</si>
  <si>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</si>
  <si>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</si>
  <si>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</si>
  <si>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</si>
  <si>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</si>
  <si>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</si>
  <si>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</si>
  <si>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</si>
  <si>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</si>
  <si>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</si>
  <si>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</si>
  <si>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</si>
  <si>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</si>
  <si>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</si>
  <si>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</si>
  <si>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</si>
  <si>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</si>
  <si>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</si>
  <si>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</si>
  <si>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</si>
  <si>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</si>
  <si>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</si>
  <si>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</si>
  <si>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</si>
  <si>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</si>
  <si>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</si>
  <si>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</si>
  <si>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</si>
  <si>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</si>
  <si>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</si>
  <si>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</si>
  <si>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</si>
  <si>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</si>
  <si>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</si>
  <si>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</si>
  <si>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</si>
  <si>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</si>
  <si>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</si>
  <si>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</si>
  <si>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</si>
  <si>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</si>
  <si>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</si>
  <si>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</si>
  <si>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</si>
  <si>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</si>
  <si>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</si>
  <si>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</si>
  <si>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</si>
  <si>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</si>
  <si>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</si>
  <si>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</si>
  <si>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</si>
  <si>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</si>
  <si>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</si>
  <si>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</si>
  <si>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</si>
  <si>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</si>
  <si>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</si>
  <si>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</si>
  <si>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</si>
  <si>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</si>
  <si>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</si>
  <si>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</si>
  <si>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</si>
  <si>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</si>
  <si>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</si>
  <si>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</si>
  <si>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</si>
  <si>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</si>
  <si>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</si>
  <si>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</si>
  <si>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</si>
  <si>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</si>
  <si>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</si>
  <si>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</si>
  <si>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</si>
  <si>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</si>
  <si>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</si>
  <si>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</si>
  <si>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</si>
  <si>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</si>
  <si>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</si>
  <si>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</si>
  <si>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</si>
  <si>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</si>
  <si>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</si>
  <si>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</si>
  <si>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</si>
  <si>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</si>
  <si>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</si>
  <si>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</si>
  <si>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</si>
  <si>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</si>
  <si>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</si>
  <si>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</si>
  <si>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</si>
  <si>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</si>
  <si>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</si>
  <si>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</si>
  <si>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</si>
  <si>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</si>
  <si>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</si>
  <si>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</si>
  <si>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</si>
  <si>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</si>
  <si>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</si>
  <si>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</si>
  <si>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</si>
  <si>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</si>
  <si>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</si>
  <si>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</si>
  <si>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</si>
  <si>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</si>
  <si>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</si>
  <si>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</si>
  <si>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</si>
  <si>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</si>
  <si>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</si>
  <si>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</si>
  <si>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</si>
  <si>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</si>
  <si>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</si>
  <si>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</si>
  <si>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</si>
  <si>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</si>
  <si>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</si>
  <si>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</si>
  <si>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</si>
  <si>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</si>
  <si>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</si>
  <si>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</si>
  <si>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</si>
  <si>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</si>
  <si>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</si>
  <si>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</si>
  <si>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</si>
  <si>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</si>
  <si>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</si>
  <si>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</si>
  <si>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</si>
  <si>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</si>
  <si>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</si>
  <si>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</si>
  <si>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</si>
  <si>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</si>
  <si>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</si>
  <si>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</si>
  <si>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</si>
  <si>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</si>
  <si>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</si>
  <si>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</si>
  <si>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</si>
  <si>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</si>
  <si>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</si>
  <si>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</si>
  <si>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</si>
  <si>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</si>
  <si>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</si>
  <si>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</si>
  <si>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</si>
  <si>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</si>
  <si>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</si>
  <si>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</si>
  <si>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</si>
  <si>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</si>
  <si>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</si>
  <si>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</si>
  <si>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</si>
  <si>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</si>
  <si>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</si>
  <si>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</si>
  <si>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</si>
  <si>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</si>
  <si>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</si>
  <si>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</si>
  <si>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</si>
  <si>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</si>
  <si>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</si>
  <si>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</si>
  <si>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</si>
  <si>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</si>
  <si>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</si>
  <si>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</si>
  <si>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</si>
  <si>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</si>
  <si>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</si>
  <si>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</si>
  <si>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</si>
  <si>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</si>
  <si>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</si>
  <si>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</si>
  <si>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</si>
  <si>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</si>
  <si>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</si>
  <si>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</si>
  <si>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</si>
  <si>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</si>
  <si>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</si>
  <si>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</si>
  <si>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</si>
  <si>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</si>
  <si>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</si>
  <si>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</si>
  <si>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</si>
  <si>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</si>
  <si>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</si>
  <si>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</si>
  <si>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</si>
  <si>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</si>
  <si>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</si>
  <si>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</si>
  <si>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</si>
  <si>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</si>
  <si>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</si>
  <si>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</si>
  <si>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</si>
  <si>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</si>
  <si>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</si>
  <si>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</si>
  <si>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</si>
  <si>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</si>
  <si>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</si>
  <si>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</si>
  <si>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</si>
  <si>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</si>
  <si>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</si>
  <si>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</si>
  <si>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</si>
  <si>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</si>
  <si>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</si>
  <si>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</si>
  <si>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</si>
  <si>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</si>
  <si>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</si>
  <si>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</si>
  <si>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</si>
  <si>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</si>
  <si>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</si>
  <si>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</si>
  <si>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</si>
  <si>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</si>
  <si>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</si>
  <si>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</si>
  <si>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</si>
  <si>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</si>
  <si>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</si>
  <si>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</si>
  <si>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</si>
  <si>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</si>
  <si>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</si>
  <si>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</si>
  <si>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</si>
  <si>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</si>
  <si>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</si>
  <si>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</si>
  <si>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</si>
  <si>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</si>
  <si>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</si>
  <si>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</si>
  <si>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</si>
  <si>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</si>
  <si>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</si>
  <si>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</si>
  <si>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</si>
  <si>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</si>
  <si>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</si>
  <si>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</si>
  <si>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</si>
  <si>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</si>
  <si>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</si>
  <si>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</si>
  <si>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</si>
  <si>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</si>
  <si>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</si>
  <si>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</si>
  <si>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</si>
  <si>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</si>
  <si>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</si>
  <si>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</si>
  <si>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</si>
  <si>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</si>
  <si>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</si>
  <si>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</si>
  <si>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</si>
  <si>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</si>
  <si>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</si>
  <si>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</si>
  <si>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</si>
  <si>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</si>
  <si>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</si>
  <si>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</si>
  <si>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</si>
  <si>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</si>
  <si>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</si>
  <si>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</si>
  <si>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</si>
  <si>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</si>
  <si>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</si>
  <si>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</si>
  <si>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</si>
  <si>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</si>
  <si>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</si>
  <si>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</si>
  <si>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</si>
  <si>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</si>
  <si>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</si>
  <si>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</si>
  <si>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</si>
  <si>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</si>
  <si>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</si>
  <si>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</si>
  <si>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</si>
  <si>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</si>
  <si>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</si>
  <si>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</si>
  <si>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</si>
  <si>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</si>
  <si>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</si>
  <si>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</si>
  <si>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</si>
  <si>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</si>
  <si>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</si>
  <si>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</si>
  <si>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</si>
  <si>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</si>
  <si>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</si>
  <si>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</si>
  <si>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</si>
  <si>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</si>
  <si>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</si>
  <si>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</si>
  <si>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</si>
  <si>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</si>
  <si>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</si>
  <si>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</si>
  <si>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</si>
  <si>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</si>
  <si>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</si>
  <si>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</si>
  <si>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</si>
  <si>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</si>
  <si>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</si>
  <si>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</si>
  <si>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</si>
  <si>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</si>
  <si>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</si>
  <si>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</si>
  <si>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</si>
  <si>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</si>
  <si>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</si>
  <si>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</si>
  <si>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</si>
  <si>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</si>
  <si>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</si>
  <si>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</si>
  <si>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</si>
  <si>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</si>
  <si>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</si>
  <si>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</si>
  <si>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</si>
  <si>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</si>
  <si>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</si>
  <si>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</si>
  <si>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</si>
  <si>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</si>
  <si>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</si>
  <si>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</si>
  <si>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</si>
  <si>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</si>
  <si>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</si>
  <si>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</si>
  <si>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</si>
  <si>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</si>
  <si>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</si>
  <si>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</si>
  <si>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</si>
  <si>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</si>
  <si>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</si>
  <si>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</si>
  <si>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</si>
  <si>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</si>
  <si>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</si>
  <si>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</si>
  <si>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</si>
  <si>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</si>
  <si>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</si>
  <si>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</si>
  <si>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</si>
  <si>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</si>
  <si>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</si>
  <si>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</si>
  <si>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</si>
  <si>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</si>
  <si>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</si>
  <si>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</si>
  <si>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</si>
  <si>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</si>
  <si>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</si>
  <si>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</si>
  <si>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</si>
  <si>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</si>
  <si>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</si>
  <si>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</si>
  <si>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</si>
  <si>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</si>
  <si>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</si>
  <si>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</si>
  <si>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</si>
  <si>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</si>
  <si>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</si>
  <si>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</si>
  <si>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</si>
  <si>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</si>
  <si>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</si>
  <si>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</si>
  <si>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</si>
  <si>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</si>
  <si>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</si>
  <si>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</si>
  <si>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</si>
  <si>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</si>
  <si>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</si>
  <si>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</si>
  <si>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</si>
  <si>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</si>
  <si>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</si>
  <si>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</si>
  <si>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</si>
  <si>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</si>
  <si>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</si>
  <si>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</si>
  <si>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</si>
  <si>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</si>
  <si>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</si>
  <si>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</si>
  <si>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</si>
  <si>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</si>
  <si>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</si>
  <si>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</si>
  <si>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</si>
  <si>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</si>
  <si>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</si>
  <si>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</si>
  <si>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</si>
  <si>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</si>
  <si>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</si>
  <si>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</si>
  <si>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</si>
  <si>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</si>
  <si>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</si>
  <si>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</si>
  <si>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</si>
  <si>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</si>
  <si>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</si>
  <si>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</si>
  <si>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</si>
  <si>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</si>
  <si>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</si>
  <si>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</si>
  <si>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</si>
  <si>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</si>
  <si>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</si>
  <si>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</si>
  <si>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</si>
  <si>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</si>
  <si>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</si>
  <si>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</si>
  <si>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</si>
  <si>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</si>
  <si>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</si>
  <si>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</si>
  <si>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</si>
  <si>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</si>
  <si>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</si>
  <si>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</si>
  <si>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</si>
  <si>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</si>
  <si>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</si>
  <si>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</si>
  <si>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</si>
  <si>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</si>
  <si>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</si>
  <si>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</si>
  <si>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</si>
  <si>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</si>
  <si>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</si>
  <si>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</si>
  <si>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</si>
  <si>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</si>
  <si>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</si>
  <si>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</si>
  <si>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</si>
  <si>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</si>
  <si>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</si>
  <si>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</si>
  <si>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</si>
  <si>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</si>
  <si>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</si>
  <si>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</si>
  <si>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</si>
  <si>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</si>
  <si>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</si>
  <si>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</si>
  <si>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</si>
  <si>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</si>
  <si>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</si>
  <si>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</si>
  <si>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</si>
  <si>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</si>
  <si>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</si>
  <si>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</si>
  <si>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</si>
  <si>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</si>
  <si>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</si>
  <si>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</si>
  <si>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</si>
  <si>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</si>
  <si>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</si>
  <si>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</si>
  <si>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</si>
  <si>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</si>
  <si>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</si>
  <si>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</si>
  <si>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</si>
  <si>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</si>
  <si>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</si>
  <si>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</si>
  <si>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</si>
  <si>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</si>
  <si>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</si>
  <si>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</si>
  <si>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</si>
  <si>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</si>
  <si>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</si>
  <si>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</si>
  <si>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</si>
  <si>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</si>
  <si>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</si>
  <si>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</si>
  <si>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</si>
  <si>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</si>
  <si>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</si>
  <si>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</si>
  <si>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</si>
  <si>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</si>
  <si>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</si>
  <si>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</si>
  <si>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</si>
  <si>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</si>
  <si>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</si>
  <si>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</si>
  <si>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</si>
  <si>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</si>
  <si>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</si>
  <si>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</si>
  <si>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</si>
  <si>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</si>
  <si>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</si>
  <si>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</si>
  <si>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</si>
  <si>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</si>
  <si>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</si>
  <si>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</si>
  <si>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</si>
  <si>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</si>
  <si>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</si>
  <si>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</si>
  <si>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</si>
  <si>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</si>
  <si>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</si>
  <si>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</si>
  <si>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</si>
  <si>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</si>
  <si>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</si>
  <si>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</si>
  <si>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</si>
  <si>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</si>
  <si>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</si>
  <si>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</si>
  <si>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</si>
  <si>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</si>
  <si>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</si>
  <si>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</si>
  <si>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</si>
  <si>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</si>
  <si>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</si>
  <si>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</si>
  <si>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</si>
  <si>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</si>
  <si>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</si>
  <si>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</si>
  <si>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</si>
  <si>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</si>
  <si>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</si>
  <si>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</si>
  <si>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</si>
  <si>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</si>
  <si>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</si>
  <si>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</si>
  <si>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</si>
  <si>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</si>
  <si>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</si>
  <si>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</si>
  <si>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</si>
  <si>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</si>
  <si>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</si>
  <si>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</si>
  <si>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</si>
  <si>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</si>
  <si>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</si>
  <si>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</si>
  <si>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</si>
  <si>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</si>
  <si>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</si>
  <si>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</si>
  <si>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</si>
  <si>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</si>
  <si>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</si>
  <si>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</si>
  <si>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</si>
  <si>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</si>
  <si>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</si>
  <si>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</si>
  <si>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</si>
  <si>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</si>
  <si>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</si>
  <si>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</si>
  <si>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</si>
  <si>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</si>
  <si>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</si>
  <si>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</si>
  <si>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</si>
  <si>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</si>
  <si>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</si>
  <si>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</si>
  <si>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</si>
  <si>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</si>
  <si>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</si>
  <si>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</si>
  <si>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</si>
  <si>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</si>
  <si>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</si>
  <si>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</si>
  <si>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</si>
  <si>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</si>
  <si>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</si>
  <si>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</si>
  <si>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</si>
  <si>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</si>
  <si>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</si>
  <si>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</si>
  <si>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</si>
  <si>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</si>
  <si>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</si>
  <si>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</si>
  <si>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</si>
  <si>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</si>
  <si>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</si>
  <si>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</si>
  <si>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</si>
  <si>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</si>
  <si>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</si>
  <si>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</si>
  <si>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</si>
  <si>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</si>
  <si>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</si>
  <si>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</si>
  <si>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</si>
  <si>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</si>
  <si>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</si>
  <si>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</si>
  <si>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</si>
  <si>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</si>
  <si>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</si>
  <si>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</si>
  <si>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</si>
  <si>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</si>
  <si>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</si>
  <si>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</si>
  <si>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</si>
  <si>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</si>
  <si>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</si>
  <si>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</si>
  <si>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</si>
  <si>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</si>
  <si>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</si>
  <si>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</si>
  <si>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</si>
  <si>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</si>
  <si>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</si>
  <si>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</si>
  <si>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</si>
  <si>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</si>
  <si>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</si>
  <si>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</si>
  <si>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</si>
  <si>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</si>
  <si>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</si>
  <si>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</si>
  <si>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</si>
  <si>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</si>
  <si>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</si>
  <si>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</si>
  <si>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</si>
  <si>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</si>
  <si>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</si>
  <si>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</si>
  <si>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</si>
  <si>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</si>
  <si>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</si>
  <si>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</si>
  <si>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</si>
  <si>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</si>
  <si>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</si>
  <si>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</si>
  <si>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</si>
  <si>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</si>
  <si>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</si>
  <si>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</si>
  <si>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</si>
  <si>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</si>
  <si>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</si>
  <si>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</si>
  <si>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</si>
  <si>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</si>
  <si>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</si>
  <si>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</si>
  <si>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</si>
  <si>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</si>
  <si>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</si>
  <si>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</si>
  <si>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</si>
  <si>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</si>
  <si>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</si>
  <si>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</si>
  <si>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</si>
  <si>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</si>
  <si>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</si>
  <si>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</si>
  <si>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</si>
  <si>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</si>
  <si>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</si>
  <si>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</si>
  <si>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</si>
  <si>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</si>
  <si>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</si>
  <si>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</si>
  <si>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</si>
  <si>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</si>
  <si>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</si>
  <si>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</si>
  <si>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</si>
  <si>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</si>
  <si>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</si>
  <si>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</si>
  <si>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</si>
  <si>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</si>
  <si>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</si>
  <si>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</si>
  <si>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</si>
  <si>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</si>
  <si>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</si>
  <si>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</si>
  <si>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</si>
  <si>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</si>
  <si>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</si>
  <si>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</si>
  <si>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</si>
  <si>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</si>
  <si>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</si>
  <si>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</si>
  <si>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</si>
  <si>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</si>
  <si>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</si>
  <si>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</si>
  <si>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</si>
  <si>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</si>
  <si>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</si>
  <si>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</si>
  <si>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</si>
  <si>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</si>
  <si>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</si>
  <si>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</si>
  <si>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</si>
  <si>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</si>
  <si>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</si>
  <si>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</si>
  <si>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</si>
  <si>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</si>
  <si>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</si>
  <si>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</si>
  <si>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</si>
  <si>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</si>
  <si>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</si>
  <si>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</si>
  <si>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</si>
  <si>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</si>
  <si>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</si>
  <si>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</si>
  <si>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</si>
  <si>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</si>
  <si>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</si>
  <si>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</si>
  <si>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</si>
  <si>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</si>
  <si>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</si>
  <si>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</si>
  <si>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</si>
  <si>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</si>
  <si>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</si>
  <si>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</si>
  <si>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</si>
  <si>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</si>
  <si>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</si>
  <si>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</si>
  <si>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</si>
  <si>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</si>
  <si>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</si>
  <si>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</si>
  <si>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</si>
  <si>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</si>
  <si>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</si>
  <si>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</si>
  <si>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</si>
  <si>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</si>
  <si>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</si>
  <si>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</si>
  <si>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</si>
  <si>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</si>
  <si>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</si>
  <si>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</si>
  <si>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</si>
  <si>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</si>
  <si>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</si>
  <si>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</si>
  <si>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</si>
  <si>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</si>
  <si>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</si>
  <si>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</si>
  <si>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</si>
  <si>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</si>
  <si>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Matthew Bloom</t>
  </si>
  <si>
    <t>717-901-6332</t>
  </si>
  <si>
    <t>Brown Manor</t>
  </si>
  <si>
    <t>USA</t>
  </si>
  <si>
    <t>24700073</t>
  </si>
  <si>
    <t>NA</t>
  </si>
  <si>
    <t>VEOLIA - Brown Manor</t>
  </si>
  <si>
    <t>matthew.bloom@veolia.com</t>
  </si>
  <si>
    <t>Changed calculation to 0.25% of delivery. Was previously calculated as 1% delivery.</t>
  </si>
  <si>
    <t>Very small well system, most likely overestimated and causing apprent losses to be too high.</t>
  </si>
  <si>
    <t>Very small system. Lower production compared to 2021 is due to main replacements throughout 2020 and 2021, replacing pipes that had previously been leaking.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</si>
</sst>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3" fillId="9" borderId="131" xfId="7" applyFont="1" applyFill="1" applyBorder="1" applyAlignment="1" applyProtection="1">
      <alignment horizontal="left" vertical="top" wrapText="1"/>
      <protection locked="0"/>
    </xf>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2" fillId="9" borderId="144" xfId="0" applyFont="1" applyFill="1" applyBorder="1" applyAlignment="1" applyProtection="1">
      <alignment horizontal="left" vertical="center" wrapText="1"/>
      <protection locked="0"/>
    </xf>
    <xf numFmtId="0" fontId="2" fillId="9" borderId="145" xfId="0" applyFont="1" applyFill="1" applyBorder="1" applyAlignment="1" applyProtection="1">
      <alignment horizontal="left" vertical="center" wrapText="1"/>
      <protection locked="0"/>
    </xf>
    <xf numFmtId="0" fontId="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2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1.7833170254403135</c:v>
                </c:pt>
                <c:pt idx="1">
                  <c:v>0.26113598867139654</c:v>
                </c:pt>
                <c:pt idx="2">
                  <c:v>30.597545569812858</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5.240642815178572</c:v>
                </c:pt>
                <c:pt idx="1">
                  <c:v>0.92482240795754933</c:v>
                </c:pt>
                <c:pt idx="2">
                  <c:v>109.43733577155754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5.3504860714285725</c:v>
                </c:pt>
                <c:pt idx="1">
                  <c:v>0.38772920688421864</c:v>
                </c:pt>
                <c:pt idx="2">
                  <c:v>42.727935582214535</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0</c:v>
                </c:pt>
                <c:pt idx="1">
                  <c:v>0.56875750335916142</c:v>
                </c:pt>
                <c:pt idx="2">
                  <c:v>70.525930416536013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62</c:v>
                </c:pt>
                <c:pt idx="1">
                  <c:v>1.2666666666666666</c:v>
                </c:pt>
                <c:pt idx="2" formatCode="General">
                  <c:v>136.73333333333335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1.2E-2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3.1127500000000005E-3</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1.2E-2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3.1127500000000005E-3</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-7.3255000000000924E-3</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$152/Yr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5.0382000000000007</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25.586805000000009</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98.64</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25.586805000000009</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-3.0756111750000388</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-11.334191473572488</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0</c:v>
                </c:pt>
                <c:pt idx="1">
                  <c:v>1.8469276802355887</c:v>
                </c:pt>
                <c:pt idx="2">
                  <c:v>229.01903234921301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0</c:v>
                </c:pt>
                <c:pt idx="1">
                  <c:v>97.186039594358903</c:v>
                </c:pt>
                <c:pt idx="2" formatCode="_(* #,##0_);_(* \(#,##0\);_(* &quot;-&quot;??_);_(@_)">
                  <c:v>12051.068909700503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3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8.png"/><Relationship Id="rId1" Type="http://schemas.openxmlformats.org/officeDocument/2006/relationships/image" Target="../media/image3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image" Target="../media/image12.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image" Target="../media/image9.emf"/><Relationship Id="rId25" Type="http://schemas.openxmlformats.org/officeDocument/2006/relationships/hyperlink" Target="#'Interactive Data Grading'!Lp"/><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image" Target="../media/image10.emf"/><Relationship Id="rId29" Type="http://schemas.openxmlformats.org/officeDocument/2006/relationships/hyperlink" Target="#'Interactive Data Grading'!VP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Nc"/><Relationship Id="rId32" Type="http://schemas.openxmlformats.org/officeDocument/2006/relationships/image" Target="../media/image1.png"/><Relationship Id="rId5" Type="http://schemas.openxmlformats.org/officeDocument/2006/relationships/image" Target="../media/image5.emf"/><Relationship Id="rId15" Type="http://schemas.openxmlformats.org/officeDocument/2006/relationships/image" Target="../media/image8.emf"/><Relationship Id="rId23" Type="http://schemas.openxmlformats.org/officeDocument/2006/relationships/image" Target="../media/image11.emf"/><Relationship Id="rId28" Type="http://schemas.openxmlformats.org/officeDocument/2006/relationships/image" Target="../media/image13.emf"/><Relationship Id="rId10" Type="http://schemas.openxmlformats.org/officeDocument/2006/relationships/hyperlink" Target="#'Interactive Data Grading'!UMAC"/><Relationship Id="rId19" Type="http://schemas.openxmlformats.org/officeDocument/2006/relationships/hyperlink" Target="#'Interactive Data Grading'!WI"/><Relationship Id="rId31" Type="http://schemas.openxmlformats.org/officeDocument/2006/relationships/hyperlink" Target="#'Interactive Data Grading'!UUAC"/><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IEA"/><Relationship Id="rId22" Type="http://schemas.openxmlformats.org/officeDocument/2006/relationships/hyperlink" Target="#'Interactive Data Grading'!Lm"/><Relationship Id="rId27" Type="http://schemas.openxmlformats.org/officeDocument/2006/relationships/hyperlink" Target="#'Interactive Data Grading'!CRUC"/><Relationship Id="rId30" Type="http://schemas.openxmlformats.org/officeDocument/2006/relationships/image" Target="../media/image14.emf"/></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8.png"/><Relationship Id="rId3" Type="http://schemas.openxmlformats.org/officeDocument/2006/relationships/chart" Target="../charts/chart4.xml"/><Relationship Id="rId21" Type="http://schemas.openxmlformats.org/officeDocument/2006/relationships/image" Target="../media/image3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3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7.emf"/><Relationship Id="rId7" Type="http://schemas.openxmlformats.org/officeDocument/2006/relationships/image" Target="../media/image21.emf"/><Relationship Id="rId12" Type="http://schemas.openxmlformats.org/officeDocument/2006/relationships/image" Target="../media/image26.emf"/><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image" Target="../media/image20.emf"/><Relationship Id="rId11" Type="http://schemas.openxmlformats.org/officeDocument/2006/relationships/image" Target="../media/image25.emf"/><Relationship Id="rId5" Type="http://schemas.openxmlformats.org/officeDocument/2006/relationships/image" Target="../media/image19.emf"/><Relationship Id="rId10" Type="http://schemas.openxmlformats.org/officeDocument/2006/relationships/image" Target="../media/image24.emf"/><Relationship Id="rId4" Type="http://schemas.openxmlformats.org/officeDocument/2006/relationships/image" Target="../media/image18.emf"/><Relationship Id="rId9" Type="http://schemas.openxmlformats.org/officeDocument/2006/relationships/image" Target="../media/image2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41936"/>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41937"/>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41938"/>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41939"/>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41940"/>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41941"/>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41942"/>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41943"/>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41944"/>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41945"/>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41946"/>
                  </a:ext>
                </a:extLst>
              </xdr:cNvPicPr>
            </xdr:nvPicPr>
            <xdr:blipFill rotWithShape="1">
              <a:blip xmlns:r="http://schemas.openxmlformats.org/officeDocument/2006/relationships" r:embed="rId1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41947"/>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41948"/>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41949"/>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41950"/>
                  </a:ext>
                </a:extLst>
              </xdr:cNvPicPr>
            </xdr:nvPicPr>
            <xdr:blipFill rotWithShape="1">
              <a:blip xmlns:r="http://schemas.openxmlformats.org/officeDocument/2006/relationships" r:embed="rId2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4"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41951"/>
                  </a:ext>
                </a:extLst>
              </xdr:cNvPicPr>
            </xdr:nvPicPr>
            <xdr:blipFill rotWithShape="1">
              <a:blip xmlns:r="http://schemas.openxmlformats.org/officeDocument/2006/relationships" r:embed="rId20"/>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5"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41952"/>
                  </a:ext>
                </a:extLst>
              </xdr:cNvPicPr>
            </xdr:nvPicPr>
            <xdr:blipFill rotWithShape="1">
              <a:blip xmlns:r="http://schemas.openxmlformats.org/officeDocument/2006/relationships" r:embed="rId2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7"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41953"/>
                  </a:ext>
                </a:extLst>
              </xdr:cNvPicPr>
            </xdr:nvPicPr>
            <xdr:blipFill rotWithShape="1">
              <a:blip xmlns:r="http://schemas.openxmlformats.org/officeDocument/2006/relationships" r:embed="rId28"/>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9"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41954"/>
                  </a:ext>
                </a:extLst>
              </xdr:cNvPicPr>
            </xdr:nvPicPr>
            <xdr:blipFill rotWithShape="1">
              <a:blip xmlns:r="http://schemas.openxmlformats.org/officeDocument/2006/relationships" r:embed="rId30"/>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1"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197"/>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7"/>
      <c r="H11" s="757"/>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8" t="s">
        <v>304</v>
      </c>
      <c r="E16" s="758"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69" t="s">
        <v>470</v>
      </c>
      <c r="D4" s="769" t="s">
        <v>471</v>
      </c>
      <c r="E4" s="200" t="s">
        <v>429</v>
      </c>
      <c r="F4" s="194"/>
    </row>
    <row r="5" spans="1:7" ht="51">
      <c r="B5" s="185" t="s">
        <v>286</v>
      </c>
      <c r="C5" s="770" t="s">
        <v>472</v>
      </c>
      <c r="D5" s="584" t="s">
        <v>479</v>
      </c>
      <c r="E5" s="621" t="s">
        <v>842</v>
      </c>
      <c r="F5" s="193"/>
      <c r="G5" s="193"/>
    </row>
    <row r="6" spans="1:7">
      <c r="B6" s="195">
        <v>1</v>
      </c>
      <c r="C6" s="765" t="s">
        <v>460</v>
      </c>
      <c r="D6" s="765" t="s">
        <v>742</v>
      </c>
      <c r="E6" s="765" t="s">
        <v>743</v>
      </c>
      <c r="F6" s="195">
        <v>1</v>
      </c>
    </row>
    <row r="7" spans="1:7">
      <c r="B7" s="195">
        <v>2</v>
      </c>
      <c r="C7" s="764"/>
      <c r="D7" s="764"/>
      <c r="E7" s="765"/>
      <c r="F7" s="195">
        <v>2</v>
      </c>
      <c r="G7" s="193"/>
    </row>
    <row r="8" spans="1:7">
      <c r="B8" s="195">
        <v>3</v>
      </c>
      <c r="C8" s="771"/>
      <c r="D8" s="764"/>
      <c r="E8" s="765"/>
      <c r="F8" s="195">
        <v>3</v>
      </c>
    </row>
    <row r="9" spans="1:7" ht="25.5">
      <c r="B9" s="195">
        <v>4</v>
      </c>
      <c r="C9" s="764" t="s">
        <v>839</v>
      </c>
      <c r="D9" s="764"/>
      <c r="E9" s="765"/>
      <c r="F9" s="195">
        <v>4</v>
      </c>
      <c r="G9" s="193"/>
    </row>
    <row r="10" spans="1:7" ht="38.25">
      <c r="B10" s="195">
        <v>5</v>
      </c>
      <c r="C10" s="767"/>
      <c r="D10" s="772"/>
      <c r="E10" s="765" t="s">
        <v>480</v>
      </c>
      <c r="F10" s="195">
        <v>5</v>
      </c>
    </row>
    <row r="11" spans="1:7" ht="25.5">
      <c r="B11" s="195">
        <v>6</v>
      </c>
      <c r="C11" s="184"/>
      <c r="D11" s="765" t="s">
        <v>834</v>
      </c>
      <c r="E11" s="765"/>
      <c r="F11" s="195">
        <v>6</v>
      </c>
      <c r="G11" s="193"/>
    </row>
    <row r="12" spans="1:7">
      <c r="B12" s="195">
        <v>7</v>
      </c>
      <c r="C12" s="767"/>
      <c r="D12" s="773"/>
      <c r="E12" s="765"/>
      <c r="F12" s="195">
        <v>7</v>
      </c>
    </row>
    <row r="13" spans="1:7" ht="38.25">
      <c r="B13" s="195">
        <v>8</v>
      </c>
      <c r="C13" s="764" t="s">
        <v>840</v>
      </c>
      <c r="D13" s="764"/>
      <c r="E13" s="765" t="s">
        <v>890</v>
      </c>
      <c r="F13" s="195">
        <v>8</v>
      </c>
      <c r="G13" s="193"/>
    </row>
    <row r="14" spans="1:7">
      <c r="B14" s="195">
        <v>9</v>
      </c>
      <c r="C14" s="764"/>
      <c r="D14" s="764"/>
      <c r="E14" s="765"/>
      <c r="F14" s="195">
        <v>9</v>
      </c>
    </row>
    <row r="15" spans="1:7" ht="25.5">
      <c r="B15" s="195">
        <v>10</v>
      </c>
      <c r="C15" s="764" t="s">
        <v>841</v>
      </c>
      <c r="D15" s="765" t="s">
        <v>835</v>
      </c>
      <c r="E15" s="765" t="s">
        <v>481</v>
      </c>
      <c r="F15" s="195">
        <v>10</v>
      </c>
      <c r="G15" s="193"/>
    </row>
    <row r="16" spans="1:7">
      <c r="B16" s="178"/>
      <c r="C16" s="182"/>
      <c r="D16" s="182"/>
      <c r="E16" s="194"/>
      <c r="F16" s="194"/>
    </row>
    <row r="17" spans="2:13" ht="38.25">
      <c r="B17" s="53" t="s">
        <v>836</v>
      </c>
      <c r="C17" s="771"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69" t="s">
        <v>492</v>
      </c>
      <c r="D4" s="769" t="s">
        <v>493</v>
      </c>
      <c r="E4" s="194"/>
    </row>
    <row r="5" spans="1:6" ht="25.5">
      <c r="B5" s="185" t="s">
        <v>286</v>
      </c>
      <c r="C5" s="770" t="s">
        <v>494</v>
      </c>
      <c r="D5" s="584" t="s">
        <v>495</v>
      </c>
      <c r="E5" s="193"/>
      <c r="F5" s="193"/>
    </row>
    <row r="6" spans="1:6">
      <c r="B6" s="195">
        <v>1</v>
      </c>
      <c r="C6" s="765" t="s">
        <v>499</v>
      </c>
      <c r="D6" s="764"/>
      <c r="E6" s="195">
        <v>1</v>
      </c>
    </row>
    <row r="7" spans="1:6">
      <c r="B7" s="195">
        <v>2</v>
      </c>
      <c r="C7" s="765"/>
      <c r="D7" s="765" t="s">
        <v>500</v>
      </c>
      <c r="E7" s="195">
        <v>2</v>
      </c>
      <c r="F7" s="193"/>
    </row>
    <row r="8" spans="1:6">
      <c r="B8" s="195">
        <v>3</v>
      </c>
      <c r="D8" s="764"/>
      <c r="E8" s="195">
        <v>3</v>
      </c>
    </row>
    <row r="9" spans="1:6">
      <c r="B9" s="195">
        <v>4</v>
      </c>
      <c r="C9" s="764"/>
      <c r="D9" s="765" t="s">
        <v>501</v>
      </c>
      <c r="E9" s="195">
        <v>4</v>
      </c>
      <c r="F9" s="193"/>
    </row>
    <row r="10" spans="1:6">
      <c r="B10" s="195">
        <v>5</v>
      </c>
      <c r="C10" s="767"/>
      <c r="D10" s="772"/>
      <c r="E10" s="195">
        <v>5</v>
      </c>
    </row>
    <row r="11" spans="1:6" ht="63.75">
      <c r="B11" s="195">
        <v>6</v>
      </c>
      <c r="C11" s="184" t="s">
        <v>744</v>
      </c>
      <c r="D11" s="765" t="s">
        <v>502</v>
      </c>
      <c r="E11" s="195">
        <v>6</v>
      </c>
      <c r="F11" s="193"/>
    </row>
    <row r="12" spans="1:6">
      <c r="B12" s="195">
        <v>7</v>
      </c>
      <c r="C12" s="767"/>
      <c r="D12" s="773"/>
      <c r="E12" s="195">
        <v>7</v>
      </c>
    </row>
    <row r="13" spans="1:6" ht="51">
      <c r="B13" s="195">
        <v>8</v>
      </c>
      <c r="C13" s="765" t="s">
        <v>843</v>
      </c>
      <c r="D13" s="765" t="s">
        <v>745</v>
      </c>
      <c r="E13" s="195">
        <v>8</v>
      </c>
      <c r="F13" s="193"/>
    </row>
    <row r="14" spans="1:6">
      <c r="B14" s="195">
        <v>9</v>
      </c>
      <c r="C14" s="764"/>
      <c r="D14" s="764"/>
      <c r="E14" s="195">
        <v>9</v>
      </c>
    </row>
    <row r="15" spans="1:6" ht="38.25">
      <c r="B15" s="195">
        <v>10</v>
      </c>
      <c r="C15" s="764" t="s">
        <v>746</v>
      </c>
      <c r="D15" s="765" t="s">
        <v>747</v>
      </c>
      <c r="E15" s="195">
        <v>10</v>
      </c>
      <c r="F15" s="193"/>
    </row>
    <row r="16" spans="1:6">
      <c r="B16" s="178"/>
      <c r="C16" s="182"/>
      <c r="D16" s="182"/>
      <c r="E16" s="194"/>
    </row>
    <row r="17" spans="2:12" ht="38.25">
      <c r="B17" s="53" t="s">
        <v>844</v>
      </c>
      <c r="C17" s="771"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59" t="s">
        <v>846</v>
      </c>
      <c r="D2" s="181"/>
      <c r="E2" s="181"/>
      <c r="F2" s="182" t="s">
        <v>847</v>
      </c>
      <c r="G2" s="182"/>
      <c r="H2" s="182"/>
      <c r="I2" s="182"/>
      <c r="K2" s="84" t="s">
        <v>753</v>
      </c>
      <c r="L2" s="182"/>
    </row>
    <row r="3" spans="2:12" ht="25.5">
      <c r="B3" s="183" t="s">
        <v>318</v>
      </c>
      <c r="C3" s="184" t="s">
        <v>503</v>
      </c>
      <c r="D3" s="184" t="s">
        <v>504</v>
      </c>
      <c r="E3" s="184" t="s">
        <v>848</v>
      </c>
      <c r="F3" s="621" t="s">
        <v>527</v>
      </c>
      <c r="G3" s="621" t="s">
        <v>849</v>
      </c>
      <c r="H3" s="184" t="s">
        <v>528</v>
      </c>
      <c r="I3" s="184" t="s">
        <v>506</v>
      </c>
      <c r="K3" s="235" t="s">
        <v>507</v>
      </c>
      <c r="L3" s="236" t="s">
        <v>508</v>
      </c>
    </row>
    <row r="4" spans="2:12" ht="25.5">
      <c r="B4" s="185" t="s">
        <v>276</v>
      </c>
      <c r="C4" s="760" t="s">
        <v>509</v>
      </c>
      <c r="D4" s="760" t="s">
        <v>510</v>
      </c>
      <c r="E4" s="760" t="s">
        <v>511</v>
      </c>
      <c r="F4" s="760" t="s">
        <v>512</v>
      </c>
      <c r="G4" t="s">
        <v>513</v>
      </c>
      <c r="H4" s="760" t="s">
        <v>514</v>
      </c>
      <c r="I4" t="s">
        <v>515</v>
      </c>
      <c r="K4" s="237" t="s">
        <v>748</v>
      </c>
      <c r="L4" s="238" t="s">
        <v>516</v>
      </c>
    </row>
    <row r="5" spans="2:12" ht="76.5">
      <c r="B5" s="761" t="s">
        <v>286</v>
      </c>
      <c r="C5" s="762" t="s">
        <v>1183</v>
      </c>
      <c r="D5" s="762" t="s">
        <v>1184</v>
      </c>
      <c r="E5" s="762" t="s">
        <v>850</v>
      </c>
      <c r="F5" s="763" t="s">
        <v>851</v>
      </c>
      <c r="G5" s="762" t="s">
        <v>852</v>
      </c>
      <c r="H5" s="763" t="s">
        <v>494</v>
      </c>
      <c r="I5" s="763" t="s">
        <v>517</v>
      </c>
      <c r="K5" s="774" t="s">
        <v>749</v>
      </c>
      <c r="L5" s="775" t="s">
        <v>518</v>
      </c>
    </row>
    <row r="6" spans="2:12" ht="25.5">
      <c r="B6" s="179">
        <v>1</v>
      </c>
      <c r="C6" s="764" t="s">
        <v>519</v>
      </c>
      <c r="D6" s="764"/>
      <c r="E6" s="764"/>
      <c r="F6" s="764"/>
      <c r="G6" s="764"/>
      <c r="H6" s="764"/>
      <c r="I6" s="764"/>
      <c r="J6">
        <f t="shared" ref="J6:J14" si="0">B6</f>
        <v>1</v>
      </c>
      <c r="K6" s="776" t="s">
        <v>418</v>
      </c>
      <c r="L6" s="777" t="s">
        <v>520</v>
      </c>
    </row>
    <row r="7" spans="2:12" ht="51">
      <c r="B7" s="179">
        <v>2</v>
      </c>
      <c r="C7" s="764"/>
      <c r="D7" s="764"/>
      <c r="E7" s="764"/>
      <c r="F7" s="764"/>
      <c r="G7" s="764"/>
      <c r="H7" s="764" t="s">
        <v>853</v>
      </c>
      <c r="I7" s="764"/>
      <c r="J7">
        <f t="shared" si="0"/>
        <v>2</v>
      </c>
      <c r="K7" s="776" t="s">
        <v>750</v>
      </c>
      <c r="L7" s="778" t="s">
        <v>973</v>
      </c>
    </row>
    <row r="8" spans="2:12" ht="51">
      <c r="B8" s="179">
        <v>3</v>
      </c>
      <c r="C8" s="764"/>
      <c r="D8" s="764" t="s">
        <v>854</v>
      </c>
      <c r="E8" s="764"/>
      <c r="F8" s="764" t="s">
        <v>855</v>
      </c>
      <c r="G8" s="764"/>
      <c r="H8" s="764"/>
      <c r="I8" s="764"/>
      <c r="J8">
        <f t="shared" si="0"/>
        <v>3</v>
      </c>
      <c r="K8" s="776" t="s">
        <v>751</v>
      </c>
      <c r="L8" s="777" t="s">
        <v>521</v>
      </c>
    </row>
    <row r="9" spans="2:12" ht="51.75" thickBot="1">
      <c r="B9" s="179">
        <v>4</v>
      </c>
      <c r="C9" s="764"/>
      <c r="D9" s="764" t="s">
        <v>856</v>
      </c>
      <c r="E9" s="764"/>
      <c r="F9" s="765" t="s">
        <v>857</v>
      </c>
      <c r="G9" s="765"/>
      <c r="H9" s="764"/>
      <c r="I9" s="764"/>
      <c r="J9">
        <f t="shared" si="0"/>
        <v>4</v>
      </c>
      <c r="K9" s="779" t="s">
        <v>752</v>
      </c>
      <c r="L9" s="780"/>
    </row>
    <row r="10" spans="2:12">
      <c r="B10" s="179">
        <v>5</v>
      </c>
      <c r="C10" s="764"/>
      <c r="D10" s="764"/>
      <c r="E10" s="764"/>
      <c r="F10" s="764"/>
      <c r="G10" s="764"/>
      <c r="H10" s="764"/>
      <c r="I10" s="764"/>
      <c r="J10">
        <f t="shared" si="0"/>
        <v>5</v>
      </c>
      <c r="K10" s="183"/>
      <c r="L10" s="183"/>
    </row>
    <row r="11" spans="2:12" ht="51">
      <c r="B11" s="179">
        <v>6</v>
      </c>
      <c r="C11" s="764"/>
      <c r="D11" s="764" t="s">
        <v>858</v>
      </c>
      <c r="E11" s="764"/>
      <c r="F11" s="765" t="s">
        <v>858</v>
      </c>
      <c r="G11" s="766"/>
      <c r="H11" s="764" t="s">
        <v>859</v>
      </c>
      <c r="I11" s="764"/>
      <c r="J11">
        <f t="shared" si="0"/>
        <v>6</v>
      </c>
      <c r="K11" s="183"/>
      <c r="L11" s="183"/>
    </row>
    <row r="12" spans="2:12" ht="38.25">
      <c r="B12" s="179">
        <v>7</v>
      </c>
      <c r="C12" s="764"/>
      <c r="D12" s="764"/>
      <c r="E12" s="764" t="s">
        <v>534</v>
      </c>
      <c r="F12" s="764"/>
      <c r="G12" s="764" t="s">
        <v>860</v>
      </c>
      <c r="H12" s="764"/>
      <c r="I12" s="764"/>
      <c r="J12">
        <f t="shared" si="0"/>
        <v>7</v>
      </c>
      <c r="K12" s="183"/>
      <c r="L12" s="183"/>
    </row>
    <row r="13" spans="2:12" ht="51">
      <c r="B13" s="179">
        <v>8</v>
      </c>
      <c r="C13" s="764"/>
      <c r="D13" s="764" t="s">
        <v>861</v>
      </c>
      <c r="E13" s="764"/>
      <c r="F13" s="765" t="s">
        <v>862</v>
      </c>
      <c r="G13" s="767"/>
      <c r="H13" s="765" t="s">
        <v>965</v>
      </c>
      <c r="I13" s="765"/>
      <c r="J13">
        <f t="shared" si="0"/>
        <v>8</v>
      </c>
      <c r="K13" s="183"/>
      <c r="L13" s="183"/>
    </row>
    <row r="14" spans="2:12" ht="51">
      <c r="B14" s="179">
        <v>9</v>
      </c>
      <c r="C14" s="764"/>
      <c r="D14" s="765" t="s">
        <v>964</v>
      </c>
      <c r="E14" s="764"/>
      <c r="F14" s="764"/>
      <c r="G14" s="767"/>
      <c r="H14" s="765" t="s">
        <v>966</v>
      </c>
      <c r="I14" s="765" t="s">
        <v>269</v>
      </c>
      <c r="J14">
        <f t="shared" si="0"/>
        <v>9</v>
      </c>
      <c r="K14" s="183"/>
      <c r="L14" s="183"/>
    </row>
    <row r="15" spans="2:12" ht="25.5">
      <c r="B15" s="179">
        <v>9</v>
      </c>
      <c r="C15" s="764"/>
      <c r="D15" s="764" t="s">
        <v>863</v>
      </c>
      <c r="E15" s="764"/>
      <c r="F15" s="764"/>
      <c r="G15" s="767"/>
      <c r="H15" s="764"/>
      <c r="I15" s="767"/>
      <c r="J15">
        <v>9</v>
      </c>
      <c r="K15" s="183"/>
      <c r="L15" s="183"/>
    </row>
    <row r="16" spans="2:12" ht="51">
      <c r="B16" s="179">
        <v>10</v>
      </c>
      <c r="C16" s="764" t="s">
        <v>864</v>
      </c>
      <c r="D16" s="764" t="s">
        <v>865</v>
      </c>
      <c r="E16" s="764" t="s">
        <v>866</v>
      </c>
      <c r="F16" s="765" t="s">
        <v>865</v>
      </c>
      <c r="G16" s="766" t="s">
        <v>867</v>
      </c>
      <c r="H16" s="765" t="s">
        <v>972</v>
      </c>
      <c r="I16" s="765"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69" t="s">
        <v>492</v>
      </c>
      <c r="D4" s="769" t="s">
        <v>539</v>
      </c>
      <c r="E4" s="769" t="s">
        <v>540</v>
      </c>
      <c r="F4" s="769" t="s">
        <v>541</v>
      </c>
      <c r="G4" s="194"/>
    </row>
    <row r="5" spans="1:8" ht="51">
      <c r="B5" s="185" t="s">
        <v>286</v>
      </c>
      <c r="C5" s="770" t="s">
        <v>494</v>
      </c>
      <c r="D5" s="584" t="s">
        <v>755</v>
      </c>
      <c r="E5" s="584" t="s">
        <v>542</v>
      </c>
      <c r="F5" s="584" t="s">
        <v>543</v>
      </c>
      <c r="G5" s="193"/>
      <c r="H5" s="193"/>
    </row>
    <row r="6" spans="1:8">
      <c r="B6" s="195">
        <v>1</v>
      </c>
      <c r="C6" s="765"/>
      <c r="D6" s="764" t="s">
        <v>418</v>
      </c>
      <c r="E6" s="764" t="s">
        <v>544</v>
      </c>
      <c r="F6" s="765" t="s">
        <v>418</v>
      </c>
      <c r="G6" s="195">
        <v>1</v>
      </c>
    </row>
    <row r="7" spans="1:8">
      <c r="B7" s="195">
        <v>2</v>
      </c>
      <c r="C7" s="765" t="s">
        <v>499</v>
      </c>
      <c r="D7" s="765"/>
      <c r="E7" s="765" t="s">
        <v>545</v>
      </c>
      <c r="F7" s="765"/>
      <c r="G7" s="195">
        <v>2</v>
      </c>
      <c r="H7" s="193"/>
    </row>
    <row r="8" spans="1:8">
      <c r="B8" s="195">
        <v>3</v>
      </c>
      <c r="C8" s="771"/>
      <c r="D8" s="764"/>
      <c r="E8" s="764"/>
      <c r="F8" s="764"/>
      <c r="G8" s="195">
        <v>3</v>
      </c>
    </row>
    <row r="9" spans="1:8">
      <c r="B9" s="195">
        <v>4</v>
      </c>
      <c r="C9" s="764"/>
      <c r="D9" s="765"/>
      <c r="E9" s="765"/>
      <c r="F9" s="765"/>
      <c r="G9" s="195">
        <v>4</v>
      </c>
      <c r="H9" s="193"/>
    </row>
    <row r="10" spans="1:8" ht="25.5">
      <c r="B10" s="195">
        <v>5</v>
      </c>
      <c r="C10" s="767"/>
      <c r="D10" s="772"/>
      <c r="E10" s="772" t="s">
        <v>546</v>
      </c>
      <c r="F10" s="772"/>
      <c r="G10" s="195">
        <v>5</v>
      </c>
    </row>
    <row r="11" spans="1:8" ht="38.25">
      <c r="B11" s="195">
        <v>6</v>
      </c>
      <c r="C11" s="621" t="s">
        <v>980</v>
      </c>
      <c r="D11" s="765"/>
      <c r="E11" s="765"/>
      <c r="F11" s="765" t="s">
        <v>547</v>
      </c>
      <c r="G11" s="195">
        <v>6</v>
      </c>
      <c r="H11" s="193"/>
    </row>
    <row r="12" spans="1:8" ht="38.25">
      <c r="B12" s="195">
        <v>7</v>
      </c>
      <c r="C12" s="767"/>
      <c r="D12" s="772" t="s">
        <v>550</v>
      </c>
      <c r="E12" s="773"/>
      <c r="F12" s="773"/>
      <c r="G12" s="195">
        <v>7</v>
      </c>
    </row>
    <row r="13" spans="1:8" ht="38.25">
      <c r="B13" s="195">
        <v>8</v>
      </c>
      <c r="C13" s="765"/>
      <c r="D13" s="765"/>
      <c r="E13" s="765"/>
      <c r="F13" s="765" t="s">
        <v>659</v>
      </c>
      <c r="G13" s="195">
        <v>8</v>
      </c>
      <c r="H13" s="193"/>
    </row>
    <row r="14" spans="1:8">
      <c r="B14" s="195">
        <v>9</v>
      </c>
      <c r="C14" s="764"/>
      <c r="D14" s="764"/>
      <c r="E14" s="764"/>
      <c r="F14" s="764"/>
      <c r="G14" s="195">
        <v>9</v>
      </c>
    </row>
    <row r="15" spans="1:8" ht="38.25">
      <c r="B15" s="195">
        <v>10</v>
      </c>
      <c r="C15" s="764" t="s">
        <v>548</v>
      </c>
      <c r="D15" s="765" t="s">
        <v>551</v>
      </c>
      <c r="E15" s="765" t="s">
        <v>549</v>
      </c>
      <c r="F15" s="765" t="s">
        <v>660</v>
      </c>
      <c r="G15" s="195">
        <v>10</v>
      </c>
      <c r="H15" s="193"/>
    </row>
    <row r="16" spans="1:8">
      <c r="B16" s="178"/>
      <c r="C16" s="182"/>
      <c r="D16" s="182"/>
      <c r="E16" s="182"/>
      <c r="F16" s="182"/>
      <c r="G16" s="194"/>
    </row>
    <row r="17" spans="2:14" ht="25.5">
      <c r="B17" s="53" t="s">
        <v>844</v>
      </c>
      <c r="C17" s="771"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69" t="s">
        <v>492</v>
      </c>
      <c r="D4" s="769" t="s">
        <v>558</v>
      </c>
      <c r="E4" s="769" t="s">
        <v>556</v>
      </c>
      <c r="F4" s="769" t="s">
        <v>557</v>
      </c>
      <c r="G4" s="194"/>
    </row>
    <row r="5" spans="2:8" ht="38.25">
      <c r="B5" s="200" t="s">
        <v>286</v>
      </c>
      <c r="C5" s="584" t="s">
        <v>561</v>
      </c>
      <c r="D5" s="584" t="s">
        <v>756</v>
      </c>
      <c r="E5" s="584" t="s">
        <v>559</v>
      </c>
      <c r="F5" s="584" t="s">
        <v>560</v>
      </c>
      <c r="G5" s="193"/>
      <c r="H5" s="193"/>
    </row>
    <row r="6" spans="2:8">
      <c r="B6" s="201">
        <v>1</v>
      </c>
      <c r="C6" s="765" t="s">
        <v>499</v>
      </c>
      <c r="D6" s="765"/>
      <c r="E6" s="765"/>
      <c r="F6" s="765"/>
      <c r="G6" s="195">
        <v>1</v>
      </c>
    </row>
    <row r="7" spans="2:8">
      <c r="B7" s="201">
        <v>2</v>
      </c>
      <c r="C7" s="765"/>
      <c r="D7" s="765"/>
      <c r="E7" s="765"/>
      <c r="F7" s="765"/>
      <c r="G7" s="195">
        <v>2</v>
      </c>
      <c r="H7" s="193"/>
    </row>
    <row r="8" spans="2:8" ht="25.5">
      <c r="B8" s="201">
        <v>3</v>
      </c>
      <c r="C8" s="621"/>
      <c r="D8" s="765"/>
      <c r="E8" s="765" t="s">
        <v>869</v>
      </c>
      <c r="F8" s="765"/>
      <c r="G8" s="195">
        <v>3</v>
      </c>
    </row>
    <row r="9" spans="2:8">
      <c r="B9" s="201">
        <v>4</v>
      </c>
      <c r="C9" s="765"/>
      <c r="D9" s="765"/>
      <c r="E9" s="765"/>
      <c r="F9" s="765"/>
      <c r="G9" s="195">
        <v>4</v>
      </c>
      <c r="H9" s="193"/>
    </row>
    <row r="10" spans="2:8">
      <c r="B10" s="201">
        <v>5</v>
      </c>
      <c r="C10" s="765"/>
      <c r="D10" s="772"/>
      <c r="E10" s="772"/>
      <c r="F10" s="772"/>
      <c r="G10" s="195">
        <v>5</v>
      </c>
    </row>
    <row r="11" spans="2:8" ht="25.5">
      <c r="B11" s="201">
        <v>6</v>
      </c>
      <c r="C11" s="621"/>
      <c r="D11" s="765"/>
      <c r="E11" s="765" t="s">
        <v>970</v>
      </c>
      <c r="F11" s="765"/>
      <c r="G11" s="195">
        <v>6</v>
      </c>
      <c r="H11" s="193"/>
    </row>
    <row r="12" spans="2:8">
      <c r="B12" s="201">
        <v>7</v>
      </c>
      <c r="C12" s="765"/>
      <c r="D12" s="772"/>
      <c r="E12" s="772"/>
      <c r="F12" s="772" t="s">
        <v>562</v>
      </c>
      <c r="G12" s="195">
        <v>7</v>
      </c>
    </row>
    <row r="13" spans="2:8">
      <c r="B13" s="201">
        <v>8</v>
      </c>
      <c r="C13" s="765"/>
      <c r="D13" s="765" t="s">
        <v>269</v>
      </c>
      <c r="E13" s="765"/>
      <c r="F13" s="765"/>
      <c r="G13" s="195">
        <v>8</v>
      </c>
      <c r="H13" s="193"/>
    </row>
    <row r="14" spans="2:8">
      <c r="B14" s="201">
        <v>9</v>
      </c>
      <c r="C14" s="765"/>
      <c r="D14" s="765"/>
      <c r="E14" s="765"/>
      <c r="F14" s="765"/>
      <c r="G14" s="195">
        <v>9</v>
      </c>
    </row>
    <row r="15" spans="2:8" ht="25.5">
      <c r="B15" s="201">
        <v>10</v>
      </c>
      <c r="C15" s="765" t="s">
        <v>564</v>
      </c>
      <c r="D15" s="765" t="s">
        <v>262</v>
      </c>
      <c r="E15" s="765" t="s">
        <v>971</v>
      </c>
      <c r="F15" s="765"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69" t="s">
        <v>492</v>
      </c>
      <c r="D4" s="769" t="s">
        <v>577</v>
      </c>
      <c r="E4" s="769" t="s">
        <v>577</v>
      </c>
      <c r="F4" s="769" t="s">
        <v>556</v>
      </c>
      <c r="G4" s="769" t="s">
        <v>557</v>
      </c>
      <c r="H4" s="194"/>
    </row>
    <row r="5" spans="2:9" ht="63.75">
      <c r="B5" s="200" t="s">
        <v>286</v>
      </c>
      <c r="C5" s="584" t="s">
        <v>561</v>
      </c>
      <c r="D5" s="584" t="s">
        <v>578</v>
      </c>
      <c r="E5" s="584" t="s">
        <v>983</v>
      </c>
      <c r="F5" s="584" t="s">
        <v>872</v>
      </c>
      <c r="G5" s="584" t="s">
        <v>757</v>
      </c>
      <c r="H5" s="193"/>
      <c r="I5" s="193"/>
    </row>
    <row r="6" spans="2:9" ht="25.5">
      <c r="B6" s="201">
        <v>1</v>
      </c>
      <c r="C6" s="765"/>
      <c r="D6" s="765"/>
      <c r="E6" s="765"/>
      <c r="F6" s="765" t="s">
        <v>758</v>
      </c>
      <c r="G6" s="765"/>
      <c r="H6" s="195">
        <v>1</v>
      </c>
    </row>
    <row r="7" spans="2:9">
      <c r="B7" s="201">
        <v>2</v>
      </c>
      <c r="C7" s="765" t="s">
        <v>499</v>
      </c>
      <c r="D7" s="765"/>
      <c r="E7" s="765"/>
      <c r="F7" s="765"/>
      <c r="G7" s="765"/>
      <c r="H7" s="195">
        <v>2</v>
      </c>
      <c r="I7" s="193"/>
    </row>
    <row r="8" spans="2:9">
      <c r="B8" s="201">
        <v>3</v>
      </c>
      <c r="C8" s="621"/>
      <c r="D8" s="765"/>
      <c r="E8" s="765"/>
      <c r="F8" s="765"/>
      <c r="G8" s="765"/>
      <c r="H8" s="195">
        <v>3</v>
      </c>
    </row>
    <row r="9" spans="2:9">
      <c r="B9" s="201">
        <v>4</v>
      </c>
      <c r="C9" s="765"/>
      <c r="D9" s="765" t="s">
        <v>579</v>
      </c>
      <c r="E9" s="765"/>
      <c r="F9" s="765"/>
      <c r="G9" s="765"/>
      <c r="H9" s="195">
        <v>4</v>
      </c>
      <c r="I9" s="193"/>
    </row>
    <row r="10" spans="2:9">
      <c r="B10" s="201">
        <v>5</v>
      </c>
      <c r="C10" s="765"/>
      <c r="D10" s="772"/>
      <c r="E10" s="772" t="s">
        <v>269</v>
      </c>
      <c r="F10" s="772"/>
      <c r="G10" s="772" t="s">
        <v>562</v>
      </c>
      <c r="H10" s="195">
        <v>5</v>
      </c>
    </row>
    <row r="11" spans="2:9" ht="38.25">
      <c r="B11" s="201">
        <v>6</v>
      </c>
      <c r="C11" s="621"/>
      <c r="D11" s="765"/>
      <c r="E11" s="765"/>
      <c r="F11" s="765" t="s">
        <v>759</v>
      </c>
      <c r="G11" s="765"/>
      <c r="H11" s="195">
        <v>6</v>
      </c>
      <c r="I11" s="193"/>
    </row>
    <row r="12" spans="2:9">
      <c r="B12" s="201">
        <v>7</v>
      </c>
      <c r="C12" s="765"/>
      <c r="D12" s="772"/>
      <c r="E12" s="772"/>
      <c r="F12" s="772"/>
      <c r="G12" s="772"/>
      <c r="H12" s="195">
        <v>7</v>
      </c>
    </row>
    <row r="13" spans="2:9" ht="51">
      <c r="B13" s="201">
        <v>8</v>
      </c>
      <c r="C13" s="765"/>
      <c r="D13" s="765" t="s">
        <v>580</v>
      </c>
      <c r="E13" s="765"/>
      <c r="F13" s="765"/>
      <c r="G13" s="765" t="s">
        <v>961</v>
      </c>
      <c r="H13" s="195">
        <v>8</v>
      </c>
      <c r="I13" s="193"/>
    </row>
    <row r="14" spans="2:9">
      <c r="B14" s="201">
        <v>9</v>
      </c>
      <c r="C14" s="765"/>
      <c r="D14" s="765"/>
      <c r="E14" s="765"/>
      <c r="F14" s="765"/>
      <c r="G14" s="765"/>
      <c r="H14" s="195">
        <v>9</v>
      </c>
    </row>
    <row r="15" spans="2:9" ht="51">
      <c r="B15" s="201">
        <v>10</v>
      </c>
      <c r="C15" s="765" t="s">
        <v>581</v>
      </c>
      <c r="D15" s="765" t="s">
        <v>868</v>
      </c>
      <c r="E15" s="765" t="s">
        <v>262</v>
      </c>
      <c r="F15" s="765" t="s">
        <v>969</v>
      </c>
      <c r="G15" s="765"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69" t="s">
        <v>492</v>
      </c>
      <c r="D4" s="769" t="s">
        <v>589</v>
      </c>
      <c r="E4" s="769" t="s">
        <v>557</v>
      </c>
      <c r="F4" s="769" t="s">
        <v>590</v>
      </c>
      <c r="G4" s="194"/>
    </row>
    <row r="5" spans="1:8" ht="38.25">
      <c r="B5" s="200" t="s">
        <v>286</v>
      </c>
      <c r="C5" s="584" t="s">
        <v>561</v>
      </c>
      <c r="D5" s="584" t="s">
        <v>591</v>
      </c>
      <c r="E5" s="584" t="s">
        <v>592</v>
      </c>
      <c r="F5" s="584" t="s">
        <v>593</v>
      </c>
      <c r="G5" s="193"/>
      <c r="H5" s="193"/>
    </row>
    <row r="6" spans="1:8" ht="25.5">
      <c r="B6" s="201">
        <v>1</v>
      </c>
      <c r="C6" s="765" t="s">
        <v>499</v>
      </c>
      <c r="D6" s="765" t="s">
        <v>871</v>
      </c>
      <c r="E6" s="765"/>
      <c r="F6" s="765" t="s">
        <v>544</v>
      </c>
      <c r="G6" s="195">
        <v>1</v>
      </c>
    </row>
    <row r="7" spans="1:8">
      <c r="B7" s="201">
        <v>2</v>
      </c>
      <c r="C7" s="765"/>
      <c r="D7" s="765"/>
      <c r="E7" s="765"/>
      <c r="F7" s="765" t="s">
        <v>545</v>
      </c>
      <c r="G7" s="195">
        <v>2</v>
      </c>
      <c r="H7" s="193"/>
    </row>
    <row r="8" spans="1:8">
      <c r="B8" s="201">
        <v>3</v>
      </c>
      <c r="C8" s="621"/>
      <c r="D8" s="765"/>
      <c r="E8" s="765"/>
      <c r="F8" s="765"/>
      <c r="G8" s="195">
        <v>3</v>
      </c>
    </row>
    <row r="9" spans="1:8">
      <c r="B9" s="201">
        <v>4</v>
      </c>
      <c r="C9" s="765"/>
      <c r="D9" s="765"/>
      <c r="E9" s="765"/>
      <c r="F9" s="765"/>
      <c r="G9" s="195">
        <v>4</v>
      </c>
      <c r="H9" s="193"/>
    </row>
    <row r="10" spans="1:8">
      <c r="B10" s="201">
        <v>5</v>
      </c>
      <c r="C10" s="765"/>
      <c r="D10" s="772"/>
      <c r="E10" s="772"/>
      <c r="F10" s="772"/>
      <c r="G10" s="195">
        <v>5</v>
      </c>
    </row>
    <row r="11" spans="1:8" ht="38.25">
      <c r="B11" s="201">
        <v>6</v>
      </c>
      <c r="C11" s="621"/>
      <c r="D11" s="765" t="s">
        <v>967</v>
      </c>
      <c r="E11" s="765"/>
      <c r="F11" s="765" t="s">
        <v>594</v>
      </c>
      <c r="G11" s="195">
        <v>6</v>
      </c>
      <c r="H11" s="193"/>
    </row>
    <row r="12" spans="1:8" ht="25.5">
      <c r="B12" s="201">
        <v>7</v>
      </c>
      <c r="C12" s="765" t="s">
        <v>892</v>
      </c>
      <c r="D12" s="772"/>
      <c r="E12" s="772"/>
      <c r="F12" s="772"/>
      <c r="G12" s="195">
        <v>7</v>
      </c>
    </row>
    <row r="13" spans="1:8">
      <c r="B13" s="201">
        <v>8</v>
      </c>
      <c r="C13" s="765"/>
      <c r="D13" s="765"/>
      <c r="E13" s="765" t="s">
        <v>562</v>
      </c>
      <c r="F13" s="765"/>
      <c r="G13" s="195">
        <v>8</v>
      </c>
      <c r="H13" s="193"/>
    </row>
    <row r="14" spans="1:8">
      <c r="B14" s="201">
        <v>9</v>
      </c>
      <c r="C14" s="765"/>
      <c r="D14" s="765"/>
      <c r="E14" s="765"/>
      <c r="F14" s="765"/>
      <c r="G14" s="195">
        <v>9</v>
      </c>
    </row>
    <row r="15" spans="1:8" ht="25.5">
      <c r="B15" s="201">
        <v>10</v>
      </c>
      <c r="C15" s="765" t="s">
        <v>595</v>
      </c>
      <c r="D15" s="765" t="s">
        <v>968</v>
      </c>
      <c r="E15" s="765" t="s">
        <v>563</v>
      </c>
      <c r="F15" s="765"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69" t="s">
        <v>600</v>
      </c>
      <c r="D4" s="769" t="s">
        <v>601</v>
      </c>
      <c r="E4" s="769" t="s">
        <v>602</v>
      </c>
      <c r="F4" s="769" t="s">
        <v>603</v>
      </c>
      <c r="G4" s="202" t="s">
        <v>492</v>
      </c>
    </row>
    <row r="5" spans="2:8" ht="51">
      <c r="B5" s="200" t="s">
        <v>286</v>
      </c>
      <c r="C5" s="584" t="s">
        <v>604</v>
      </c>
      <c r="D5" s="584" t="s">
        <v>605</v>
      </c>
      <c r="E5" s="584" t="s">
        <v>760</v>
      </c>
      <c r="F5" s="584" t="s">
        <v>873</v>
      </c>
      <c r="G5" s="772" t="s">
        <v>561</v>
      </c>
      <c r="H5" s="193"/>
    </row>
    <row r="6" spans="2:8">
      <c r="B6" s="203">
        <v>1</v>
      </c>
      <c r="C6" s="765"/>
      <c r="D6" s="765"/>
      <c r="E6" s="765"/>
      <c r="F6" s="765"/>
      <c r="G6" s="772"/>
      <c r="H6" s="203">
        <v>1</v>
      </c>
    </row>
    <row r="7" spans="2:8">
      <c r="B7" s="203">
        <v>2</v>
      </c>
      <c r="C7" s="765"/>
      <c r="D7" s="765"/>
      <c r="E7" s="765"/>
      <c r="F7" s="765"/>
      <c r="G7" s="772"/>
      <c r="H7" s="203">
        <v>2</v>
      </c>
    </row>
    <row r="8" spans="2:8">
      <c r="B8" s="203">
        <v>3</v>
      </c>
      <c r="D8" s="765"/>
      <c r="F8" s="765"/>
      <c r="G8" s="772" t="s">
        <v>499</v>
      </c>
      <c r="H8" s="203">
        <v>3</v>
      </c>
    </row>
    <row r="9" spans="2:8">
      <c r="B9" s="203">
        <v>4</v>
      </c>
      <c r="C9" s="765"/>
      <c r="D9" s="765"/>
      <c r="E9" s="765"/>
      <c r="F9" s="765"/>
      <c r="G9" s="772"/>
      <c r="H9" s="203">
        <v>4</v>
      </c>
    </row>
    <row r="10" spans="2:8" ht="38.25">
      <c r="B10" s="203">
        <v>5</v>
      </c>
      <c r="C10" s="765"/>
      <c r="D10" s="772"/>
      <c r="F10" s="772"/>
      <c r="G10" s="772" t="s">
        <v>908</v>
      </c>
      <c r="H10" s="203">
        <v>5</v>
      </c>
    </row>
    <row r="11" spans="2:8" ht="25.5">
      <c r="B11" s="203">
        <v>6</v>
      </c>
      <c r="C11" s="621" t="s">
        <v>988</v>
      </c>
      <c r="D11" s="765"/>
      <c r="E11" s="765" t="s">
        <v>606</v>
      </c>
      <c r="F11" s="765"/>
      <c r="G11" s="772"/>
      <c r="H11" s="203">
        <v>6</v>
      </c>
    </row>
    <row r="12" spans="2:8" ht="38.25">
      <c r="B12" s="203">
        <v>7</v>
      </c>
      <c r="C12" s="765"/>
      <c r="D12" s="772"/>
      <c r="F12" s="772" t="s">
        <v>609</v>
      </c>
      <c r="G12" s="772" t="s">
        <v>610</v>
      </c>
      <c r="H12" s="203">
        <v>7</v>
      </c>
    </row>
    <row r="13" spans="2:8" ht="38.25">
      <c r="B13" s="203">
        <v>8</v>
      </c>
      <c r="C13" s="765" t="s">
        <v>989</v>
      </c>
      <c r="D13" s="765" t="s">
        <v>607</v>
      </c>
      <c r="E13" s="772" t="s">
        <v>761</v>
      </c>
      <c r="F13" s="765"/>
      <c r="G13" s="772"/>
      <c r="H13" s="203">
        <v>8</v>
      </c>
    </row>
    <row r="14" spans="2:8" ht="51">
      <c r="B14" s="203">
        <v>9</v>
      </c>
      <c r="C14" s="765"/>
      <c r="D14" s="765"/>
      <c r="E14" s="772" t="s">
        <v>608</v>
      </c>
      <c r="F14" s="765" t="s">
        <v>611</v>
      </c>
      <c r="G14" s="772" t="s">
        <v>612</v>
      </c>
      <c r="H14" s="203">
        <v>9</v>
      </c>
    </row>
    <row r="15" spans="2:8" ht="38.25">
      <c r="B15" s="203">
        <v>9</v>
      </c>
      <c r="C15" s="765"/>
      <c r="D15" s="765"/>
      <c r="E15" s="765"/>
      <c r="F15" s="765"/>
      <c r="G15" s="781" t="s">
        <v>718</v>
      </c>
      <c r="H15" s="203">
        <v>9</v>
      </c>
    </row>
    <row r="16" spans="2:8" ht="38.25">
      <c r="B16" s="204">
        <v>10</v>
      </c>
      <c r="C16" s="781" t="s">
        <v>990</v>
      </c>
      <c r="D16" s="772" t="s">
        <v>613</v>
      </c>
      <c r="E16" s="772" t="s">
        <v>614</v>
      </c>
      <c r="F16" s="772" t="s">
        <v>893</v>
      </c>
      <c r="G16" s="772" t="s">
        <v>615</v>
      </c>
      <c r="H16" s="204">
        <v>10</v>
      </c>
    </row>
    <row r="17" spans="2:14" ht="25.5">
      <c r="B17" s="204">
        <v>10</v>
      </c>
      <c r="C17" s="772" t="s">
        <v>874</v>
      </c>
      <c r="D17" s="773" t="s">
        <v>762</v>
      </c>
      <c r="E17" s="772"/>
      <c r="F17" s="772"/>
      <c r="G17" s="772"/>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69" t="s">
        <v>631</v>
      </c>
      <c r="D4" s="769" t="s">
        <v>492</v>
      </c>
      <c r="E4" s="769" t="s">
        <v>632</v>
      </c>
      <c r="F4" s="769" t="s">
        <v>515</v>
      </c>
    </row>
    <row r="5" spans="2:7" ht="51">
      <c r="B5" s="200" t="s">
        <v>286</v>
      </c>
      <c r="C5" s="584" t="s">
        <v>633</v>
      </c>
      <c r="D5" s="584" t="s">
        <v>625</v>
      </c>
      <c r="E5" s="584" t="s">
        <v>875</v>
      </c>
      <c r="F5" s="584" t="s">
        <v>517</v>
      </c>
      <c r="G5" s="193"/>
    </row>
    <row r="6" spans="2:7" ht="38.25">
      <c r="B6" s="203">
        <v>1</v>
      </c>
      <c r="C6" s="765" t="s">
        <v>634</v>
      </c>
      <c r="D6" s="765" t="s">
        <v>499</v>
      </c>
      <c r="E6" s="765"/>
      <c r="F6" s="765"/>
      <c r="G6" s="203">
        <v>1</v>
      </c>
    </row>
    <row r="7" spans="2:7">
      <c r="B7" s="203">
        <v>2</v>
      </c>
      <c r="C7" s="765"/>
      <c r="D7" s="765"/>
      <c r="E7" s="765"/>
      <c r="F7" s="765"/>
      <c r="G7" s="203">
        <v>2</v>
      </c>
    </row>
    <row r="8" spans="2:7">
      <c r="B8" s="203">
        <v>3</v>
      </c>
      <c r="C8" s="621"/>
      <c r="D8" s="765"/>
      <c r="E8" s="765"/>
      <c r="F8" s="765"/>
      <c r="G8" s="203">
        <v>3</v>
      </c>
    </row>
    <row r="9" spans="2:7">
      <c r="B9" s="203">
        <v>4</v>
      </c>
      <c r="C9" s="765"/>
      <c r="E9" s="765"/>
      <c r="F9" s="765"/>
      <c r="G9" s="203">
        <v>4</v>
      </c>
    </row>
    <row r="10" spans="2:7" ht="38.25">
      <c r="B10" s="203">
        <v>5</v>
      </c>
      <c r="C10" s="765"/>
      <c r="D10" s="765" t="s">
        <v>635</v>
      </c>
      <c r="E10" s="772"/>
      <c r="F10" s="772"/>
      <c r="G10" s="203">
        <v>5</v>
      </c>
    </row>
    <row r="11" spans="2:7" ht="25.5">
      <c r="B11" s="203">
        <v>5</v>
      </c>
      <c r="C11" s="621"/>
      <c r="D11" s="781" t="s">
        <v>636</v>
      </c>
      <c r="E11" s="772"/>
      <c r="F11" s="765"/>
      <c r="G11" s="203">
        <v>5</v>
      </c>
    </row>
    <row r="12" spans="2:7">
      <c r="B12" s="203">
        <v>6</v>
      </c>
      <c r="C12" s="765"/>
      <c r="D12" s="772"/>
      <c r="E12" s="772"/>
      <c r="F12" s="772"/>
      <c r="G12" s="203">
        <v>6</v>
      </c>
    </row>
    <row r="13" spans="2:7" ht="38.25">
      <c r="B13" s="203">
        <v>7</v>
      </c>
      <c r="C13" s="765"/>
      <c r="D13" s="765"/>
      <c r="E13" s="772" t="s">
        <v>637</v>
      </c>
      <c r="F13" s="765"/>
      <c r="G13" s="203">
        <v>7</v>
      </c>
    </row>
    <row r="14" spans="2:7">
      <c r="B14" s="203">
        <v>8</v>
      </c>
      <c r="C14" s="765"/>
      <c r="D14" s="765"/>
      <c r="E14" s="765"/>
      <c r="F14" s="765"/>
      <c r="G14" s="203">
        <v>8</v>
      </c>
    </row>
    <row r="15" spans="2:7">
      <c r="B15" s="203">
        <v>9</v>
      </c>
      <c r="C15" s="765"/>
      <c r="D15" s="765"/>
      <c r="E15" s="765"/>
      <c r="F15" s="765" t="s">
        <v>269</v>
      </c>
      <c r="G15" s="203">
        <v>9</v>
      </c>
    </row>
    <row r="16" spans="2:7" ht="38.25">
      <c r="B16" s="204">
        <v>10</v>
      </c>
      <c r="C16" s="772" t="s">
        <v>638</v>
      </c>
      <c r="D16" s="772" t="s">
        <v>639</v>
      </c>
      <c r="E16" s="772" t="s">
        <v>269</v>
      </c>
      <c r="F16" s="772" t="s">
        <v>262</v>
      </c>
      <c r="G16" s="204">
        <v>10</v>
      </c>
    </row>
    <row r="17" spans="2:13" ht="38.25">
      <c r="B17" s="204">
        <v>10</v>
      </c>
      <c r="C17" s="772"/>
      <c r="D17" s="781" t="s">
        <v>640</v>
      </c>
      <c r="E17" s="781" t="s">
        <v>641</v>
      </c>
      <c r="F17" s="772"/>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4" t="s">
        <v>647</v>
      </c>
      <c r="E56" s="804" t="s">
        <v>648</v>
      </c>
      <c r="G56" s="182"/>
    </row>
    <row r="57" spans="2:7">
      <c r="B57" s="178"/>
      <c r="D57" s="769" t="s">
        <v>1107</v>
      </c>
      <c r="E57" s="769" t="s">
        <v>1108</v>
      </c>
      <c r="G57" s="182"/>
    </row>
    <row r="58" spans="2:7" ht="191.25">
      <c r="B58" s="178"/>
      <c r="D58" s="584" t="s">
        <v>1110</v>
      </c>
      <c r="E58" s="584" t="s">
        <v>1109</v>
      </c>
      <c r="G58" s="182"/>
    </row>
    <row r="59" spans="2:7" ht="25.5">
      <c r="B59" s="178"/>
      <c r="D59" s="805" t="s">
        <v>1105</v>
      </c>
      <c r="E59" s="806" t="s">
        <v>1102</v>
      </c>
      <c r="G59" s="182"/>
    </row>
    <row r="60" spans="2:7" ht="25.5">
      <c r="B60" s="178"/>
      <c r="D60" s="805" t="s">
        <v>1106</v>
      </c>
      <c r="E60" s="805" t="s">
        <v>1104</v>
      </c>
      <c r="G60" s="182"/>
    </row>
    <row r="61" spans="2:7" ht="34.35" customHeight="1">
      <c r="B61" s="178"/>
      <c r="D61" s="53"/>
      <c r="E61" s="807"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2" t="s">
        <v>339</v>
      </c>
      <c r="D3" s="552" t="s">
        <v>340</v>
      </c>
      <c r="E3" s="552" t="s">
        <v>341</v>
      </c>
      <c r="F3" s="552" t="s">
        <v>342</v>
      </c>
    </row>
    <row r="4" spans="2:7" ht="25.5">
      <c r="B4" s="174" t="s">
        <v>276</v>
      </c>
      <c r="C4" s="174" t="s">
        <v>330</v>
      </c>
      <c r="D4" s="174" t="s">
        <v>331</v>
      </c>
      <c r="E4" s="174" t="s">
        <v>332</v>
      </c>
      <c r="F4" s="174" t="s">
        <v>333</v>
      </c>
    </row>
    <row r="5" spans="2:7" ht="51">
      <c r="B5" s="174" t="s">
        <v>286</v>
      </c>
      <c r="C5" s="174" t="s">
        <v>334</v>
      </c>
      <c r="D5" s="174" t="s">
        <v>335</v>
      </c>
      <c r="E5" s="174" t="s">
        <v>1190</v>
      </c>
      <c r="F5" s="552" t="s">
        <v>1189</v>
      </c>
    </row>
    <row r="6" spans="2:7">
      <c r="B6" s="174">
        <v>1</v>
      </c>
      <c r="G6" s="177">
        <v>1</v>
      </c>
    </row>
    <row r="7" spans="2:7">
      <c r="B7" s="174">
        <v>2</v>
      </c>
      <c r="G7" s="177">
        <v>2</v>
      </c>
    </row>
    <row r="8" spans="2:7">
      <c r="B8" s="174">
        <v>3</v>
      </c>
      <c r="G8" s="177">
        <v>3</v>
      </c>
    </row>
    <row r="9" spans="2:7">
      <c r="B9" s="174">
        <v>4</v>
      </c>
      <c r="C9" s="174" t="s">
        <v>269</v>
      </c>
      <c r="F9" s="552"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2"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J17" sqref="BJ17"/>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0" t="s">
        <v>1271</v>
      </c>
      <c r="B1" s="65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0" t="s">
        <v>1193</v>
      </c>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2"/>
      <c r="AJ2" s="962"/>
      <c r="AK2" s="962"/>
      <c r="AL2" s="962"/>
      <c r="AM2" s="962"/>
      <c r="AN2" s="962"/>
      <c r="AO2" s="962"/>
      <c r="AP2" s="962"/>
      <c r="AQ2" s="962"/>
      <c r="AR2" s="962"/>
      <c r="AS2" s="962"/>
      <c r="AT2" s="962"/>
      <c r="AU2" s="962"/>
      <c r="AV2" s="962"/>
      <c r="AW2" s="962"/>
      <c r="AX2" s="962"/>
      <c r="AY2" s="962"/>
      <c r="AZ2" s="962"/>
      <c r="BA2" s="962"/>
      <c r="BB2" s="963"/>
      <c r="BC2" s="92"/>
    </row>
    <row r="3" spans="1:55" s="46" customFormat="1" ht="12.95" customHeight="1">
      <c r="A3" s="91"/>
      <c r="B3" s="971" t="s">
        <v>1244</v>
      </c>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c r="AT3" s="972"/>
      <c r="AU3" s="972"/>
      <c r="AV3" s="972"/>
      <c r="AW3" s="972"/>
      <c r="AX3" s="972"/>
      <c r="AY3" s="972"/>
      <c r="AZ3" s="972"/>
      <c r="BA3" s="972"/>
      <c r="BB3" s="973"/>
      <c r="BC3" s="91"/>
    </row>
    <row r="4" spans="1:55" s="46" customFormat="1" ht="12.95" customHeight="1">
      <c r="A4" s="91"/>
      <c r="B4" s="971"/>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c r="AT4" s="972"/>
      <c r="AU4" s="972"/>
      <c r="AV4" s="972"/>
      <c r="AW4" s="972"/>
      <c r="AX4" s="972"/>
      <c r="AY4" s="972"/>
      <c r="AZ4" s="972"/>
      <c r="BA4" s="972"/>
      <c r="BB4" s="973"/>
      <c r="BC4" s="91"/>
    </row>
    <row r="5" spans="1:55" s="46" customFormat="1" ht="12.95" customHeight="1">
      <c r="A5" s="91"/>
      <c r="B5" s="971"/>
      <c r="C5" s="972"/>
      <c r="D5" s="972"/>
      <c r="E5" s="972"/>
      <c r="F5" s="972"/>
      <c r="G5" s="972"/>
      <c r="H5" s="972"/>
      <c r="I5" s="972"/>
      <c r="J5" s="972"/>
      <c r="K5" s="972"/>
      <c r="L5" s="972"/>
      <c r="M5" s="972"/>
      <c r="N5" s="972"/>
      <c r="O5" s="972"/>
      <c r="P5" s="972"/>
      <c r="Q5" s="972"/>
      <c r="R5" s="972"/>
      <c r="S5" s="972"/>
      <c r="T5" s="972"/>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3"/>
      <c r="BC5" s="91"/>
    </row>
    <row r="6" spans="1:55" s="46" customFormat="1" ht="12.95" customHeight="1">
      <c r="A6" s="91"/>
      <c r="B6" s="971"/>
      <c r="C6" s="972"/>
      <c r="D6" s="972"/>
      <c r="E6" s="972"/>
      <c r="F6" s="972"/>
      <c r="G6" s="972"/>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c r="AT6" s="972"/>
      <c r="AU6" s="972"/>
      <c r="AV6" s="972"/>
      <c r="AW6" s="972"/>
      <c r="AX6" s="972"/>
      <c r="AY6" s="972"/>
      <c r="AZ6" s="972"/>
      <c r="BA6" s="972"/>
      <c r="BB6" s="973"/>
      <c r="BC6" s="91"/>
    </row>
    <row r="7" spans="1:55" s="46" customFormat="1" ht="12.95" customHeight="1">
      <c r="A7" s="91"/>
      <c r="B7" s="625"/>
      <c r="C7" s="968" t="s">
        <v>1215</v>
      </c>
      <c r="D7" s="968"/>
      <c r="E7" s="968"/>
      <c r="F7" s="968"/>
      <c r="G7" s="968"/>
      <c r="H7" s="968"/>
      <c r="I7" s="968"/>
      <c r="J7" s="968"/>
      <c r="K7" s="968"/>
      <c r="L7" s="968"/>
      <c r="M7" s="968"/>
      <c r="N7" s="968"/>
      <c r="O7" s="968"/>
      <c r="P7" s="968"/>
      <c r="Q7" s="968"/>
      <c r="R7" s="968"/>
      <c r="S7" s="968"/>
      <c r="T7" s="968"/>
      <c r="U7" s="964" t="s">
        <v>1017</v>
      </c>
      <c r="V7" s="964"/>
      <c r="W7" s="964"/>
      <c r="X7" s="964"/>
      <c r="Y7" s="964"/>
      <c r="Z7" s="964"/>
      <c r="AA7" s="964"/>
      <c r="AB7" s="964"/>
      <c r="AC7" s="964"/>
      <c r="AD7" s="964"/>
      <c r="AE7" s="964"/>
      <c r="AF7" s="964"/>
      <c r="AG7" s="964"/>
      <c r="AH7" s="964"/>
      <c r="AI7" s="964"/>
      <c r="AJ7" s="964"/>
      <c r="AK7" s="964"/>
      <c r="AL7" s="964"/>
      <c r="AM7" s="964"/>
      <c r="AN7" s="158"/>
      <c r="AO7" s="964" t="s">
        <v>931</v>
      </c>
      <c r="AP7" s="964"/>
      <c r="AQ7" s="964"/>
      <c r="AR7" s="964"/>
      <c r="AS7" s="964"/>
      <c r="AT7" s="964"/>
      <c r="AU7" s="964"/>
      <c r="AV7" s="964"/>
      <c r="AW7" s="969" t="s">
        <v>1016</v>
      </c>
      <c r="AX7" s="969"/>
      <c r="AY7" s="969"/>
      <c r="AZ7" s="969"/>
      <c r="BA7" s="969"/>
      <c r="BB7" s="970"/>
      <c r="BC7" s="91"/>
    </row>
    <row r="8" spans="1:55" s="46" customFormat="1" ht="17.100000000000001" customHeight="1">
      <c r="A8" s="91"/>
      <c r="B8" s="625"/>
      <c r="C8" s="968"/>
      <c r="D8" s="968"/>
      <c r="E8" s="968"/>
      <c r="F8" s="968"/>
      <c r="G8" s="968"/>
      <c r="H8" s="968"/>
      <c r="I8" s="968"/>
      <c r="J8" s="968"/>
      <c r="K8" s="968"/>
      <c r="L8" s="968"/>
      <c r="M8" s="968"/>
      <c r="N8" s="968"/>
      <c r="O8" s="968"/>
      <c r="P8" s="968"/>
      <c r="Q8" s="968"/>
      <c r="R8" s="968"/>
      <c r="S8" s="968"/>
      <c r="T8" s="968"/>
      <c r="U8" s="964"/>
      <c r="V8" s="964"/>
      <c r="W8" s="964"/>
      <c r="X8" s="964"/>
      <c r="Y8" s="964"/>
      <c r="Z8" s="964"/>
      <c r="AA8" s="964"/>
      <c r="AB8" s="964"/>
      <c r="AC8" s="964"/>
      <c r="AD8" s="964"/>
      <c r="AE8" s="964"/>
      <c r="AF8" s="964"/>
      <c r="AG8" s="964"/>
      <c r="AH8" s="964"/>
      <c r="AI8" s="964"/>
      <c r="AJ8" s="964"/>
      <c r="AK8" s="964"/>
      <c r="AL8" s="964"/>
      <c r="AM8" s="964"/>
      <c r="AN8" s="158"/>
      <c r="AO8" s="964"/>
      <c r="AP8" s="964"/>
      <c r="AQ8" s="964"/>
      <c r="AR8" s="964"/>
      <c r="AS8" s="964"/>
      <c r="AT8" s="964"/>
      <c r="AU8" s="964"/>
      <c r="AV8" s="964"/>
      <c r="AW8" s="969"/>
      <c r="AX8" s="969"/>
      <c r="AY8" s="969"/>
      <c r="AZ8" s="969"/>
      <c r="BA8" s="969"/>
      <c r="BB8" s="970"/>
      <c r="BC8" s="91"/>
    </row>
    <row r="9" spans="1:55" s="46" customFormat="1" ht="12.95" customHeight="1">
      <c r="A9" s="91"/>
      <c r="B9" s="974" t="s">
        <v>938</v>
      </c>
      <c r="C9" s="975"/>
      <c r="D9" s="975"/>
      <c r="E9" s="975"/>
      <c r="F9" s="975"/>
      <c r="G9" s="934" t="s">
        <v>939</v>
      </c>
      <c r="H9" s="934"/>
      <c r="I9" s="934"/>
      <c r="J9" s="934"/>
      <c r="K9" s="934"/>
      <c r="L9" s="934"/>
      <c r="M9" s="934"/>
      <c r="N9" s="934"/>
      <c r="O9" s="934"/>
      <c r="P9" s="934"/>
      <c r="Q9" s="934"/>
      <c r="R9" s="934"/>
      <c r="S9" s="934"/>
      <c r="T9" s="934"/>
      <c r="U9" s="586"/>
      <c r="V9" s="586"/>
      <c r="W9" s="586"/>
      <c r="X9" s="586"/>
      <c r="Y9" s="586"/>
      <c r="Z9" s="586"/>
      <c r="AA9" s="216" t="s">
        <v>773</v>
      </c>
      <c r="AB9" s="941" t="s">
        <v>1278</v>
      </c>
      <c r="AC9" s="942"/>
      <c r="AD9" s="942"/>
      <c r="AE9" s="942"/>
      <c r="AF9" s="942"/>
      <c r="AG9" s="942"/>
      <c r="AH9" s="942"/>
      <c r="AI9" s="942"/>
      <c r="AJ9" s="942"/>
      <c r="AK9" s="942"/>
      <c r="AL9" s="943"/>
      <c r="AM9" s="158"/>
      <c r="AN9" s="158"/>
      <c r="AO9"/>
      <c r="AP9" s="587" t="s">
        <v>909</v>
      </c>
      <c r="AQ9" s="265" t="s">
        <v>274</v>
      </c>
      <c r="AR9" s="552"/>
      <c r="AS9" s="158"/>
      <c r="AT9" s="158"/>
      <c r="AU9" s="158"/>
      <c r="AV9"/>
      <c r="AW9"/>
      <c r="AX9"/>
      <c r="AY9"/>
      <c r="AZ9"/>
      <c r="BA9"/>
      <c r="BB9" s="585"/>
      <c r="BC9" s="91"/>
    </row>
    <row r="10" spans="1:55" s="46" customFormat="1" ht="12.95" customHeight="1">
      <c r="A10" s="91"/>
      <c r="B10" s="974"/>
      <c r="C10" s="975"/>
      <c r="D10" s="975"/>
      <c r="E10" s="975"/>
      <c r="F10" s="975"/>
      <c r="G10" s="934"/>
      <c r="H10" s="934"/>
      <c r="I10" s="934"/>
      <c r="J10" s="934"/>
      <c r="K10" s="934"/>
      <c r="L10" s="934"/>
      <c r="M10" s="934"/>
      <c r="N10" s="934"/>
      <c r="O10" s="934"/>
      <c r="P10" s="934"/>
      <c r="Q10" s="934"/>
      <c r="R10" s="934"/>
      <c r="S10" s="934"/>
      <c r="T10" s="934"/>
      <c r="U10" s="586"/>
      <c r="V10" s="586"/>
      <c r="W10" s="586"/>
      <c r="X10" s="586"/>
      <c r="Y10" s="586"/>
      <c r="Z10" s="586"/>
      <c r="AA10" s="216" t="s">
        <v>145</v>
      </c>
      <c r="AB10" s="941" t="s">
        <v>1272</v>
      </c>
      <c r="AC10" s="942"/>
      <c r="AD10" s="942"/>
      <c r="AE10" s="942"/>
      <c r="AF10" s="942"/>
      <c r="AG10" s="942"/>
      <c r="AH10" s="942"/>
      <c r="AI10" s="942"/>
      <c r="AJ10" s="942"/>
      <c r="AK10" s="942"/>
      <c r="AL10" s="943"/>
      <c r="AM10" s="158"/>
      <c r="AN10" s="158"/>
      <c r="AO10"/>
      <c r="AP10" s="587" t="s">
        <v>923</v>
      </c>
      <c r="AQ10" s="265" t="s">
        <v>933</v>
      </c>
      <c r="AR10" s="158"/>
      <c r="AS10" s="158"/>
      <c r="AT10" s="158"/>
      <c r="AU10" s="158"/>
      <c r="AV10"/>
      <c r="AW10"/>
      <c r="AX10"/>
      <c r="AY10"/>
      <c r="AZ10"/>
      <c r="BA10"/>
      <c r="BB10" s="585"/>
      <c r="BC10" s="91"/>
    </row>
    <row r="11" spans="1:55" s="46" customFormat="1" ht="12.95" customHeight="1">
      <c r="A11" s="91"/>
      <c r="B11" s="974"/>
      <c r="C11" s="975"/>
      <c r="D11" s="975"/>
      <c r="E11" s="975"/>
      <c r="F11" s="975"/>
      <c r="G11" s="934"/>
      <c r="H11" s="934"/>
      <c r="I11" s="934"/>
      <c r="J11" s="934"/>
      <c r="K11" s="934"/>
      <c r="L11" s="934"/>
      <c r="M11" s="934"/>
      <c r="N11" s="934"/>
      <c r="O11" s="934"/>
      <c r="P11" s="934"/>
      <c r="Q11" s="934"/>
      <c r="R11" s="934"/>
      <c r="S11" s="934"/>
      <c r="T11" s="934"/>
      <c r="U11" s="586"/>
      <c r="V11" s="586"/>
      <c r="W11" s="586"/>
      <c r="X11" s="586"/>
      <c r="Y11" s="586"/>
      <c r="Z11" s="586"/>
      <c r="AA11" s="216" t="s">
        <v>1000</v>
      </c>
      <c r="AB11" s="965" t="s">
        <v>1279</v>
      </c>
      <c r="AC11" s="966"/>
      <c r="AD11" s="966"/>
      <c r="AE11" s="966"/>
      <c r="AF11" s="966"/>
      <c r="AG11" s="966"/>
      <c r="AH11" s="966"/>
      <c r="AI11" s="966"/>
      <c r="AJ11" s="966"/>
      <c r="AK11" s="966"/>
      <c r="AL11" s="967"/>
      <c r="AM11" s="158"/>
      <c r="AN11" s="158"/>
      <c r="AO11"/>
      <c r="AP11" s="587" t="s">
        <v>910</v>
      </c>
      <c r="AQ11" s="265" t="s">
        <v>16</v>
      </c>
      <c r="AR11" s="158"/>
      <c r="AS11" s="158"/>
      <c r="AT11" s="158"/>
      <c r="AU11" s="158"/>
      <c r="AV11"/>
      <c r="AW11"/>
      <c r="AX11"/>
      <c r="AY11"/>
      <c r="AZ11"/>
      <c r="BA11"/>
      <c r="BB11" s="585"/>
      <c r="BC11" s="91"/>
    </row>
    <row r="12" spans="1:55" s="46" customFormat="1" ht="12.95" customHeight="1">
      <c r="A12" s="91"/>
      <c r="B12" s="974" t="s">
        <v>669</v>
      </c>
      <c r="C12" s="975"/>
      <c r="D12" s="975"/>
      <c r="E12" s="975"/>
      <c r="F12" s="975"/>
      <c r="G12" s="934" t="s">
        <v>941</v>
      </c>
      <c r="H12" s="934"/>
      <c r="I12" s="934"/>
      <c r="J12" s="934"/>
      <c r="K12" s="934"/>
      <c r="L12" s="934"/>
      <c r="M12" s="934"/>
      <c r="N12" s="934"/>
      <c r="O12" s="934"/>
      <c r="P12" s="934"/>
      <c r="Q12" s="934"/>
      <c r="R12" s="934"/>
      <c r="S12" s="934"/>
      <c r="T12" s="934"/>
      <c r="U12" s="586"/>
      <c r="V12" s="586"/>
      <c r="W12" s="586"/>
      <c r="X12" s="586"/>
      <c r="Y12" s="586"/>
      <c r="Z12" s="586"/>
      <c r="AA12" s="216" t="s">
        <v>258</v>
      </c>
      <c r="AB12" s="939" t="s">
        <v>1273</v>
      </c>
      <c r="AC12" s="937"/>
      <c r="AD12" s="937"/>
      <c r="AE12" s="937"/>
      <c r="AF12" s="937"/>
      <c r="AG12" s="937"/>
      <c r="AH12" s="940"/>
      <c r="AI12" s="937"/>
      <c r="AJ12" s="937"/>
      <c r="AK12" s="937"/>
      <c r="AL12" s="938"/>
      <c r="AM12" s="158"/>
      <c r="AN12" s="158"/>
      <c r="AO12"/>
      <c r="AP12" s="587" t="s">
        <v>924</v>
      </c>
      <c r="AQ12" s="265" t="s">
        <v>934</v>
      </c>
      <c r="AR12" s="158"/>
      <c r="AS12" s="158"/>
      <c r="AT12"/>
      <c r="AU12"/>
      <c r="AV12"/>
      <c r="AW12"/>
      <c r="AX12"/>
      <c r="AY12"/>
      <c r="AZ12"/>
      <c r="BA12"/>
      <c r="BB12" s="585"/>
      <c r="BC12" s="91"/>
    </row>
    <row r="13" spans="1:55" s="46" customFormat="1" ht="12.95" customHeight="1">
      <c r="A13" s="91"/>
      <c r="B13" s="974"/>
      <c r="C13" s="975"/>
      <c r="D13" s="975"/>
      <c r="E13" s="975"/>
      <c r="F13" s="975"/>
      <c r="G13" s="934"/>
      <c r="H13" s="934"/>
      <c r="I13" s="934"/>
      <c r="J13" s="934"/>
      <c r="K13" s="934"/>
      <c r="L13" s="934"/>
      <c r="M13" s="934"/>
      <c r="N13" s="934"/>
      <c r="O13" s="934"/>
      <c r="P13" s="934"/>
      <c r="Q13" s="934"/>
      <c r="R13" s="934"/>
      <c r="S13" s="934"/>
      <c r="T13" s="934"/>
      <c r="U13" s="586"/>
      <c r="V13" s="586"/>
      <c r="W13" s="586"/>
      <c r="X13" s="586"/>
      <c r="Y13" s="586"/>
      <c r="Z13" s="586"/>
      <c r="AA13" s="216" t="s">
        <v>146</v>
      </c>
      <c r="AB13" s="941" t="s">
        <v>1274</v>
      </c>
      <c r="AC13" s="942"/>
      <c r="AD13" s="942"/>
      <c r="AE13" s="942"/>
      <c r="AF13" s="942"/>
      <c r="AG13" s="942"/>
      <c r="AH13" s="942"/>
      <c r="AI13" s="942"/>
      <c r="AJ13" s="942"/>
      <c r="AK13" s="942"/>
      <c r="AL13" s="943"/>
      <c r="AM13" s="158"/>
      <c r="AN13" s="158"/>
      <c r="AO13"/>
      <c r="AP13" s="587" t="s">
        <v>911</v>
      </c>
      <c r="AQ13" s="265" t="s">
        <v>17</v>
      </c>
      <c r="AR13" s="158"/>
      <c r="AS13" s="158"/>
      <c r="AT13"/>
      <c r="AU13"/>
      <c r="AV13"/>
      <c r="AW13"/>
      <c r="AX13"/>
      <c r="AY13"/>
      <c r="AZ13" s="158"/>
      <c r="BA13" s="158"/>
      <c r="BB13" s="583"/>
      <c r="BC13" s="91"/>
    </row>
    <row r="14" spans="1:55" s="46" customFormat="1" ht="12.95" customHeight="1">
      <c r="A14" s="91"/>
      <c r="B14" s="974"/>
      <c r="C14" s="975"/>
      <c r="D14" s="975"/>
      <c r="E14" s="975"/>
      <c r="F14" s="975"/>
      <c r="G14" s="934"/>
      <c r="H14" s="934"/>
      <c r="I14" s="934"/>
      <c r="J14" s="934"/>
      <c r="K14" s="934"/>
      <c r="L14" s="934"/>
      <c r="M14" s="934"/>
      <c r="N14" s="934"/>
      <c r="O14" s="934"/>
      <c r="P14" s="934"/>
      <c r="Q14" s="934"/>
      <c r="R14" s="934"/>
      <c r="S14" s="934"/>
      <c r="T14" s="934"/>
      <c r="U14" s="586"/>
      <c r="V14" s="586"/>
      <c r="W14" s="586"/>
      <c r="X14" s="586"/>
      <c r="Y14" s="586"/>
      <c r="Z14" s="586"/>
      <c r="AA14" s="216" t="s">
        <v>143</v>
      </c>
      <c r="AB14" s="954" t="s">
        <v>207</v>
      </c>
      <c r="AC14" s="955"/>
      <c r="AD14" s="955"/>
      <c r="AE14" s="955"/>
      <c r="AF14" s="955"/>
      <c r="AG14" s="955"/>
      <c r="AH14" s="955"/>
      <c r="AI14" s="955"/>
      <c r="AJ14" s="955"/>
      <c r="AK14" s="955"/>
      <c r="AL14" s="956"/>
      <c r="AM14" s="158"/>
      <c r="AN14" s="158"/>
      <c r="AO14"/>
      <c r="AP14" s="587" t="s">
        <v>925</v>
      </c>
      <c r="AQ14" s="265" t="s">
        <v>935</v>
      </c>
      <c r="AR14" s="158"/>
      <c r="AS14" s="158"/>
      <c r="AT14"/>
      <c r="AU14"/>
      <c r="AV14"/>
      <c r="AW14"/>
      <c r="AX14"/>
      <c r="AY14"/>
      <c r="AZ14" s="158"/>
      <c r="BA14" s="158"/>
      <c r="BB14" s="583"/>
      <c r="BC14" s="91"/>
    </row>
    <row r="15" spans="1:55" s="46" customFormat="1" ht="12.95" customHeight="1">
      <c r="A15" s="91"/>
      <c r="B15" s="935" t="s">
        <v>675</v>
      </c>
      <c r="C15" s="936"/>
      <c r="D15" s="936"/>
      <c r="E15" s="936"/>
      <c r="F15" s="936"/>
      <c r="G15" s="934" t="s">
        <v>942</v>
      </c>
      <c r="H15" s="934"/>
      <c r="I15" s="934"/>
      <c r="J15" s="934"/>
      <c r="K15" s="934"/>
      <c r="L15" s="934"/>
      <c r="M15" s="934"/>
      <c r="N15" s="934"/>
      <c r="O15" s="934"/>
      <c r="P15" s="934"/>
      <c r="Q15" s="934"/>
      <c r="R15" s="934"/>
      <c r="S15" s="934"/>
      <c r="T15" s="934"/>
      <c r="U15" s="586"/>
      <c r="V15" s="586"/>
      <c r="W15" s="586"/>
      <c r="X15" s="586"/>
      <c r="Y15" s="586"/>
      <c r="Z15" s="586"/>
      <c r="AA15" s="598" t="s">
        <v>955</v>
      </c>
      <c r="AB15" s="944"/>
      <c r="AC15" s="944"/>
      <c r="AD15" s="944"/>
      <c r="AE15" s="944"/>
      <c r="AF15" s="944"/>
      <c r="AG15" s="944"/>
      <c r="AH15" s="944"/>
      <c r="AI15" s="944"/>
      <c r="AJ15" s="944"/>
      <c r="AK15" s="944"/>
      <c r="AL15" s="944"/>
      <c r="AM15" s="158"/>
      <c r="AN15" s="158"/>
      <c r="AO15"/>
      <c r="AP15" s="587" t="s">
        <v>912</v>
      </c>
      <c r="AQ15" s="265" t="s">
        <v>522</v>
      </c>
      <c r="AR15" s="158"/>
      <c r="AS15" s="158"/>
      <c r="AT15"/>
      <c r="AU15"/>
      <c r="AV15"/>
      <c r="AW15"/>
      <c r="AX15"/>
      <c r="AY15"/>
      <c r="AZ15" s="158"/>
      <c r="BA15" s="158"/>
      <c r="BB15" s="583"/>
      <c r="BC15" s="91"/>
    </row>
    <row r="16" spans="1:55" s="46" customFormat="1" ht="12.95" customHeight="1">
      <c r="A16" s="91"/>
      <c r="B16" s="935"/>
      <c r="C16" s="936"/>
      <c r="D16" s="936"/>
      <c r="E16" s="936"/>
      <c r="F16" s="936"/>
      <c r="G16" s="934"/>
      <c r="H16" s="934"/>
      <c r="I16" s="934"/>
      <c r="J16" s="934"/>
      <c r="K16" s="934"/>
      <c r="L16" s="934"/>
      <c r="M16" s="934"/>
      <c r="N16" s="934"/>
      <c r="O16" s="934"/>
      <c r="P16" s="934"/>
      <c r="Q16" s="934"/>
      <c r="R16" s="934"/>
      <c r="S16" s="934"/>
      <c r="T16" s="934"/>
      <c r="U16" s="586"/>
      <c r="V16" s="586"/>
      <c r="W16" s="586"/>
      <c r="X16" s="586"/>
      <c r="Y16" s="586"/>
      <c r="Z16" s="586"/>
      <c r="AA16" s="216" t="s">
        <v>144</v>
      </c>
      <c r="AB16" s="945" t="s">
        <v>1275</v>
      </c>
      <c r="AC16" s="946"/>
      <c r="AD16" s="946"/>
      <c r="AE16" s="946"/>
      <c r="AF16" s="946"/>
      <c r="AG16" s="946"/>
      <c r="AH16" s="946"/>
      <c r="AI16" s="946"/>
      <c r="AJ16" s="946"/>
      <c r="AK16" s="946"/>
      <c r="AL16" s="947"/>
      <c r="AM16" s="158"/>
      <c r="AN16" s="158"/>
      <c r="AO16"/>
      <c r="AP16" s="588" t="s">
        <v>913</v>
      </c>
      <c r="AQ16" s="265" t="s">
        <v>427</v>
      </c>
      <c r="AR16" s="158"/>
      <c r="AS16" s="158"/>
      <c r="AT16"/>
      <c r="AU16"/>
      <c r="AV16"/>
      <c r="AW16"/>
      <c r="AX16"/>
      <c r="AY16" s="158"/>
      <c r="AZ16" s="158"/>
      <c r="BA16" s="158"/>
      <c r="BB16" s="583"/>
      <c r="BC16" s="91"/>
    </row>
    <row r="17" spans="1:55" s="46" customFormat="1" ht="12.95" customHeight="1">
      <c r="A17" s="91"/>
      <c r="B17" s="935"/>
      <c r="C17" s="936"/>
      <c r="D17" s="936"/>
      <c r="E17" s="936"/>
      <c r="F17" s="936"/>
      <c r="G17" s="934"/>
      <c r="H17" s="934"/>
      <c r="I17" s="934"/>
      <c r="J17" s="934"/>
      <c r="K17" s="934"/>
      <c r="L17" s="934"/>
      <c r="M17" s="934"/>
      <c r="N17" s="934"/>
      <c r="O17" s="934"/>
      <c r="P17" s="934"/>
      <c r="Q17" s="934"/>
      <c r="R17" s="934"/>
      <c r="S17" s="934"/>
      <c r="T17" s="934"/>
      <c r="U17" s="586"/>
      <c r="V17" s="586"/>
      <c r="W17" s="586"/>
      <c r="X17" s="586"/>
      <c r="Y17" s="586"/>
      <c r="Z17" s="586"/>
      <c r="AA17" s="216" t="s">
        <v>236</v>
      </c>
      <c r="AB17" s="951">
        <v>44957</v>
      </c>
      <c r="AC17" s="952"/>
      <c r="AD17" s="952"/>
      <c r="AE17" s="952"/>
      <c r="AF17" s="952"/>
      <c r="AG17" s="952"/>
      <c r="AH17" s="952"/>
      <c r="AI17" s="952"/>
      <c r="AJ17" s="952"/>
      <c r="AK17" s="952"/>
      <c r="AL17" s="953"/>
      <c r="AM17" s="158"/>
      <c r="AN17" s="158"/>
      <c r="AO17"/>
      <c r="AP17" s="588" t="s">
        <v>921</v>
      </c>
      <c r="AQ17" s="265" t="s">
        <v>448</v>
      </c>
      <c r="AR17" s="158"/>
      <c r="AS17" s="158"/>
      <c r="AT17"/>
      <c r="AU17"/>
      <c r="AV17"/>
      <c r="AW17"/>
      <c r="AX17"/>
      <c r="AY17" s="158"/>
      <c r="AZ17" s="158"/>
      <c r="BA17" s="158"/>
      <c r="BB17" s="583"/>
      <c r="BC17" s="91"/>
    </row>
    <row r="18" spans="1:55" s="46" customFormat="1" ht="12.95" customHeight="1">
      <c r="A18" s="91"/>
      <c r="B18" s="935" t="s">
        <v>1085</v>
      </c>
      <c r="C18" s="936"/>
      <c r="D18" s="936"/>
      <c r="E18" s="936"/>
      <c r="F18" s="936"/>
      <c r="G18" s="934" t="s">
        <v>1088</v>
      </c>
      <c r="H18" s="934"/>
      <c r="I18" s="934"/>
      <c r="J18" s="934"/>
      <c r="K18" s="934"/>
      <c r="L18" s="934"/>
      <c r="M18" s="934"/>
      <c r="N18" s="934"/>
      <c r="O18" s="934"/>
      <c r="P18" s="934"/>
      <c r="Q18" s="934"/>
      <c r="R18" s="934"/>
      <c r="S18" s="934"/>
      <c r="T18" s="934"/>
      <c r="U18" s="586"/>
      <c r="V18" s="586"/>
      <c r="W18" s="586"/>
      <c r="X18" s="586"/>
      <c r="Y18" s="586"/>
      <c r="Z18" s="586"/>
      <c r="AA18" s="216" t="s">
        <v>715</v>
      </c>
      <c r="AB18" s="941">
        <v>2022</v>
      </c>
      <c r="AC18" s="942"/>
      <c r="AD18" s="942"/>
      <c r="AE18" s="942"/>
      <c r="AF18" s="942"/>
      <c r="AG18" s="942"/>
      <c r="AH18" s="942"/>
      <c r="AI18" s="942"/>
      <c r="AJ18" s="942"/>
      <c r="AK18" s="942"/>
      <c r="AL18" s="943"/>
      <c r="AM18" s="158"/>
      <c r="AN18" s="158"/>
      <c r="AO18"/>
      <c r="AP18" s="587" t="s">
        <v>922</v>
      </c>
      <c r="AQ18" s="265" t="s">
        <v>466</v>
      </c>
      <c r="AR18" s="158"/>
      <c r="AS18" s="158"/>
      <c r="AT18"/>
      <c r="AU18"/>
      <c r="AV18"/>
      <c r="AW18"/>
      <c r="AX18"/>
      <c r="AY18" s="158"/>
      <c r="AZ18" s="158"/>
      <c r="BA18" s="158"/>
      <c r="BB18" s="583"/>
      <c r="BC18" s="91"/>
    </row>
    <row r="19" spans="1:55" s="46" customFormat="1" ht="12.95" customHeight="1">
      <c r="A19" s="91"/>
      <c r="B19" s="935"/>
      <c r="C19" s="936"/>
      <c r="D19" s="936"/>
      <c r="E19" s="936"/>
      <c r="F19" s="936"/>
      <c r="G19" s="934"/>
      <c r="H19" s="934"/>
      <c r="I19" s="934"/>
      <c r="J19" s="934"/>
      <c r="K19" s="934"/>
      <c r="L19" s="934"/>
      <c r="M19" s="934"/>
      <c r="N19" s="934"/>
      <c r="O19" s="934"/>
      <c r="P19" s="934"/>
      <c r="Q19" s="934"/>
      <c r="R19" s="934"/>
      <c r="S19" s="934"/>
      <c r="T19" s="934"/>
      <c r="U19" s="586"/>
      <c r="V19" s="586"/>
      <c r="W19" s="586"/>
      <c r="X19" s="586"/>
      <c r="Y19" s="586"/>
      <c r="Z19" s="586"/>
      <c r="AA19" s="216" t="s">
        <v>929</v>
      </c>
      <c r="AB19" s="941">
        <v>2022</v>
      </c>
      <c r="AC19" s="942"/>
      <c r="AD19" s="942"/>
      <c r="AE19" s="942"/>
      <c r="AF19" s="943"/>
      <c r="AG19" s="589" t="s">
        <v>930</v>
      </c>
      <c r="AH19" s="586"/>
      <c r="AI19" s="586"/>
      <c r="AJ19" s="590"/>
      <c r="AK19" s="590"/>
      <c r="AL19" s="590"/>
      <c r="AM19" s="158"/>
      <c r="AN19" s="158"/>
      <c r="AO19"/>
      <c r="AP19" s="587" t="s">
        <v>918</v>
      </c>
      <c r="AQ19" s="265" t="s">
        <v>68</v>
      </c>
      <c r="AR19" s="158"/>
      <c r="AS19" s="158"/>
      <c r="AT19"/>
      <c r="AU19"/>
      <c r="AV19"/>
      <c r="AW19" s="216"/>
      <c r="AX19"/>
      <c r="AY19" s="158"/>
      <c r="AZ19" s="158"/>
      <c r="BA19" s="158"/>
      <c r="BB19" s="583"/>
      <c r="BC19" s="91"/>
    </row>
    <row r="20" spans="1:55" s="46" customFormat="1" ht="12.95" customHeight="1">
      <c r="A20" s="91"/>
      <c r="B20" s="935"/>
      <c r="C20" s="936"/>
      <c r="D20" s="936"/>
      <c r="E20" s="936"/>
      <c r="F20" s="936"/>
      <c r="G20" s="934"/>
      <c r="H20" s="934"/>
      <c r="I20" s="934"/>
      <c r="J20" s="934"/>
      <c r="K20" s="934"/>
      <c r="L20" s="934"/>
      <c r="M20" s="934"/>
      <c r="N20" s="934"/>
      <c r="O20" s="934"/>
      <c r="P20" s="934"/>
      <c r="Q20" s="934"/>
      <c r="R20" s="934"/>
      <c r="S20" s="934"/>
      <c r="T20" s="934"/>
      <c r="U20" s="586"/>
      <c r="V20" s="586"/>
      <c r="W20" s="586"/>
      <c r="X20" s="586"/>
      <c r="Y20" s="586"/>
      <c r="Z20" s="586"/>
      <c r="AA20" s="216" t="s">
        <v>1014</v>
      </c>
      <c r="AB20" s="951">
        <v>44562</v>
      </c>
      <c r="AC20" s="952"/>
      <c r="AD20" s="952"/>
      <c r="AE20" s="952"/>
      <c r="AF20" s="952"/>
      <c r="AG20" s="952"/>
      <c r="AH20" s="952"/>
      <c r="AI20" s="952"/>
      <c r="AJ20" s="952"/>
      <c r="AK20" s="952"/>
      <c r="AL20" s="953"/>
      <c r="AM20" s="158"/>
      <c r="AN20" s="158"/>
      <c r="AO20"/>
      <c r="AP20" s="587" t="s">
        <v>919</v>
      </c>
      <c r="AQ20" s="265" t="s">
        <v>8</v>
      </c>
      <c r="AR20" s="158"/>
      <c r="AS20" s="158"/>
      <c r="AT20"/>
      <c r="AU20"/>
      <c r="AV20"/>
      <c r="AW20" s="216"/>
      <c r="AX20"/>
      <c r="AY20" s="158"/>
      <c r="AZ20" s="158"/>
      <c r="BA20" s="158"/>
      <c r="BB20" s="583"/>
      <c r="BC20" s="91"/>
    </row>
    <row r="21" spans="1:55" s="46" customFormat="1" ht="12.95" customHeight="1">
      <c r="A21" s="91"/>
      <c r="B21" s="935" t="s">
        <v>944</v>
      </c>
      <c r="C21" s="936"/>
      <c r="D21" s="936"/>
      <c r="E21" s="936"/>
      <c r="F21" s="936"/>
      <c r="G21" s="934" t="s">
        <v>976</v>
      </c>
      <c r="H21" s="934"/>
      <c r="I21" s="934"/>
      <c r="J21" s="934"/>
      <c r="K21" s="934"/>
      <c r="L21" s="934"/>
      <c r="M21" s="934"/>
      <c r="N21" s="934"/>
      <c r="O21" s="934"/>
      <c r="P21" s="934"/>
      <c r="Q21" s="934"/>
      <c r="R21" s="934"/>
      <c r="S21" s="934"/>
      <c r="T21" s="934"/>
      <c r="U21" s="586"/>
      <c r="V21" s="586"/>
      <c r="W21" s="586"/>
      <c r="X21" s="586"/>
      <c r="Y21" s="586"/>
      <c r="Z21" s="586"/>
      <c r="AA21" s="216" t="s">
        <v>1015</v>
      </c>
      <c r="AB21" s="957">
        <v>44926</v>
      </c>
      <c r="AC21" s="958"/>
      <c r="AD21" s="958"/>
      <c r="AE21" s="958"/>
      <c r="AF21" s="958"/>
      <c r="AG21" s="958"/>
      <c r="AH21" s="958"/>
      <c r="AI21" s="958"/>
      <c r="AJ21" s="958"/>
      <c r="AK21" s="958"/>
      <c r="AL21" s="959"/>
      <c r="AM21" s="158"/>
      <c r="AN21" s="158"/>
      <c r="AO21"/>
      <c r="AP21" s="587" t="s">
        <v>920</v>
      </c>
      <c r="AQ21" s="265" t="s">
        <v>7</v>
      </c>
      <c r="AR21" s="158"/>
      <c r="AS21" s="158"/>
      <c r="AT21"/>
      <c r="AU21"/>
      <c r="AV21"/>
      <c r="AW21" s="216"/>
      <c r="AX21"/>
      <c r="AY21" s="158"/>
      <c r="AZ21" s="158"/>
      <c r="BA21" s="158"/>
      <c r="BB21" s="583"/>
      <c r="BC21" s="91"/>
    </row>
    <row r="22" spans="1:55" s="46" customFormat="1" ht="12.95" customHeight="1">
      <c r="A22" s="91"/>
      <c r="B22" s="935"/>
      <c r="C22" s="936"/>
      <c r="D22" s="936"/>
      <c r="E22" s="936"/>
      <c r="F22" s="936"/>
      <c r="G22" s="934"/>
      <c r="H22" s="934"/>
      <c r="I22" s="934"/>
      <c r="J22" s="934"/>
      <c r="K22" s="934"/>
      <c r="L22" s="934"/>
      <c r="M22" s="934"/>
      <c r="N22" s="934"/>
      <c r="O22" s="934"/>
      <c r="P22" s="934"/>
      <c r="Q22" s="934"/>
      <c r="R22" s="934"/>
      <c r="S22" s="934"/>
      <c r="T22" s="934"/>
      <c r="U22" s="586"/>
      <c r="V22" s="586"/>
      <c r="W22" s="586"/>
      <c r="X22" s="586"/>
      <c r="Y22" s="586"/>
      <c r="Z22" s="586"/>
      <c r="AA22" s="216" t="s">
        <v>240</v>
      </c>
      <c r="AB22" s="948" t="s">
        <v>25</v>
      </c>
      <c r="AC22" s="949"/>
      <c r="AD22" s="949"/>
      <c r="AE22" s="949"/>
      <c r="AF22" s="949"/>
      <c r="AG22" s="949"/>
      <c r="AH22" s="949"/>
      <c r="AI22" s="949"/>
      <c r="AJ22" s="949"/>
      <c r="AK22" s="949"/>
      <c r="AL22" s="950"/>
      <c r="AM22" s="158"/>
      <c r="AN22" s="158"/>
      <c r="AO22"/>
      <c r="AP22" s="587" t="s">
        <v>570</v>
      </c>
      <c r="AQ22" s="265" t="s">
        <v>54</v>
      </c>
      <c r="AR22" s="158"/>
      <c r="AS22" s="158"/>
      <c r="AT22"/>
      <c r="AU22"/>
      <c r="AV22"/>
      <c r="AW22" s="216"/>
      <c r="AX22"/>
      <c r="AY22" s="158"/>
      <c r="AZ22" s="158"/>
      <c r="BA22" s="158"/>
      <c r="BB22" s="583"/>
      <c r="BC22" s="91"/>
    </row>
    <row r="23" spans="1:55" s="46" customFormat="1" ht="12.95" customHeight="1">
      <c r="A23" s="91"/>
      <c r="B23" s="935"/>
      <c r="C23" s="936"/>
      <c r="D23" s="936"/>
      <c r="E23" s="936"/>
      <c r="F23" s="936"/>
      <c r="G23" s="934"/>
      <c r="H23" s="934"/>
      <c r="I23" s="934"/>
      <c r="J23" s="934"/>
      <c r="K23" s="934"/>
      <c r="L23" s="934"/>
      <c r="M23" s="934"/>
      <c r="N23" s="934"/>
      <c r="O23" s="934"/>
      <c r="P23" s="934"/>
      <c r="Q23" s="934"/>
      <c r="R23" s="934"/>
      <c r="S23" s="934"/>
      <c r="T23" s="934"/>
      <c r="U23" s="586"/>
      <c r="AA23" s="216" t="s">
        <v>1012</v>
      </c>
      <c r="AB23" s="992" t="s">
        <v>1006</v>
      </c>
      <c r="AC23" s="993"/>
      <c r="AD23" s="993"/>
      <c r="AE23" s="993"/>
      <c r="AF23" s="994"/>
      <c r="AG23" s="995"/>
      <c r="AH23" s="995"/>
      <c r="AI23" s="995"/>
      <c r="AJ23" s="995"/>
      <c r="AK23" s="995"/>
      <c r="AL23" s="995"/>
      <c r="AM23" s="158"/>
      <c r="AN23" s="158"/>
      <c r="AO23"/>
      <c r="AP23" s="587" t="s">
        <v>583</v>
      </c>
      <c r="AQ23" s="265" t="s">
        <v>673</v>
      </c>
      <c r="AR23" s="158"/>
      <c r="AS23" s="158"/>
      <c r="AT23" s="158"/>
      <c r="AU23" s="158"/>
      <c r="AV23" s="158"/>
      <c r="AW23" s="158"/>
      <c r="AX23" s="158"/>
      <c r="AY23" s="158"/>
      <c r="AZ23" s="158"/>
      <c r="BA23" s="158"/>
      <c r="BB23" s="583"/>
      <c r="BC23" s="91"/>
    </row>
    <row r="24" spans="1:55" s="46" customFormat="1" ht="12.95" customHeight="1">
      <c r="A24" s="91"/>
      <c r="B24" s="935" t="s">
        <v>946</v>
      </c>
      <c r="C24" s="936"/>
      <c r="D24" s="936"/>
      <c r="E24" s="936"/>
      <c r="F24" s="936"/>
      <c r="G24" s="934" t="s">
        <v>947</v>
      </c>
      <c r="H24" s="934"/>
      <c r="I24" s="934"/>
      <c r="J24" s="934"/>
      <c r="K24" s="934"/>
      <c r="L24" s="934"/>
      <c r="M24" s="934"/>
      <c r="N24" s="934"/>
      <c r="O24" s="934"/>
      <c r="P24" s="934"/>
      <c r="Q24" s="934"/>
      <c r="R24" s="934"/>
      <c r="S24" s="934"/>
      <c r="T24" s="934"/>
      <c r="U24" s="586"/>
      <c r="AA24" s="216" t="s">
        <v>1004</v>
      </c>
      <c r="AB24" s="996" t="s">
        <v>1008</v>
      </c>
      <c r="AC24" s="997"/>
      <c r="AD24" s="997"/>
      <c r="AE24" s="997"/>
      <c r="AF24" s="998"/>
      <c r="AG24" s="999"/>
      <c r="AH24" s="1000"/>
      <c r="AI24" s="1000"/>
      <c r="AJ24" s="1000"/>
      <c r="AK24" s="1000"/>
      <c r="AL24" s="1000"/>
      <c r="AM24" s="158"/>
      <c r="AN24" s="158"/>
      <c r="AO24"/>
      <c r="AP24" s="587" t="s">
        <v>598</v>
      </c>
      <c r="AQ24" s="265" t="s">
        <v>672</v>
      </c>
      <c r="AR24" s="158"/>
      <c r="AS24" s="158"/>
      <c r="AT24" s="158"/>
      <c r="AU24" s="158"/>
      <c r="AV24" s="158"/>
      <c r="AW24" s="158"/>
      <c r="AX24" s="158"/>
      <c r="AY24" s="158"/>
      <c r="AZ24" s="158"/>
      <c r="BA24" s="158"/>
      <c r="BB24" s="583"/>
      <c r="BC24" s="91"/>
    </row>
    <row r="25" spans="1:55" s="46" customFormat="1" ht="12.95" customHeight="1">
      <c r="A25" s="91"/>
      <c r="B25" s="935"/>
      <c r="C25" s="936"/>
      <c r="D25" s="936"/>
      <c r="E25" s="936"/>
      <c r="F25" s="936"/>
      <c r="G25" s="934"/>
      <c r="H25" s="934"/>
      <c r="I25" s="934"/>
      <c r="J25" s="934"/>
      <c r="K25" s="934"/>
      <c r="L25" s="934"/>
      <c r="M25" s="934"/>
      <c r="N25" s="934"/>
      <c r="O25" s="934"/>
      <c r="P25" s="934"/>
      <c r="Q25" s="934"/>
      <c r="R25" s="934"/>
      <c r="S25" s="934"/>
      <c r="T25" s="934"/>
      <c r="U25" s="586"/>
      <c r="V25" s="586"/>
      <c r="W25" s="586"/>
      <c r="X25" s="586"/>
      <c r="Y25" s="586"/>
      <c r="Z25" s="586"/>
      <c r="AA25" s="216" t="s">
        <v>1001</v>
      </c>
      <c r="AB25" s="996" t="s">
        <v>1276</v>
      </c>
      <c r="AC25" s="997"/>
      <c r="AD25" s="997"/>
      <c r="AE25" s="997"/>
      <c r="AF25" s="997"/>
      <c r="AG25" s="997"/>
      <c r="AH25" s="997"/>
      <c r="AI25" s="997"/>
      <c r="AJ25" s="997"/>
      <c r="AK25" s="997"/>
      <c r="AL25" s="1003"/>
      <c r="AM25" s="158"/>
      <c r="AN25" s="158"/>
      <c r="AO25"/>
      <c r="AP25" s="587" t="s">
        <v>917</v>
      </c>
      <c r="AQ25" s="265" t="s">
        <v>599</v>
      </c>
      <c r="AR25" s="158"/>
      <c r="AS25" s="158"/>
      <c r="AT25" s="158"/>
      <c r="AU25" s="158"/>
      <c r="AV25" s="158"/>
      <c r="AW25" s="158"/>
      <c r="AX25" s="158"/>
      <c r="AY25" s="158"/>
      <c r="AZ25" s="158"/>
      <c r="BA25" s="158"/>
      <c r="BB25" s="583"/>
      <c r="BC25" s="91"/>
    </row>
    <row r="26" spans="1:55" s="46" customFormat="1" ht="12.95" customHeight="1">
      <c r="A26" s="91"/>
      <c r="B26" s="935"/>
      <c r="C26" s="936"/>
      <c r="D26" s="936"/>
      <c r="E26" s="936"/>
      <c r="F26" s="936"/>
      <c r="G26" s="934"/>
      <c r="H26" s="934"/>
      <c r="I26" s="934"/>
      <c r="J26" s="934"/>
      <c r="K26" s="934"/>
      <c r="L26" s="934"/>
      <c r="M26" s="934"/>
      <c r="N26" s="934"/>
      <c r="O26" s="934"/>
      <c r="P26" s="934"/>
      <c r="Q26" s="934"/>
      <c r="R26" s="934"/>
      <c r="S26" s="934"/>
      <c r="T26" s="934"/>
      <c r="U26" s="586"/>
      <c r="V26" s="586"/>
      <c r="W26" s="586"/>
      <c r="X26" s="586"/>
      <c r="Y26" s="586"/>
      <c r="Z26" s="586"/>
      <c r="AA26" s="591" t="s">
        <v>998</v>
      </c>
      <c r="AB26" s="996" t="s">
        <v>1277</v>
      </c>
      <c r="AC26" s="997"/>
      <c r="AD26" s="997"/>
      <c r="AE26" s="997"/>
      <c r="AF26" s="997"/>
      <c r="AG26" s="997"/>
      <c r="AH26" s="997"/>
      <c r="AI26" s="997"/>
      <c r="AJ26" s="997"/>
      <c r="AK26" s="997"/>
      <c r="AL26" s="1003"/>
      <c r="AM26" s="158"/>
      <c r="AN26" s="158"/>
      <c r="AO26"/>
      <c r="AP26" s="587" t="s">
        <v>914</v>
      </c>
      <c r="AQ26" s="265" t="s">
        <v>626</v>
      </c>
      <c r="AR26" s="158"/>
      <c r="AS26" s="158"/>
      <c r="AT26" s="158"/>
      <c r="AU26" s="158"/>
      <c r="AV26" s="158"/>
      <c r="AW26" s="158"/>
      <c r="AX26" s="158"/>
      <c r="AY26" s="158"/>
      <c r="AZ26" s="158"/>
      <c r="BA26" s="158"/>
      <c r="BB26" s="583"/>
      <c r="BC26" s="91"/>
    </row>
    <row r="27" spans="1:55" s="46" customFormat="1" ht="12.95" customHeight="1">
      <c r="A27" s="91"/>
      <c r="B27" s="935" t="s">
        <v>785</v>
      </c>
      <c r="C27" s="936"/>
      <c r="D27" s="936"/>
      <c r="E27" s="936"/>
      <c r="F27" s="936"/>
      <c r="G27" s="934" t="s">
        <v>994</v>
      </c>
      <c r="H27" s="934"/>
      <c r="I27" s="934"/>
      <c r="J27" s="934"/>
      <c r="K27" s="934"/>
      <c r="L27" s="934"/>
      <c r="M27" s="934"/>
      <c r="N27" s="934"/>
      <c r="O27" s="934"/>
      <c r="P27" s="934"/>
      <c r="Q27" s="934"/>
      <c r="R27" s="934"/>
      <c r="S27" s="934"/>
      <c r="T27" s="934"/>
      <c r="U27" s="586"/>
      <c r="AA27" s="591" t="s">
        <v>999</v>
      </c>
      <c r="AB27" s="996" t="s">
        <v>1277</v>
      </c>
      <c r="AC27" s="997"/>
      <c r="AD27" s="997"/>
      <c r="AE27" s="997"/>
      <c r="AF27" s="997"/>
      <c r="AG27" s="997"/>
      <c r="AH27" s="997"/>
      <c r="AI27" s="997"/>
      <c r="AJ27" s="997"/>
      <c r="AK27" s="997"/>
      <c r="AL27" s="1003"/>
      <c r="AM27" s="158"/>
      <c r="AN27" s="158"/>
      <c r="AO27"/>
      <c r="AP27" s="587" t="s">
        <v>915</v>
      </c>
      <c r="AQ27" s="265" t="s">
        <v>650</v>
      </c>
      <c r="AR27" s="158"/>
      <c r="AS27" s="158"/>
      <c r="AT27" s="158"/>
      <c r="AU27" s="158"/>
      <c r="AV27" s="158"/>
      <c r="AW27" s="158"/>
      <c r="AX27" s="158"/>
      <c r="AY27" s="158"/>
      <c r="AZ27" s="158"/>
      <c r="BA27" s="158"/>
      <c r="BB27" s="583"/>
      <c r="BC27" s="91"/>
    </row>
    <row r="28" spans="1:55" s="46" customFormat="1" ht="12.95" customHeight="1">
      <c r="A28" s="91"/>
      <c r="B28" s="935"/>
      <c r="C28" s="936"/>
      <c r="D28" s="936"/>
      <c r="E28" s="936"/>
      <c r="F28" s="936"/>
      <c r="G28" s="934"/>
      <c r="H28" s="934"/>
      <c r="I28" s="934"/>
      <c r="J28" s="934"/>
      <c r="K28" s="934"/>
      <c r="L28" s="934"/>
      <c r="M28" s="934"/>
      <c r="N28" s="934"/>
      <c r="O28" s="934"/>
      <c r="P28" s="934"/>
      <c r="Q28" s="934"/>
      <c r="R28" s="934"/>
      <c r="S28" s="934"/>
      <c r="T28" s="934"/>
      <c r="U28" s="622"/>
      <c r="V28" s="586"/>
      <c r="W28" s="586"/>
      <c r="X28" s="586"/>
      <c r="Y28" s="586"/>
      <c r="Z28" s="586"/>
      <c r="AB28" s="584"/>
      <c r="AC28" s="584"/>
      <c r="AD28" s="584"/>
      <c r="AE28" s="584"/>
      <c r="AF28" s="584"/>
      <c r="AG28" s="584"/>
      <c r="AH28" s="216" t="s">
        <v>1002</v>
      </c>
      <c r="AI28" s="1005"/>
      <c r="AJ28" s="1006"/>
      <c r="AK28" s="1006"/>
      <c r="AL28" s="1007"/>
      <c r="AM28" s="618"/>
      <c r="AN28" s="618"/>
      <c r="AO28" s="618"/>
      <c r="AP28" s="618"/>
      <c r="AQ28" s="618"/>
      <c r="AR28" s="618"/>
      <c r="AS28" s="618"/>
      <c r="AT28" s="618"/>
      <c r="AU28" s="618"/>
      <c r="AV28" s="618"/>
      <c r="AW28" s="618"/>
      <c r="AX28" s="618"/>
      <c r="AY28" s="618"/>
      <c r="AZ28" s="618"/>
      <c r="BA28" s="618"/>
      <c r="BB28" s="583"/>
      <c r="BC28" s="91"/>
    </row>
    <row r="29" spans="1:55" s="46" customFormat="1" ht="12.95" customHeight="1">
      <c r="A29" s="91"/>
      <c r="B29" s="935"/>
      <c r="C29" s="936"/>
      <c r="D29" s="936"/>
      <c r="E29" s="936"/>
      <c r="F29" s="936"/>
      <c r="G29" s="934"/>
      <c r="H29" s="934"/>
      <c r="I29" s="934"/>
      <c r="J29" s="934"/>
      <c r="K29" s="934"/>
      <c r="L29" s="934"/>
      <c r="M29" s="934"/>
      <c r="N29" s="934"/>
      <c r="O29" s="934"/>
      <c r="P29" s="934"/>
      <c r="Q29" s="934"/>
      <c r="R29" s="934"/>
      <c r="S29" s="934"/>
      <c r="T29" s="934"/>
      <c r="U29" s="622"/>
      <c r="V29" s="622"/>
      <c r="Y29" s="622"/>
      <c r="Z29" s="622"/>
      <c r="AA29" s="609"/>
      <c r="AB29" s="609"/>
      <c r="AC29" s="609"/>
      <c r="AD29" s="609"/>
      <c r="AE29" s="609"/>
      <c r="AF29" s="609"/>
      <c r="AG29" s="584"/>
      <c r="AH29" s="584"/>
      <c r="AI29" s="618"/>
      <c r="AJ29" s="618"/>
      <c r="AK29" s="618"/>
      <c r="AL29" s="618"/>
      <c r="AM29" s="618"/>
      <c r="AN29" s="618"/>
      <c r="AO29" s="618"/>
      <c r="AP29" s="618"/>
      <c r="AQ29" s="618"/>
      <c r="AR29" s="618"/>
      <c r="AS29" s="618"/>
      <c r="AT29" s="618"/>
      <c r="AU29" s="618"/>
      <c r="AV29" s="618"/>
      <c r="AW29" s="618"/>
      <c r="AX29" s="618"/>
      <c r="AY29" s="618"/>
      <c r="AZ29" s="618"/>
      <c r="BA29" s="618"/>
      <c r="BB29" s="583"/>
      <c r="BC29" s="91"/>
    </row>
    <row r="30" spans="1:55" s="46" customFormat="1" ht="12.95" customHeight="1">
      <c r="A30" s="91"/>
      <c r="B30" s="935" t="s">
        <v>948</v>
      </c>
      <c r="C30" s="936"/>
      <c r="D30" s="936"/>
      <c r="E30" s="936"/>
      <c r="F30" s="936"/>
      <c r="G30" s="934" t="s">
        <v>949</v>
      </c>
      <c r="H30" s="934"/>
      <c r="I30" s="934"/>
      <c r="J30" s="934"/>
      <c r="K30" s="934"/>
      <c r="L30" s="934"/>
      <c r="M30" s="934"/>
      <c r="N30" s="934"/>
      <c r="O30" s="934"/>
      <c r="P30" s="934"/>
      <c r="Q30" s="934"/>
      <c r="R30" s="934"/>
      <c r="S30" s="934"/>
      <c r="T30" s="934"/>
      <c r="U30" s="622"/>
      <c r="BB30" s="583"/>
      <c r="BC30" s="91"/>
    </row>
    <row r="31" spans="1:55" s="46" customFormat="1" ht="12.95" customHeight="1">
      <c r="A31" s="91"/>
      <c r="B31" s="935"/>
      <c r="C31" s="936"/>
      <c r="D31" s="936"/>
      <c r="E31" s="936"/>
      <c r="F31" s="936"/>
      <c r="G31" s="934"/>
      <c r="H31" s="934"/>
      <c r="I31" s="934"/>
      <c r="J31" s="934"/>
      <c r="K31" s="934"/>
      <c r="L31" s="934"/>
      <c r="M31" s="934"/>
      <c r="N31" s="934"/>
      <c r="O31" s="934"/>
      <c r="P31" s="934"/>
      <c r="Q31" s="934"/>
      <c r="R31" s="934"/>
      <c r="S31" s="934"/>
      <c r="T31" s="934"/>
      <c r="U31" s="622"/>
      <c r="V31" s="622"/>
      <c r="Y31" s="626" t="s">
        <v>940</v>
      </c>
      <c r="Z31" s="622"/>
      <c r="AC31" s="637"/>
      <c r="AD31" s="644" t="s">
        <v>995</v>
      </c>
      <c r="AE31" s="638"/>
      <c r="AF31" s="639"/>
      <c r="AG31" s="640"/>
      <c r="AH31" s="641"/>
      <c r="AI31" s="642"/>
      <c r="AJ31" s="642"/>
      <c r="AK31" s="642"/>
      <c r="AL31" s="644" t="s">
        <v>996</v>
      </c>
      <c r="AM31" s="643"/>
      <c r="AN31" s="643"/>
      <c r="AO31" s="643"/>
      <c r="AP31" s="642"/>
      <c r="AQ31" s="642"/>
      <c r="AR31" s="642"/>
      <c r="AS31" s="642"/>
      <c r="AT31" s="637"/>
      <c r="AU31" s="636" t="s">
        <v>997</v>
      </c>
      <c r="AV31" s="652"/>
      <c r="AW31" s="653"/>
      <c r="AX31" s="654"/>
      <c r="AY31" s="618"/>
      <c r="AZ31" s="618"/>
      <c r="BA31" s="618"/>
      <c r="BB31" s="583"/>
      <c r="BC31" s="91"/>
    </row>
    <row r="32" spans="1:55" s="46" customFormat="1" ht="12.95" customHeight="1">
      <c r="A32" s="91"/>
      <c r="B32" s="935"/>
      <c r="C32" s="936"/>
      <c r="D32" s="936"/>
      <c r="E32" s="936"/>
      <c r="F32" s="936"/>
      <c r="G32" s="934"/>
      <c r="H32" s="934"/>
      <c r="I32" s="934"/>
      <c r="J32" s="934"/>
      <c r="K32" s="934"/>
      <c r="L32" s="934"/>
      <c r="M32" s="934"/>
      <c r="N32" s="934"/>
      <c r="O32" s="934"/>
      <c r="P32" s="934"/>
      <c r="Q32" s="934"/>
      <c r="R32" s="934"/>
      <c r="S32" s="934"/>
      <c r="T32" s="934"/>
      <c r="U32" s="622"/>
      <c r="V32" s="622"/>
      <c r="W32" s="622"/>
      <c r="X32" s="622"/>
      <c r="Y32" s="622"/>
      <c r="Z32" s="622"/>
      <c r="AE32" s="609"/>
      <c r="AF32" s="609"/>
      <c r="AG32" s="584"/>
      <c r="AH32" s="584"/>
      <c r="AI32" s="619"/>
      <c r="AJ32" s="619"/>
      <c r="AK32" s="619"/>
      <c r="AL32" s="619"/>
      <c r="AM32" s="620"/>
      <c r="AN32" s="620"/>
      <c r="AO32" s="620"/>
      <c r="AP32" s="620"/>
      <c r="AQ32" s="620"/>
      <c r="AR32" s="620"/>
      <c r="AS32" s="620"/>
      <c r="AT32" s="620"/>
      <c r="AU32" s="620"/>
      <c r="AV32" s="620"/>
      <c r="AW32" s="620"/>
      <c r="AX32" s="620"/>
      <c r="AY32" s="620"/>
      <c r="AZ32" s="620"/>
      <c r="BA32" s="620"/>
      <c r="BB32" s="583"/>
      <c r="BC32" s="91"/>
    </row>
    <row r="33" spans="1:55" s="46" customFormat="1" ht="12.95" customHeight="1">
      <c r="A33" s="91"/>
      <c r="B33" s="935" t="s">
        <v>950</v>
      </c>
      <c r="C33" s="936"/>
      <c r="D33" s="936"/>
      <c r="E33" s="936"/>
      <c r="F33" s="936"/>
      <c r="G33" s="934" t="s">
        <v>977</v>
      </c>
      <c r="H33" s="934"/>
      <c r="I33" s="934"/>
      <c r="J33" s="934"/>
      <c r="K33" s="934"/>
      <c r="L33" s="934"/>
      <c r="M33" s="934"/>
      <c r="N33" s="934"/>
      <c r="O33" s="934"/>
      <c r="P33" s="934"/>
      <c r="Q33" s="934"/>
      <c r="R33" s="934"/>
      <c r="S33" s="934"/>
      <c r="T33" s="934"/>
      <c r="U33" s="622"/>
      <c r="V33" s="622"/>
      <c r="W33" s="622"/>
      <c r="X33" s="622"/>
      <c r="Y33" s="622"/>
      <c r="Z33" s="622"/>
      <c r="AE33" s="609"/>
      <c r="AF33" s="609"/>
      <c r="AG33" s="584"/>
      <c r="AH33" s="584"/>
      <c r="AI33" s="619"/>
      <c r="AJ33" s="619"/>
      <c r="AK33" s="619"/>
      <c r="AL33" s="619"/>
      <c r="AM33" s="620"/>
      <c r="AN33" s="620"/>
      <c r="AO33" s="620"/>
      <c r="AP33" s="620"/>
      <c r="AQ33" s="620"/>
      <c r="AR33" s="620"/>
      <c r="AS33" s="620"/>
      <c r="AT33" s="620"/>
      <c r="AU33" s="620"/>
      <c r="AV33" s="620"/>
      <c r="AW33" s="620"/>
      <c r="AX33" s="620"/>
      <c r="AY33" s="620"/>
      <c r="AZ33" s="620"/>
      <c r="BA33" s="620"/>
      <c r="BB33" s="583"/>
      <c r="BC33" s="91"/>
    </row>
    <row r="34" spans="1:55" s="46" customFormat="1" ht="12.95" customHeight="1">
      <c r="A34" s="91"/>
      <c r="B34" s="935"/>
      <c r="C34" s="936"/>
      <c r="D34" s="936"/>
      <c r="E34" s="936"/>
      <c r="F34" s="936"/>
      <c r="G34" s="934"/>
      <c r="H34" s="934"/>
      <c r="I34" s="934"/>
      <c r="J34" s="934"/>
      <c r="K34" s="934"/>
      <c r="L34" s="934"/>
      <c r="M34" s="934"/>
      <c r="N34" s="934"/>
      <c r="O34" s="934"/>
      <c r="P34" s="934"/>
      <c r="Q34" s="934"/>
      <c r="R34" s="934"/>
      <c r="S34" s="934"/>
      <c r="T34" s="934"/>
      <c r="U34" s="630"/>
      <c r="V34" s="622"/>
      <c r="X34" s="649"/>
      <c r="Y34" s="649"/>
      <c r="AA34" s="907" t="s">
        <v>932</v>
      </c>
      <c r="AB34" s="976" t="s">
        <v>669</v>
      </c>
      <c r="AC34" s="976"/>
      <c r="AD34" s="976"/>
      <c r="AE34" s="976"/>
      <c r="AF34" s="609"/>
      <c r="AG34" s="609"/>
      <c r="AH34" s="609"/>
      <c r="AI34" s="609"/>
      <c r="AJ34" s="619"/>
      <c r="AK34" s="619"/>
      <c r="AM34" s="649"/>
      <c r="AN34" s="649"/>
      <c r="AO34" s="649"/>
      <c r="AR34" s="907" t="s">
        <v>932</v>
      </c>
      <c r="AS34" s="976" t="s">
        <v>675</v>
      </c>
      <c r="AT34" s="976"/>
      <c r="AU34" s="976"/>
      <c r="AV34" s="976"/>
      <c r="AW34" s="976"/>
      <c r="AX34" s="976"/>
      <c r="AY34" s="976"/>
      <c r="AZ34" s="976"/>
      <c r="BA34" s="620"/>
      <c r="BB34" s="583"/>
      <c r="BC34" s="91"/>
    </row>
    <row r="35" spans="1:55" s="46" customFormat="1" ht="12.95" customHeight="1">
      <c r="A35" s="91"/>
      <c r="B35" s="935"/>
      <c r="C35" s="936"/>
      <c r="D35" s="936"/>
      <c r="E35" s="936"/>
      <c r="F35" s="936"/>
      <c r="G35" s="934"/>
      <c r="H35" s="934"/>
      <c r="I35" s="934"/>
      <c r="J35" s="934"/>
      <c r="K35" s="934"/>
      <c r="L35" s="934"/>
      <c r="M35" s="934"/>
      <c r="N35" s="934"/>
      <c r="O35" s="934"/>
      <c r="P35" s="934"/>
      <c r="Q35" s="934"/>
      <c r="R35" s="934"/>
      <c r="S35" s="934"/>
      <c r="T35" s="934"/>
      <c r="U35" s="630"/>
      <c r="V35" s="622"/>
      <c r="W35" s="622"/>
      <c r="X35" s="622"/>
      <c r="Y35" s="622"/>
      <c r="Z35" s="609"/>
      <c r="AA35" s="609"/>
      <c r="AB35" s="609"/>
      <c r="AC35" s="609"/>
      <c r="AD35" s="609"/>
      <c r="AE35" s="609"/>
      <c r="AF35" s="584"/>
      <c r="AG35" s="584"/>
      <c r="AH35" s="584"/>
      <c r="AI35" s="619"/>
      <c r="AJ35" s="619"/>
      <c r="AK35" s="619"/>
      <c r="AL35" s="619"/>
      <c r="AM35" s="620"/>
      <c r="AN35" s="620"/>
      <c r="AO35" s="620"/>
      <c r="AP35" s="620"/>
      <c r="AQ35" s="620"/>
      <c r="AR35" s="620"/>
      <c r="AS35" s="620"/>
      <c r="AT35" s="620"/>
      <c r="AU35" s="620"/>
      <c r="AV35" s="620"/>
      <c r="AW35" s="620"/>
      <c r="AX35" s="620"/>
      <c r="AY35" s="620"/>
      <c r="AZ35" s="620"/>
      <c r="BA35" s="620"/>
      <c r="BB35" s="583"/>
      <c r="BC35" s="91"/>
    </row>
    <row r="36" spans="1:55" s="46" customFormat="1" ht="12.95" customHeight="1">
      <c r="A36" s="91"/>
      <c r="B36" s="935" t="s">
        <v>951</v>
      </c>
      <c r="C36" s="936"/>
      <c r="D36" s="936"/>
      <c r="E36" s="936"/>
      <c r="F36" s="936"/>
      <c r="G36" s="934" t="s">
        <v>952</v>
      </c>
      <c r="H36" s="934"/>
      <c r="I36" s="934"/>
      <c r="J36" s="934"/>
      <c r="K36" s="934"/>
      <c r="L36" s="934"/>
      <c r="M36" s="934"/>
      <c r="N36" s="934"/>
      <c r="O36" s="934"/>
      <c r="P36" s="934"/>
      <c r="Q36" s="934"/>
      <c r="R36" s="934"/>
      <c r="S36" s="934"/>
      <c r="T36" s="934"/>
      <c r="U36" s="630"/>
      <c r="V36" s="981" t="s">
        <v>993</v>
      </c>
      <c r="W36" s="981"/>
      <c r="X36" s="981"/>
      <c r="Y36" s="981"/>
      <c r="Z36" s="981"/>
      <c r="AA36" s="981"/>
      <c r="AB36" s="981"/>
      <c r="AC36" s="981"/>
      <c r="AD36" s="981"/>
      <c r="AE36" s="981"/>
      <c r="AF36" s="981"/>
      <c r="AG36" s="645"/>
      <c r="AH36" s="1004" t="s">
        <v>1247</v>
      </c>
      <c r="AI36" s="1004"/>
      <c r="AJ36" s="1004"/>
      <c r="AK36" s="1004"/>
      <c r="AL36" s="1004"/>
      <c r="AM36" s="1004"/>
      <c r="AN36" s="1004"/>
      <c r="AO36" s="1004"/>
      <c r="AP36" s="1004"/>
      <c r="AQ36" s="1004"/>
      <c r="AR36" s="1004"/>
      <c r="AS36" s="1004"/>
      <c r="AT36" s="1004"/>
      <c r="AU36" s="1004"/>
      <c r="AV36" s="1004"/>
      <c r="AW36" s="1004"/>
      <c r="AX36" s="1004"/>
      <c r="AY36" s="1004"/>
      <c r="AZ36" s="1004"/>
      <c r="BA36" s="1004"/>
      <c r="BB36" s="583"/>
      <c r="BC36" s="91"/>
    </row>
    <row r="37" spans="1:55" s="46" customFormat="1" ht="12.95" customHeight="1">
      <c r="A37" s="91"/>
      <c r="B37" s="935"/>
      <c r="C37" s="936"/>
      <c r="D37" s="936"/>
      <c r="E37" s="936"/>
      <c r="F37" s="936"/>
      <c r="G37" s="934"/>
      <c r="H37" s="934"/>
      <c r="I37" s="934"/>
      <c r="J37" s="934"/>
      <c r="K37" s="934"/>
      <c r="L37" s="934"/>
      <c r="M37" s="934"/>
      <c r="N37" s="934"/>
      <c r="O37" s="934"/>
      <c r="P37" s="934"/>
      <c r="Q37" s="934"/>
      <c r="R37" s="934"/>
      <c r="S37" s="934"/>
      <c r="T37" s="934"/>
      <c r="U37" s="630"/>
      <c r="V37" s="981" t="s">
        <v>975</v>
      </c>
      <c r="W37" s="981"/>
      <c r="X37" s="981"/>
      <c r="Y37" s="981"/>
      <c r="Z37" s="981"/>
      <c r="AA37" s="981"/>
      <c r="AB37" s="981"/>
      <c r="AC37" s="981"/>
      <c r="AD37" s="981"/>
      <c r="AE37" s="981"/>
      <c r="AF37" s="981"/>
      <c r="AG37" s="645"/>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583"/>
      <c r="BC37" s="91"/>
    </row>
    <row r="38" spans="1:55" s="46" customFormat="1" ht="12.95" customHeight="1">
      <c r="A38" s="91"/>
      <c r="B38" s="935"/>
      <c r="C38" s="936"/>
      <c r="D38" s="936"/>
      <c r="E38" s="936"/>
      <c r="F38" s="936"/>
      <c r="G38" s="934"/>
      <c r="H38" s="934"/>
      <c r="I38" s="934"/>
      <c r="J38" s="934"/>
      <c r="K38" s="934"/>
      <c r="L38" s="934"/>
      <c r="M38" s="934"/>
      <c r="N38" s="934"/>
      <c r="O38" s="934"/>
      <c r="P38" s="934"/>
      <c r="Q38" s="934"/>
      <c r="R38" s="934"/>
      <c r="S38" s="934"/>
      <c r="T38" s="934"/>
      <c r="U38" s="630"/>
      <c r="V38" s="629"/>
      <c r="W38" s="629"/>
      <c r="X38" s="982" t="s">
        <v>1018</v>
      </c>
      <c r="Y38" s="982"/>
      <c r="Z38" s="982"/>
      <c r="AA38" s="982"/>
      <c r="AB38" s="982"/>
      <c r="AC38" s="982"/>
      <c r="AD38" s="982"/>
      <c r="AE38" s="629"/>
      <c r="AF38" s="629"/>
      <c r="AG38" s="645"/>
      <c r="AH38" s="645"/>
      <c r="AI38" s="645"/>
      <c r="AJ38" s="645"/>
      <c r="AK38" s="629"/>
      <c r="AL38" s="628"/>
      <c r="AM38" s="619"/>
      <c r="AN38" s="631"/>
      <c r="AO38" s="617"/>
      <c r="AP38" s="617"/>
      <c r="AQ38" s="617"/>
      <c r="AR38" s="617"/>
      <c r="AS38" s="617"/>
      <c r="AT38" s="617"/>
      <c r="AU38" s="617"/>
      <c r="AV38" s="617"/>
      <c r="AW38" s="617"/>
      <c r="AX38" s="629"/>
      <c r="AY38" s="629"/>
      <c r="AZ38" s="632"/>
      <c r="BA38" s="620"/>
      <c r="BB38" s="583"/>
      <c r="BC38" s="91"/>
    </row>
    <row r="39" spans="1:55" s="46" customFormat="1" ht="12.95" customHeight="1">
      <c r="A39" s="91"/>
      <c r="B39" s="935" t="s">
        <v>953</v>
      </c>
      <c r="C39" s="936"/>
      <c r="D39" s="936"/>
      <c r="E39" s="936"/>
      <c r="F39" s="936"/>
      <c r="G39" s="934" t="s">
        <v>954</v>
      </c>
      <c r="H39" s="934"/>
      <c r="I39" s="934"/>
      <c r="J39" s="934"/>
      <c r="K39" s="934"/>
      <c r="L39" s="934"/>
      <c r="M39" s="934"/>
      <c r="N39" s="934"/>
      <c r="O39" s="934"/>
      <c r="P39" s="934"/>
      <c r="Q39" s="934"/>
      <c r="R39" s="934"/>
      <c r="S39" s="934"/>
      <c r="T39" s="934"/>
      <c r="U39" s="630"/>
      <c r="V39" s="629"/>
      <c r="W39" s="983">
        <v>0.01</v>
      </c>
      <c r="X39" s="983"/>
      <c r="Y39" s="983"/>
      <c r="Z39" s="984" t="s">
        <v>789</v>
      </c>
      <c r="AA39" s="985"/>
      <c r="AB39" s="986"/>
      <c r="AC39" s="627" t="s">
        <v>880</v>
      </c>
      <c r="AD39" s="629"/>
      <c r="AE39" s="629"/>
      <c r="AF39" s="629"/>
      <c r="AG39" s="629"/>
      <c r="AH39" s="629"/>
      <c r="AI39" s="629"/>
      <c r="AJ39" s="629"/>
      <c r="AK39" s="629"/>
      <c r="AL39" s="628"/>
      <c r="AM39" s="619"/>
      <c r="AN39" s="631"/>
      <c r="AO39" s="977"/>
      <c r="AP39" s="977"/>
      <c r="AQ39" s="977"/>
      <c r="AR39" s="977"/>
      <c r="AS39" s="977"/>
      <c r="AT39" s="977"/>
      <c r="AU39" s="977"/>
      <c r="AV39" s="977"/>
      <c r="AW39" s="977"/>
      <c r="AX39" s="629"/>
      <c r="AY39" s="629"/>
      <c r="AZ39" s="633"/>
      <c r="BA39" s="620"/>
      <c r="BB39" s="583"/>
      <c r="BC39" s="91"/>
    </row>
    <row r="40" spans="1:55" s="46" customFormat="1" ht="12.95" customHeight="1">
      <c r="A40" s="91"/>
      <c r="B40" s="935"/>
      <c r="C40" s="936"/>
      <c r="D40" s="936"/>
      <c r="E40" s="936"/>
      <c r="F40" s="936"/>
      <c r="G40" s="934"/>
      <c r="H40" s="934"/>
      <c r="I40" s="934"/>
      <c r="J40" s="934"/>
      <c r="K40" s="934"/>
      <c r="L40" s="934"/>
      <c r="M40" s="934"/>
      <c r="N40" s="934"/>
      <c r="O40" s="934"/>
      <c r="P40" s="934"/>
      <c r="Q40" s="934"/>
      <c r="R40" s="934"/>
      <c r="S40" s="934"/>
      <c r="T40" s="934"/>
      <c r="U40" s="630"/>
      <c r="V40" s="629"/>
      <c r="W40" s="629"/>
      <c r="X40" s="629"/>
      <c r="Y40" s="629"/>
      <c r="Z40" s="984" t="s">
        <v>790</v>
      </c>
      <c r="AA40" s="985"/>
      <c r="AB40" s="986"/>
      <c r="AC40" s="1001" t="s">
        <v>943</v>
      </c>
      <c r="AD40" s="1002"/>
      <c r="AE40" s="1002"/>
      <c r="AF40" s="629"/>
      <c r="AG40" s="629"/>
      <c r="AH40" s="629"/>
      <c r="AI40" s="629"/>
      <c r="AJ40" s="629"/>
      <c r="AK40" s="629"/>
      <c r="AL40" s="628"/>
      <c r="AM40" s="619"/>
      <c r="AN40" s="635"/>
      <c r="AO40" s="977"/>
      <c r="AP40" s="977"/>
      <c r="AQ40" s="977"/>
      <c r="AR40" s="977"/>
      <c r="AS40" s="977"/>
      <c r="AT40" s="977"/>
      <c r="AU40" s="977"/>
      <c r="AV40" s="977"/>
      <c r="AW40" s="977"/>
      <c r="AX40" s="629"/>
      <c r="AY40" s="629"/>
      <c r="AZ40" s="633"/>
      <c r="BA40" s="620"/>
      <c r="BB40" s="583"/>
      <c r="BC40" s="91"/>
    </row>
    <row r="41" spans="1:55" s="46" customFormat="1" ht="12.95" customHeight="1">
      <c r="A41" s="91"/>
      <c r="B41" s="935"/>
      <c r="C41" s="936"/>
      <c r="D41" s="936"/>
      <c r="E41" s="936"/>
      <c r="F41" s="936"/>
      <c r="G41" s="934"/>
      <c r="H41" s="934"/>
      <c r="I41" s="934"/>
      <c r="J41" s="934"/>
      <c r="K41" s="934"/>
      <c r="L41" s="934"/>
      <c r="M41" s="934"/>
      <c r="N41" s="934"/>
      <c r="O41" s="934"/>
      <c r="P41" s="934"/>
      <c r="Q41" s="934"/>
      <c r="R41" s="934"/>
      <c r="S41" s="934"/>
      <c r="T41" s="934"/>
      <c r="U41" s="630"/>
      <c r="V41" s="629"/>
      <c r="W41" s="629"/>
      <c r="X41" s="629"/>
      <c r="Y41" s="629"/>
      <c r="Z41" s="629"/>
      <c r="AA41" s="629"/>
      <c r="AB41" s="629"/>
      <c r="AC41" s="629"/>
      <c r="AD41" s="629"/>
      <c r="AE41" s="629"/>
      <c r="AF41" s="629"/>
      <c r="AG41" s="629"/>
      <c r="AH41" s="629"/>
      <c r="AI41" s="629"/>
      <c r="AJ41" s="629"/>
      <c r="AK41" s="629"/>
      <c r="AL41" s="628"/>
      <c r="AM41" s="619"/>
      <c r="AN41" s="635"/>
      <c r="AO41" s="617"/>
      <c r="AP41" s="617"/>
      <c r="AQ41" s="617"/>
      <c r="AR41" s="617"/>
      <c r="AS41" s="617"/>
      <c r="AT41" s="617"/>
      <c r="AU41" s="617"/>
      <c r="AV41" s="617"/>
      <c r="AW41" s="617"/>
      <c r="AX41" s="629"/>
      <c r="AY41" s="629"/>
      <c r="AZ41" s="633"/>
      <c r="BA41" s="620"/>
      <c r="BB41" s="583"/>
      <c r="BC41" s="91"/>
    </row>
    <row r="42" spans="1:55" s="46" customFormat="1" ht="12.95" customHeight="1">
      <c r="A42" s="91"/>
      <c r="B42" s="592"/>
      <c r="U42" s="630"/>
      <c r="V42" s="981" t="s">
        <v>992</v>
      </c>
      <c r="W42" s="981"/>
      <c r="X42" s="981"/>
      <c r="Y42" s="981"/>
      <c r="Z42" s="981"/>
      <c r="AA42" s="981"/>
      <c r="AB42" s="981"/>
      <c r="AC42" s="981"/>
      <c r="AD42" s="981"/>
      <c r="AE42" s="981"/>
      <c r="AF42" s="981"/>
      <c r="AG42" s="629"/>
      <c r="AH42" s="977" t="s">
        <v>1246</v>
      </c>
      <c r="AI42" s="977"/>
      <c r="AJ42" s="977"/>
      <c r="AK42" s="977"/>
      <c r="AL42" s="977"/>
      <c r="AM42" s="977"/>
      <c r="AN42" s="977"/>
      <c r="AO42" s="977"/>
      <c r="AP42" s="977"/>
      <c r="AQ42" s="977"/>
      <c r="AR42" s="977"/>
      <c r="AS42" s="977"/>
      <c r="AT42" s="977"/>
      <c r="AU42" s="977"/>
      <c r="AV42" s="977"/>
      <c r="AW42" s="977"/>
      <c r="BB42" s="583"/>
      <c r="BC42" s="91"/>
    </row>
    <row r="43" spans="1:55" s="46" customFormat="1" ht="12.95" customHeight="1">
      <c r="A43" s="91"/>
      <c r="B43" s="592"/>
      <c r="U43" s="630"/>
      <c r="V43" s="981" t="s">
        <v>945</v>
      </c>
      <c r="W43" s="981"/>
      <c r="X43" s="981"/>
      <c r="Y43" s="981"/>
      <c r="Z43" s="981"/>
      <c r="AA43" s="981"/>
      <c r="AB43" s="981"/>
      <c r="AC43" s="981"/>
      <c r="AD43" s="981"/>
      <c r="AE43" s="981"/>
      <c r="AF43" s="981"/>
      <c r="AG43" s="645"/>
      <c r="AH43" s="977"/>
      <c r="AI43" s="977"/>
      <c r="AJ43" s="977"/>
      <c r="AK43" s="977"/>
      <c r="AL43" s="977"/>
      <c r="AM43" s="977"/>
      <c r="AN43" s="977"/>
      <c r="AO43" s="977"/>
      <c r="AP43" s="977"/>
      <c r="AQ43" s="977"/>
      <c r="AR43" s="977"/>
      <c r="AS43" s="977"/>
      <c r="AT43" s="977"/>
      <c r="AU43" s="977"/>
      <c r="AV43" s="977"/>
      <c r="AW43" s="977"/>
      <c r="AX43" s="978"/>
      <c r="AY43" s="979"/>
      <c r="AZ43" s="980"/>
      <c r="BA43" s="620"/>
      <c r="BB43" s="583"/>
      <c r="BC43" s="91"/>
    </row>
    <row r="44" spans="1:55" s="46" customFormat="1" ht="12.95" customHeight="1">
      <c r="A44" s="91"/>
      <c r="B44" s="592"/>
      <c r="C44" s="201" t="s">
        <v>1080</v>
      </c>
      <c r="D44" s="623"/>
      <c r="E44" s="623"/>
      <c r="U44" s="630"/>
      <c r="V44" s="629"/>
      <c r="W44" s="629"/>
      <c r="X44" s="982" t="s">
        <v>1018</v>
      </c>
      <c r="Y44" s="982"/>
      <c r="Z44" s="982"/>
      <c r="AA44" s="982"/>
      <c r="AB44" s="982"/>
      <c r="AC44" s="982"/>
      <c r="AD44" s="982"/>
      <c r="AE44" s="629"/>
      <c r="AF44" s="629"/>
      <c r="AG44" s="645"/>
      <c r="AH44" s="977"/>
      <c r="AI44" s="977"/>
      <c r="AJ44" s="977"/>
      <c r="AK44" s="977"/>
      <c r="AL44" s="977"/>
      <c r="AM44" s="977"/>
      <c r="AN44" s="977"/>
      <c r="AO44" s="977"/>
      <c r="AP44" s="977"/>
      <c r="AQ44" s="977"/>
      <c r="AR44" s="977"/>
      <c r="AS44" s="977"/>
      <c r="AT44" s="977"/>
      <c r="AU44" s="977"/>
      <c r="AV44" s="977"/>
      <c r="AW44" s="977"/>
      <c r="AX44" s="617"/>
      <c r="AY44" s="617"/>
      <c r="AZ44" s="617"/>
      <c r="BA44" s="620"/>
      <c r="BB44" s="583"/>
      <c r="BC44" s="91"/>
    </row>
    <row r="45" spans="1:55" s="46" customFormat="1" ht="12.95" customHeight="1">
      <c r="A45" s="91"/>
      <c r="B45" s="592"/>
      <c r="C45" s="782" t="s">
        <v>1081</v>
      </c>
      <c r="D45" s="623"/>
      <c r="E45" s="623"/>
      <c r="F45" s="623"/>
      <c r="G45" s="623"/>
      <c r="H45" s="623"/>
      <c r="I45" s="623"/>
      <c r="J45" s="623"/>
      <c r="K45" s="623"/>
      <c r="L45" s="623"/>
      <c r="M45" s="623"/>
      <c r="N45" s="623"/>
      <c r="O45" s="623"/>
      <c r="P45" s="623"/>
      <c r="Q45" s="623"/>
      <c r="R45" s="623"/>
      <c r="S45" s="623"/>
      <c r="T45" s="623"/>
      <c r="U45" s="623"/>
      <c r="V45" s="629"/>
      <c r="W45" s="989">
        <v>2.5000000000000001E-3</v>
      </c>
      <c r="X45" s="990"/>
      <c r="Y45" s="991"/>
      <c r="Z45" s="985" t="s">
        <v>788</v>
      </c>
      <c r="AA45" s="985"/>
      <c r="AB45" s="986"/>
      <c r="AC45" s="627" t="s">
        <v>880</v>
      </c>
      <c r="AD45" s="629"/>
      <c r="AE45" s="629"/>
      <c r="AF45" s="629"/>
      <c r="AG45" s="645"/>
      <c r="AH45" s="645"/>
      <c r="AI45" s="988" t="s">
        <v>1245</v>
      </c>
      <c r="AJ45" s="988"/>
      <c r="AK45" s="988"/>
      <c r="AL45" s="988"/>
      <c r="AM45" s="988"/>
      <c r="AN45" s="988"/>
      <c r="AO45" s="988"/>
      <c r="AP45" s="988"/>
      <c r="AQ45" s="988"/>
      <c r="AR45" s="988"/>
      <c r="AS45" s="988"/>
      <c r="AT45" s="988"/>
      <c r="AU45" s="988"/>
      <c r="AV45" s="988"/>
      <c r="AW45" s="988"/>
      <c r="AX45" s="620"/>
      <c r="AY45" s="620"/>
      <c r="AZ45" s="620"/>
      <c r="BA45" s="620"/>
      <c r="BB45" s="583"/>
      <c r="BC45" s="91"/>
    </row>
    <row r="46" spans="1:55" s="46" customFormat="1" ht="12.95" customHeight="1">
      <c r="A46" s="91"/>
      <c r="B46" s="592"/>
      <c r="C46" s="624" t="s">
        <v>1098</v>
      </c>
      <c r="D46" s="624"/>
      <c r="E46" s="624"/>
      <c r="F46" s="623"/>
      <c r="G46" s="623"/>
      <c r="H46" s="623"/>
      <c r="I46" s="623"/>
      <c r="J46" s="623"/>
      <c r="K46" s="623"/>
      <c r="L46" s="623"/>
      <c r="M46" s="623"/>
      <c r="N46" s="623"/>
      <c r="O46" s="623"/>
      <c r="P46" s="623"/>
      <c r="Q46" s="623"/>
      <c r="R46" s="623"/>
      <c r="S46" s="623"/>
      <c r="T46" s="623"/>
      <c r="U46" s="623"/>
      <c r="V46" s="629"/>
      <c r="W46" s="629"/>
      <c r="X46" s="629"/>
      <c r="Y46" s="629"/>
      <c r="Z46" s="984" t="s">
        <v>837</v>
      </c>
      <c r="AA46" s="985"/>
      <c r="AB46" s="986"/>
      <c r="AC46" s="1001" t="s">
        <v>1019</v>
      </c>
      <c r="AD46" s="1002"/>
      <c r="AE46" s="1002"/>
      <c r="AF46" s="629"/>
      <c r="AG46" s="629"/>
      <c r="AH46" s="629"/>
      <c r="AI46" s="988"/>
      <c r="AJ46" s="988"/>
      <c r="AK46" s="988"/>
      <c r="AL46" s="988"/>
      <c r="AM46" s="988"/>
      <c r="AN46" s="988"/>
      <c r="AO46" s="988"/>
      <c r="AP46" s="988"/>
      <c r="AQ46" s="988"/>
      <c r="AR46" s="988"/>
      <c r="AS46" s="988"/>
      <c r="AT46" s="988"/>
      <c r="AU46" s="988"/>
      <c r="AV46" s="988"/>
      <c r="AW46" s="988"/>
      <c r="AX46" s="987">
        <v>7</v>
      </c>
      <c r="AY46" s="987"/>
      <c r="AZ46" s="987"/>
      <c r="BA46" s="620"/>
      <c r="BB46" s="583"/>
      <c r="BC46" s="91"/>
    </row>
    <row r="47" spans="1:55" s="46" customFormat="1" ht="12.95" customHeight="1">
      <c r="A47" s="91"/>
      <c r="B47" s="592"/>
      <c r="C47" s="783" t="s">
        <v>1082</v>
      </c>
      <c r="D47" s="624"/>
      <c r="E47" s="624"/>
      <c r="F47" s="623"/>
      <c r="G47" s="623"/>
      <c r="H47" s="623"/>
      <c r="I47" s="623"/>
      <c r="J47" s="623"/>
      <c r="K47" s="623"/>
      <c r="L47" s="623"/>
      <c r="M47" s="623"/>
      <c r="N47" s="623"/>
      <c r="O47" s="623"/>
      <c r="P47" s="623"/>
      <c r="Q47" s="623"/>
      <c r="R47" s="623"/>
      <c r="S47" s="623"/>
      <c r="T47" s="623"/>
      <c r="U47" s="623"/>
      <c r="V47" s="629"/>
      <c r="W47" s="629"/>
      <c r="X47" s="629"/>
      <c r="Y47" s="629"/>
      <c r="Z47" s="629"/>
      <c r="AA47" s="629"/>
      <c r="AB47" s="629"/>
      <c r="AC47" s="629"/>
      <c r="AD47" s="629"/>
      <c r="AF47" s="785"/>
      <c r="AG47" s="629"/>
      <c r="AH47" s="629"/>
      <c r="AI47" s="988"/>
      <c r="AJ47" s="988"/>
      <c r="AK47" s="988"/>
      <c r="AL47" s="988"/>
      <c r="AM47" s="988"/>
      <c r="AN47" s="988"/>
      <c r="AO47" s="988"/>
      <c r="AP47" s="988"/>
      <c r="AQ47" s="988"/>
      <c r="AR47" s="988"/>
      <c r="AS47" s="988"/>
      <c r="AT47" s="988"/>
      <c r="AU47" s="988"/>
      <c r="AV47" s="988"/>
      <c r="AW47" s="988"/>
      <c r="AX47" s="634"/>
      <c r="AY47" s="634"/>
      <c r="AZ47" s="634"/>
      <c r="BA47" s="620"/>
      <c r="BB47" s="583"/>
      <c r="BC47" s="91"/>
    </row>
    <row r="48" spans="1:55" s="46" customFormat="1" ht="12.95" customHeight="1">
      <c r="A48" s="91"/>
      <c r="B48" s="593"/>
      <c r="C48" s="783" t="s">
        <v>1258</v>
      </c>
      <c r="D48" s="624"/>
      <c r="E48" s="624"/>
      <c r="F48" s="624"/>
      <c r="G48" s="624"/>
      <c r="H48" s="624"/>
      <c r="I48" s="624"/>
      <c r="J48" s="624"/>
      <c r="K48" s="624"/>
      <c r="L48" s="624"/>
      <c r="M48" s="624"/>
      <c r="N48" s="624"/>
      <c r="O48" s="624"/>
      <c r="P48" s="624"/>
      <c r="Q48" s="624"/>
      <c r="R48" s="624"/>
      <c r="S48" s="624"/>
      <c r="T48" s="624"/>
      <c r="U48" s="622"/>
      <c r="V48" s="622"/>
      <c r="W48" s="622"/>
      <c r="X48" s="622"/>
      <c r="Y48" s="622"/>
      <c r="Z48" s="622"/>
      <c r="AA48" s="609"/>
      <c r="AB48" s="609"/>
      <c r="AC48" s="609"/>
      <c r="AD48" s="977" t="s">
        <v>1256</v>
      </c>
      <c r="AE48" s="977"/>
      <c r="AF48" s="977"/>
      <c r="AG48" s="977"/>
      <c r="AH48" s="977"/>
      <c r="AI48" s="977"/>
      <c r="AJ48" s="977"/>
      <c r="AK48" s="977"/>
      <c r="AL48" s="977"/>
      <c r="AM48" s="977"/>
      <c r="AN48" s="977"/>
      <c r="AO48" s="977"/>
      <c r="AP48" s="977"/>
      <c r="AQ48" s="977"/>
      <c r="AR48" s="977"/>
      <c r="AS48" s="977"/>
      <c r="AT48" s="977"/>
      <c r="AU48" s="977"/>
      <c r="AV48" s="977"/>
      <c r="AW48" s="977"/>
      <c r="AX48" s="981" t="s">
        <v>936</v>
      </c>
      <c r="AY48" s="981"/>
      <c r="AZ48" s="981"/>
      <c r="BA48" s="620"/>
      <c r="BB48" s="583"/>
      <c r="BC48" s="91"/>
    </row>
    <row r="49" spans="1:55" s="46" customFormat="1" ht="12.95" customHeight="1">
      <c r="A49" s="91"/>
      <c r="B49" s="593"/>
      <c r="C49" s="784" t="s">
        <v>1084</v>
      </c>
      <c r="D49" s="624"/>
      <c r="E49" s="624"/>
      <c r="F49" s="624"/>
      <c r="G49" s="624"/>
      <c r="H49" s="624"/>
      <c r="I49" s="624"/>
      <c r="J49" s="624"/>
      <c r="K49" s="624"/>
      <c r="L49" s="624"/>
      <c r="M49" s="624"/>
      <c r="N49" s="624"/>
      <c r="O49" s="624"/>
      <c r="P49" s="624"/>
      <c r="Q49" s="624"/>
      <c r="R49" s="624"/>
      <c r="S49" s="624"/>
      <c r="T49" s="624"/>
      <c r="U49" s="622"/>
      <c r="V49" s="622"/>
      <c r="W49" s="622"/>
      <c r="X49" s="622"/>
      <c r="Y49" s="622"/>
      <c r="Z49" s="622"/>
      <c r="AA49" s="609"/>
      <c r="AB49" s="609"/>
      <c r="AC49" s="609"/>
      <c r="AD49" s="977"/>
      <c r="AE49" s="977"/>
      <c r="AF49" s="977"/>
      <c r="AG49" s="977"/>
      <c r="AH49" s="977"/>
      <c r="AI49" s="977"/>
      <c r="AJ49" s="977"/>
      <c r="AK49" s="977"/>
      <c r="AL49" s="977"/>
      <c r="AM49" s="977"/>
      <c r="AN49" s="977"/>
      <c r="AO49" s="977"/>
      <c r="AP49" s="977"/>
      <c r="AQ49" s="977"/>
      <c r="AR49" s="977"/>
      <c r="AS49" s="977"/>
      <c r="AT49" s="977"/>
      <c r="AU49" s="977"/>
      <c r="AV49" s="977"/>
      <c r="AW49" s="977"/>
      <c r="AX49" s="981"/>
      <c r="AY49" s="981"/>
      <c r="AZ49" s="981"/>
      <c r="BA49" s="620"/>
      <c r="BB49" s="583"/>
      <c r="BC49" s="91"/>
    </row>
    <row r="50" spans="1:55" s="46" customFormat="1" ht="12.95" customHeight="1">
      <c r="A50" s="91"/>
      <c r="B50" s="593"/>
      <c r="C50" s="783" t="s">
        <v>1083</v>
      </c>
      <c r="D50" s="624"/>
      <c r="F50" s="624"/>
      <c r="G50" s="624"/>
      <c r="H50" s="624"/>
      <c r="I50" s="624"/>
      <c r="J50" s="624"/>
      <c r="K50" s="624"/>
      <c r="L50" s="624"/>
      <c r="M50" s="624"/>
      <c r="N50" s="624"/>
      <c r="O50" s="624"/>
      <c r="P50" s="624"/>
      <c r="Q50" s="624"/>
      <c r="R50" s="624"/>
      <c r="S50" s="624"/>
      <c r="T50" s="624"/>
      <c r="U50" s="621"/>
      <c r="V50" s="622"/>
      <c r="W50" s="622"/>
      <c r="X50" s="622"/>
      <c r="Y50" s="622"/>
      <c r="Z50" s="622"/>
      <c r="AA50" s="609"/>
      <c r="AB50" s="609"/>
      <c r="AC50" s="609"/>
      <c r="AD50" s="977"/>
      <c r="AE50" s="977"/>
      <c r="AF50" s="977"/>
      <c r="AG50" s="977"/>
      <c r="AH50" s="977"/>
      <c r="AI50" s="977"/>
      <c r="AJ50" s="977"/>
      <c r="AK50" s="977"/>
      <c r="AL50" s="977"/>
      <c r="AM50" s="977"/>
      <c r="AN50" s="977"/>
      <c r="AO50" s="977"/>
      <c r="AP50" s="977"/>
      <c r="AQ50" s="977"/>
      <c r="AR50" s="977"/>
      <c r="AS50" s="977"/>
      <c r="AT50" s="977"/>
      <c r="AU50" s="977"/>
      <c r="AV50" s="977"/>
      <c r="AW50" s="977"/>
      <c r="AX50" s="981"/>
      <c r="AY50" s="981"/>
      <c r="AZ50" s="981"/>
      <c r="BA50" s="620"/>
      <c r="BB50" s="583"/>
      <c r="BC50" s="91"/>
    </row>
    <row r="51" spans="1:55" s="46" customFormat="1" ht="12.95" customHeight="1">
      <c r="A51" s="91"/>
      <c r="B51" s="593"/>
      <c r="C51" s="783" t="s">
        <v>1214</v>
      </c>
      <c r="F51" s="624"/>
      <c r="G51" s="624"/>
      <c r="H51" s="624"/>
      <c r="I51" s="624"/>
      <c r="J51" s="624"/>
      <c r="K51" s="624"/>
      <c r="L51" s="624"/>
      <c r="M51" s="624"/>
      <c r="N51" s="624"/>
      <c r="O51" s="624"/>
      <c r="P51" s="624"/>
      <c r="Q51" s="624"/>
      <c r="R51" s="624"/>
      <c r="S51" s="624"/>
      <c r="T51" s="624"/>
      <c r="U51" s="158"/>
      <c r="V51" s="158"/>
      <c r="W51" s="158"/>
      <c r="X51" s="158"/>
      <c r="Y51" s="158"/>
      <c r="Z51" s="158"/>
      <c r="AA51" s="158"/>
      <c r="AB51" s="158"/>
      <c r="AC51" s="158"/>
      <c r="AD51" s="977"/>
      <c r="AE51" s="977"/>
      <c r="AF51" s="977"/>
      <c r="AG51" s="977"/>
      <c r="AH51" s="977"/>
      <c r="AI51" s="977"/>
      <c r="AJ51" s="977"/>
      <c r="AK51" s="977"/>
      <c r="AL51" s="977"/>
      <c r="AM51" s="977"/>
      <c r="AN51" s="977"/>
      <c r="AO51" s="977"/>
      <c r="AP51" s="977"/>
      <c r="AQ51" s="977"/>
      <c r="AR51" s="977"/>
      <c r="AS51" s="977"/>
      <c r="AT51" s="977"/>
      <c r="AU51" s="977"/>
      <c r="AV51" s="977"/>
      <c r="AW51" s="977"/>
      <c r="AX51" s="981"/>
      <c r="AY51" s="981"/>
      <c r="AZ51" s="981"/>
      <c r="BA51" s="620"/>
      <c r="BB51" s="583"/>
      <c r="BC51" s="91"/>
    </row>
    <row r="52" spans="1:55" s="46" customFormat="1" ht="12.95" customHeight="1">
      <c r="A52" s="91"/>
      <c r="B52" s="593"/>
      <c r="C52" s="624"/>
      <c r="D52" s="624"/>
      <c r="E52" s="624"/>
      <c r="F52" s="624"/>
      <c r="G52" s="624"/>
      <c r="H52" s="624"/>
      <c r="I52" s="624"/>
      <c r="J52" s="624"/>
      <c r="K52" s="624"/>
      <c r="L52" s="624"/>
      <c r="M52" s="624"/>
      <c r="N52" s="624"/>
      <c r="O52" s="624"/>
      <c r="P52" s="624"/>
      <c r="Q52" s="624"/>
      <c r="R52" s="624"/>
      <c r="S52" s="624"/>
      <c r="T52" s="624"/>
      <c r="U52" s="158"/>
      <c r="V52" s="158"/>
      <c r="W52" s="158"/>
      <c r="X52" s="158"/>
      <c r="Y52" s="158"/>
      <c r="Z52" s="158"/>
      <c r="AA52" s="158"/>
      <c r="AB52" s="158"/>
      <c r="AC52" s="158"/>
      <c r="AD52" s="977"/>
      <c r="AE52" s="977"/>
      <c r="AF52" s="977"/>
      <c r="AG52" s="977"/>
      <c r="AH52" s="977"/>
      <c r="AI52" s="977"/>
      <c r="AJ52" s="977"/>
      <c r="AK52" s="977"/>
      <c r="AL52" s="977"/>
      <c r="AM52" s="977"/>
      <c r="AN52" s="977"/>
      <c r="AO52" s="977"/>
      <c r="AP52" s="977"/>
      <c r="AQ52" s="977"/>
      <c r="AR52" s="977"/>
      <c r="AS52" s="977"/>
      <c r="AT52" s="977"/>
      <c r="AU52" s="977"/>
      <c r="AV52" s="977"/>
      <c r="AW52" s="977"/>
      <c r="AX52" s="981"/>
      <c r="AY52" s="981"/>
      <c r="AZ52" s="981"/>
      <c r="BA52" s="158"/>
      <c r="BB52" s="583"/>
      <c r="BC52" s="91"/>
    </row>
    <row r="53" spans="1:55" s="46" customFormat="1" ht="12.95" customHeight="1" thickBot="1">
      <c r="A53" s="91"/>
      <c r="B53" s="594"/>
      <c r="C53" s="595"/>
      <c r="D53" s="595"/>
      <c r="E53" s="595"/>
      <c r="F53" s="595"/>
      <c r="G53" s="595"/>
      <c r="H53" s="595"/>
      <c r="I53" s="595"/>
      <c r="J53" s="595"/>
      <c r="K53" s="595"/>
      <c r="L53" s="595"/>
      <c r="M53" s="595"/>
      <c r="N53" s="595"/>
      <c r="O53" s="595"/>
      <c r="P53" s="595"/>
      <c r="Q53" s="595"/>
      <c r="R53" s="595"/>
      <c r="S53" s="595"/>
      <c r="T53" s="646" t="s">
        <v>1003</v>
      </c>
      <c r="U53" s="596" t="s">
        <v>84</v>
      </c>
      <c r="V53" s="595"/>
      <c r="W53" s="595"/>
      <c r="X53" s="595"/>
      <c r="Y53" s="595"/>
      <c r="Z53" s="595"/>
      <c r="AA53" s="595"/>
      <c r="AB53" s="595"/>
      <c r="AC53" s="595"/>
      <c r="AD53" s="595"/>
      <c r="AE53" s="595"/>
      <c r="AF53" s="595"/>
      <c r="AG53" s="595"/>
      <c r="AH53" s="595"/>
      <c r="AI53" s="595"/>
      <c r="AJ53" s="595"/>
      <c r="AK53" s="595"/>
      <c r="AL53" s="595"/>
      <c r="AM53" s="595"/>
      <c r="AN53" s="595"/>
      <c r="AO53" s="595"/>
      <c r="AP53" s="595"/>
      <c r="AQ53" s="595"/>
      <c r="AR53" s="595"/>
      <c r="AS53" s="595"/>
      <c r="AT53" s="595"/>
      <c r="AU53" s="595"/>
      <c r="AV53" s="595"/>
      <c r="AW53" s="595"/>
      <c r="AX53" s="595"/>
      <c r="AY53" s="595"/>
      <c r="AZ53" s="595"/>
      <c r="BA53" s="595"/>
      <c r="BB53" s="597"/>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B20:AB21">
    <cfRule type="expression" dxfId="217" priority="235" stopIfTrue="1">
      <formula>#REF!="Calendar Year"</formula>
    </cfRule>
  </conditionalFormatting>
  <conditionalFormatting sqref="AA20:AA21">
    <cfRule type="expression" dxfId="216" priority="6" stopIfTrue="1">
      <formula>#REF!="Calendar Year"</formula>
    </cfRule>
  </conditionalFormatting>
  <conditionalFormatting sqref="AB15">
    <cfRule type="expression" dxfId="215" priority="236">
      <formula>$AB$14="Other (enter custom value below)"</formula>
    </cfRule>
  </conditionalFormatting>
  <conditionalFormatting sqref="AA15">
    <cfRule type="expression" dxfId="214" priority="4">
      <formula>$AB$14="Other (enter custom value below)"</formula>
    </cfRule>
  </conditionalFormatting>
  <conditionalFormatting sqref="AG23:AL23">
    <cfRule type="expression" dxfId="213" priority="3">
      <formula>$AB$23="Other  ---------------&gt;"</formula>
    </cfRule>
  </conditionalFormatting>
  <conditionalFormatting sqref="AG24:AL24">
    <cfRule type="expression" dxfId="212" priority="2">
      <formula>$AB$24="Other  ---------------&gt;"</formula>
    </cfRule>
  </conditionalFormatting>
  <conditionalFormatting sqref="AB17">
    <cfRule type="expression" dxfId="21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zoomScale="90" zoomScaleNormal="90" workbookViewId="0">
      <pane ySplit="9" topLeftCell="A15" activePane="bottomLeft" state="frozen"/>
      <selection pane="bottomLeft" activeCell="AU52" sqref="AU52"/>
    </sheetView>
  </sheetViews>
  <sheetFormatPr defaultColWidth="1.140625" defaultRowHeight="12.75" zeroHeight="1"/>
  <cols>
    <col min="1" max="1" width="1.140625" style="46" customWidth="1"/>
    <col min="2" max="2" width="8.140625" style="566"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59"/>
      <c r="C1" s="91"/>
      <c r="D1" s="91"/>
      <c r="E1" s="511"/>
      <c r="F1" s="98"/>
      <c r="G1" s="91"/>
      <c r="H1" s="91"/>
      <c r="I1" s="91"/>
      <c r="J1" s="91"/>
      <c r="K1" s="91"/>
      <c r="L1" s="91"/>
      <c r="M1" s="91"/>
      <c r="N1" s="91"/>
      <c r="O1" s="91"/>
      <c r="P1" s="91"/>
      <c r="Q1" s="91"/>
      <c r="R1" s="91"/>
      <c r="S1" s="91"/>
      <c r="T1" s="91"/>
      <c r="U1" s="209"/>
      <c r="V1" s="91"/>
      <c r="AB1" s="533"/>
      <c r="AC1" s="533"/>
      <c r="AD1" s="533"/>
      <c r="AE1" s="533"/>
    </row>
    <row r="2" spans="1:33" ht="42" customHeight="1" thickTop="1">
      <c r="A2" s="91"/>
      <c r="B2" s="1009" t="s">
        <v>1194</v>
      </c>
      <c r="C2" s="1010"/>
      <c r="D2" s="1010"/>
      <c r="E2" s="1010"/>
      <c r="F2" s="1010"/>
      <c r="G2" s="1010"/>
      <c r="H2" s="1010"/>
      <c r="I2" s="1010"/>
      <c r="J2" s="1010"/>
      <c r="K2" s="1010"/>
      <c r="L2" s="1010"/>
      <c r="M2" s="1010"/>
      <c r="N2" s="1010"/>
      <c r="O2" s="1010"/>
      <c r="P2" s="1010"/>
      <c r="Q2" s="1010"/>
      <c r="R2" s="1010"/>
      <c r="S2" s="1010"/>
      <c r="T2" s="1010"/>
      <c r="U2" s="1011"/>
      <c r="V2" s="91"/>
    </row>
    <row r="3" spans="1:33" ht="8.25" customHeight="1">
      <c r="A3" s="91"/>
      <c r="B3" s="560"/>
      <c r="C3" s="254"/>
      <c r="D3" s="53"/>
      <c r="E3" s="512"/>
      <c r="F3" s="255"/>
      <c r="G3" s="53"/>
      <c r="U3" s="256"/>
      <c r="V3" s="91"/>
    </row>
    <row r="4" spans="1:33">
      <c r="A4" s="91"/>
      <c r="B4" s="560"/>
      <c r="C4" s="257" t="s">
        <v>66</v>
      </c>
      <c r="D4" s="1014" t="str">
        <f>IF(ISBLANK('Start Page'!AB9),"&lt;&lt; Please enter system details on the Start Page &gt;&gt;",'Start Page'!AB9&amp;IF(ISBLANK('Start Page'!AM28),"","  ("&amp;'Start Page'!AM28&amp;")"))</f>
        <v>VEOLIA - Brown Manor</v>
      </c>
      <c r="E4" s="1015"/>
      <c r="F4" s="1015"/>
      <c r="G4" s="1015"/>
      <c r="H4" s="1016"/>
      <c r="I4" s="1016"/>
      <c r="J4" s="1016"/>
      <c r="K4" s="1016"/>
      <c r="L4" s="1016"/>
      <c r="M4" s="1016"/>
      <c r="N4" s="1016"/>
      <c r="O4" s="1016"/>
      <c r="P4" s="1017"/>
      <c r="U4" s="256"/>
      <c r="V4" s="91"/>
    </row>
    <row r="5" spans="1:33">
      <c r="A5" s="91"/>
      <c r="B5" s="560"/>
      <c r="C5" s="257" t="s">
        <v>716</v>
      </c>
      <c r="D5" s="1027">
        <f>IF(ISBLANK('Start Page'!AB18),"",'Start Page'!AB18)</f>
        <v>2022</v>
      </c>
      <c r="E5" s="1028"/>
      <c r="F5" s="1028"/>
      <c r="G5" s="1029"/>
      <c r="H5" s="1021" t="str">
        <f>IF(ISBLANK('Start Page'!AB20),"",TEXT('Start Page'!AB20,"mmm dd yyyy")&amp;" - "&amp;TEXT('Start Page'!AB21,"mmm dd yyyy"))</f>
        <v>Jan 01 2022 - Dec 31 2022</v>
      </c>
      <c r="I5" s="1022"/>
      <c r="J5" s="1023"/>
      <c r="K5" s="1025">
        <f>IF(ISBLANK('Start Page'!AB19),"",'Start Page'!AB19)</f>
        <v>2022</v>
      </c>
      <c r="L5" s="1022"/>
      <c r="M5" s="1022"/>
      <c r="N5" s="1022"/>
      <c r="O5" s="1022"/>
      <c r="P5" s="1026"/>
      <c r="S5" s="158"/>
      <c r="U5" s="256"/>
      <c r="V5" s="91"/>
    </row>
    <row r="6" spans="1:33" ht="3.75" customHeight="1">
      <c r="A6" s="91"/>
      <c r="B6" s="560"/>
      <c r="C6" s="258"/>
      <c r="D6" s="53"/>
      <c r="E6" s="512"/>
      <c r="F6" s="255"/>
      <c r="G6" s="53"/>
      <c r="U6" s="256"/>
      <c r="V6" s="91"/>
    </row>
    <row r="7" spans="1:33" ht="5.25" customHeight="1">
      <c r="A7" s="91"/>
      <c r="B7" s="560"/>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48" t="s">
        <v>1213</v>
      </c>
      <c r="R8" s="104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20"/>
      <c r="V9" s="91"/>
    </row>
    <row r="10" spans="1:33" ht="3" hidden="1" customHeight="1">
      <c r="A10" s="91"/>
      <c r="B10" s="260"/>
      <c r="D10" s="53"/>
      <c r="E10" s="512"/>
      <c r="F10" s="255"/>
      <c r="G10" s="53"/>
      <c r="S10" s="490"/>
      <c r="T10" s="490"/>
      <c r="U10" s="1020"/>
      <c r="V10" s="91"/>
    </row>
    <row r="11" spans="1:33" ht="3" hidden="1" customHeight="1">
      <c r="A11" s="91"/>
      <c r="B11" s="260"/>
      <c r="D11" s="53"/>
      <c r="E11" s="512"/>
      <c r="F11" s="255"/>
      <c r="G11" s="53"/>
      <c r="S11" s="490"/>
      <c r="T11" s="490"/>
      <c r="U11" s="1020"/>
      <c r="V11" s="91"/>
    </row>
    <row r="12" spans="1:33" ht="15.6" customHeight="1" thickBot="1">
      <c r="A12" s="91"/>
      <c r="B12" s="260"/>
      <c r="C12" s="99"/>
      <c r="D12" s="99"/>
      <c r="E12" s="513"/>
      <c r="F12" s="99"/>
      <c r="G12" s="99"/>
      <c r="H12" s="99"/>
      <c r="I12" s="99"/>
      <c r="J12" s="259"/>
      <c r="K12" s="1024" t="s">
        <v>714</v>
      </c>
      <c r="L12" s="1024"/>
      <c r="M12" s="1024"/>
      <c r="N12" s="1024"/>
      <c r="O12" s="1024"/>
      <c r="P12" s="1024"/>
      <c r="Q12" s="1024"/>
      <c r="R12" s="1024"/>
      <c r="S12" s="1024"/>
      <c r="T12" s="1024"/>
      <c r="U12" s="1020"/>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1"/>
      <c r="L13" s="510"/>
      <c r="M13" s="510"/>
      <c r="N13" s="90"/>
      <c r="O13" s="265"/>
      <c r="P13" s="608" t="s">
        <v>1018</v>
      </c>
      <c r="Q13" s="265"/>
      <c r="R13" s="264"/>
      <c r="S13" s="490"/>
      <c r="T13" s="490"/>
      <c r="U13" s="1020"/>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0"/>
      <c r="C14" s="53"/>
      <c r="D14" s="512"/>
      <c r="E14" s="512"/>
      <c r="F14" s="53"/>
      <c r="G14" s="53"/>
      <c r="H14" s="53"/>
      <c r="I14" s="53"/>
      <c r="J14" s="53"/>
      <c r="K14" s="842"/>
      <c r="L14" s="53"/>
      <c r="M14" s="53"/>
      <c r="N14" s="53"/>
      <c r="O14" s="264"/>
      <c r="P14" s="265"/>
      <c r="Q14" s="264"/>
      <c r="R14" s="264"/>
      <c r="S14" s="264"/>
      <c r="T14" s="264"/>
      <c r="U14" s="557"/>
      <c r="V14" s="91"/>
      <c r="W14" s="144"/>
      <c r="X14" s="145"/>
      <c r="Z14" s="146"/>
      <c r="AA14" s="158"/>
      <c r="AG14" s="158"/>
    </row>
    <row r="15" spans="1:33">
      <c r="A15" s="91"/>
      <c r="B15" s="561" t="s">
        <v>909</v>
      </c>
      <c r="C15" s="529" t="s">
        <v>482</v>
      </c>
      <c r="D15" s="840" t="s">
        <v>883</v>
      </c>
      <c r="E15" s="576" t="s">
        <v>884</v>
      </c>
      <c r="F15" s="492">
        <f>'Interactive Data Grading'!D20</f>
        <v>7</v>
      </c>
      <c r="G15" s="94"/>
      <c r="H15" s="532">
        <v>1.268</v>
      </c>
      <c r="I15" s="269"/>
      <c r="J15" s="270" t="str">
        <f>IF('Start Page'!$AB$22="million gallons (US)","MG/Yr",IF('Start Page'!$AB$22="Megalitres (thousand cubic metres)","ML/Yr",IF('Start Page'!$AB$22="acre-feet","Acre-ft/Yr","")))</f>
        <v>MG/Yr</v>
      </c>
      <c r="K15" s="843" t="s">
        <v>883</v>
      </c>
      <c r="L15" s="606" t="s">
        <v>884</v>
      </c>
      <c r="M15" s="492">
        <f>'Interactive Data Grading'!D43</f>
        <v>4</v>
      </c>
      <c r="N15" s="270"/>
      <c r="O15" s="487"/>
      <c r="P15" s="579" t="s">
        <v>789</v>
      </c>
      <c r="Q15" s="1013"/>
      <c r="R15" s="1018"/>
      <c r="S15" s="491" t="str">
        <f>IF('Start Page'!$AB$22="million gallons (US)","MG/Yr",IF('Start Page'!$AB$22="Megalitres (thousand cubic metres)","ML/Yr",IF('Start Page'!$AB$22="acre-feet","acre-ft/yr","")))</f>
        <v>MG/Yr</v>
      </c>
      <c r="T15" s="580" t="s">
        <v>1267</v>
      </c>
      <c r="U15" s="558" t="s">
        <v>923</v>
      </c>
      <c r="V15" s="91"/>
      <c r="W15" s="484">
        <f>IF(P15="percent",1,2)</f>
        <v>1</v>
      </c>
      <c r="X15" s="102">
        <f>IF(H15&gt;0,IF(W15=1,O15*H15,Q15),0)</f>
        <v>0</v>
      </c>
      <c r="Y15" s="103">
        <f>$Y$19/$Y$18*H15</f>
        <v>35</v>
      </c>
      <c r="Z15" s="147">
        <f>$Y$19/$Y$18*ABS(X15)</f>
        <v>0</v>
      </c>
      <c r="AA15" s="895">
        <f>IF(W15=1,input_VOS-input_VOS/(1+O15*AB15),Q15*AB15)</f>
        <v>0</v>
      </c>
      <c r="AB15" s="534">
        <f>IF(OR(T15="",T15="Select….."),0,IF(T15="Under-registration",-1,1))</f>
        <v>0</v>
      </c>
      <c r="AC15" s="240" t="str">
        <f>IF(OR(H15&lt;=0,AND(H15&gt;0,OR(AND(W15=1,O15=0),AND(W15=2,Q15=0)))),"no","yes")</f>
        <v>no</v>
      </c>
      <c r="AD15" s="240" t="str">
        <f>IF(OR(T15="select…..",T15=""),"no","yes")</f>
        <v>no</v>
      </c>
      <c r="AE15" s="240" t="str">
        <f>IF(AND(AC15="yes",AD15="no"),"yes","no")</f>
        <v>no</v>
      </c>
      <c r="AF15" s="264">
        <f>IF(AE15="yes",1,0)</f>
        <v>0</v>
      </c>
      <c r="AG15" s="895">
        <f>input_VOS-AA15</f>
        <v>1.268</v>
      </c>
    </row>
    <row r="16" spans="1:33">
      <c r="A16" s="91"/>
      <c r="B16" s="561" t="s">
        <v>910</v>
      </c>
      <c r="C16" s="529" t="s">
        <v>40</v>
      </c>
      <c r="D16" s="840" t="s">
        <v>883</v>
      </c>
      <c r="E16" s="576" t="s">
        <v>884</v>
      </c>
      <c r="F16" s="492" t="str">
        <f>'Interactive Data Grading'!D74</f>
        <v>n/a</v>
      </c>
      <c r="G16" s="94"/>
      <c r="H16" s="531"/>
      <c r="I16" s="269"/>
      <c r="J16" s="270" t="str">
        <f>IF('Start Page'!$AB$22="million gallons (US)","MG/Yr",IF('Start Page'!$AB$22="Megalitres (thousand cubic metres)","ML/Yr",IF('Start Page'!$AB$22="acre-feet","Acre-ft/Yr","")))</f>
        <v>MG/Yr</v>
      </c>
      <c r="K16" s="843" t="s">
        <v>883</v>
      </c>
      <c r="L16" s="606" t="s">
        <v>884</v>
      </c>
      <c r="M16" s="492" t="str">
        <f>'Interactive Data Grading'!D96</f>
        <v>n/a</v>
      </c>
      <c r="N16" s="270"/>
      <c r="O16" s="487"/>
      <c r="P16" s="579" t="s">
        <v>789</v>
      </c>
      <c r="Q16" s="1013"/>
      <c r="R16" s="1018"/>
      <c r="S16" s="491" t="str">
        <f>IF('Start Page'!$AB$22="million gallons (US)","MG/Yr",IF('Start Page'!$AB$22="Megalitres (thousand cubic metres)","ML/Yr",IF('Start Page'!$AB$22="acre-feet","acre-ft/yr","")))</f>
        <v>MG/Yr</v>
      </c>
      <c r="T16" s="580" t="s">
        <v>1267</v>
      </c>
      <c r="U16" s="558" t="s">
        <v>924</v>
      </c>
      <c r="V16" s="91"/>
      <c r="W16" s="484">
        <f t="shared" ref="W16:W17" si="0">IF(P16="percent",1,2)</f>
        <v>1</v>
      </c>
      <c r="X16" s="102">
        <f>IF(H16&gt;0,IF(W16=1,O16*H16,Q16),0)</f>
        <v>0</v>
      </c>
      <c r="Y16" s="103">
        <f>$Y$19/$Y$18*H16</f>
        <v>0</v>
      </c>
      <c r="Z16" s="147">
        <f>$Y$19/$Y$18*ABS(X16)</f>
        <v>0</v>
      </c>
      <c r="AA16" s="895">
        <f>IF(W16=1,input_WI-input_WI/(1+O16*AB16),Q16*AB16)</f>
        <v>0</v>
      </c>
      <c r="AB16" s="534">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5">
        <f>input_WI-AA16</f>
        <v>0</v>
      </c>
    </row>
    <row r="17" spans="1:33" ht="13.35" customHeight="1">
      <c r="A17" s="91"/>
      <c r="B17" s="561" t="s">
        <v>911</v>
      </c>
      <c r="C17" s="529" t="s">
        <v>41</v>
      </c>
      <c r="D17" s="840" t="s">
        <v>883</v>
      </c>
      <c r="E17" s="576" t="s">
        <v>884</v>
      </c>
      <c r="F17" s="492" t="str">
        <f>'Interactive Data Grading'!D127</f>
        <v>n/a</v>
      </c>
      <c r="G17" s="94"/>
      <c r="H17" s="321"/>
      <c r="I17" s="269"/>
      <c r="J17" s="270" t="str">
        <f>IF('Start Page'!$AB$22="million gallons (US)","MG/Yr",IF('Start Page'!$AB$22="Megalitres (thousand cubic metres)","ML/Yr",IF('Start Page'!$AB$22="acre-feet","Acre-ft/Yr","")))</f>
        <v>MG/Yr</v>
      </c>
      <c r="K17" s="843" t="s">
        <v>883</v>
      </c>
      <c r="L17" s="606" t="s">
        <v>884</v>
      </c>
      <c r="M17" s="492" t="str">
        <f>'Interactive Data Grading'!D150</f>
        <v>n/a</v>
      </c>
      <c r="N17" s="270"/>
      <c r="O17" s="487"/>
      <c r="P17" s="579" t="s">
        <v>789</v>
      </c>
      <c r="Q17" s="1013"/>
      <c r="R17" s="1018"/>
      <c r="S17" s="491" t="str">
        <f>IF('Start Page'!$AB$22="million gallons (US)","MG/Yr",IF('Start Page'!$AB$22="Megalitres (thousand cubic metres)","ML/Yr",IF('Start Page'!$AB$22="acre-feet","acre-ft/yr","")))</f>
        <v>MG/Yr</v>
      </c>
      <c r="T17" s="580" t="s">
        <v>1267</v>
      </c>
      <c r="U17" s="558" t="s">
        <v>925</v>
      </c>
      <c r="V17" s="91"/>
      <c r="W17" s="484">
        <f t="shared" si="0"/>
        <v>1</v>
      </c>
      <c r="X17" s="102">
        <f>IF(H17&gt;0,IF(W17=1,O17*H17,Q17),0)</f>
        <v>0</v>
      </c>
      <c r="Y17" s="103">
        <f>$Y$19/$Y$18*H17</f>
        <v>0</v>
      </c>
      <c r="Z17" s="147">
        <f>$Y$19/$Y$18*ABS(X17)</f>
        <v>0</v>
      </c>
      <c r="AA17" s="895">
        <f>IF(W17=1,input_WE-input_WE/(1+O17*AB17),Q17*AB17)</f>
        <v>0</v>
      </c>
      <c r="AB17" s="534">
        <f t="shared" si="1"/>
        <v>0</v>
      </c>
      <c r="AC17" s="240" t="str">
        <f t="shared" si="2"/>
        <v>no</v>
      </c>
      <c r="AD17" s="240" t="str">
        <f>IF(OR(T17="select…..",T17=""),"no","yes")</f>
        <v>no</v>
      </c>
      <c r="AE17" s="240" t="str">
        <f t="shared" si="3"/>
        <v>no</v>
      </c>
      <c r="AF17" s="264">
        <f t="shared" si="4"/>
        <v>0</v>
      </c>
      <c r="AG17" s="895">
        <f>input_WE-AA17</f>
        <v>0</v>
      </c>
    </row>
    <row r="18" spans="1:33" ht="14.45" customHeight="1">
      <c r="A18" s="91"/>
      <c r="B18" s="560"/>
      <c r="E18" s="46"/>
      <c r="F18" s="46"/>
      <c r="G18" s="94"/>
      <c r="H18" s="497"/>
      <c r="I18" s="269"/>
      <c r="J18" s="264"/>
      <c r="K18" s="264"/>
      <c r="L18" s="264"/>
      <c r="M18" s="158"/>
      <c r="N18" s="264"/>
      <c r="O18" s="158"/>
      <c r="P18" s="266"/>
      <c r="T18" s="1051" t="s">
        <v>791</v>
      </c>
      <c r="U18" s="557"/>
      <c r="V18" s="91"/>
      <c r="W18" s="144"/>
      <c r="X18" s="104"/>
      <c r="Y18" s="103">
        <f>H15+H16+H17+IF(H15&gt;0,ABS(X15),0)+IF(H16&gt;0,ABS(X16),0)+IF(H17&gt;0,(ABS(X17)),)</f>
        <v>1.268</v>
      </c>
      <c r="Z18" s="148"/>
      <c r="AF18" s="264">
        <f>SUM(AF15:AF17)</f>
        <v>0</v>
      </c>
      <c r="AG18" s="46" t="s">
        <v>1201</v>
      </c>
    </row>
    <row r="19" spans="1:33" ht="13.5" thickBot="1">
      <c r="A19" s="91"/>
      <c r="B19" s="560"/>
      <c r="C19" s="1054" t="s">
        <v>111</v>
      </c>
      <c r="D19" s="1054"/>
      <c r="E19" s="1054"/>
      <c r="F19" s="1054"/>
      <c r="G19" s="265"/>
      <c r="H19" s="867">
        <f>IF(AF18&gt;0,"Select under/over",IF(H15&gt;0,IF(W15=1,H15/(1+O15*AB15),H15-Q15*AB15),0)+IF(H16&gt;0,IF(W16=1,H16/(1+O16*AB16),H16-Q16*AB16),0)-IF(H17&gt;0,IF(W17=1,H17/(1+O17*AB17),H17-Q17*AB17),0))</f>
        <v>1.268</v>
      </c>
      <c r="I19" s="272"/>
      <c r="J19" s="270" t="str">
        <f>IF('Start Page'!$AB$22="million gallons (US)","MG/Yr",IF('Start Page'!$AB$22="Megalitres (thousand cubic metres)","ML/Yr",IF('Start Page'!$AB$22="acre-feet","Acre-ft/Yr","")))</f>
        <v>MG/Yr</v>
      </c>
      <c r="K19" s="648" t="str">
        <f>IF(H19="Select under/over","----------------&gt;----------------&gt;----------------&gt;----------------&gt;----------------&gt;","")</f>
        <v/>
      </c>
      <c r="L19" s="270"/>
      <c r="M19" s="158"/>
      <c r="N19" s="270"/>
      <c r="O19" s="322"/>
      <c r="P19" s="265"/>
      <c r="Q19" s="264"/>
      <c r="T19" s="1051"/>
      <c r="U19" s="261"/>
      <c r="V19" s="91"/>
      <c r="W19" s="149"/>
      <c r="X19" s="150"/>
      <c r="Y19" s="150">
        <f>'M36 Refs'!AE121</f>
        <v>35</v>
      </c>
      <c r="Z19" s="151" t="s">
        <v>135</v>
      </c>
    </row>
    <row r="20" spans="1:33" ht="5.25" customHeight="1">
      <c r="A20" s="91"/>
      <c r="B20" s="560"/>
      <c r="C20" s="94"/>
      <c r="D20" s="94"/>
      <c r="E20" s="515"/>
      <c r="F20" s="271"/>
      <c r="G20" s="94"/>
      <c r="O20" s="264"/>
      <c r="P20" s="264"/>
      <c r="Q20" s="264"/>
      <c r="T20" s="1051"/>
      <c r="U20" s="256"/>
      <c r="V20" s="91"/>
    </row>
    <row r="21" spans="1:33" ht="6" customHeight="1">
      <c r="A21" s="91"/>
      <c r="B21" s="560"/>
      <c r="C21" s="547"/>
      <c r="D21" s="547"/>
      <c r="E21" s="548"/>
      <c r="F21" s="550" t="s">
        <v>15</v>
      </c>
      <c r="G21" s="547"/>
      <c r="H21" s="541"/>
      <c r="I21" s="541"/>
      <c r="J21" s="541"/>
      <c r="K21" s="541"/>
      <c r="L21" s="541"/>
      <c r="M21" s="541"/>
      <c r="N21" s="541"/>
      <c r="O21" s="546"/>
      <c r="P21" s="546"/>
      <c r="Q21" s="546"/>
      <c r="R21" s="541"/>
      <c r="T21" s="1051"/>
      <c r="U21" s="256"/>
      <c r="V21" s="91"/>
    </row>
    <row r="22" spans="1:33" ht="13.5" thickBot="1">
      <c r="A22" s="91"/>
      <c r="B22" s="560"/>
      <c r="C22" s="53" t="s">
        <v>113</v>
      </c>
      <c r="D22" s="512"/>
      <c r="E22" s="512"/>
      <c r="F22" s="273"/>
      <c r="G22" s="53"/>
      <c r="H22" s="53"/>
      <c r="I22" s="53"/>
      <c r="J22" s="53"/>
      <c r="K22" s="53"/>
      <c r="L22" s="53"/>
      <c r="M22" s="53"/>
      <c r="N22" s="53"/>
      <c r="O22" s="53"/>
      <c r="P22" s="53"/>
      <c r="Q22" s="53"/>
      <c r="R22" s="53"/>
      <c r="S22" s="53"/>
      <c r="T22" s="1051"/>
      <c r="U22" s="256"/>
      <c r="V22" s="91"/>
    </row>
    <row r="23" spans="1:33">
      <c r="A23" s="91"/>
      <c r="B23" s="561" t="s">
        <v>912</v>
      </c>
      <c r="C23" s="529" t="s">
        <v>483</v>
      </c>
      <c r="D23" s="840" t="s">
        <v>883</v>
      </c>
      <c r="E23" s="576" t="s">
        <v>884</v>
      </c>
      <c r="F23" s="492">
        <f>'Interactive Data Grading'!D177</f>
        <v>8</v>
      </c>
      <c r="G23" s="94"/>
      <c r="H23" s="321">
        <v>1.2451000000000001</v>
      </c>
      <c r="I23" s="269"/>
      <c r="J23" s="270" t="str">
        <f>IF('Start Page'!$AB$22="million gallons (US)","MG/Yr",IF('Start Page'!$AB$22="Megalitres (thousand cubic metres)","ML/Yr",IF('Start Page'!$AB$22="acre-feet","Acre-ft/Yr","")))</f>
        <v>MG/Yr</v>
      </c>
      <c r="K23" s="270"/>
      <c r="L23" s="270"/>
      <c r="M23" s="270"/>
      <c r="N23" s="270"/>
      <c r="T23" s="1051"/>
      <c r="U23" s="256"/>
      <c r="V23" s="91"/>
      <c r="W23" s="152"/>
      <c r="X23" s="141"/>
      <c r="Y23" s="153">
        <f>IFERROR($Y$26/$Y$25*H23,7)</f>
        <v>14</v>
      </c>
      <c r="Z23" s="154"/>
      <c r="AA23" s="158" t="s">
        <v>782</v>
      </c>
    </row>
    <row r="24" spans="1:33">
      <c r="A24" s="91"/>
      <c r="B24" s="561" t="s">
        <v>913</v>
      </c>
      <c r="C24" s="529" t="s">
        <v>484</v>
      </c>
      <c r="D24" s="840" t="s">
        <v>883</v>
      </c>
      <c r="E24" s="576"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1" t="s">
        <v>921</v>
      </c>
      <c r="C25" s="529" t="s">
        <v>485</v>
      </c>
      <c r="D25" s="840" t="s">
        <v>883</v>
      </c>
      <c r="E25" s="576"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29" t="s">
        <v>1018</v>
      </c>
      <c r="Q25" s="265"/>
      <c r="U25" s="256"/>
      <c r="V25" s="91"/>
      <c r="W25" s="144"/>
      <c r="Y25" s="155">
        <f>H23+H25</f>
        <v>1.2451000000000001</v>
      </c>
      <c r="Z25" s="146"/>
      <c r="AF25" s="99" t="s">
        <v>150</v>
      </c>
    </row>
    <row r="26" spans="1:33" ht="15" customHeight="1" thickBot="1">
      <c r="A26" s="91"/>
      <c r="B26" s="561" t="s">
        <v>922</v>
      </c>
      <c r="C26" s="529" t="s">
        <v>486</v>
      </c>
      <c r="D26" s="840" t="s">
        <v>883</v>
      </c>
      <c r="E26" s="576" t="s">
        <v>884</v>
      </c>
      <c r="F26" s="492">
        <f>'Interactive Data Grading'!D247</f>
        <v>4</v>
      </c>
      <c r="G26" s="94"/>
      <c r="H26" s="498">
        <f>IF(OR(W26=1,AND(W26=2,Q26=0)),O26*SUM(H23:H24),Q26)</f>
        <v>1.2E-2</v>
      </c>
      <c r="I26" s="269"/>
      <c r="J26" s="270" t="str">
        <f>IF('Start Page'!$AB$22="million gallons (US)","MG/Yr",IF('Start Page'!$AB$22="Megalitres (thousand cubic metres)","ML/Yr",IF('Start Page'!$AB$22="acre-feet","Acre-ft/Yr","")))</f>
        <v>MG/Yr</v>
      </c>
      <c r="K26" s="270"/>
      <c r="L26" s="270"/>
      <c r="M26" s="270"/>
      <c r="N26" s="270"/>
      <c r="O26" s="493">
        <v>2.5000000000000001E-3</v>
      </c>
      <c r="P26" s="647" t="s">
        <v>837</v>
      </c>
      <c r="Q26" s="1013">
        <v>1.2E-2</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1"/>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1"/>
      <c r="C28" s="556" t="str">
        <f>IF(W26=1,"                Default option selected for Unbilled Unmetered, with automatic data grading of 3",IF(W26=2,IF(Q26&gt;0.0025*SUM(H23:H24),"",IF(Q26=0,"Enter a positive value, otherwise a default of 0.25% x (BMAC+BUAC) is applied with grading of 3",""))))</f>
        <v/>
      </c>
      <c r="D28" s="556"/>
      <c r="E28" s="556"/>
      <c r="F28" s="556"/>
      <c r="G28" s="556"/>
      <c r="H28" s="556"/>
      <c r="I28" s="556"/>
      <c r="J28" s="274"/>
      <c r="K28" s="274"/>
      <c r="L28" s="274"/>
      <c r="M28" s="107"/>
      <c r="N28" s="107"/>
      <c r="O28" s="107"/>
      <c r="P28" s="270"/>
      <c r="Q28" s="270"/>
      <c r="R28" s="270"/>
      <c r="S28" s="270"/>
      <c r="T28" s="270"/>
      <c r="U28" s="256"/>
      <c r="V28" s="91"/>
    </row>
    <row r="29" spans="1:33" ht="2.25" customHeight="1">
      <c r="A29" s="91"/>
      <c r="B29" s="561"/>
      <c r="C29" s="204"/>
      <c r="D29" s="204"/>
      <c r="E29" s="517"/>
      <c r="F29" s="264"/>
      <c r="G29" s="275"/>
      <c r="H29" s="269"/>
      <c r="I29" s="269"/>
      <c r="J29" s="264"/>
      <c r="K29" s="264"/>
      <c r="L29" s="264"/>
      <c r="M29" s="264"/>
      <c r="N29" s="264"/>
      <c r="Q29" s="240"/>
      <c r="U29" s="256"/>
      <c r="V29" s="91"/>
    </row>
    <row r="30" spans="1:33" ht="15" customHeight="1">
      <c r="A30" s="91"/>
      <c r="B30" s="561"/>
      <c r="C30" s="1031" t="s">
        <v>110</v>
      </c>
      <c r="D30" s="1031"/>
      <c r="E30" s="1031"/>
      <c r="F30" s="1031"/>
      <c r="G30" s="265"/>
      <c r="H30" s="867">
        <f>SUM(H23:H26)</f>
        <v>1.2571000000000001</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1"/>
      <c r="C31" s="204"/>
      <c r="D31" s="204"/>
      <c r="E31" s="517"/>
      <c r="F31" s="277"/>
      <c r="G31" s="272"/>
      <c r="I31" s="272"/>
      <c r="J31" s="101"/>
      <c r="K31" s="101"/>
      <c r="L31" s="101"/>
      <c r="M31" s="101"/>
      <c r="N31" s="101"/>
      <c r="Q31" s="278"/>
      <c r="U31" s="256"/>
      <c r="V31" s="91"/>
    </row>
    <row r="32" spans="1:33" ht="15" customHeight="1">
      <c r="A32" s="91"/>
      <c r="B32" s="561"/>
      <c r="C32" s="1019" t="str">
        <f>IF(AND(H30&gt;=H19,(H30&lt;&gt;0)),"               Check input values; WATER SUPPLIED should be greater than AUTHORIZED CONSUMPTION","")</f>
        <v/>
      </c>
      <c r="D32" s="1019"/>
      <c r="E32" s="1019"/>
      <c r="F32" s="1019"/>
      <c r="G32" s="1019"/>
      <c r="H32" s="1019"/>
      <c r="I32" s="1019"/>
      <c r="J32" s="1019"/>
      <c r="K32" s="1019"/>
      <c r="L32" s="1019"/>
      <c r="M32" s="1019"/>
      <c r="N32" s="1019"/>
      <c r="O32" s="1019"/>
      <c r="Q32" s="278"/>
      <c r="U32" s="256"/>
      <c r="V32" s="91"/>
    </row>
    <row r="33" spans="1:29" ht="3" customHeight="1">
      <c r="A33" s="91"/>
      <c r="B33" s="561"/>
      <c r="C33" s="94"/>
      <c r="D33" s="94"/>
      <c r="E33" s="515"/>
      <c r="F33" s="276"/>
      <c r="G33" s="94"/>
      <c r="O33" s="264"/>
      <c r="P33" s="264"/>
      <c r="Q33" s="264"/>
      <c r="U33" s="256"/>
      <c r="V33" s="91"/>
    </row>
    <row r="34" spans="1:29" ht="6" customHeight="1">
      <c r="A34" s="91"/>
      <c r="B34" s="561"/>
      <c r="C34" s="547"/>
      <c r="D34" s="547"/>
      <c r="E34" s="548"/>
      <c r="F34" s="549"/>
      <c r="G34" s="547"/>
      <c r="H34" s="541"/>
      <c r="I34" s="541"/>
      <c r="J34" s="541"/>
      <c r="K34" s="541"/>
      <c r="L34" s="541"/>
      <c r="M34" s="541"/>
      <c r="N34" s="541"/>
      <c r="O34" s="541"/>
      <c r="P34" s="541"/>
      <c r="Q34" s="541"/>
      <c r="R34" s="541"/>
      <c r="U34" s="256"/>
      <c r="V34" s="91"/>
    </row>
    <row r="35" spans="1:29" ht="15" customHeight="1">
      <c r="A35" s="91"/>
      <c r="B35" s="561"/>
      <c r="C35" s="53" t="s">
        <v>670</v>
      </c>
      <c r="D35" s="53"/>
      <c r="E35" s="512"/>
      <c r="F35" s="276"/>
      <c r="G35" s="53"/>
      <c r="H35" s="867">
        <f>IFERROR(H19-H30,"")</f>
        <v>1.089999999999991E-2</v>
      </c>
      <c r="J35" s="270" t="str">
        <f>IF('Start Page'!$AB$22="million gallons (US)","MG/Yr",IF('Start Page'!$AB$22="Megalitres (thousand cubic metres)","ML/Yr",IF('Start Page'!$AB$22="acre-feet","Acre-ft/Yr","")))</f>
        <v>MG/Yr</v>
      </c>
      <c r="K35" s="270"/>
      <c r="L35" s="270"/>
      <c r="M35" s="270"/>
      <c r="N35" s="270"/>
      <c r="P35" s="1012"/>
      <c r="U35" s="256"/>
      <c r="V35" s="91"/>
    </row>
    <row r="36" spans="1:29" ht="13.35" customHeight="1">
      <c r="A36" s="91"/>
      <c r="B36" s="561"/>
      <c r="C36" s="279"/>
      <c r="D36" s="265"/>
      <c r="E36" s="512"/>
      <c r="F36" s="276"/>
      <c r="G36" s="53"/>
      <c r="P36" s="1012"/>
      <c r="T36" s="489"/>
      <c r="U36" s="256"/>
      <c r="V36" s="91"/>
    </row>
    <row r="37" spans="1:29">
      <c r="A37" s="91"/>
      <c r="B37" s="561"/>
      <c r="C37" s="94" t="s">
        <v>52</v>
      </c>
      <c r="E37" s="517"/>
      <c r="F37" s="276"/>
      <c r="G37" s="204"/>
      <c r="J37" s="101"/>
      <c r="K37" s="101"/>
      <c r="L37" s="101"/>
      <c r="M37" s="101"/>
      <c r="N37" s="101"/>
      <c r="O37" s="265"/>
      <c r="Q37" s="265"/>
      <c r="T37" s="489"/>
      <c r="U37" s="256"/>
      <c r="V37" s="91"/>
    </row>
    <row r="38" spans="1:29" ht="16.5" customHeight="1">
      <c r="A38" s="91"/>
      <c r="B38" s="561"/>
      <c r="C38" s="551"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29" t="s">
        <v>1018</v>
      </c>
      <c r="Q38" s="269"/>
      <c r="T38" s="489"/>
      <c r="U38" s="256"/>
      <c r="V38" s="91"/>
      <c r="W38" s="486"/>
    </row>
    <row r="39" spans="1:29" ht="13.35" customHeight="1">
      <c r="A39" s="91"/>
      <c r="B39" s="561" t="s">
        <v>918</v>
      </c>
      <c r="C39" s="529" t="s">
        <v>235</v>
      </c>
      <c r="D39" s="840" t="s">
        <v>883</v>
      </c>
      <c r="E39" s="576" t="s">
        <v>884</v>
      </c>
      <c r="F39" s="492">
        <f>'Interactive Data Grading'!D271</f>
        <v>3</v>
      </c>
      <c r="G39" s="204"/>
      <c r="H39" s="499">
        <f>IF(OR(W39=1,AND(W39=2,Q39=0)),O39*SUM(H23:H24),Q39)</f>
        <v>3.1127500000000005E-3</v>
      </c>
      <c r="I39" s="280"/>
      <c r="J39" s="270" t="str">
        <f>IF('Start Page'!$AB$22="million gallons (US)","MG/Yr",IF('Start Page'!$AB$22="Megalitres (thousand cubic metres)","ML/Yr",IF('Start Page'!$AB$22="acre-feet","Acre-ft/Yr","")))</f>
        <v>MG/Yr</v>
      </c>
      <c r="K39" s="270"/>
      <c r="L39" s="270"/>
      <c r="M39" s="270"/>
      <c r="N39" s="270"/>
      <c r="O39" s="493">
        <v>2.5000000000000001E-3</v>
      </c>
      <c r="P39" s="581"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1"/>
      <c r="C40" s="82"/>
      <c r="D40" s="517"/>
      <c r="E40" s="577"/>
      <c r="F40" s="204"/>
      <c r="G40" s="204"/>
      <c r="H40" s="553"/>
      <c r="I40" s="204"/>
      <c r="J40" s="270"/>
      <c r="K40" s="270"/>
      <c r="L40" s="270"/>
      <c r="M40" s="270"/>
      <c r="N40" s="270"/>
      <c r="P40" s="582"/>
      <c r="Q40" s="269"/>
      <c r="U40" s="256"/>
      <c r="V40" s="91"/>
      <c r="W40" s="486"/>
    </row>
    <row r="41" spans="1:29" ht="15" customHeight="1">
      <c r="A41" s="91"/>
      <c r="B41" s="561" t="s">
        <v>919</v>
      </c>
      <c r="C41" s="529" t="s">
        <v>488</v>
      </c>
      <c r="D41" s="840" t="s">
        <v>883</v>
      </c>
      <c r="E41" s="576" t="s">
        <v>884</v>
      </c>
      <c r="F41" s="492">
        <f>'Interactive Data Grading'!D300</f>
        <v>3</v>
      </c>
      <c r="G41" s="204"/>
      <c r="H41" s="601">
        <f>IF(OR(T41="Select…..",T41=""),"Select under/over",IF(W41=1,((H23+H25)/(1-(O41*X41)))-(H23+H25),Q41*X41))</f>
        <v>1.2E-2</v>
      </c>
      <c r="I41" s="280"/>
      <c r="J41" s="270" t="str">
        <f>IF('Start Page'!$AB$22="million gallons (US)","MG/Yr",IF('Start Page'!$AB$22="Megalitres (thousand cubic metres)","ML/Yr",IF('Start Page'!$AB$22="acre-feet","Acre-ft/Yr","")))</f>
        <v>MG/Yr</v>
      </c>
      <c r="K41" s="270"/>
      <c r="L41" s="270"/>
      <c r="M41" s="270"/>
      <c r="N41" s="270"/>
      <c r="O41" s="530"/>
      <c r="P41" s="581" t="s">
        <v>790</v>
      </c>
      <c r="Q41" s="1013">
        <v>1.2E-2</v>
      </c>
      <c r="R41" s="1013"/>
      <c r="S41" s="491" t="str">
        <f>IF('Start Page'!$AB$22="million gallons (US)","MG/Yr",IF('Start Page'!$AB$22="Megalitres (thousand cubic metres)","ML/Yr",IF('Start Page'!$AB$22="acre-feet","acre-ft/yr","")))</f>
        <v>MG/Yr</v>
      </c>
      <c r="T41" s="607" t="s">
        <v>1268</v>
      </c>
      <c r="U41" s="256"/>
      <c r="V41" s="91"/>
      <c r="W41" s="484">
        <f t="shared" ref="W41" si="5">IF(P41="percent",1,2)</f>
        <v>2</v>
      </c>
      <c r="X41" s="266">
        <f>IF(T41="Select…..","",IF(T41="Under-registration",1,-1))</f>
        <v>1</v>
      </c>
      <c r="Y41" s="916">
        <f>IF(AND(OR(LEN(O41)&gt;0,LEN(Q41)&gt;0),T41="Select….."),1,0)</f>
        <v>0</v>
      </c>
    </row>
    <row r="42" spans="1:29" ht="2.25" hidden="1" customHeight="1">
      <c r="B42" s="561"/>
      <c r="D42" s="518"/>
      <c r="E42" s="578"/>
      <c r="H42" s="155"/>
      <c r="P42" s="158"/>
    </row>
    <row r="43" spans="1:29" ht="15" customHeight="1">
      <c r="A43" s="91"/>
      <c r="B43" s="561" t="s">
        <v>920</v>
      </c>
      <c r="C43" s="529" t="s">
        <v>487</v>
      </c>
      <c r="D43" s="840" t="s">
        <v>883</v>
      </c>
      <c r="E43" s="576" t="s">
        <v>884</v>
      </c>
      <c r="F43" s="492">
        <f>'Interactive Data Grading'!D322</f>
        <v>3</v>
      </c>
      <c r="G43" s="204"/>
      <c r="H43" s="498">
        <f>IF(OR(W43=1,AND(W43=2,Q43=0)),O43*SUM(H23:H24),Q43)</f>
        <v>3.1127500000000005E-3</v>
      </c>
      <c r="I43" s="280"/>
      <c r="J43" s="270" t="str">
        <f>IF('Start Page'!$AB$22="million gallons (US)","MG/Yr",IF('Start Page'!$AB$22="Megalitres (thousand cubic metres)","ML/Yr",IF('Start Page'!$AB$22="acre-feet","Acre-ft/Yr","")))</f>
        <v>MG/Yr</v>
      </c>
      <c r="K43" s="270"/>
      <c r="L43" s="270"/>
      <c r="M43" s="270"/>
      <c r="N43" s="270"/>
      <c r="O43" s="493">
        <v>2.5000000000000001E-3</v>
      </c>
      <c r="P43" s="581" t="s">
        <v>837</v>
      </c>
      <c r="Q43" s="1013">
        <v>0</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1"/>
      <c r="C44" s="551" t="str">
        <f>IF(W43=1,"Default option selected for Unauthorized Consumption, with automatic data grading of 3",IF(W43=2,IF(Q43&gt;0.0025*SUM(H23:H24),"",IF(Q43=0,"Enter a positive value, otherwise a default of 0.25% x (BMAC+BUAC) is applied with grading of 3",""))))</f>
        <v>Enter a positive value, otherwise a default of 0.25% x (BMAC+BUAC) is applied with grading of 3</v>
      </c>
      <c r="D44" s="158"/>
      <c r="E44" s="158"/>
      <c r="F44" s="158"/>
      <c r="G44" s="158"/>
      <c r="H44" s="158"/>
      <c r="I44" s="158"/>
      <c r="J44" s="282"/>
      <c r="K44" s="282"/>
      <c r="L44" s="282"/>
      <c r="M44" s="270"/>
      <c r="N44" s="270"/>
      <c r="P44" s="269"/>
      <c r="Q44" s="281"/>
      <c r="R44" s="281"/>
      <c r="S44" s="281"/>
      <c r="T44" s="105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1"/>
      <c r="C45" s="82"/>
      <c r="D45" s="204"/>
      <c r="E45" s="517"/>
      <c r="F45" s="204"/>
      <c r="G45" s="204"/>
      <c r="H45" s="204"/>
      <c r="I45" s="204"/>
      <c r="J45" s="204"/>
      <c r="K45" s="204"/>
      <c r="L45" s="204"/>
      <c r="M45" s="270"/>
      <c r="N45" s="270"/>
      <c r="P45" s="269"/>
      <c r="Q45" s="281"/>
      <c r="R45" s="281"/>
      <c r="S45" s="281"/>
      <c r="T45" s="1052"/>
      <c r="U45" s="256"/>
      <c r="V45" s="91"/>
    </row>
    <row r="46" spans="1:29" ht="14.1" customHeight="1">
      <c r="A46" s="91"/>
      <c r="B46" s="561"/>
      <c r="C46" s="1030" t="s">
        <v>42</v>
      </c>
      <c r="D46" s="1030"/>
      <c r="E46" s="1030"/>
      <c r="F46" s="1030"/>
      <c r="G46" s="216"/>
      <c r="H46" s="867">
        <f t="array" ref="H46">SUM(IF(ISNUMBER(H39:H43),H39:H43))</f>
        <v>1.8225500000000002E-2</v>
      </c>
      <c r="I46" s="204"/>
      <c r="J46" s="270" t="str">
        <f>IF('Start Page'!$AB$22="million gallons (US)","MG/Yr",IF('Start Page'!$AB$22="Megalitres (thousand cubic metres)","ML/Yr",IF('Start Page'!$AB$22="acre-feet","Acre-ft/Yr","")))</f>
        <v>MG/Yr</v>
      </c>
      <c r="K46" s="270"/>
      <c r="L46" s="270"/>
      <c r="M46" s="270"/>
      <c r="N46" s="270"/>
      <c r="Q46" s="281"/>
      <c r="R46" s="281"/>
      <c r="T46" s="1052"/>
      <c r="U46" s="256"/>
      <c r="V46" s="91"/>
      <c r="X46" s="158" t="s">
        <v>301</v>
      </c>
      <c r="AA46" s="158"/>
    </row>
    <row r="47" spans="1:29" ht="2.25" customHeight="1" thickBot="1">
      <c r="A47" s="91"/>
      <c r="B47" s="561"/>
      <c r="C47" s="204"/>
      <c r="D47" s="284"/>
      <c r="E47" s="519"/>
      <c r="F47" s="284"/>
      <c r="G47" s="284"/>
      <c r="I47" s="284"/>
      <c r="J47" s="272"/>
      <c r="K47" s="272"/>
      <c r="L47" s="272"/>
      <c r="M47" s="272"/>
      <c r="N47" s="272"/>
      <c r="O47" s="269"/>
      <c r="Q47" s="281"/>
      <c r="R47" s="281"/>
      <c r="S47" s="488"/>
      <c r="T47" s="1052"/>
      <c r="U47" s="256"/>
      <c r="V47" s="91"/>
    </row>
    <row r="48" spans="1:29" ht="18" customHeight="1">
      <c r="A48" s="91"/>
      <c r="B48" s="561"/>
      <c r="C48" s="1053" t="str">
        <f>IF(AND(H46&gt;=H35,(H46&lt;&gt;0)),"Check input values; APPARENT LOSSES should be less than WATER LOSSES","")</f>
        <v>Check input values; APPARENT LOSSES should be less than WATER LOSSES</v>
      </c>
      <c r="D48" s="1053"/>
      <c r="E48" s="1053"/>
      <c r="F48" s="1053"/>
      <c r="G48" s="1053"/>
      <c r="H48" s="1053"/>
      <c r="I48" s="1053"/>
      <c r="J48" s="1053"/>
      <c r="K48" s="1053"/>
      <c r="L48" s="1053"/>
      <c r="M48" s="1053"/>
      <c r="N48" s="1053"/>
      <c r="O48" s="1053"/>
      <c r="Q48" s="281"/>
      <c r="R48" s="281"/>
      <c r="S48" s="488"/>
      <c r="T48" s="1052"/>
      <c r="U48" s="256"/>
      <c r="V48" s="91"/>
      <c r="X48" s="130" t="s">
        <v>272</v>
      </c>
      <c r="Y48" s="131" t="s">
        <v>273</v>
      </c>
      <c r="AA48" s="1050"/>
      <c r="AB48" s="1050"/>
      <c r="AC48" s="1050"/>
    </row>
    <row r="49" spans="1:29" ht="2.25" customHeight="1">
      <c r="A49" s="91"/>
      <c r="B49" s="561"/>
      <c r="C49" s="204"/>
      <c r="D49" s="284"/>
      <c r="E49" s="519"/>
      <c r="F49" s="285"/>
      <c r="G49" s="284"/>
      <c r="I49" s="284"/>
      <c r="J49" s="272"/>
      <c r="K49" s="272"/>
      <c r="L49" s="272"/>
      <c r="M49" s="272"/>
      <c r="N49" s="272"/>
      <c r="O49" s="269"/>
      <c r="Q49" s="281"/>
      <c r="R49" s="281"/>
      <c r="S49" s="281"/>
      <c r="T49" s="1052"/>
      <c r="U49" s="256"/>
      <c r="V49" s="91"/>
      <c r="X49" s="132"/>
      <c r="Y49" s="133"/>
      <c r="AA49" s="1050"/>
      <c r="AB49" s="1050"/>
      <c r="AC49" s="1050"/>
    </row>
    <row r="50" spans="1:29" ht="15" customHeight="1" thickBot="1">
      <c r="A50" s="91"/>
      <c r="B50" s="561"/>
      <c r="C50" s="94" t="s">
        <v>671</v>
      </c>
      <c r="D50" s="284"/>
      <c r="E50" s="519"/>
      <c r="F50" s="283"/>
      <c r="G50" s="284"/>
      <c r="H50" s="101"/>
      <c r="J50" s="101"/>
      <c r="K50" s="101"/>
      <c r="L50" s="101"/>
      <c r="M50" s="286"/>
      <c r="N50" s="101"/>
      <c r="Q50" s="281"/>
      <c r="R50" s="281"/>
      <c r="S50" s="281"/>
      <c r="T50" s="1052"/>
      <c r="U50" s="256"/>
      <c r="V50" s="91"/>
      <c r="X50" s="134">
        <f>IFERROR(IF(W41=1,((H23)/(1-(O41*X41)))-(H23),Q41*H23/(H23+H25)),0)</f>
        <v>1.2E-2</v>
      </c>
      <c r="Y50" s="135">
        <f>IFERROR(IF(W41=1,((H25)/(1-(O41*X41)))-(H25),Q41*H25/(H23+H25)),0)</f>
        <v>0</v>
      </c>
      <c r="Z50" s="922">
        <f>SUM(X50:Y50)</f>
        <v>1.2E-2</v>
      </c>
      <c r="AA50" s="1050"/>
      <c r="AB50" s="1050"/>
      <c r="AC50" s="1050"/>
    </row>
    <row r="51" spans="1:29">
      <c r="A51" s="91"/>
      <c r="B51" s="561"/>
      <c r="C51" s="1030" t="s">
        <v>664</v>
      </c>
      <c r="D51" s="1030"/>
      <c r="E51" s="1030"/>
      <c r="F51" s="1030"/>
      <c r="G51" s="868"/>
      <c r="H51" s="867">
        <f>IFERROR(H35-H46,"")</f>
        <v>-7.3255000000000924E-3</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1"/>
      <c r="C52" s="286"/>
      <c r="D52" s="284"/>
      <c r="E52" s="519"/>
      <c r="F52" s="283"/>
      <c r="G52" s="284"/>
      <c r="H52" s="272"/>
      <c r="I52" s="284"/>
      <c r="J52" s="264"/>
      <c r="K52" s="264"/>
      <c r="L52" s="264"/>
      <c r="M52" s="264"/>
      <c r="N52" s="264"/>
      <c r="Q52" s="269"/>
      <c r="U52" s="256"/>
      <c r="V52" s="91"/>
    </row>
    <row r="53" spans="1:29">
      <c r="A53" s="91"/>
      <c r="B53" s="561"/>
      <c r="C53" s="1031" t="s">
        <v>109</v>
      </c>
      <c r="D53" s="1031"/>
      <c r="E53" s="1031"/>
      <c r="F53" s="1031"/>
      <c r="G53" s="582"/>
      <c r="H53" s="867">
        <f>IFERROR(H46+H51,"")</f>
        <v>1.089999999999991E-2</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1"/>
      <c r="C54" s="204"/>
      <c r="D54" s="288"/>
      <c r="E54" s="520"/>
      <c r="F54" s="283"/>
      <c r="G54" s="288"/>
      <c r="H54" s="269"/>
      <c r="I54" s="269"/>
      <c r="J54" s="269"/>
      <c r="K54" s="269"/>
      <c r="L54" s="269"/>
      <c r="M54" s="269"/>
      <c r="N54" s="269"/>
      <c r="O54" s="264"/>
      <c r="P54" s="264"/>
      <c r="Q54" s="264"/>
      <c r="U54" s="256"/>
      <c r="V54" s="91"/>
    </row>
    <row r="55" spans="1:29" ht="6" customHeight="1">
      <c r="A55" s="91"/>
      <c r="B55" s="561"/>
      <c r="C55" s="542"/>
      <c r="D55" s="543"/>
      <c r="E55" s="544"/>
      <c r="F55" s="540"/>
      <c r="G55" s="543"/>
      <c r="H55" s="545"/>
      <c r="I55" s="545"/>
      <c r="J55" s="545"/>
      <c r="K55" s="545"/>
      <c r="L55" s="545"/>
      <c r="M55" s="545"/>
      <c r="N55" s="545"/>
      <c r="O55" s="546"/>
      <c r="P55" s="546"/>
      <c r="Q55" s="546"/>
      <c r="R55" s="541"/>
      <c r="U55" s="256"/>
      <c r="V55" s="91"/>
    </row>
    <row r="56" spans="1:29" ht="13.5" customHeight="1">
      <c r="A56" s="91"/>
      <c r="B56" s="561"/>
      <c r="C56" s="94" t="s">
        <v>11</v>
      </c>
      <c r="D56" s="284"/>
      <c r="E56" s="519"/>
      <c r="F56" s="283"/>
      <c r="G56" s="284"/>
      <c r="H56" s="272"/>
      <c r="I56" s="284"/>
      <c r="J56" s="264"/>
      <c r="K56" s="264"/>
      <c r="L56" s="264"/>
      <c r="M56" s="264"/>
      <c r="N56" s="264"/>
      <c r="Q56" s="269"/>
      <c r="U56" s="256"/>
      <c r="V56" s="91"/>
    </row>
    <row r="57" spans="1:29" ht="13.5" customHeight="1">
      <c r="A57" s="91"/>
      <c r="B57" s="561"/>
      <c r="C57" s="1031" t="s">
        <v>74</v>
      </c>
      <c r="D57" s="1031"/>
      <c r="E57" s="1031"/>
      <c r="F57" s="1031"/>
      <c r="G57" s="868"/>
      <c r="H57" s="867">
        <f>IFERROR(H35+H25+H26,"")</f>
        <v>2.289999999999991E-2</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1"/>
      <c r="C58" s="536"/>
      <c r="D58" s="251"/>
      <c r="E58" s="537"/>
      <c r="F58" s="251"/>
      <c r="G58" s="251"/>
      <c r="H58" s="251"/>
      <c r="I58" s="251"/>
      <c r="J58" s="251"/>
      <c r="K58" s="251"/>
      <c r="L58" s="251"/>
      <c r="M58" s="251"/>
      <c r="N58" s="251"/>
      <c r="O58" s="251"/>
      <c r="P58" s="251"/>
      <c r="Q58" s="251"/>
      <c r="R58" s="251"/>
      <c r="S58" s="251"/>
      <c r="T58" s="251"/>
      <c r="U58" s="256"/>
      <c r="V58" s="91"/>
    </row>
    <row r="59" spans="1:29" ht="16.5" customHeight="1">
      <c r="A59" s="91"/>
      <c r="B59" s="561"/>
      <c r="C59" s="538" t="s">
        <v>67</v>
      </c>
      <c r="D59" s="539"/>
      <c r="E59" s="539"/>
      <c r="F59" s="540"/>
      <c r="G59" s="538"/>
      <c r="H59" s="541"/>
      <c r="I59" s="541"/>
      <c r="J59" s="541"/>
      <c r="K59" s="541"/>
      <c r="L59" s="541"/>
      <c r="M59" s="541"/>
      <c r="N59" s="541"/>
      <c r="O59" s="541"/>
      <c r="P59" s="541"/>
      <c r="Q59" s="541"/>
      <c r="R59" s="541"/>
      <c r="U59" s="256"/>
      <c r="V59" s="91"/>
    </row>
    <row r="60" spans="1:29" ht="5.25" customHeight="1">
      <c r="A60" s="91"/>
      <c r="B60" s="561"/>
      <c r="C60" s="53"/>
      <c r="D60" s="512"/>
      <c r="E60" s="512"/>
      <c r="F60" s="289"/>
      <c r="G60" s="53"/>
      <c r="U60" s="256"/>
      <c r="V60" s="91"/>
    </row>
    <row r="61" spans="1:29">
      <c r="A61" s="91"/>
      <c r="B61" s="561" t="s">
        <v>570</v>
      </c>
      <c r="C61" s="529" t="s">
        <v>57</v>
      </c>
      <c r="D61" s="840" t="s">
        <v>883</v>
      </c>
      <c r="E61" s="576" t="s">
        <v>884</v>
      </c>
      <c r="F61" s="492">
        <f>'Interactive Data Grading'!D350</f>
        <v>8</v>
      </c>
      <c r="G61" s="53"/>
      <c r="H61" s="323">
        <v>0.66</v>
      </c>
      <c r="I61" s="291"/>
      <c r="J61" s="292" t="str">
        <f>IF(ISBLANK('Start Page'!$AB$22),"",IF('Start Page'!$AB$22="Megalitres (thousand cubic metres)","kilometers","miles"))</f>
        <v>miles</v>
      </c>
      <c r="K61" s="292"/>
      <c r="L61" s="292"/>
      <c r="M61" s="292" t="s">
        <v>666</v>
      </c>
      <c r="N61" s="292"/>
      <c r="U61" s="256"/>
      <c r="V61" s="91"/>
    </row>
    <row r="62" spans="1:29">
      <c r="A62" s="91"/>
      <c r="B62" s="561" t="s">
        <v>583</v>
      </c>
      <c r="C62" s="529" t="s">
        <v>665</v>
      </c>
      <c r="D62" s="840" t="s">
        <v>883</v>
      </c>
      <c r="E62" s="576" t="s">
        <v>884</v>
      </c>
      <c r="F62" s="492">
        <f>'Interactive Data Grading'!D374</f>
        <v>8</v>
      </c>
      <c r="G62" s="53"/>
      <c r="H62" s="502">
        <v>28</v>
      </c>
      <c r="I62" s="291"/>
      <c r="J62" s="292"/>
      <c r="K62" s="101"/>
      <c r="L62" s="101"/>
      <c r="M62" s="292" t="s">
        <v>904</v>
      </c>
      <c r="N62" s="101"/>
      <c r="U62" s="256"/>
      <c r="V62" s="91"/>
    </row>
    <row r="63" spans="1:29">
      <c r="A63" s="91"/>
      <c r="B63" s="561"/>
      <c r="C63" s="529" t="s">
        <v>167</v>
      </c>
      <c r="D63" s="53"/>
      <c r="E63" s="512"/>
      <c r="F63" s="273"/>
      <c r="G63" s="53"/>
      <c r="H63" s="500">
        <f>IF(ISERROR(H62/H61),"",H62/H61)</f>
        <v>42.424242424242422</v>
      </c>
      <c r="J63" s="292" t="str">
        <f>IF(ISBLANK('Start Page'!$AB$22),"",IF('Start Page'!$AB$22="Megalitres (thousand cubic metres)","conn./km","conn./mile")&amp; " main")</f>
        <v>conn./mile main</v>
      </c>
      <c r="K63" s="292"/>
      <c r="L63" s="292"/>
      <c r="M63" s="293"/>
      <c r="N63" s="292"/>
      <c r="U63" s="256"/>
      <c r="V63" s="91"/>
    </row>
    <row r="64" spans="1:29" ht="13.35" customHeight="1">
      <c r="A64" s="91"/>
      <c r="B64" s="561"/>
      <c r="C64" s="552"/>
      <c r="D64" s="53"/>
      <c r="E64" s="512"/>
      <c r="F64" s="273"/>
      <c r="G64" s="273"/>
      <c r="J64" s="292"/>
      <c r="K64" s="292"/>
      <c r="L64" s="292"/>
      <c r="M64" s="293"/>
      <c r="N64" s="292"/>
      <c r="U64" s="256"/>
      <c r="V64" s="91"/>
    </row>
    <row r="65" spans="1:26" ht="13.35" customHeight="1">
      <c r="A65" s="91"/>
      <c r="B65" s="561"/>
      <c r="C65" s="1008" t="s">
        <v>771</v>
      </c>
      <c r="D65" s="1008"/>
      <c r="E65" s="1008"/>
      <c r="F65" s="1008"/>
      <c r="G65" s="273"/>
      <c r="H65" s="324" t="s">
        <v>269</v>
      </c>
      <c r="J65" s="292"/>
      <c r="K65" s="292"/>
      <c r="L65" s="292"/>
      <c r="M65" s="293"/>
      <c r="N65" s="292"/>
      <c r="U65" s="256"/>
      <c r="V65" s="91"/>
      <c r="W65" s="55">
        <f>IF(H65="Yes",1,0)</f>
        <v>0</v>
      </c>
      <c r="X65" s="54" t="s">
        <v>130</v>
      </c>
      <c r="Y65" s="54"/>
      <c r="Z65" s="54"/>
    </row>
    <row r="66" spans="1:26" ht="13.5" customHeight="1">
      <c r="A66" s="91"/>
      <c r="B66" s="561" t="s">
        <v>598</v>
      </c>
      <c r="C66" s="529" t="s">
        <v>667</v>
      </c>
      <c r="D66" s="840" t="s">
        <v>883</v>
      </c>
      <c r="E66" s="576"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1"/>
      <c r="C67" s="1032" t="str">
        <f>IF(H65="Yes","Average length of customer service line has been set to zero and a data grading of 10 has been applied","")</f>
        <v/>
      </c>
      <c r="D67" s="1032"/>
      <c r="E67" s="1032"/>
      <c r="F67" s="1032"/>
      <c r="G67" s="1032"/>
      <c r="H67" s="1032"/>
      <c r="I67" s="1032"/>
      <c r="J67" s="1032"/>
      <c r="K67" s="1032"/>
      <c r="L67" s="1032"/>
      <c r="M67" s="1032"/>
      <c r="N67" s="1032"/>
      <c r="O67" s="1032"/>
      <c r="P67" s="294"/>
      <c r="Q67" s="294"/>
      <c r="R67" s="294"/>
      <c r="S67" s="294"/>
      <c r="T67" s="294"/>
      <c r="U67" s="256"/>
      <c r="V67" s="91"/>
      <c r="W67" s="55">
        <f>IF(H65="Yes",0,H66)</f>
        <v>75</v>
      </c>
      <c r="X67" s="54" t="s">
        <v>132</v>
      </c>
      <c r="Y67" s="54"/>
      <c r="Z67" s="54"/>
    </row>
    <row r="68" spans="1:26">
      <c r="A68" s="91"/>
      <c r="B68" s="561" t="s">
        <v>917</v>
      </c>
      <c r="C68" s="529" t="s">
        <v>489</v>
      </c>
      <c r="D68" s="840" t="s">
        <v>883</v>
      </c>
      <c r="E68" s="576" t="s">
        <v>884</v>
      </c>
      <c r="F68" s="492">
        <f>'Interactive Data Grading'!D422</f>
        <v>7</v>
      </c>
      <c r="G68" s="53"/>
      <c r="H68" s="325">
        <v>41</v>
      </c>
      <c r="I68" s="295"/>
      <c r="J68" s="292" t="str">
        <f>IF(ISBLANK('Start Page'!$AB$22),"",IF('Start Page'!AB22="Megalitres (thousand cubic metres)","metres (head)","psi"))</f>
        <v>psi</v>
      </c>
      <c r="K68" s="292"/>
      <c r="L68" s="292"/>
      <c r="M68" s="292"/>
      <c r="N68" s="292"/>
      <c r="P68" s="240"/>
      <c r="U68" s="256"/>
      <c r="V68" s="91"/>
    </row>
    <row r="69" spans="1:26" ht="3" customHeight="1">
      <c r="A69" s="91"/>
      <c r="B69" s="561"/>
      <c r="C69" s="82"/>
      <c r="D69" s="53"/>
      <c r="E69" s="512"/>
      <c r="F69" s="53"/>
      <c r="G69" s="53"/>
      <c r="H69" s="53"/>
      <c r="I69" s="53"/>
      <c r="J69" s="292"/>
      <c r="K69" s="292"/>
      <c r="L69" s="292"/>
      <c r="M69" s="292"/>
      <c r="N69" s="292"/>
      <c r="P69" s="240"/>
      <c r="U69" s="256"/>
      <c r="V69" s="91"/>
    </row>
    <row r="70" spans="1:26">
      <c r="A70" s="91"/>
      <c r="B70" s="561"/>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1"/>
      <c r="C71" s="262"/>
      <c r="D71" s="85"/>
      <c r="E71" s="521"/>
      <c r="F71" s="85"/>
      <c r="G71" s="85"/>
      <c r="H71" s="85"/>
      <c r="I71" s="85"/>
      <c r="J71" s="85"/>
      <c r="K71" s="85"/>
      <c r="L71" s="85"/>
      <c r="M71" s="85"/>
      <c r="N71" s="85"/>
      <c r="O71" s="85"/>
      <c r="P71" s="85"/>
      <c r="Q71" s="85"/>
      <c r="R71" s="85"/>
      <c r="U71" s="256"/>
      <c r="V71" s="91"/>
    </row>
    <row r="72" spans="1:26" ht="6" customHeight="1">
      <c r="A72" s="91"/>
      <c r="B72" s="561"/>
      <c r="C72" s="53"/>
      <c r="D72" s="53"/>
      <c r="E72" s="512"/>
      <c r="F72" s="289"/>
      <c r="G72" s="53"/>
      <c r="U72" s="256"/>
      <c r="V72" s="91"/>
    </row>
    <row r="73" spans="1:26" ht="13.5" customHeight="1">
      <c r="A73" s="91"/>
      <c r="B73" s="561"/>
      <c r="C73" s="53" t="s">
        <v>28</v>
      </c>
      <c r="D73" s="53"/>
      <c r="E73" s="512"/>
      <c r="F73" s="289"/>
      <c r="G73" s="53"/>
      <c r="H73" s="297"/>
      <c r="U73" s="256"/>
      <c r="V73" s="91"/>
    </row>
    <row r="74" spans="1:26" ht="5.25" customHeight="1">
      <c r="A74" s="91"/>
      <c r="B74" s="561"/>
      <c r="C74" s="53"/>
      <c r="D74" s="53"/>
      <c r="E74" s="512"/>
      <c r="F74" s="289"/>
      <c r="G74" s="53"/>
      <c r="U74" s="256"/>
      <c r="V74" s="91"/>
    </row>
    <row r="75" spans="1:26" ht="14.25" hidden="1" customHeight="1">
      <c r="A75" s="91"/>
      <c r="B75" s="561"/>
      <c r="C75" s="267" t="s">
        <v>624</v>
      </c>
      <c r="D75" s="204"/>
      <c r="E75" s="517"/>
      <c r="F75" s="268" t="e">
        <f>'Interactive Data Grading'!#REF!</f>
        <v>#REF!</v>
      </c>
      <c r="H75" s="298">
        <v>1000000</v>
      </c>
      <c r="J75" s="292" t="s">
        <v>31</v>
      </c>
      <c r="K75" s="292"/>
      <c r="L75" s="292"/>
      <c r="M75" s="292"/>
      <c r="U75" s="256"/>
      <c r="V75" s="91"/>
    </row>
    <row r="76" spans="1:26" ht="14.25" customHeight="1">
      <c r="A76" s="91"/>
      <c r="B76" s="561" t="s">
        <v>914</v>
      </c>
      <c r="C76" s="529" t="s">
        <v>926</v>
      </c>
      <c r="D76" s="840" t="s">
        <v>883</v>
      </c>
      <c r="E76" s="535" t="s">
        <v>884</v>
      </c>
      <c r="F76" s="492">
        <f>'Interactive Data Grading'!D446</f>
        <v>5</v>
      </c>
      <c r="H76" s="326">
        <v>8.2200000000000006</v>
      </c>
      <c r="J76" s="1038" t="s">
        <v>73</v>
      </c>
      <c r="K76" s="1039"/>
      <c r="L76" s="1039"/>
      <c r="M76" s="1040"/>
      <c r="O76" s="1041" t="str">
        <f>IF(AND(NOT(ISBLANK(H76)),ISBLANK(J76)),"&lt;----Enter units","")</f>
        <v/>
      </c>
      <c r="P76" s="1041"/>
      <c r="Q76" s="1045" t="s">
        <v>905</v>
      </c>
      <c r="R76" s="1045"/>
      <c r="S76" s="1045"/>
      <c r="U76" s="256"/>
      <c r="V76" s="91"/>
    </row>
    <row r="77" spans="1:26" ht="13.5" customHeight="1">
      <c r="A77" s="91"/>
      <c r="B77" s="561" t="s">
        <v>915</v>
      </c>
      <c r="C77" s="529" t="s">
        <v>927</v>
      </c>
      <c r="D77" s="840" t="s">
        <v>883</v>
      </c>
      <c r="E77" s="576" t="s">
        <v>884</v>
      </c>
      <c r="F77" s="492">
        <f>'Interactive Data Grading'!D469</f>
        <v>3</v>
      </c>
      <c r="H77" s="326">
        <v>419.85</v>
      </c>
      <c r="J77" s="270" t="str">
        <f>"$/"&amp;IF('Start Page'!$AB$22="million gallons (US)","Million gallons",IF('Start Page'!$AB$22="Megalitres (thousand cubic metres)","Megalitre",IF('Start Page'!$AB$22="acre-feet","acre-ft","")))</f>
        <v>$/Million gallons</v>
      </c>
      <c r="K77" s="1046" t="str">
        <f>IF(Z77=1,"&lt;&lt;&lt; Using CRUC as basis for VPC","")</f>
        <v/>
      </c>
      <c r="L77" s="1046"/>
      <c r="M77" s="1046"/>
      <c r="N77" s="1046"/>
      <c r="O77" s="1046"/>
      <c r="P77" s="1047"/>
      <c r="Q77" s="1042">
        <v>18126065</v>
      </c>
      <c r="R77" s="1043"/>
      <c r="S77" s="1044"/>
      <c r="T77" s="251" t="s">
        <v>916</v>
      </c>
      <c r="U77" s="256"/>
      <c r="V77" s="91"/>
      <c r="Z77" s="46">
        <f>IF('Interactive Data Grading'!D465=VPC!C28,1,0)</f>
        <v>0</v>
      </c>
    </row>
    <row r="78" spans="1:26" ht="2.25" customHeight="1">
      <c r="A78" s="91"/>
      <c r="B78" s="561"/>
      <c r="C78" s="53"/>
      <c r="D78" s="53"/>
      <c r="E78" s="512"/>
      <c r="F78" s="299"/>
      <c r="G78" s="53"/>
      <c r="U78" s="256"/>
      <c r="V78" s="91"/>
    </row>
    <row r="79" spans="1:26" ht="13.5" customHeight="1">
      <c r="A79" s="91"/>
      <c r="B79" s="561"/>
      <c r="C79" s="1033" t="str">
        <f>IF(OR(ISBLANK(J76),ISBLANK(J77),ISBLANK(H77),ISBLANK('Start Page'!AB22)),"",IF(H76*INDEX(Sheet1!B2:D4,MATCH('Start Page'!AB22,Sheet1!A2:A4,0),MATCH(J76,Sheet1!B1:D1,0))/H77&gt;1,"","Retail costs are less than (or equal to) production costs; please review and correct if necessary"))</f>
        <v/>
      </c>
      <c r="D79" s="1033"/>
      <c r="E79" s="1033"/>
      <c r="F79" s="1033"/>
      <c r="G79" s="1033"/>
      <c r="H79" s="1033"/>
      <c r="I79" s="1033"/>
      <c r="J79" s="1033"/>
      <c r="K79" s="1033"/>
      <c r="L79" s="1033"/>
      <c r="M79" s="1033"/>
      <c r="N79" s="1033"/>
      <c r="O79" s="1033"/>
      <c r="P79" s="1033"/>
      <c r="Q79" s="1033"/>
      <c r="U79" s="256"/>
      <c r="V79" s="91"/>
      <c r="W79" s="46">
        <f>IF(OR(ISBLANK(J76),ISBLANK(J77),ISBLANK(H77)),"",IF(H76*INDEX(Sheet1!B2:D4,MATCH('Start Page'!AB22,Sheet1!A2:A4,0),MATCH(J76,Sheet1!B1:D1,0))/H77&gt;1,0,1))</f>
        <v>0</v>
      </c>
    </row>
    <row r="80" spans="1:26" ht="2.25" customHeight="1">
      <c r="A80" s="91"/>
      <c r="B80" s="561"/>
      <c r="C80" s="262"/>
      <c r="D80" s="262"/>
      <c r="E80" s="522"/>
      <c r="F80" s="263"/>
      <c r="G80" s="262"/>
      <c r="H80" s="85"/>
      <c r="I80" s="85"/>
      <c r="J80" s="85"/>
      <c r="K80" s="85"/>
      <c r="L80" s="85"/>
      <c r="M80" s="85"/>
      <c r="N80" s="85"/>
      <c r="O80" s="85"/>
      <c r="P80" s="85"/>
      <c r="Q80" s="85"/>
      <c r="R80" s="85"/>
      <c r="U80" s="256"/>
      <c r="V80" s="91"/>
    </row>
    <row r="81" spans="1:31" ht="6" customHeight="1">
      <c r="A81" s="91"/>
      <c r="B81" s="561"/>
      <c r="C81" s="300"/>
      <c r="D81" s="53"/>
      <c r="E81" s="512"/>
      <c r="F81" s="255"/>
      <c r="G81" s="53"/>
      <c r="U81" s="256"/>
      <c r="V81" s="91"/>
    </row>
    <row r="82" spans="1:31" s="56" customFormat="1" ht="21" customHeight="1">
      <c r="A82" s="95"/>
      <c r="B82" s="562"/>
      <c r="C82" s="665" t="s">
        <v>1199</v>
      </c>
      <c r="D82" s="302"/>
      <c r="E82" s="523"/>
      <c r="F82" s="303"/>
      <c r="G82" s="302"/>
      <c r="H82" s="302"/>
      <c r="P82" s="304"/>
      <c r="U82" s="305"/>
      <c r="V82" s="95"/>
      <c r="AB82" s="308"/>
      <c r="AC82" s="308"/>
      <c r="AD82" s="308"/>
      <c r="AE82" s="308"/>
    </row>
    <row r="83" spans="1:31" s="56" customFormat="1" ht="2.25" customHeight="1">
      <c r="A83" s="95"/>
      <c r="B83" s="562"/>
      <c r="C83" s="301"/>
      <c r="D83" s="302"/>
      <c r="E83" s="523"/>
      <c r="F83" s="303"/>
      <c r="G83" s="302"/>
      <c r="H83" s="302"/>
      <c r="P83" s="304"/>
      <c r="U83" s="305"/>
      <c r="V83" s="95"/>
      <c r="AB83" s="308"/>
      <c r="AC83" s="308"/>
      <c r="AD83" s="308"/>
      <c r="AE83" s="308"/>
    </row>
    <row r="84" spans="1:31" s="57" customFormat="1" ht="22.5" customHeight="1">
      <c r="A84" s="96"/>
      <c r="B84" s="562"/>
      <c r="C84" s="103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36"/>
      <c r="E84" s="1036"/>
      <c r="F84" s="1036"/>
      <c r="G84" s="1036"/>
      <c r="H84" s="1036"/>
      <c r="I84" s="1036"/>
      <c r="J84" s="1036"/>
      <c r="K84" s="1036"/>
      <c r="L84" s="1036"/>
      <c r="M84" s="1036"/>
      <c r="N84" s="1036"/>
      <c r="O84" s="1036"/>
      <c r="P84" s="1036"/>
      <c r="Q84" s="1036"/>
      <c r="R84" s="1037"/>
      <c r="S84" s="844" t="s">
        <v>1158</v>
      </c>
      <c r="T84" s="306"/>
      <c r="U84" s="307"/>
      <c r="V84" s="96"/>
      <c r="W84" s="63">
        <f>'M36 Refs'!AN118</f>
        <v>0</v>
      </c>
      <c r="X84" s="57" t="str">
        <f>Dashboard!BR4</f>
        <v>Tier III (51-70)</v>
      </c>
    </row>
    <row r="85" spans="1:31" s="57" customFormat="1" ht="2.25" customHeight="1">
      <c r="A85" s="96"/>
      <c r="B85" s="562"/>
      <c r="C85" s="308"/>
      <c r="D85" s="309"/>
      <c r="E85" s="524"/>
      <c r="F85" s="303"/>
      <c r="G85" s="310"/>
      <c r="H85" s="309"/>
      <c r="P85" s="311"/>
      <c r="U85" s="307"/>
      <c r="V85" s="96"/>
      <c r="W85" s="63"/>
    </row>
    <row r="86" spans="1:31" s="57" customFormat="1" ht="19.5" customHeight="1">
      <c r="A86" s="96"/>
      <c r="B86" s="562"/>
      <c r="C86" s="103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34"/>
      <c r="E86" s="1034"/>
      <c r="F86" s="1034"/>
      <c r="G86" s="1034"/>
      <c r="H86" s="1034"/>
      <c r="I86" s="1034"/>
      <c r="J86" s="1034"/>
      <c r="K86" s="1034"/>
      <c r="L86" s="1034"/>
      <c r="M86" s="1034"/>
      <c r="N86" s="1034"/>
      <c r="O86" s="1034"/>
      <c r="P86" s="1034"/>
      <c r="Q86" s="1034"/>
      <c r="R86" s="1034"/>
      <c r="S86" s="308"/>
      <c r="T86" s="308"/>
      <c r="U86" s="307"/>
      <c r="V86" s="96"/>
      <c r="W86" s="63"/>
    </row>
    <row r="87" spans="1:31" s="52" customFormat="1" ht="21.75" customHeight="1">
      <c r="A87" s="97"/>
      <c r="B87" s="562"/>
      <c r="C87" s="614" t="s">
        <v>1162</v>
      </c>
      <c r="D87" s="882"/>
      <c r="E87" s="882"/>
      <c r="F87" s="584"/>
      <c r="G87" s="584"/>
      <c r="H87" s="584"/>
      <c r="I87" s="584"/>
      <c r="J87" s="584"/>
      <c r="K87" s="584"/>
      <c r="L87" s="614" t="s">
        <v>1166</v>
      </c>
      <c r="N87" s="584"/>
      <c r="O87" s="158"/>
      <c r="P87" s="569"/>
      <c r="Q87" s="569"/>
      <c r="R87" s="569"/>
      <c r="S87" s="312"/>
      <c r="T87" s="312"/>
      <c r="U87" s="307"/>
      <c r="V87" s="97"/>
      <c r="AB87" s="57"/>
      <c r="AC87" s="57"/>
      <c r="AD87" s="57"/>
      <c r="AE87" s="57"/>
    </row>
    <row r="88" spans="1:31" s="52" customFormat="1" ht="19.5" customHeight="1">
      <c r="A88" s="97"/>
      <c r="B88" s="562"/>
      <c r="C88" s="857" t="s">
        <v>707</v>
      </c>
      <c r="D88" s="313"/>
      <c r="E88" s="313"/>
      <c r="F88" s="313"/>
      <c r="G88" s="313"/>
      <c r="H88" s="313"/>
      <c r="I88" s="313"/>
      <c r="J88" s="313"/>
      <c r="K88" s="313"/>
      <c r="L88" s="857" t="s">
        <v>1216</v>
      </c>
      <c r="N88" s="313"/>
      <c r="P88" s="313"/>
      <c r="Q88" s="313"/>
      <c r="R88" s="313"/>
      <c r="S88" s="313"/>
      <c r="T88" s="313"/>
      <c r="U88" s="307"/>
      <c r="V88" s="97"/>
      <c r="AB88" s="57"/>
      <c r="AC88" s="57"/>
      <c r="AD88" s="57"/>
      <c r="AE88" s="57"/>
    </row>
    <row r="89" spans="1:31" s="52" customFormat="1" ht="15" customHeight="1">
      <c r="A89" s="97"/>
      <c r="B89" s="562"/>
      <c r="C89" s="503" t="str">
        <f ca="1">IFERROR(IF(ISERROR('M36 Refs'!AN118),"","     1: "&amp;VLOOKUP(1,'M36 Refs'!$AJ$98:$AK$117,2,FALSE)),"")</f>
        <v xml:space="preserve">     1: Volume from Own Sources (VOS)</v>
      </c>
      <c r="D89" s="314"/>
      <c r="E89" s="525"/>
      <c r="F89" s="315"/>
      <c r="G89" s="314"/>
      <c r="R89" s="862" t="s">
        <v>1163</v>
      </c>
      <c r="S89" s="860"/>
      <c r="T89" s="863" t="str">
        <f>Dashboard!AD29</f>
        <v>gal/conn/day</v>
      </c>
      <c r="U89" s="307"/>
      <c r="V89" s="97"/>
      <c r="AB89" s="57"/>
      <c r="AC89" s="57"/>
      <c r="AD89" s="57"/>
      <c r="AE89" s="57"/>
    </row>
    <row r="90" spans="1:31" s="52" customFormat="1" ht="15" customHeight="1">
      <c r="A90" s="97"/>
      <c r="B90" s="562"/>
      <c r="C90" s="503" t="str">
        <f ca="1">IFERROR(IF(ISERROR('M36 Refs'!AN118),"","     2: "&amp;VLOOKUP(2,'M36 Refs'!$AJ$98:$AK$117,2,FALSE)),"")</f>
        <v xml:space="preserve">     2: Customer Metering Inaccuracies (CMI)</v>
      </c>
      <c r="D90" s="314"/>
      <c r="E90" s="525"/>
      <c r="F90" s="315"/>
      <c r="G90" s="314"/>
      <c r="R90" s="862" t="s">
        <v>1164</v>
      </c>
      <c r="S90" s="860"/>
      <c r="T90" s="864" t="str">
        <f>Dashboard!AN29</f>
        <v>gal/conn/day</v>
      </c>
      <c r="U90" s="307"/>
      <c r="V90" s="97"/>
      <c r="AB90" s="57"/>
      <c r="AC90" s="57"/>
      <c r="AD90" s="57"/>
      <c r="AE90" s="57"/>
    </row>
    <row r="91" spans="1:31" s="52" customFormat="1" ht="15" customHeight="1">
      <c r="A91" s="97"/>
      <c r="B91" s="562"/>
      <c r="C91" s="503" t="str">
        <f ca="1">IFERROR(IF(ISERROR('M36 Refs'!AN118),"","     3: "&amp;VLOOKUP(3,'M36 Refs'!$AJ$98:$AK$117,2,FALSE)),"")</f>
        <v xml:space="preserve">     3: Variable Production Cost (VPC)</v>
      </c>
      <c r="D91" s="314"/>
      <c r="E91" s="525"/>
      <c r="F91" s="315"/>
      <c r="G91" s="314"/>
      <c r="R91" s="862" t="s">
        <v>1187</v>
      </c>
      <c r="S91" s="860"/>
      <c r="T91" s="863" t="str">
        <f>Dashboard!AX29</f>
        <v>gal/conn/day</v>
      </c>
      <c r="U91" s="307"/>
      <c r="V91" s="97"/>
      <c r="AB91" s="57"/>
      <c r="AC91" s="57"/>
      <c r="AD91" s="57"/>
      <c r="AE91" s="57"/>
    </row>
    <row r="92" spans="1:31" s="52" customFormat="1" ht="15" customHeight="1">
      <c r="A92" s="97"/>
      <c r="B92" s="562"/>
      <c r="C92" s="301"/>
      <c r="D92" s="314"/>
      <c r="E92" s="525"/>
      <c r="F92" s="315"/>
      <c r="G92" s="314"/>
      <c r="R92" s="862" t="s">
        <v>1188</v>
      </c>
      <c r="S92" s="861"/>
      <c r="T92" s="863" t="str">
        <f>Dashboard!AV41</f>
        <v>gal/mile/day</v>
      </c>
      <c r="U92" s="307"/>
      <c r="V92" s="97"/>
      <c r="AB92" s="57"/>
      <c r="AC92" s="57"/>
      <c r="AD92" s="57"/>
      <c r="AE92" s="57"/>
    </row>
    <row r="93" spans="1:31" s="52" customFormat="1" ht="15" customHeight="1">
      <c r="A93" s="97"/>
      <c r="B93" s="562"/>
      <c r="C93" s="301"/>
      <c r="D93" s="314"/>
      <c r="E93" s="525"/>
      <c r="F93" s="315"/>
      <c r="G93" s="314"/>
      <c r="M93" s="52" t="s">
        <v>1198</v>
      </c>
      <c r="U93" s="307"/>
      <c r="V93" s="97"/>
      <c r="AB93" s="57"/>
      <c r="AC93" s="57"/>
      <c r="AD93" s="57"/>
      <c r="AE93" s="57"/>
    </row>
    <row r="94" spans="1:31" s="52" customFormat="1" ht="14.25" customHeight="1" thickBot="1">
      <c r="A94" s="97"/>
      <c r="B94" s="563"/>
      <c r="C94" s="316"/>
      <c r="D94" s="317"/>
      <c r="E94" s="526"/>
      <c r="F94" s="318"/>
      <c r="G94" s="317"/>
      <c r="H94" s="319"/>
      <c r="I94" s="319"/>
      <c r="J94" s="319"/>
      <c r="K94" s="319"/>
      <c r="L94" s="319"/>
      <c r="M94" s="881"/>
      <c r="N94" s="319"/>
      <c r="O94" s="319"/>
      <c r="P94" s="319"/>
      <c r="Q94" s="319"/>
      <c r="R94" s="319"/>
      <c r="S94" s="319"/>
      <c r="T94" s="319"/>
      <c r="U94" s="320"/>
      <c r="V94" s="97"/>
      <c r="AB94" s="57"/>
      <c r="AC94" s="57"/>
      <c r="AD94" s="57"/>
      <c r="AE94" s="57"/>
    </row>
    <row r="95" spans="1:31" s="52" customFormat="1" ht="6.75" customHeight="1" thickTop="1">
      <c r="A95" s="97"/>
      <c r="B95" s="564"/>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5"/>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5"/>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5"/>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G29">
    <cfRule type="expression" dxfId="210" priority="162" stopIfTrue="1">
      <formula>$W$26=2</formula>
    </cfRule>
  </conditionalFormatting>
  <conditionalFormatting sqref="C79:Q79">
    <cfRule type="expression" dxfId="209" priority="167" stopIfTrue="1">
      <formula>$W$79=1</formula>
    </cfRule>
  </conditionalFormatting>
  <conditionalFormatting sqref="G85">
    <cfRule type="expression" dxfId="208" priority="121" stopIfTrue="1">
      <formula>"B106=0"</formula>
    </cfRule>
  </conditionalFormatting>
  <conditionalFormatting sqref="A84:A86 U84:JA86 D85:E85 H85:T85">
    <cfRule type="expression" dxfId="207" priority="122" stopIfTrue="1">
      <formula>"M22=0"</formula>
    </cfRule>
  </conditionalFormatting>
  <conditionalFormatting sqref="C7">
    <cfRule type="expression" dxfId="206" priority="210" stopIfTrue="1">
      <formula>H12=""=TRUE</formula>
    </cfRule>
  </conditionalFormatting>
  <conditionalFormatting sqref="C66">
    <cfRule type="expression" dxfId="205" priority="214" stopIfTrue="1">
      <formula>$W$65=1</formula>
    </cfRule>
  </conditionalFormatting>
  <conditionalFormatting sqref="J66:L66">
    <cfRule type="expression" dxfId="204" priority="212" stopIfTrue="1">
      <formula>$H$65="Yes"</formula>
    </cfRule>
  </conditionalFormatting>
  <conditionalFormatting sqref="H66">
    <cfRule type="expression" dxfId="203" priority="83" stopIfTrue="1">
      <formula>$H$65="Yes"</formula>
    </cfRule>
  </conditionalFormatting>
  <conditionalFormatting sqref="M66">
    <cfRule type="expression" dxfId="202" priority="78">
      <formula>$W$65=1</formula>
    </cfRule>
  </conditionalFormatting>
  <conditionalFormatting sqref="F15">
    <cfRule type="expression" dxfId="201" priority="77">
      <formula>F15&lt;&gt;""</formula>
    </cfRule>
  </conditionalFormatting>
  <conditionalFormatting sqref="F16">
    <cfRule type="expression" dxfId="200" priority="76">
      <formula>F16&lt;&gt;""</formula>
    </cfRule>
  </conditionalFormatting>
  <conditionalFormatting sqref="F17">
    <cfRule type="expression" dxfId="199" priority="75">
      <formula>F17&lt;&gt;""</formula>
    </cfRule>
  </conditionalFormatting>
  <conditionalFormatting sqref="M15">
    <cfRule type="expression" dxfId="198" priority="74">
      <formula>M15&lt;&gt;""</formula>
    </cfRule>
  </conditionalFormatting>
  <conditionalFormatting sqref="M16">
    <cfRule type="expression" dxfId="197" priority="73">
      <formula>M16&lt;&gt;""</formula>
    </cfRule>
  </conditionalFormatting>
  <conditionalFormatting sqref="M17">
    <cfRule type="expression" dxfId="196" priority="72">
      <formula>M17&lt;&gt;""</formula>
    </cfRule>
  </conditionalFormatting>
  <conditionalFormatting sqref="F23">
    <cfRule type="expression" dxfId="195" priority="71">
      <formula>F23&lt;&gt;""</formula>
    </cfRule>
  </conditionalFormatting>
  <conditionalFormatting sqref="F24">
    <cfRule type="expression" dxfId="194" priority="70">
      <formula>F24&lt;&gt;""</formula>
    </cfRule>
  </conditionalFormatting>
  <conditionalFormatting sqref="F25">
    <cfRule type="expression" dxfId="193" priority="69">
      <formula>F25&lt;&gt;""</formula>
    </cfRule>
  </conditionalFormatting>
  <conditionalFormatting sqref="F26">
    <cfRule type="expression" dxfId="192" priority="68">
      <formula>F26&lt;&gt;""</formula>
    </cfRule>
  </conditionalFormatting>
  <conditionalFormatting sqref="F43">
    <cfRule type="expression" dxfId="191" priority="67">
      <formula>F43&lt;&gt;""</formula>
    </cfRule>
  </conditionalFormatting>
  <conditionalFormatting sqref="F41">
    <cfRule type="expression" dxfId="190" priority="66">
      <formula>F41&lt;&gt;""</formula>
    </cfRule>
  </conditionalFormatting>
  <conditionalFormatting sqref="F39">
    <cfRule type="expression" dxfId="189" priority="65">
      <formula>F39&lt;&gt;""</formula>
    </cfRule>
  </conditionalFormatting>
  <conditionalFormatting sqref="F61">
    <cfRule type="expression" dxfId="188" priority="64">
      <formula>F61&lt;&gt;""</formula>
    </cfRule>
  </conditionalFormatting>
  <conditionalFormatting sqref="F62">
    <cfRule type="expression" dxfId="187" priority="63">
      <formula>F62&lt;&gt;""</formula>
    </cfRule>
  </conditionalFormatting>
  <conditionalFormatting sqref="F66">
    <cfRule type="expression" dxfId="186" priority="62">
      <formula>F66&lt;&gt;""</formula>
    </cfRule>
  </conditionalFormatting>
  <conditionalFormatting sqref="F68">
    <cfRule type="expression" dxfId="185" priority="61">
      <formula>F68&lt;&gt;""</formula>
    </cfRule>
  </conditionalFormatting>
  <conditionalFormatting sqref="F75">
    <cfRule type="expression" dxfId="184" priority="60">
      <formula>F75&lt;&gt;""</formula>
    </cfRule>
  </conditionalFormatting>
  <conditionalFormatting sqref="F76">
    <cfRule type="expression" dxfId="183" priority="59">
      <formula>F76&lt;&gt;""</formula>
    </cfRule>
  </conditionalFormatting>
  <conditionalFormatting sqref="F77">
    <cfRule type="expression" dxfId="182" priority="58">
      <formula>F77&lt;&gt;""</formula>
    </cfRule>
  </conditionalFormatting>
  <conditionalFormatting sqref="O15:O17">
    <cfRule type="expression" dxfId="181" priority="36">
      <formula>AND(H15&gt;0,W15=1)</formula>
    </cfRule>
  </conditionalFormatting>
  <conditionalFormatting sqref="O26 O43 O39">
    <cfRule type="expression" dxfId="180" priority="27">
      <formula>W26=1</formula>
    </cfRule>
  </conditionalFormatting>
  <conditionalFormatting sqref="Q26:R26 Q43:R43 Q39:R39">
    <cfRule type="expression" dxfId="179" priority="26">
      <formula>W26=2</formula>
    </cfRule>
  </conditionalFormatting>
  <conditionalFormatting sqref="O41">
    <cfRule type="expression" dxfId="178" priority="25">
      <formula>W41=1</formula>
    </cfRule>
  </conditionalFormatting>
  <conditionalFormatting sqref="Q41:R41">
    <cfRule type="expression" dxfId="177" priority="24">
      <formula>W41=2</formula>
    </cfRule>
  </conditionalFormatting>
  <conditionalFormatting sqref="P15:P17">
    <cfRule type="expression" dxfId="176" priority="23">
      <formula>H15&gt;0</formula>
    </cfRule>
  </conditionalFormatting>
  <conditionalFormatting sqref="P13">
    <cfRule type="expression" dxfId="175" priority="22">
      <formula>OR(H15&gt;0,H16&gt;0,H17&gt;0)</formula>
    </cfRule>
  </conditionalFormatting>
  <conditionalFormatting sqref="S15:S17">
    <cfRule type="expression" dxfId="174" priority="21">
      <formula>AND(H15&gt;0,W15=2)</formula>
    </cfRule>
  </conditionalFormatting>
  <conditionalFormatting sqref="T18:T23">
    <cfRule type="expression" dxfId="173" priority="20">
      <formula>AF18&gt;0</formula>
    </cfRule>
  </conditionalFormatting>
  <conditionalFormatting sqref="M15:M17">
    <cfRule type="expression" dxfId="172" priority="19">
      <formula>H15=0</formula>
    </cfRule>
  </conditionalFormatting>
  <conditionalFormatting sqref="Q15:R17">
    <cfRule type="expression" dxfId="171" priority="224">
      <formula>AND(H15&gt;0,W15=2)</formula>
    </cfRule>
  </conditionalFormatting>
  <conditionalFormatting sqref="S26 S43 S41 S39">
    <cfRule type="expression" dxfId="170" priority="18">
      <formula>W26=2</formula>
    </cfRule>
  </conditionalFormatting>
  <conditionalFormatting sqref="T15">
    <cfRule type="expression" dxfId="169" priority="16">
      <formula>$AC$15="yes"</formula>
    </cfRule>
  </conditionalFormatting>
  <conditionalFormatting sqref="T16">
    <cfRule type="expression" dxfId="168" priority="15">
      <formula>$AC$16="yes"</formula>
    </cfRule>
  </conditionalFormatting>
  <conditionalFormatting sqref="T17">
    <cfRule type="expression" dxfId="167" priority="14">
      <formula>$AC$17="yes"</formula>
    </cfRule>
  </conditionalFormatting>
  <conditionalFormatting sqref="C44">
    <cfRule type="expression" dxfId="166" priority="225" stopIfTrue="1">
      <formula>$W$39=1</formula>
    </cfRule>
    <cfRule type="expression" dxfId="165" priority="226" stopIfTrue="1">
      <formula>AND(NOT($F$39="n/a"),OR(ISBLANK($H$39),$H$39=0),$H$19&lt;&gt;0)</formula>
    </cfRule>
  </conditionalFormatting>
  <conditionalFormatting sqref="S47:S48 AA48">
    <cfRule type="expression" dxfId="164" priority="227">
      <formula>OR($X$41=-1,$Y$39=1)</formula>
    </cfRule>
  </conditionalFormatting>
  <conditionalFormatting sqref="K15">
    <cfRule type="expression" dxfId="163" priority="10">
      <formula>H15&gt;0</formula>
    </cfRule>
  </conditionalFormatting>
  <conditionalFormatting sqref="L15">
    <cfRule type="expression" dxfId="162" priority="9">
      <formula>H15&gt;0</formula>
    </cfRule>
  </conditionalFormatting>
  <conditionalFormatting sqref="K16">
    <cfRule type="expression" dxfId="161" priority="8">
      <formula>H16&gt;0</formula>
    </cfRule>
  </conditionalFormatting>
  <conditionalFormatting sqref="K16:L16">
    <cfRule type="expression" dxfId="160" priority="7">
      <formula>G16&gt;0</formula>
    </cfRule>
  </conditionalFormatting>
  <conditionalFormatting sqref="K17">
    <cfRule type="expression" dxfId="159" priority="6">
      <formula>H17&gt;0</formula>
    </cfRule>
  </conditionalFormatting>
  <conditionalFormatting sqref="L17">
    <cfRule type="expression" dxfId="158" priority="5">
      <formula>H17&gt;0</formula>
    </cfRule>
  </conditionalFormatting>
  <conditionalFormatting sqref="O76:P76">
    <cfRule type="expression" dxfId="157" priority="4" stopIfTrue="1">
      <formula>AND(NOT(ISBLANK($H$76)),ISBLANK($J$76))</formula>
    </cfRule>
  </conditionalFormatting>
  <conditionalFormatting sqref="H19">
    <cfRule type="expression" dxfId="156" priority="2">
      <formula>$H$19="Select under/over"</formula>
    </cfRule>
  </conditionalFormatting>
  <conditionalFormatting sqref="H41">
    <cfRule type="expression" dxfId="155" priority="1">
      <formula>$H$41="Select under/over"</formula>
    </cfRule>
  </conditionalFormatting>
  <conditionalFormatting sqref="H77:J77">
    <cfRule type="expression" dxfId="15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65" activePane="bottomLeft" state="frozen"/>
      <selection activeCell="B15" sqref="B15:F17"/>
      <selection pane="bottomLeft" activeCell="AD466" sqref="AD466"/>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4" customWidth="1"/>
    <col min="6" max="6" width="1.85546875" style="214" hidden="1" customWidth="1"/>
    <col min="7" max="7" width="4.42578125" style="809" hidden="1" customWidth="1"/>
    <col min="8" max="8" width="10.42578125" style="809" hidden="1" customWidth="1"/>
    <col min="9" max="9" width="12.140625" style="810" hidden="1" customWidth="1"/>
    <col min="10" max="10" width="18.140625" style="809" hidden="1" customWidth="1"/>
    <col min="11" max="18" width="8.85546875" style="809" hidden="1" customWidth="1"/>
    <col min="19" max="19" width="4.5703125" style="214" hidden="1" customWidth="1"/>
    <col min="20" max="26" width="8.85546875" style="214" hidden="1" customWidth="1"/>
    <col min="27" max="16384" width="8.85546875" style="214"/>
  </cols>
  <sheetData>
    <row r="1" spans="1:20" ht="15" customHeight="1">
      <c r="A1" s="610"/>
      <c r="B1" s="906" t="str">
        <f>IF(ISBLANK('Start Page'!AB9),"Enter info on Start Page",'Start Page'!AB9&amp;IF(ISBLANK('Start Page'!AM28),"","  ("&amp;'Start Page'!AM28&amp;")"))</f>
        <v>VEOLIA - Brown Manor</v>
      </c>
      <c r="C1" s="610"/>
      <c r="D1" s="611"/>
      <c r="E1" s="891" t="s">
        <v>1159</v>
      </c>
    </row>
    <row r="2" spans="1:20" ht="30.6" customHeight="1">
      <c r="A2" s="468"/>
      <c r="B2" s="890">
        <f>IF(ISBLANK('Start Page'!AB18),"",'Start Page'!AB18)</f>
        <v>2022</v>
      </c>
      <c r="C2" s="468"/>
      <c r="D2" s="468"/>
      <c r="E2" s="1055" t="s">
        <v>1234</v>
      </c>
    </row>
    <row r="3" spans="1:20" ht="38.25" customHeight="1">
      <c r="A3" s="468"/>
      <c r="B3" s="846"/>
      <c r="C3" s="468"/>
      <c r="D3" s="468"/>
      <c r="E3" s="1056"/>
    </row>
    <row r="4" spans="1:20" ht="1.35" customHeight="1"/>
    <row r="5" spans="1:20" s="469" customFormat="1" ht="16.350000000000001" customHeight="1">
      <c r="A5" s="1066" t="s">
        <v>1137</v>
      </c>
      <c r="B5" s="1067"/>
      <c r="C5" s="1057" t="s">
        <v>328</v>
      </c>
      <c r="D5" s="1057"/>
      <c r="E5" s="891" t="s">
        <v>1138</v>
      </c>
      <c r="G5" s="811"/>
      <c r="H5" s="811"/>
      <c r="I5" s="812"/>
      <c r="J5" s="811"/>
      <c r="K5" s="811"/>
      <c r="L5" s="811"/>
      <c r="M5" s="811"/>
      <c r="N5" s="811"/>
      <c r="O5" s="811"/>
      <c r="P5" s="811"/>
      <c r="Q5" s="811"/>
      <c r="R5" s="811"/>
    </row>
    <row r="6" spans="1:20" ht="14.45" customHeight="1">
      <c r="A6" s="215"/>
      <c r="B6" s="215"/>
      <c r="C6" s="1065" t="str">
        <f>IF(OR(AND(D8="Yes",Worksheet!H15&gt;0),AND(D8="No",Worksheet!H15&lt;=0),LEN(D8)=0),"","Inconsistency between Worksheet VOS input and vos.0 response")</f>
        <v/>
      </c>
      <c r="D6" s="1065"/>
      <c r="E6" s="753"/>
      <c r="F6" s="327"/>
      <c r="H6" s="813"/>
      <c r="I6" s="813"/>
      <c r="P6" s="825" t="s">
        <v>657</v>
      </c>
      <c r="T6" s="214" t="s">
        <v>1262</v>
      </c>
    </row>
    <row r="7" spans="1:20" s="575" customFormat="1" ht="12">
      <c r="A7" s="571"/>
      <c r="B7" s="572" t="s">
        <v>316</v>
      </c>
      <c r="C7" s="573" t="s">
        <v>305</v>
      </c>
      <c r="D7" s="573" t="s">
        <v>663</v>
      </c>
      <c r="E7" s="752"/>
      <c r="F7" s="574"/>
      <c r="G7" s="814"/>
      <c r="H7" s="815" t="s">
        <v>303</v>
      </c>
      <c r="I7" s="815" t="s">
        <v>296</v>
      </c>
      <c r="J7" s="814" t="s">
        <v>794</v>
      </c>
      <c r="K7" s="814"/>
      <c r="L7" s="814"/>
      <c r="M7" s="814"/>
      <c r="N7" s="814"/>
      <c r="O7" s="814"/>
      <c r="P7" s="833" t="str">
        <f>VOS!C23</f>
        <v>&lt;25%</v>
      </c>
      <c r="Q7" s="834">
        <v>0</v>
      </c>
      <c r="R7" s="814">
        <f>VLOOKUP(D9,$P$7:$Q$15,2,FALSE)</f>
        <v>1</v>
      </c>
      <c r="S7" s="575" t="s">
        <v>909</v>
      </c>
      <c r="T7" s="575">
        <v>1</v>
      </c>
    </row>
    <row r="8" spans="1:20" ht="20.100000000000001" customHeight="1">
      <c r="A8" s="215"/>
      <c r="B8" s="554" t="s">
        <v>440</v>
      </c>
      <c r="C8" s="883" t="str">
        <f>VOS!B34</f>
        <v>Did the water utility supply any water from its own sources during the audit year?</v>
      </c>
      <c r="D8" s="329" t="s">
        <v>262</v>
      </c>
      <c r="E8" s="752"/>
      <c r="F8" s="327"/>
      <c r="I8" s="816"/>
      <c r="J8" s="809" t="s">
        <v>793</v>
      </c>
      <c r="P8" s="835" t="str">
        <f>VOS!C24</f>
        <v>25-50%</v>
      </c>
      <c r="Q8" s="836">
        <v>0</v>
      </c>
      <c r="R8" s="809" t="e">
        <f>VLOOKUP(D63,$P$7:$Q$15,2,FALSE)</f>
        <v>#N/A</v>
      </c>
      <c r="S8" s="214" t="s">
        <v>910</v>
      </c>
      <c r="T8" s="214">
        <v>2</v>
      </c>
    </row>
    <row r="9" spans="1:20" ht="17.850000000000001" customHeight="1">
      <c r="A9" s="215"/>
      <c r="B9" s="554" t="s">
        <v>306</v>
      </c>
      <c r="C9" s="883" t="str">
        <f>VOS!B35</f>
        <v>What percent of own supply volume is metered?</v>
      </c>
      <c r="D9" s="329" t="s">
        <v>293</v>
      </c>
      <c r="E9" s="752" t="str">
        <f>IF(OR(D20=10,NOT(ISNUMBER(D20))),"",IF(I9=I20,"Limiting",IF(VLOOKUP(D9,$P$7:$Q$15,2,FALSE)=0,"Limiting","")))</f>
        <v/>
      </c>
      <c r="F9" s="327"/>
      <c r="G9" s="809">
        <f>IF(LEN(D9)&gt;0,1,0)</f>
        <v>1</v>
      </c>
      <c r="H9" s="817">
        <f>VLOOKUP('Interactive Data Grading'!D9,VOS!$C$6:$M$16,11,FALSE)</f>
        <v>10</v>
      </c>
      <c r="I9" s="817">
        <f>H9</f>
        <v>10</v>
      </c>
      <c r="P9" s="835" t="str">
        <f>VOS!C25</f>
        <v>&gt;50-75%</v>
      </c>
      <c r="Q9" s="836">
        <v>0</v>
      </c>
      <c r="R9" s="809" t="e">
        <f>VLOOKUP(D116,$P$7:$Q$15,2,FALSE)</f>
        <v>#N/A</v>
      </c>
      <c r="S9" s="214" t="s">
        <v>911</v>
      </c>
      <c r="T9" s="214">
        <v>3</v>
      </c>
    </row>
    <row r="10" spans="1:20" ht="64.349999999999994" customHeight="1">
      <c r="A10" s="215"/>
      <c r="C10" s="1061" t="s">
        <v>1235</v>
      </c>
      <c r="D10" s="1062"/>
      <c r="E10" s="752"/>
      <c r="F10" s="327"/>
      <c r="H10" s="817"/>
      <c r="I10" s="817"/>
      <c r="P10" s="835"/>
      <c r="Q10" s="836"/>
      <c r="T10" s="214">
        <v>4</v>
      </c>
    </row>
    <row r="11" spans="1:20" ht="20.100000000000001" customHeight="1">
      <c r="A11" s="215"/>
      <c r="B11" s="554" t="s">
        <v>307</v>
      </c>
      <c r="C11" s="883" t="str">
        <f>VOS!B36</f>
        <v>What is the frequency of electronic calibration?</v>
      </c>
      <c r="D11" s="334" t="s">
        <v>271</v>
      </c>
      <c r="E11" s="752" t="str">
        <f>IFERROR(IF(OR(D20=10,NOT(ISNUMBER(D20))),"",IF(I11=I20,"Limiting","")),"")</f>
        <v>Limiting</v>
      </c>
      <c r="F11" s="327"/>
      <c r="G11" s="809">
        <f>IFERROR(IF(H9&lt;7,1,IF(LEN(D11)&gt;0,1,0)),"")</f>
        <v>1</v>
      </c>
      <c r="H11" s="817">
        <f>VLOOKUP('Interactive Data Grading'!D11,VOS!$D$6:$M$16,10,FALSE)</f>
        <v>7</v>
      </c>
      <c r="I11" s="818">
        <f>IF(AND(H11&gt;=7,H14&gt;=7),MAX(H11,9),IF(AND(H11&gt;3,H11&lt;7,H14&gt;3,H14&lt;7),MAX(H11,H14),IF(H14&gt;=7,MAX(7,H11),H11)))</f>
        <v>7</v>
      </c>
      <c r="P11" s="835" t="str">
        <f>VOS!C26</f>
        <v>&gt;75% - 90%</v>
      </c>
      <c r="Q11" s="836">
        <v>0</v>
      </c>
    </row>
    <row r="12" spans="1:20" ht="22.5" customHeight="1">
      <c r="A12" s="215"/>
      <c r="B12" s="554" t="s">
        <v>308</v>
      </c>
      <c r="C12" s="883" t="str">
        <f>VOS!B37</f>
        <v>What level of data transfer errors are checked as part of the electronic calibration process?</v>
      </c>
      <c r="D12" s="334" t="s">
        <v>807</v>
      </c>
      <c r="E12" s="752" t="str">
        <f t="shared" ref="E12:E13" si="0">IFERROR(IF(OR($D$20=10,NOT(ISNUMBER($D$20))),"",IF(I12=$I$20,"Limiting","")),"")</f>
        <v/>
      </c>
      <c r="F12" s="327"/>
      <c r="G12" s="809">
        <f>IFERROR(IF(H9&lt;7,1,IF(OR(D11=VOS!D23,D11=VOS!D27),1,IF(LEN(D12)&gt;0,1,0))),"")</f>
        <v>1</v>
      </c>
      <c r="H12" s="817">
        <f>VLOOKUP('Interactive Data Grading'!D12,VOS!$E$6:$M$16,9,FALSE)</f>
        <v>10</v>
      </c>
      <c r="I12" s="817">
        <f>H12</f>
        <v>10</v>
      </c>
      <c r="J12" s="809" t="s">
        <v>307</v>
      </c>
      <c r="P12" s="835"/>
      <c r="Q12" s="836"/>
    </row>
    <row r="13" spans="1:20" ht="20.100000000000001" customHeight="1">
      <c r="A13" s="215"/>
      <c r="B13" s="554" t="s">
        <v>309</v>
      </c>
      <c r="C13" s="883" t="str">
        <f>VOS!B38</f>
        <v>Is the most recent electronic calibration documentation available for review?</v>
      </c>
      <c r="D13" s="334" t="s">
        <v>262</v>
      </c>
      <c r="E13" s="752" t="str">
        <f t="shared" si="0"/>
        <v/>
      </c>
      <c r="F13" s="327"/>
      <c r="G13" s="819">
        <f>IFERROR(IF(H9&lt;7,1,IF(OR(D11=VOS!D23,D11=VOS!D27),1,IF(LEN(D13)&gt;0,1,0))),"")</f>
        <v>1</v>
      </c>
      <c r="H13" s="817">
        <f>VLOOKUP('Interactive Data Grading'!D13,VOS!$F$6:$M$16,8,FALSE)</f>
        <v>10</v>
      </c>
      <c r="I13" s="818" t="e">
        <f>IF(D11=VOS!D23,X,IF(AND(H13=5,H15=10),7,H13))</f>
        <v>#N/A</v>
      </c>
      <c r="J13" s="809" t="s">
        <v>307</v>
      </c>
      <c r="P13" s="917" t="str">
        <f>VOS!C27</f>
        <v>&gt;90% - 95%</v>
      </c>
      <c r="Q13" s="918">
        <v>1</v>
      </c>
    </row>
    <row r="14" spans="1:20" ht="20.25" customHeight="1">
      <c r="A14" s="215"/>
      <c r="B14" s="554" t="s">
        <v>310</v>
      </c>
      <c r="C14" s="883" t="str">
        <f>VOS!B39</f>
        <v>What is the frequency of in-situ flow accuracy testing?</v>
      </c>
      <c r="D14" s="334" t="s">
        <v>1186</v>
      </c>
      <c r="E14" s="752" t="str">
        <f t="shared" ref="E14:E19" si="1">IFERROR(IF(OR($D$20=10,NOT(ISNUMBER($D$20))),"",IF(I14=$I$20,"Limiting","")),"")</f>
        <v>Limiting</v>
      </c>
      <c r="F14" s="327"/>
      <c r="G14" s="809">
        <f>IF(D13=VOS!F23,1,IFERROR(IF(H9&lt;7,1,IF(LEN(D14)&gt;0,1,0)),""))</f>
        <v>1</v>
      </c>
      <c r="H14" s="817">
        <f>VLOOKUP('Interactive Data Grading'!D14,VOS!$G$6:$M$16,7,FALSE)</f>
        <v>3</v>
      </c>
      <c r="I14" s="818">
        <f>IF(AND(H11&gt;=7,H14&gt;=7),MAX(H14,9),IF(AND(H11&gt;3,H11&lt;7,H14&gt;3,H14&lt;7),MAX(H11,H14),IF(H11&gt;=7,MAX(7,H14),H14)))</f>
        <v>7</v>
      </c>
      <c r="P14" s="917" t="str">
        <f>VOS!C28</f>
        <v>&gt;95 - 99%</v>
      </c>
      <c r="Q14" s="918">
        <v>1</v>
      </c>
    </row>
    <row r="15" spans="1:20" ht="26.1" customHeight="1">
      <c r="A15" s="215"/>
      <c r="B15" s="554" t="s">
        <v>311</v>
      </c>
      <c r="C15" s="883" t="str">
        <f>VOS!B40</f>
        <v>Is the most recent in-situ flow accuracy testing documentation available for review?</v>
      </c>
      <c r="D15" s="334"/>
      <c r="E15" s="752" t="str">
        <f t="shared" si="1"/>
        <v/>
      </c>
      <c r="F15" s="327"/>
      <c r="G15" s="809">
        <f>IFERROR(IF(H9&lt;7,1,IF(D14=VOS!G23,1,IF(LEN(D15)&gt;0,1,0))),"")</f>
        <v>1</v>
      </c>
      <c r="H15" s="817" t="e">
        <f>VLOOKUP('Interactive Data Grading'!D15,VOS!$H$6:$M$16,6,FALSE)</f>
        <v>#N/A</v>
      </c>
      <c r="I15" s="818" t="e">
        <f>IF(D14=VOS!G23,X,IF(AND(H15=5,H13=10),7,H15))</f>
        <v>#NAME?</v>
      </c>
      <c r="J15" s="809" t="s">
        <v>309</v>
      </c>
      <c r="P15" s="919" t="s">
        <v>293</v>
      </c>
      <c r="Q15" s="920">
        <v>1</v>
      </c>
    </row>
    <row r="16" spans="1:20" ht="23.85" customHeight="1">
      <c r="A16" s="215"/>
      <c r="B16" s="554" t="s">
        <v>312</v>
      </c>
      <c r="C16" s="883" t="str">
        <f>VOS!B41</f>
        <v>What are the total volume-weighted average results of in-situ flow accuracy testing (during or closest to audit year)?</v>
      </c>
      <c r="D16" s="334"/>
      <c r="E16" s="752" t="str">
        <f t="shared" si="1"/>
        <v/>
      </c>
      <c r="F16" s="327"/>
      <c r="G16" s="809">
        <f>IFERROR(IF(H9&lt;7,1,IF(OR(D14=VOS!D23,D15=VOS!H23),1,IF(LEN(D16)&gt;0,1,0))),"")</f>
        <v>1</v>
      </c>
      <c r="H16" s="817" t="e">
        <f>VLOOKUP('Interactive Data Grading'!D16,VOS!$I$6:$M$16,5,FALSE)</f>
        <v>#N/A</v>
      </c>
      <c r="I16" s="818" t="e">
        <f>IF(OR(D14=VOS!D23,D15=VOS!H23),X,H16)</f>
        <v>#NAME?</v>
      </c>
      <c r="J16" s="809" t="s">
        <v>792</v>
      </c>
    </row>
    <row r="17" spans="1:18" ht="32.85" customHeight="1">
      <c r="A17" s="215"/>
      <c r="B17" s="554" t="s">
        <v>313</v>
      </c>
      <c r="C17" s="883" t="str">
        <f>VOS!B42</f>
        <v>Have testing and calibration procedures been closely scrutinized for compliance with procedures described in the AWWA M36 and/or M33 Manual(s)?</v>
      </c>
      <c r="D17" s="334" t="s">
        <v>269</v>
      </c>
      <c r="E17" s="752" t="str">
        <f t="shared" si="1"/>
        <v/>
      </c>
      <c r="F17" s="327"/>
      <c r="G17" s="809">
        <f>IFERROR(IF(H9&lt;7,1,IF(AND(OR(D11=VOS!D23,D11=VOS!D27),D14=VOS!G23),1,IF(LEN(D17)&gt;0,1,0))),"")</f>
        <v>1</v>
      </c>
      <c r="H17" s="817">
        <f>VLOOKUP('Interactive Data Grading'!D17,VOS!$J$6:$M$16,4,FALSE)</f>
        <v>9</v>
      </c>
      <c r="I17" s="818" t="e">
        <f>IF(OR(D14=VOS!D23,D15=VOS!H23),X,H17)</f>
        <v>#NAME?</v>
      </c>
      <c r="J17" s="819" t="s">
        <v>881</v>
      </c>
    </row>
    <row r="18" spans="1:18" ht="22.35" customHeight="1">
      <c r="A18" s="215"/>
      <c r="B18" s="554" t="s">
        <v>314</v>
      </c>
      <c r="C18" s="883" t="str">
        <f>VOS!B43</f>
        <v>Which best describes the frequency of finished water meter readings?</v>
      </c>
      <c r="D18" s="334" t="s">
        <v>324</v>
      </c>
      <c r="E18" s="752" t="str">
        <f t="shared" si="1"/>
        <v/>
      </c>
      <c r="F18" s="327"/>
      <c r="G18" s="809">
        <f>IFERROR(IF(H9&lt;7,1,IF(LEN(D18)&gt;0,1,0)),"")</f>
        <v>1</v>
      </c>
      <c r="H18" s="817">
        <f>VLOOKUP('Interactive Data Grading'!D18,VOS!$K$6:$M$16,3,FALSE)</f>
        <v>10</v>
      </c>
      <c r="I18" s="817">
        <f>H18</f>
        <v>10</v>
      </c>
    </row>
    <row r="19" spans="1:18" ht="37.35" customHeight="1">
      <c r="A19" s="215"/>
      <c r="B19" s="554" t="s">
        <v>795</v>
      </c>
      <c r="C19" s="883" t="str">
        <f>VOS!B44</f>
        <v>Which best describes the frequency of data review for anomalies/errors? These can include numbers that are outside of typical patterns, and zero or 'null' values that may reflect a gap in data recording.</v>
      </c>
      <c r="D19" s="334" t="s">
        <v>723</v>
      </c>
      <c r="E19" s="752" t="str">
        <f t="shared" si="1"/>
        <v/>
      </c>
      <c r="F19" s="327"/>
      <c r="G19" s="809">
        <f>IFERROR(IF(H9&lt;7,1,IF(LEN(D19)&gt;0,1,0)),"")</f>
        <v>1</v>
      </c>
      <c r="H19" s="817">
        <f>VLOOKUP('Interactive Data Grading'!D19,VOS!$L$6:$M$16,2,FALSE)</f>
        <v>10</v>
      </c>
      <c r="I19" s="817">
        <f>H19</f>
        <v>10</v>
      </c>
    </row>
    <row r="20" spans="1:18" ht="27.6" customHeight="1">
      <c r="A20" s="215"/>
      <c r="B20" s="215"/>
      <c r="C20" s="570" t="s">
        <v>315</v>
      </c>
      <c r="D20" s="755">
        <f>IF(D8="","",IF(D8="No","n/a",IF(G20=0,"",IF(R7=0,H9,I20))))</f>
        <v>7</v>
      </c>
      <c r="E20" s="752"/>
      <c r="F20" s="327"/>
      <c r="G20" s="810">
        <f>MIN(G9:G19)</f>
        <v>1</v>
      </c>
      <c r="H20" s="820" t="e">
        <f>MIN(H9:H19)</f>
        <v>#N/A</v>
      </c>
      <c r="I20" s="820">
        <f t="array" ref="I20">MIN(IF(ISNUMBER(I9:I19),I9:I19))</f>
        <v>7</v>
      </c>
      <c r="J20" s="810" t="s">
        <v>656</v>
      </c>
    </row>
    <row r="21" spans="1:18" s="470" customFormat="1" ht="16.350000000000001" customHeight="1">
      <c r="C21" s="567"/>
      <c r="D21" s="567"/>
      <c r="E21" s="847"/>
      <c r="G21" s="821"/>
      <c r="H21" s="821"/>
      <c r="I21" s="822"/>
      <c r="J21" s="821"/>
      <c r="K21" s="821"/>
      <c r="L21" s="821"/>
      <c r="M21" s="821"/>
      <c r="N21" s="821"/>
      <c r="O21" s="821"/>
      <c r="P21" s="821"/>
      <c r="Q21" s="821"/>
      <c r="R21" s="821"/>
    </row>
    <row r="22" spans="1:18" s="470" customFormat="1" ht="16.350000000000001" customHeight="1">
      <c r="C22" s="567"/>
      <c r="D22" s="567"/>
      <c r="E22" s="847"/>
      <c r="G22" s="821"/>
      <c r="H22" s="821"/>
      <c r="I22" s="822"/>
      <c r="J22" s="821"/>
      <c r="K22" s="821"/>
      <c r="L22" s="821"/>
      <c r="M22" s="821"/>
      <c r="N22" s="821"/>
      <c r="O22" s="821"/>
      <c r="P22" s="821"/>
      <c r="Q22" s="821"/>
      <c r="R22" s="821"/>
    </row>
    <row r="23" spans="1:18" s="470" customFormat="1" ht="8.1" customHeight="1">
      <c r="C23" s="567"/>
      <c r="D23" s="567"/>
      <c r="E23" s="847"/>
      <c r="G23" s="821"/>
      <c r="H23" s="821"/>
      <c r="I23" s="822"/>
      <c r="J23" s="821"/>
      <c r="K23" s="821"/>
      <c r="L23" s="821"/>
      <c r="M23" s="821"/>
      <c r="N23" s="821"/>
      <c r="O23" s="821"/>
      <c r="P23" s="821"/>
      <c r="Q23" s="821"/>
      <c r="R23" s="821"/>
    </row>
    <row r="24" spans="1:18" s="470" customFormat="1" ht="8.4499999999999993" customHeight="1">
      <c r="C24" s="567"/>
      <c r="D24" s="567"/>
      <c r="E24" s="847"/>
      <c r="G24" s="821"/>
      <c r="H24" s="821"/>
      <c r="I24" s="822"/>
      <c r="J24" s="821"/>
      <c r="K24" s="821"/>
      <c r="L24" s="821"/>
      <c r="M24" s="821"/>
      <c r="N24" s="821"/>
      <c r="O24" s="821"/>
      <c r="P24" s="821"/>
      <c r="Q24" s="821"/>
      <c r="R24" s="821"/>
    </row>
    <row r="25" spans="1:18" s="470" customFormat="1" ht="7.35" customHeight="1">
      <c r="C25" s="567"/>
      <c r="D25" s="567"/>
      <c r="E25" s="847"/>
      <c r="G25" s="821"/>
      <c r="H25" s="821"/>
      <c r="I25" s="822"/>
      <c r="J25" s="821"/>
      <c r="K25" s="821"/>
      <c r="L25" s="821"/>
      <c r="M25" s="821"/>
      <c r="N25" s="821"/>
      <c r="O25" s="821"/>
      <c r="P25" s="821"/>
      <c r="Q25" s="821"/>
      <c r="R25" s="821"/>
    </row>
    <row r="26" spans="1:18" s="470" customFormat="1" ht="8.1" customHeight="1">
      <c r="C26" s="567"/>
      <c r="D26" s="567"/>
      <c r="E26" s="847"/>
      <c r="G26" s="821"/>
      <c r="H26" s="821"/>
      <c r="I26" s="822"/>
      <c r="J26" s="821"/>
      <c r="K26" s="821"/>
      <c r="L26" s="821"/>
      <c r="M26" s="821"/>
      <c r="N26" s="821"/>
      <c r="O26" s="821"/>
      <c r="P26" s="821"/>
      <c r="Q26" s="821"/>
      <c r="R26" s="821"/>
    </row>
    <row r="27" spans="1:18" s="470" customFormat="1" ht="8.1" customHeight="1">
      <c r="C27" s="567"/>
      <c r="D27" s="567"/>
      <c r="E27" s="847"/>
      <c r="G27" s="821"/>
      <c r="H27" s="821"/>
      <c r="I27" s="822"/>
      <c r="J27" s="821"/>
      <c r="K27" s="821"/>
      <c r="L27" s="821"/>
      <c r="M27" s="821"/>
      <c r="N27" s="821"/>
      <c r="O27" s="821"/>
      <c r="P27" s="821"/>
      <c r="Q27" s="821"/>
      <c r="R27" s="821"/>
    </row>
    <row r="28" spans="1:18" s="470" customFormat="1" ht="8.1" customHeight="1">
      <c r="C28" s="567"/>
      <c r="D28" s="567"/>
      <c r="E28" s="847"/>
      <c r="G28" s="821"/>
      <c r="H28" s="821"/>
      <c r="I28" s="822"/>
      <c r="J28" s="821"/>
      <c r="K28" s="821"/>
      <c r="L28" s="821"/>
      <c r="M28" s="821"/>
      <c r="N28" s="821"/>
      <c r="O28" s="821"/>
      <c r="P28" s="821"/>
      <c r="Q28" s="821"/>
      <c r="R28" s="821"/>
    </row>
    <row r="29" spans="1:18" s="470" customFormat="1" ht="8.1" customHeight="1">
      <c r="C29" s="567"/>
      <c r="D29" s="567"/>
      <c r="E29" s="847"/>
      <c r="G29" s="821"/>
      <c r="H29" s="821"/>
      <c r="I29" s="822"/>
      <c r="J29" s="821"/>
      <c r="K29" s="821"/>
      <c r="L29" s="821"/>
      <c r="M29" s="821"/>
      <c r="N29" s="821"/>
      <c r="O29" s="821"/>
      <c r="P29" s="821"/>
      <c r="Q29" s="821"/>
      <c r="R29" s="821"/>
    </row>
    <row r="30" spans="1:18" s="470" customFormat="1" ht="8.1" customHeight="1">
      <c r="C30" s="567"/>
      <c r="D30" s="567"/>
      <c r="E30" s="847"/>
      <c r="G30" s="821"/>
      <c r="H30" s="821"/>
      <c r="I30" s="822"/>
      <c r="J30" s="821"/>
      <c r="K30" s="821"/>
      <c r="L30" s="821"/>
      <c r="M30" s="821"/>
      <c r="N30" s="821"/>
      <c r="O30" s="821"/>
      <c r="P30" s="821"/>
      <c r="Q30" s="821"/>
      <c r="R30" s="821"/>
    </row>
    <row r="31" spans="1:18" s="470" customFormat="1" ht="8.1" customHeight="1">
      <c r="C31" s="567"/>
      <c r="D31" s="567"/>
      <c r="E31" s="847"/>
      <c r="G31" s="821"/>
      <c r="H31" s="821"/>
      <c r="I31" s="822"/>
      <c r="J31" s="821"/>
      <c r="K31" s="821"/>
      <c r="L31" s="821"/>
      <c r="M31" s="821"/>
      <c r="N31" s="821"/>
      <c r="O31" s="821"/>
      <c r="P31" s="821"/>
      <c r="Q31" s="821"/>
      <c r="R31" s="821"/>
    </row>
    <row r="32" spans="1:18" s="470" customFormat="1" ht="8.4499999999999993" customHeight="1">
      <c r="C32" s="567"/>
      <c r="D32" s="567"/>
      <c r="E32" s="847"/>
      <c r="G32" s="821"/>
      <c r="H32" s="821"/>
      <c r="I32" s="822"/>
      <c r="J32" s="821"/>
      <c r="K32" s="821"/>
      <c r="L32" s="821"/>
      <c r="M32" s="821"/>
      <c r="N32" s="821"/>
      <c r="O32" s="821"/>
      <c r="P32" s="821"/>
      <c r="Q32" s="821"/>
      <c r="R32" s="821"/>
    </row>
    <row r="33" spans="1:18" s="470" customFormat="1" ht="8.4499999999999993" customHeight="1">
      <c r="C33" s="567"/>
      <c r="D33" s="567"/>
      <c r="E33" s="847"/>
      <c r="G33" s="821"/>
      <c r="H33" s="821"/>
      <c r="I33" s="822"/>
      <c r="J33" s="821"/>
      <c r="K33" s="821"/>
      <c r="L33" s="821"/>
      <c r="M33" s="821"/>
      <c r="N33" s="821"/>
      <c r="O33" s="821"/>
      <c r="P33" s="821"/>
      <c r="Q33" s="821"/>
      <c r="R33" s="821"/>
    </row>
    <row r="34" spans="1:18" s="470" customFormat="1" ht="8.4499999999999993" customHeight="1">
      <c r="C34" s="567"/>
      <c r="D34" s="567"/>
      <c r="E34" s="847"/>
      <c r="G34" s="821"/>
      <c r="H34" s="821"/>
      <c r="I34" s="822"/>
      <c r="J34" s="821"/>
      <c r="K34" s="821"/>
      <c r="L34" s="821"/>
      <c r="M34" s="821"/>
      <c r="N34" s="821"/>
      <c r="O34" s="821"/>
      <c r="P34" s="821"/>
      <c r="Q34" s="821"/>
      <c r="R34" s="821"/>
    </row>
    <row r="35" spans="1:18" s="470" customFormat="1" ht="16.350000000000001" customHeight="1">
      <c r="C35" s="567"/>
      <c r="D35" s="567"/>
      <c r="E35" s="847"/>
      <c r="G35" s="821"/>
      <c r="H35" s="821"/>
      <c r="I35" s="822"/>
      <c r="J35" s="821"/>
      <c r="K35" s="821"/>
      <c r="L35" s="821"/>
      <c r="M35" s="821"/>
      <c r="N35" s="821"/>
      <c r="O35" s="821"/>
      <c r="P35" s="821"/>
      <c r="Q35" s="821"/>
      <c r="R35" s="821"/>
    </row>
    <row r="36" spans="1:18" s="470" customFormat="1" ht="16.350000000000001" customHeight="1">
      <c r="A36" s="1066" t="s">
        <v>1137</v>
      </c>
      <c r="B36" s="1067"/>
      <c r="C36" s="1057" t="s">
        <v>344</v>
      </c>
      <c r="D36" s="1057"/>
      <c r="E36" s="891" t="s">
        <v>1138</v>
      </c>
      <c r="G36" s="821"/>
      <c r="H36" s="821" t="s">
        <v>532</v>
      </c>
      <c r="I36" s="822"/>
      <c r="J36" s="821"/>
      <c r="K36" s="821"/>
      <c r="L36" s="821"/>
      <c r="M36" s="821"/>
      <c r="N36" s="821"/>
      <c r="O36" s="821"/>
      <c r="P36" s="821"/>
      <c r="Q36" s="821"/>
      <c r="R36" s="821"/>
    </row>
    <row r="37" spans="1:18" ht="9.75" customHeight="1">
      <c r="A37" s="215"/>
      <c r="B37" s="215"/>
      <c r="C37" s="215"/>
      <c r="D37" s="215"/>
      <c r="E37" s="753"/>
      <c r="F37" s="327"/>
      <c r="H37" s="813"/>
      <c r="I37" s="813"/>
    </row>
    <row r="38" spans="1:18" s="575" customFormat="1" ht="12">
      <c r="A38" s="571"/>
      <c r="B38" s="572" t="s">
        <v>358</v>
      </c>
      <c r="C38" s="573" t="s">
        <v>305</v>
      </c>
      <c r="D38" s="573" t="s">
        <v>663</v>
      </c>
      <c r="E38" s="752"/>
      <c r="F38" s="574"/>
      <c r="G38" s="814"/>
      <c r="H38" s="815" t="s">
        <v>303</v>
      </c>
      <c r="I38" s="815"/>
      <c r="J38" s="814" t="s">
        <v>794</v>
      </c>
      <c r="K38" s="814"/>
      <c r="L38" s="814"/>
      <c r="M38" s="814"/>
      <c r="N38" s="814"/>
      <c r="O38" s="814"/>
      <c r="P38" s="814"/>
      <c r="Q38" s="814"/>
      <c r="R38" s="814"/>
    </row>
    <row r="39" spans="1:18" ht="27.6" customHeight="1">
      <c r="A39" s="215"/>
      <c r="B39" s="554" t="s">
        <v>339</v>
      </c>
      <c r="C39" s="884" t="str">
        <f>VOSEA!B34</f>
        <v>Are tank levels monitored automatically &amp; recorded daily?</v>
      </c>
      <c r="D39" s="334" t="s">
        <v>262</v>
      </c>
      <c r="E39" s="752" t="str">
        <f>IFERROR(IF(OR($D$43="",$H39=10,NOT(ISNUMBER($H39))),"",IF(H39=$H$43,"Limiting","")),"")</f>
        <v/>
      </c>
      <c r="F39" s="327"/>
      <c r="G39" s="823">
        <f t="shared" ref="G39" si="2">IF(LEN(D39)&gt;0,1,0)</f>
        <v>1</v>
      </c>
      <c r="H39" s="817">
        <f>VLOOKUP('Interactive Data Grading'!D39,VOSEA!$C$6:$G$18,5,FALSE)</f>
        <v>10</v>
      </c>
      <c r="I39" s="816"/>
    </row>
    <row r="40" spans="1:18" ht="27.6" customHeight="1">
      <c r="A40" s="215"/>
      <c r="B40" s="554" t="s">
        <v>340</v>
      </c>
      <c r="C40" s="884" t="str">
        <f>VOSEA!B35</f>
        <v>Are daily changes of stored water volumes in distribution system tanks included in the tabulation of the daily "Volume from Own Sources" quantity?</v>
      </c>
      <c r="D40" s="334" t="s">
        <v>269</v>
      </c>
      <c r="E40" s="752" t="str">
        <f t="shared" ref="E40:E42" si="3">IFERROR(IF(OR($D$43="",$H40=10,NOT(ISNUMBER($H40))),"",IF(H40=$H$43,"Limiting","")),"")</f>
        <v/>
      </c>
      <c r="F40" s="327"/>
      <c r="G40" s="823">
        <f>IF(OR(LEN(D40)&gt;0,D39=VOSEA!$C$23),1,0)</f>
        <v>1</v>
      </c>
      <c r="H40" s="817">
        <f>VLOOKUP('Interactive Data Grading'!D40,VOSEA!$D$6:$G$18,4,FALSE)</f>
        <v>8</v>
      </c>
      <c r="I40" s="816"/>
      <c r="J40" s="809" t="s">
        <v>339</v>
      </c>
    </row>
    <row r="41" spans="1:18" ht="27.6" customHeight="1">
      <c r="A41" s="215"/>
      <c r="B41" s="554" t="s">
        <v>341</v>
      </c>
      <c r="C41" s="884" t="str">
        <f>VOSEA!B36</f>
        <v>Is the annual net distribution storage change included in either the VOS input or the VOSEA input?</v>
      </c>
      <c r="D41" s="334" t="s">
        <v>269</v>
      </c>
      <c r="E41" s="752" t="str">
        <f t="shared" si="3"/>
        <v/>
      </c>
      <c r="F41" s="327"/>
      <c r="G41" s="823">
        <f t="shared" ref="G41:G42" si="4">IF(LEN(D41)&gt;0,1,0)</f>
        <v>1</v>
      </c>
      <c r="H41" s="817">
        <f>VLOOKUP('Interactive Data Grading'!D41,VOSEA!$E$6:$G$18,3,FALSE)</f>
        <v>9</v>
      </c>
      <c r="I41" s="816"/>
    </row>
    <row r="42" spans="1:18" ht="27.6" customHeight="1">
      <c r="A42" s="215"/>
      <c r="B42" s="554" t="s">
        <v>342</v>
      </c>
      <c r="C42" s="884" t="str">
        <f>VOSEA!B37</f>
        <v>Are the flow accuracy test and/or electronic calibration results included in the VOSEA input in the water audit?</v>
      </c>
      <c r="D42" s="334" t="s">
        <v>1185</v>
      </c>
      <c r="E42" s="752" t="str">
        <f t="shared" si="3"/>
        <v>Limiting</v>
      </c>
      <c r="F42" s="327"/>
      <c r="G42" s="823">
        <f t="shared" si="4"/>
        <v>1</v>
      </c>
      <c r="H42" s="817">
        <f>VLOOKUP('Interactive Data Grading'!D42,VOSEA!$F$6:$G$18,2,FALSE)</f>
        <v>4</v>
      </c>
      <c r="I42" s="816"/>
    </row>
    <row r="43" spans="1:18" ht="27.6" customHeight="1">
      <c r="A43" s="215"/>
      <c r="B43" s="215"/>
      <c r="C43" s="570" t="s">
        <v>315</v>
      </c>
      <c r="D43" s="755">
        <f>IFERROR(IF(D8="No","n/a",IF(G43=0,"",H43)),"")</f>
        <v>4</v>
      </c>
      <c r="E43" s="752"/>
      <c r="F43" s="327"/>
      <c r="G43" s="823">
        <f>MIN(G39:G42)</f>
        <v>1</v>
      </c>
      <c r="H43" s="820">
        <f t="array" ref="H43">MIN(IF(ISNUMBER(H39:H42),H39:H42))</f>
        <v>4</v>
      </c>
      <c r="I43" s="816"/>
    </row>
    <row r="44" spans="1:18" s="470" customFormat="1" ht="16.350000000000001" customHeight="1">
      <c r="C44" s="567"/>
      <c r="D44" s="655" t="str">
        <f>IF(AND(D41="Yes",LEN(Worksheet!O15)=0,LEN(Worksheet!Q15)=0),"Please check consistency of inputs with vosea.3 - no adjustment entered on Worksheet","")</f>
        <v/>
      </c>
      <c r="E44" s="847"/>
      <c r="G44" s="821"/>
      <c r="H44" s="821"/>
      <c r="I44" s="822"/>
      <c r="J44" s="821"/>
      <c r="K44" s="821"/>
      <c r="L44" s="821"/>
      <c r="M44" s="821"/>
      <c r="N44" s="821"/>
      <c r="O44" s="821"/>
      <c r="P44" s="821"/>
      <c r="Q44" s="821"/>
      <c r="R44" s="821"/>
    </row>
    <row r="45" spans="1:18" s="470" customFormat="1" ht="16.350000000000001" customHeight="1">
      <c r="C45" s="567"/>
      <c r="D45" s="567"/>
      <c r="E45" s="847"/>
      <c r="G45" s="821"/>
      <c r="H45" s="821"/>
      <c r="I45" s="822"/>
      <c r="J45" s="821"/>
      <c r="K45" s="821"/>
      <c r="L45" s="821"/>
      <c r="M45" s="821"/>
      <c r="N45" s="821"/>
      <c r="O45" s="821"/>
      <c r="P45" s="821"/>
      <c r="Q45" s="821"/>
      <c r="R45" s="821"/>
    </row>
    <row r="46" spans="1:18" s="470" customFormat="1" ht="16.350000000000001" customHeight="1">
      <c r="C46" s="567"/>
      <c r="D46" s="567"/>
      <c r="E46" s="847"/>
      <c r="G46" s="821"/>
      <c r="H46" s="821"/>
      <c r="I46" s="822"/>
      <c r="J46" s="821"/>
      <c r="K46" s="821"/>
      <c r="L46" s="821"/>
      <c r="M46" s="821"/>
      <c r="N46" s="821"/>
      <c r="O46" s="821"/>
      <c r="P46" s="821"/>
      <c r="Q46" s="821"/>
      <c r="R46" s="821"/>
    </row>
    <row r="47" spans="1:18" s="470" customFormat="1" ht="16.350000000000001" customHeight="1">
      <c r="C47" s="567"/>
      <c r="D47" s="567"/>
      <c r="E47" s="847"/>
      <c r="G47" s="821"/>
      <c r="H47" s="821"/>
      <c r="I47" s="822"/>
      <c r="J47" s="821"/>
      <c r="K47" s="821"/>
      <c r="L47" s="821"/>
      <c r="M47" s="821"/>
      <c r="N47" s="821"/>
      <c r="O47" s="821"/>
      <c r="P47" s="821"/>
      <c r="Q47" s="821"/>
      <c r="R47" s="821"/>
    </row>
    <row r="48" spans="1:18" s="470" customFormat="1" ht="16.350000000000001" customHeight="1">
      <c r="C48" s="567"/>
      <c r="D48" s="567"/>
      <c r="E48" s="847"/>
      <c r="G48" s="821"/>
      <c r="H48" s="821"/>
      <c r="I48" s="822"/>
      <c r="J48" s="821"/>
      <c r="K48" s="821"/>
      <c r="L48" s="821"/>
      <c r="M48" s="821"/>
      <c r="N48" s="821"/>
      <c r="O48" s="821"/>
      <c r="P48" s="821"/>
      <c r="Q48" s="821"/>
      <c r="R48" s="821"/>
    </row>
    <row r="49" spans="1:18" s="470" customFormat="1" ht="16.350000000000001" customHeight="1">
      <c r="C49" s="567"/>
      <c r="D49" s="567"/>
      <c r="E49" s="847"/>
      <c r="G49" s="821"/>
      <c r="H49" s="821"/>
      <c r="I49" s="822"/>
      <c r="J49" s="821"/>
      <c r="K49" s="821"/>
      <c r="L49" s="821"/>
      <c r="M49" s="821"/>
      <c r="N49" s="821"/>
      <c r="O49" s="821"/>
      <c r="P49" s="821"/>
      <c r="Q49" s="821"/>
      <c r="R49" s="821"/>
    </row>
    <row r="50" spans="1:18" s="470" customFormat="1" ht="16.350000000000001" customHeight="1">
      <c r="C50" s="567"/>
      <c r="D50" s="567"/>
      <c r="E50" s="847"/>
      <c r="G50" s="821"/>
      <c r="H50" s="821"/>
      <c r="I50" s="822"/>
      <c r="J50" s="821"/>
      <c r="K50" s="821"/>
      <c r="L50" s="821"/>
      <c r="M50" s="821"/>
      <c r="N50" s="821"/>
      <c r="O50" s="821"/>
      <c r="P50" s="821"/>
      <c r="Q50" s="821"/>
      <c r="R50" s="821"/>
    </row>
    <row r="51" spans="1:18" s="470" customFormat="1" ht="16.350000000000001" customHeight="1">
      <c r="C51" s="567"/>
      <c r="D51" s="567"/>
      <c r="E51" s="847"/>
      <c r="G51" s="821"/>
      <c r="H51" s="821"/>
      <c r="I51" s="822"/>
      <c r="J51" s="821"/>
      <c r="K51" s="821"/>
      <c r="L51" s="821"/>
      <c r="M51" s="821"/>
      <c r="N51" s="821"/>
      <c r="O51" s="821"/>
      <c r="P51" s="821"/>
      <c r="Q51" s="821"/>
      <c r="R51" s="821"/>
    </row>
    <row r="52" spans="1:18" s="470" customFormat="1" ht="16.350000000000001" customHeight="1">
      <c r="C52" s="567"/>
      <c r="D52" s="567"/>
      <c r="E52" s="847"/>
      <c r="G52" s="821"/>
      <c r="H52" s="821"/>
      <c r="I52" s="822"/>
      <c r="J52" s="821"/>
      <c r="K52" s="821"/>
      <c r="L52" s="821"/>
      <c r="M52" s="821"/>
      <c r="N52" s="821"/>
      <c r="O52" s="821"/>
      <c r="P52" s="821"/>
      <c r="Q52" s="821"/>
      <c r="R52" s="821"/>
    </row>
    <row r="53" spans="1:18" s="470" customFormat="1" ht="16.350000000000001" customHeight="1">
      <c r="C53" s="567"/>
      <c r="D53" s="567"/>
      <c r="E53" s="847"/>
      <c r="G53" s="821"/>
      <c r="H53" s="821"/>
      <c r="I53" s="822"/>
      <c r="J53" s="821"/>
      <c r="K53" s="821"/>
      <c r="L53" s="821"/>
      <c r="M53" s="821"/>
      <c r="N53" s="821"/>
      <c r="O53" s="821"/>
      <c r="P53" s="821"/>
      <c r="Q53" s="821"/>
      <c r="R53" s="821"/>
    </row>
    <row r="54" spans="1:18" s="470" customFormat="1" ht="16.350000000000001" customHeight="1">
      <c r="C54" s="567"/>
      <c r="D54" s="567"/>
      <c r="E54" s="847"/>
      <c r="G54" s="821"/>
      <c r="H54" s="821"/>
      <c r="I54" s="822"/>
      <c r="J54" s="821"/>
      <c r="K54" s="821"/>
      <c r="L54" s="821"/>
      <c r="M54" s="821"/>
      <c r="N54" s="821"/>
      <c r="O54" s="821"/>
      <c r="P54" s="821"/>
      <c r="Q54" s="821"/>
      <c r="R54" s="821"/>
    </row>
    <row r="55" spans="1:18" s="470" customFormat="1" ht="16.350000000000001" customHeight="1">
      <c r="C55" s="567"/>
      <c r="D55" s="567"/>
      <c r="E55" s="847"/>
      <c r="G55" s="821"/>
      <c r="H55" s="821"/>
      <c r="I55" s="822"/>
      <c r="J55" s="821"/>
      <c r="K55" s="821"/>
      <c r="L55" s="821"/>
      <c r="M55" s="821"/>
      <c r="N55" s="821"/>
      <c r="O55" s="821"/>
      <c r="P55" s="821"/>
      <c r="Q55" s="821"/>
      <c r="R55" s="821"/>
    </row>
    <row r="56" spans="1:18" s="470" customFormat="1" ht="16.5" customHeight="1">
      <c r="C56" s="567"/>
      <c r="D56" s="567"/>
      <c r="E56" s="847"/>
      <c r="G56" s="821"/>
      <c r="H56" s="821"/>
      <c r="I56" s="822"/>
      <c r="J56" s="821"/>
      <c r="K56" s="821"/>
      <c r="L56" s="821"/>
      <c r="M56" s="821"/>
      <c r="N56" s="821"/>
      <c r="O56" s="821"/>
      <c r="P56" s="821"/>
      <c r="Q56" s="821"/>
      <c r="R56" s="821"/>
    </row>
    <row r="57" spans="1:18" s="470" customFormat="1" ht="20.45" customHeight="1">
      <c r="C57" s="567"/>
      <c r="D57" s="567"/>
      <c r="E57" s="847"/>
      <c r="G57" s="821"/>
      <c r="H57" s="821"/>
      <c r="I57" s="822"/>
      <c r="J57" s="821"/>
      <c r="K57" s="821"/>
      <c r="L57" s="821"/>
      <c r="M57" s="821"/>
      <c r="N57" s="821"/>
      <c r="O57" s="821"/>
      <c r="P57" s="821"/>
      <c r="Q57" s="821"/>
      <c r="R57" s="821"/>
    </row>
    <row r="58" spans="1:18" s="470" customFormat="1" ht="20.45" customHeight="1">
      <c r="C58" s="567"/>
      <c r="D58" s="567"/>
      <c r="E58" s="847"/>
      <c r="G58" s="821"/>
      <c r="H58" s="821"/>
      <c r="I58" s="822"/>
      <c r="J58" s="821"/>
      <c r="K58" s="821"/>
      <c r="L58" s="821"/>
      <c r="M58" s="821"/>
      <c r="N58" s="821"/>
      <c r="O58" s="821"/>
      <c r="P58" s="821"/>
      <c r="Q58" s="821"/>
      <c r="R58" s="821"/>
    </row>
    <row r="59" spans="1:18" s="470" customFormat="1" ht="16.350000000000001" customHeight="1">
      <c r="A59" s="1066" t="s">
        <v>1137</v>
      </c>
      <c r="B59" s="1067"/>
      <c r="C59" s="1057" t="s">
        <v>359</v>
      </c>
      <c r="D59" s="1057"/>
      <c r="E59" s="891" t="s">
        <v>1138</v>
      </c>
      <c r="G59" s="821"/>
      <c r="H59" s="821"/>
      <c r="I59" s="822"/>
      <c r="J59" s="821"/>
      <c r="K59" s="821"/>
      <c r="L59" s="821"/>
      <c r="M59" s="821"/>
      <c r="N59" s="821"/>
      <c r="O59" s="821"/>
      <c r="P59" s="821"/>
      <c r="Q59" s="821"/>
      <c r="R59" s="821"/>
    </row>
    <row r="60" spans="1:18" ht="12.6" customHeight="1">
      <c r="A60" s="215"/>
      <c r="B60" s="215"/>
      <c r="C60" s="1065" t="str">
        <f>IF(OR(AND(D62="Yes",Worksheet!H16&gt;0),AND(D62="No",Worksheet!H16&lt;=0),LEN(D62)=0),"","Inconsistency between Worksheet WI input and Wi.0 response")</f>
        <v/>
      </c>
      <c r="D60" s="1065"/>
      <c r="E60" s="753"/>
      <c r="F60" s="327"/>
      <c r="H60" s="813"/>
      <c r="I60" s="813"/>
    </row>
    <row r="61" spans="1:18" s="575" customFormat="1" ht="12">
      <c r="A61" s="571"/>
      <c r="B61" s="572" t="s">
        <v>360</v>
      </c>
      <c r="C61" s="573" t="s">
        <v>305</v>
      </c>
      <c r="D61" s="573" t="s">
        <v>663</v>
      </c>
      <c r="E61" s="752"/>
      <c r="F61" s="574"/>
      <c r="G61" s="814"/>
      <c r="H61" s="815" t="s">
        <v>303</v>
      </c>
      <c r="I61" s="815" t="s">
        <v>296</v>
      </c>
      <c r="J61" s="814" t="s">
        <v>794</v>
      </c>
      <c r="K61" s="814"/>
      <c r="L61" s="814"/>
      <c r="M61" s="814"/>
      <c r="N61" s="814"/>
      <c r="O61" s="814"/>
      <c r="P61" s="814"/>
      <c r="Q61" s="814"/>
      <c r="R61" s="814"/>
    </row>
    <row r="62" spans="1:18" ht="18" customHeight="1">
      <c r="A62" s="215"/>
      <c r="B62" s="554" t="s">
        <v>441</v>
      </c>
      <c r="C62" s="883" t="str">
        <f>WI!B34</f>
        <v>Did the water utility import any water during the audit year?</v>
      </c>
      <c r="D62" s="329" t="s">
        <v>269</v>
      </c>
      <c r="E62" s="752"/>
      <c r="F62" s="327"/>
      <c r="I62" s="816"/>
      <c r="J62" s="809" t="s">
        <v>793</v>
      </c>
    </row>
    <row r="63" spans="1:18" ht="17.45" customHeight="1">
      <c r="A63" s="215"/>
      <c r="B63" s="554" t="s">
        <v>347</v>
      </c>
      <c r="C63" s="883" t="str">
        <f>WI!B35</f>
        <v>What percent of water imported is metered?</v>
      </c>
      <c r="D63" s="329"/>
      <c r="E63" s="752" t="str">
        <f>IF(OR(D74=10,NOT(ISNUMBER(D74))),"",IF(I63=I74,"Limiting",IF(VLOOKUP(D63,$P$7:$Q$15,2,FALSE)=0,"Limiting","")))</f>
        <v/>
      </c>
      <c r="F63" s="327"/>
      <c r="G63" s="809">
        <f>IF(LEN(D63)&gt;0,1,0)</f>
        <v>0</v>
      </c>
      <c r="H63" s="817" t="e">
        <f>VLOOKUP('Interactive Data Grading'!D63,WI!$C$6:$M$16,11,FALSE)</f>
        <v>#N/A</v>
      </c>
      <c r="I63" s="817" t="e">
        <f>H63</f>
        <v>#N/A</v>
      </c>
    </row>
    <row r="64" spans="1:18" ht="67.5" customHeight="1">
      <c r="A64" s="215"/>
      <c r="C64" s="1063" t="s">
        <v>1236</v>
      </c>
      <c r="D64" s="1064"/>
      <c r="E64" s="752"/>
      <c r="F64" s="327"/>
      <c r="H64" s="817"/>
      <c r="I64" s="818"/>
    </row>
    <row r="65" spans="1:18" ht="18" customHeight="1">
      <c r="A65" s="215"/>
      <c r="B65" s="554" t="s">
        <v>348</v>
      </c>
      <c r="C65" s="883" t="str">
        <f>WI!B36</f>
        <v>What is the frequency of electronic calibration?</v>
      </c>
      <c r="D65" s="329"/>
      <c r="E65" s="752" t="str">
        <f>IFERROR(IF(OR($D$74=10,NOT(ISNUMBER($D$74))),"",IF(I65=$I$74,"Limiting","")),"")</f>
        <v/>
      </c>
      <c r="F65" s="327"/>
      <c r="G65" s="809" t="str">
        <f>IFERROR(IF(H63&lt;7,1,IF(LEN(D65)&gt;0,1,0)),"")</f>
        <v/>
      </c>
      <c r="H65" s="817" t="e">
        <f>VLOOKUP('Interactive Data Grading'!D65,WI!$D$6:$M$16,10,FALSE)</f>
        <v>#N/A</v>
      </c>
      <c r="I65" s="818" t="e">
        <f>IF(AND(H65&gt;=7,H68&gt;=7),MAX(H65,9),IF(AND(H65&gt;3,H65&lt;7,H68&gt;3,H68&lt;7),MAX(H65,H68),IF(H68&gt;=7,MAX(7,H65),H65)))</f>
        <v>#N/A</v>
      </c>
    </row>
    <row r="66" spans="1:18" ht="26.45" customHeight="1">
      <c r="A66" s="215"/>
      <c r="B66" s="554" t="s">
        <v>349</v>
      </c>
      <c r="C66" s="883" t="str">
        <f>WI!B37</f>
        <v>What level of data transfer errors are checked as part of the electronic calibration process?</v>
      </c>
      <c r="D66" s="334"/>
      <c r="E66" s="752" t="str">
        <f t="shared" ref="E66:E73" si="5">IFERROR(IF(OR($D$74=10,NOT(ISNUMBER($D$74))),"",IF(I66=$I$74,"Limiting","")),"")</f>
        <v/>
      </c>
      <c r="F66" s="327"/>
      <c r="G66" s="819" t="str">
        <f>IFERROR(IF(H63&lt;7,1,IF(OR(D65=WI!D23,D65=WI!D27),1,IF(LEN(D66)&gt;0,1,0))),"")</f>
        <v/>
      </c>
      <c r="H66" s="817" t="e">
        <f>VLOOKUP('Interactive Data Grading'!D66,WI!$E$6:$M$16,9,FALSE)</f>
        <v>#N/A</v>
      </c>
      <c r="I66" s="817" t="e">
        <f>H66</f>
        <v>#N/A</v>
      </c>
      <c r="J66" s="809" t="s">
        <v>348</v>
      </c>
    </row>
    <row r="67" spans="1:18" ht="18" customHeight="1">
      <c r="A67" s="215"/>
      <c r="B67" s="554" t="s">
        <v>350</v>
      </c>
      <c r="C67" s="883" t="str">
        <f>WI!B38</f>
        <v>Is the most recent electronic calibration documentation available?</v>
      </c>
      <c r="D67" s="329"/>
      <c r="E67" s="752" t="str">
        <f t="shared" si="5"/>
        <v/>
      </c>
      <c r="F67" s="327"/>
      <c r="G67" s="809" t="str">
        <f>IFERROR(IF(H63&lt;7,1,IF(OR(D65=WI!D23,D65=WI!D27),1,IF(LEN(D67)&gt;0,1,0))),"")</f>
        <v/>
      </c>
      <c r="H67" s="817" t="e">
        <f>VLOOKUP('Interactive Data Grading'!D67,WI!$F$6:$M$16,8,FALSE)</f>
        <v>#N/A</v>
      </c>
      <c r="I67" s="818" t="e">
        <f>IF(D65=WI!D23,X,IF(AND(H67=5,H69=10),7,H67))</f>
        <v>#N/A</v>
      </c>
      <c r="J67" s="809" t="s">
        <v>348</v>
      </c>
    </row>
    <row r="68" spans="1:18" ht="16.5" customHeight="1">
      <c r="A68" s="215"/>
      <c r="B68" s="554" t="s">
        <v>351</v>
      </c>
      <c r="C68" s="883" t="str">
        <f>WI!B39</f>
        <v>What is the frequency of in-situ flow accuracy testing?</v>
      </c>
      <c r="D68" s="329"/>
      <c r="E68" s="752" t="str">
        <f t="shared" si="5"/>
        <v/>
      </c>
      <c r="F68" s="327"/>
      <c r="G68" s="809" t="str">
        <f>IFERROR(IF(H63&lt;7,1,IF(LEN(D68)&gt;0,1,0)),"")</f>
        <v/>
      </c>
      <c r="H68" s="817" t="e">
        <f>VLOOKUP('Interactive Data Grading'!D68,WI!$G$6:$M$16,7,FALSE)</f>
        <v>#N/A</v>
      </c>
      <c r="I68" s="818" t="e">
        <f>IF(AND(H65&gt;=7,H68&gt;=7),MAX(H68,9),IF(AND(H65&gt;3,H65&lt;7,H68&gt;3,H68&lt;7),MAX(H65,H68),IF(H65&gt;=7,MAX(7,H68),H68)))</f>
        <v>#N/A</v>
      </c>
    </row>
    <row r="69" spans="1:18" ht="20.45" customHeight="1">
      <c r="A69" s="215"/>
      <c r="B69" s="554" t="s">
        <v>352</v>
      </c>
      <c r="C69" s="883" t="str">
        <f>WI!B40</f>
        <v>Is the most recent in-situ flow accuracy testing documentation available?</v>
      </c>
      <c r="D69" s="329"/>
      <c r="E69" s="752" t="str">
        <f t="shared" si="5"/>
        <v/>
      </c>
      <c r="F69" s="327"/>
      <c r="G69" s="809" t="str">
        <f>IFERROR(IF(H63&lt;7,1,IF(D68=WI!G23,1,IF(LEN(D69)&gt;0,1,0))),"")</f>
        <v/>
      </c>
      <c r="H69" s="817" t="e">
        <f>VLOOKUP('Interactive Data Grading'!D69,WI!$H$6:$M$16,6,FALSE)</f>
        <v>#N/A</v>
      </c>
      <c r="I69" s="818" t="e">
        <f>IF(D68=WI!G23,X,IF(AND(H69=5,H67=10),7,H69))</f>
        <v>#N/A</v>
      </c>
      <c r="J69" s="809" t="s">
        <v>350</v>
      </c>
    </row>
    <row r="70" spans="1:18" ht="27" customHeight="1">
      <c r="A70" s="215"/>
      <c r="B70" s="554" t="s">
        <v>353</v>
      </c>
      <c r="C70" s="885" t="str">
        <f>WI!B41</f>
        <v>What are the total volume-weighted average results of in-situ flow accuracy testing (during or closest to audit year)?</v>
      </c>
      <c r="D70" s="329"/>
      <c r="E70" s="752" t="str">
        <f t="shared" si="5"/>
        <v/>
      </c>
      <c r="F70" s="327"/>
      <c r="G70" s="809" t="str">
        <f>IFERROR(IF(H63&lt;7,1,IF(OR(D68=WI!G23,D69=WI!H23),1,IF(LEN(D70)&gt;0,1,0))),"")</f>
        <v/>
      </c>
      <c r="H70" s="817" t="e">
        <f>VLOOKUP('Interactive Data Grading'!D70,WI!$I$6:$M$16,5,FALSE)</f>
        <v>#N/A</v>
      </c>
      <c r="I70" s="818" t="e">
        <f>IF(OR(D68=WI!G23,D69=WI!H23),X,H70)</f>
        <v>#N/A</v>
      </c>
      <c r="J70" s="809" t="s">
        <v>810</v>
      </c>
    </row>
    <row r="71" spans="1:18" ht="37.5" customHeight="1">
      <c r="A71" s="215"/>
      <c r="B71" s="554" t="s">
        <v>354</v>
      </c>
      <c r="C71" s="883" t="str">
        <f>WI!B42</f>
        <v>Have testing and calibration procedures been closely scrutinized for compliance with procedures described in the AWWA M36 and/or M33 Manual(s)?</v>
      </c>
      <c r="D71" s="329"/>
      <c r="E71" s="752" t="str">
        <f t="shared" si="5"/>
        <v/>
      </c>
      <c r="F71" s="327"/>
      <c r="G71" s="809" t="str">
        <f>IFERROR(IF(H63&lt;7,1,IF(AND(OR(D65=WI!D23,D65=WI!D27),D68=WI!G23),1,IF(LEN(D71)&gt;0,1,0))),"")</f>
        <v/>
      </c>
      <c r="H71" s="817" t="e">
        <f>VLOOKUP('Interactive Data Grading'!D71,WI!$J$6:$M$16,4,FALSE)</f>
        <v>#N/A</v>
      </c>
      <c r="I71" s="818" t="e">
        <f>IF(OR(D68=WI!G23,D69=WI!H23),X,H71)</f>
        <v>#N/A</v>
      </c>
      <c r="J71" s="819" t="s">
        <v>814</v>
      </c>
    </row>
    <row r="72" spans="1:18" ht="25.5" customHeight="1">
      <c r="A72" s="215"/>
      <c r="B72" s="554" t="s">
        <v>355</v>
      </c>
      <c r="C72" s="883" t="str">
        <f>WI!B43</f>
        <v>Which best describes the frequency of meter readings (data collection frequency as opposed to billing frequency)?</v>
      </c>
      <c r="D72" s="329"/>
      <c r="E72" s="752" t="str">
        <f t="shared" si="5"/>
        <v/>
      </c>
      <c r="F72" s="327"/>
      <c r="G72" s="809" t="str">
        <f>IFERROR(IF(H63&lt;7,1,IF(LEN(D72)&gt;0,1,0)),"")</f>
        <v/>
      </c>
      <c r="H72" s="817" t="e">
        <f>VLOOKUP('Interactive Data Grading'!D72,WI!$K$6:$M$16,3,FALSE)</f>
        <v>#N/A</v>
      </c>
      <c r="I72" s="817" t="e">
        <f>H72</f>
        <v>#N/A</v>
      </c>
    </row>
    <row r="73" spans="1:18" ht="44.45" customHeight="1">
      <c r="A73" s="215"/>
      <c r="B73" s="554" t="s">
        <v>811</v>
      </c>
      <c r="C73" s="883"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2" t="str">
        <f t="shared" si="5"/>
        <v/>
      </c>
      <c r="F73" s="327"/>
      <c r="G73" s="809" t="str">
        <f>IFERROR(IF(H63&lt;7,1,IF(LEN(D73)&gt;0,1,0)),"")</f>
        <v/>
      </c>
      <c r="H73" s="817" t="e">
        <f>VLOOKUP('Interactive Data Grading'!D73,WI!$L$6:$M$16,2,FALSE)</f>
        <v>#N/A</v>
      </c>
      <c r="I73" s="817" t="e">
        <f>H73</f>
        <v>#N/A</v>
      </c>
    </row>
    <row r="74" spans="1:18" ht="27.6" customHeight="1">
      <c r="A74" s="215"/>
      <c r="B74" s="215"/>
      <c r="C74" s="328" t="s">
        <v>315</v>
      </c>
      <c r="D74" s="755" t="str">
        <f>IF(D62="","",IF(D62="No","n/a",IF(G74=0,"",IF(R8=0,H63,I74))))</f>
        <v>n/a</v>
      </c>
      <c r="E74" s="752"/>
      <c r="F74" s="327"/>
      <c r="G74" s="809">
        <f>MIN(G63:G73)</f>
        <v>0</v>
      </c>
      <c r="H74" s="820" t="e">
        <f>MIN(H63:H73)</f>
        <v>#N/A</v>
      </c>
      <c r="I74" s="820">
        <f t="array" ref="I74">MIN(IF(ISNUMBER(I63:I73),I63:I73))</f>
        <v>0</v>
      </c>
    </row>
    <row r="75" spans="1:18" s="470" customFormat="1" ht="16.350000000000001" customHeight="1">
      <c r="C75" s="567"/>
      <c r="D75" s="567"/>
      <c r="E75" s="847"/>
      <c r="G75" s="821"/>
      <c r="H75" s="821"/>
      <c r="I75" s="822"/>
      <c r="J75" s="821"/>
      <c r="K75" s="821"/>
      <c r="L75" s="821"/>
      <c r="M75" s="821"/>
      <c r="N75" s="821"/>
      <c r="O75" s="821"/>
      <c r="P75" s="821"/>
      <c r="Q75" s="821"/>
      <c r="R75" s="821"/>
    </row>
    <row r="76" spans="1:18" s="470" customFormat="1" ht="16.350000000000001" customHeight="1">
      <c r="C76" s="567"/>
      <c r="D76" s="567"/>
      <c r="E76" s="847"/>
      <c r="G76" s="821"/>
      <c r="H76" s="821"/>
      <c r="I76" s="822"/>
      <c r="J76" s="821"/>
      <c r="K76" s="821"/>
      <c r="L76" s="821"/>
      <c r="M76" s="821"/>
      <c r="N76" s="821"/>
      <c r="O76" s="821"/>
      <c r="P76" s="821"/>
      <c r="Q76" s="821"/>
      <c r="R76" s="821"/>
    </row>
    <row r="77" spans="1:18" s="470" customFormat="1" ht="16.350000000000001" customHeight="1">
      <c r="C77" s="567"/>
      <c r="D77" s="567"/>
      <c r="E77" s="847"/>
      <c r="G77" s="821"/>
      <c r="H77" s="821"/>
      <c r="I77" s="822"/>
      <c r="J77" s="821"/>
      <c r="K77" s="821"/>
      <c r="L77" s="821"/>
      <c r="M77" s="821"/>
      <c r="N77" s="821"/>
      <c r="O77" s="821"/>
      <c r="P77" s="821"/>
      <c r="Q77" s="821"/>
      <c r="R77" s="821"/>
    </row>
    <row r="78" spans="1:18" s="470" customFormat="1" ht="16.350000000000001" customHeight="1">
      <c r="C78" s="567"/>
      <c r="D78" s="567"/>
      <c r="E78" s="847"/>
      <c r="G78" s="821"/>
      <c r="H78" s="821"/>
      <c r="I78" s="822"/>
      <c r="J78" s="821"/>
      <c r="K78" s="821"/>
      <c r="L78" s="821"/>
      <c r="M78" s="821"/>
      <c r="N78" s="821"/>
      <c r="O78" s="821"/>
      <c r="P78" s="821"/>
      <c r="Q78" s="821"/>
      <c r="R78" s="821"/>
    </row>
    <row r="79" spans="1:18" s="470" customFormat="1" ht="16.350000000000001" customHeight="1">
      <c r="C79" s="567"/>
      <c r="D79" s="567"/>
      <c r="E79" s="847"/>
      <c r="G79" s="821"/>
      <c r="H79" s="821"/>
      <c r="I79" s="822"/>
      <c r="J79" s="821"/>
      <c r="K79" s="821"/>
      <c r="L79" s="821"/>
      <c r="M79" s="821"/>
      <c r="N79" s="821"/>
      <c r="O79" s="821"/>
      <c r="P79" s="821"/>
      <c r="Q79" s="821"/>
      <c r="R79" s="821"/>
    </row>
    <row r="80" spans="1:18" s="470" customFormat="1" ht="16.350000000000001" customHeight="1">
      <c r="C80" s="567"/>
      <c r="D80" s="567"/>
      <c r="E80" s="847"/>
      <c r="G80" s="821"/>
      <c r="H80" s="821"/>
      <c r="I80" s="822"/>
      <c r="J80" s="821"/>
      <c r="K80" s="821"/>
      <c r="L80" s="821"/>
      <c r="M80" s="821"/>
      <c r="N80" s="821"/>
      <c r="O80" s="821"/>
      <c r="P80" s="821"/>
      <c r="Q80" s="821"/>
      <c r="R80" s="821"/>
    </row>
    <row r="81" spans="1:18" s="470" customFormat="1" ht="16.350000000000001" customHeight="1">
      <c r="C81" s="567"/>
      <c r="D81" s="567"/>
      <c r="E81" s="847"/>
      <c r="G81" s="821"/>
      <c r="H81" s="821"/>
      <c r="I81" s="822"/>
      <c r="J81" s="821"/>
      <c r="K81" s="821"/>
      <c r="L81" s="821"/>
      <c r="M81" s="821"/>
      <c r="N81" s="821"/>
      <c r="O81" s="821"/>
      <c r="P81" s="821"/>
      <c r="Q81" s="821"/>
      <c r="R81" s="821"/>
    </row>
    <row r="82" spans="1:18" s="470" customFormat="1" ht="16.350000000000001" customHeight="1">
      <c r="C82" s="567"/>
      <c r="D82" s="567"/>
      <c r="E82" s="847"/>
      <c r="G82" s="821"/>
      <c r="H82" s="821"/>
      <c r="I82" s="822"/>
      <c r="J82" s="821"/>
      <c r="K82" s="821"/>
      <c r="L82" s="821"/>
      <c r="M82" s="821"/>
      <c r="N82" s="821"/>
      <c r="O82" s="821"/>
      <c r="P82" s="821"/>
      <c r="Q82" s="821"/>
      <c r="R82" s="821"/>
    </row>
    <row r="83" spans="1:18" s="470" customFormat="1" ht="16.350000000000001" customHeight="1">
      <c r="C83" s="567"/>
      <c r="D83" s="567"/>
      <c r="E83" s="847"/>
      <c r="G83" s="821"/>
      <c r="H83" s="821"/>
      <c r="I83" s="822"/>
      <c r="J83" s="821"/>
      <c r="K83" s="821"/>
      <c r="L83" s="821"/>
      <c r="M83" s="821"/>
      <c r="N83" s="821"/>
      <c r="O83" s="821"/>
      <c r="P83" s="821"/>
      <c r="Q83" s="821"/>
      <c r="R83" s="821"/>
    </row>
    <row r="84" spans="1:18" s="470" customFormat="1" ht="16.350000000000001" customHeight="1">
      <c r="C84" s="567"/>
      <c r="D84" s="567"/>
      <c r="E84" s="847"/>
      <c r="G84" s="821"/>
      <c r="H84" s="821"/>
      <c r="I84" s="822"/>
      <c r="J84" s="821"/>
      <c r="K84" s="821"/>
      <c r="L84" s="821"/>
      <c r="M84" s="821"/>
      <c r="N84" s="821"/>
      <c r="O84" s="821"/>
      <c r="P84" s="821"/>
      <c r="Q84" s="821"/>
      <c r="R84" s="821"/>
    </row>
    <row r="85" spans="1:18" s="470" customFormat="1" ht="9.6" customHeight="1">
      <c r="C85" s="567"/>
      <c r="D85" s="567"/>
      <c r="E85" s="847"/>
      <c r="G85" s="821"/>
      <c r="H85" s="821"/>
      <c r="I85" s="822"/>
      <c r="J85" s="821"/>
      <c r="K85" s="821"/>
      <c r="L85" s="821"/>
      <c r="M85" s="821"/>
      <c r="N85" s="821"/>
      <c r="O85" s="821"/>
      <c r="P85" s="821"/>
      <c r="Q85" s="821"/>
      <c r="R85" s="821"/>
    </row>
    <row r="86" spans="1:18" s="470" customFormat="1" ht="7.35" customHeight="1">
      <c r="C86" s="567"/>
      <c r="D86" s="567"/>
      <c r="E86" s="847"/>
      <c r="G86" s="821"/>
      <c r="H86" s="821"/>
      <c r="I86" s="822"/>
      <c r="J86" s="821"/>
      <c r="K86" s="821"/>
      <c r="L86" s="821"/>
      <c r="M86" s="821"/>
      <c r="N86" s="821"/>
      <c r="O86" s="821"/>
      <c r="P86" s="821"/>
      <c r="Q86" s="821"/>
      <c r="R86" s="821"/>
    </row>
    <row r="87" spans="1:18" s="470" customFormat="1" ht="7.5" customHeight="1">
      <c r="C87" s="567"/>
      <c r="D87" s="567"/>
      <c r="E87" s="847"/>
      <c r="G87" s="821"/>
      <c r="H87" s="821"/>
      <c r="I87" s="822"/>
      <c r="J87" s="821"/>
      <c r="K87" s="821"/>
      <c r="L87" s="821"/>
      <c r="M87" s="821"/>
      <c r="N87" s="821"/>
      <c r="O87" s="821"/>
      <c r="P87" s="821"/>
      <c r="Q87" s="821"/>
      <c r="R87" s="821"/>
    </row>
    <row r="88" spans="1:18" s="470" customFormat="1" ht="16.350000000000001" customHeight="1">
      <c r="C88" s="567"/>
      <c r="D88" s="567"/>
      <c r="E88" s="847"/>
      <c r="G88" s="821"/>
      <c r="H88" s="821"/>
      <c r="I88" s="822"/>
      <c r="J88" s="821"/>
      <c r="K88" s="821"/>
      <c r="L88" s="821"/>
      <c r="M88" s="821"/>
      <c r="N88" s="821"/>
      <c r="O88" s="821"/>
      <c r="P88" s="821"/>
      <c r="Q88" s="821"/>
      <c r="R88" s="821"/>
    </row>
    <row r="89" spans="1:18" s="470" customFormat="1" ht="16.350000000000001" customHeight="1">
      <c r="A89" s="1066" t="s">
        <v>1137</v>
      </c>
      <c r="B89" s="1067"/>
      <c r="C89" s="1057" t="s">
        <v>377</v>
      </c>
      <c r="D89" s="1057"/>
      <c r="E89" s="891" t="s">
        <v>1138</v>
      </c>
      <c r="G89" s="821"/>
      <c r="H89" s="821" t="s">
        <v>531</v>
      </c>
      <c r="I89" s="822"/>
      <c r="J89" s="821"/>
      <c r="K89" s="821"/>
      <c r="L89" s="821"/>
      <c r="M89" s="821"/>
      <c r="N89" s="821"/>
      <c r="O89" s="821"/>
      <c r="P89" s="821"/>
      <c r="Q89" s="821"/>
      <c r="R89" s="821"/>
    </row>
    <row r="90" spans="1:18" ht="9.75" customHeight="1">
      <c r="A90" s="215"/>
      <c r="B90" s="215"/>
      <c r="C90" s="215"/>
      <c r="D90" s="215"/>
      <c r="E90" s="753"/>
      <c r="F90" s="327"/>
      <c r="H90" s="813"/>
      <c r="I90" s="813"/>
    </row>
    <row r="91" spans="1:18" s="575" customFormat="1" ht="12">
      <c r="A91" s="571"/>
      <c r="B91" s="572" t="s">
        <v>378</v>
      </c>
      <c r="C91" s="573" t="s">
        <v>305</v>
      </c>
      <c r="D91" s="573" t="s">
        <v>663</v>
      </c>
      <c r="E91" s="752"/>
      <c r="F91" s="574"/>
      <c r="G91" s="814"/>
      <c r="H91" s="815" t="s">
        <v>303</v>
      </c>
      <c r="I91" s="815"/>
      <c r="J91" s="814" t="s">
        <v>794</v>
      </c>
      <c r="K91" s="814"/>
      <c r="L91" s="814"/>
      <c r="M91" s="814"/>
      <c r="N91" s="814"/>
      <c r="O91" s="814"/>
      <c r="P91" s="814"/>
      <c r="Q91" s="814"/>
      <c r="R91" s="814"/>
    </row>
    <row r="92" spans="1:18" ht="27.6" customHeight="1">
      <c r="A92" s="215"/>
      <c r="B92" s="554" t="s">
        <v>362</v>
      </c>
      <c r="C92" s="883" t="str">
        <f>WIEA!B34</f>
        <v>Is an agreement in place between Exporting and Importing Utility for the purchase of water?</v>
      </c>
      <c r="D92" s="329"/>
      <c r="E92" s="752" t="str">
        <f>IFERROR(IF(OR($D$96="",$H92=10,NOT(ISNUMBER($H92))),"",IF(H92=$H$96,"Limiting","")),"")</f>
        <v/>
      </c>
      <c r="F92" s="327"/>
      <c r="G92" s="823">
        <f t="shared" ref="G92" si="6">IF(LEN(D92)&gt;0,1,0)</f>
        <v>0</v>
      </c>
      <c r="H92" s="817" t="e">
        <f>VLOOKUP('Interactive Data Grading'!D92,WIEA!$C$6:$G$16,5,FALSE)</f>
        <v>#N/A</v>
      </c>
      <c r="I92" s="816"/>
    </row>
    <row r="93" spans="1:18" ht="27.6" customHeight="1">
      <c r="A93" s="215"/>
      <c r="B93" s="554" t="s">
        <v>363</v>
      </c>
      <c r="C93" s="883" t="str">
        <f>WIEA!B35</f>
        <v>Are meter accuracy testing or electronic calibration requirements stipulated in the water purchase agreement?</v>
      </c>
      <c r="D93" s="329"/>
      <c r="E93" s="752" t="str">
        <f t="shared" ref="E93:E95" si="7">IFERROR(IF(OR($D$96="",$H93=10,NOT(ISNUMBER($H93))),"",IF(H93=$H$96,"Limiting","")),"")</f>
        <v/>
      </c>
      <c r="F93" s="327"/>
      <c r="G93" s="823">
        <f>IF(OR(LEN(D93)&gt;0,D92=WIEA!$C$23),1,0)</f>
        <v>0</v>
      </c>
      <c r="H93" s="817" t="e">
        <f>VLOOKUP('Interactive Data Grading'!D93,WIEA!$D$6:$G$16,4,FALSE)</f>
        <v>#N/A</v>
      </c>
      <c r="I93" s="816"/>
      <c r="J93" s="809" t="s">
        <v>362</v>
      </c>
    </row>
    <row r="94" spans="1:18" ht="27.6" customHeight="1">
      <c r="A94" s="215"/>
      <c r="B94" s="554" t="s">
        <v>364</v>
      </c>
      <c r="C94" s="883" t="str">
        <f>WIEA!B36</f>
        <v>Are flow accuracy test and/or electronic calibration results used to inform the error adjustment input in the water audit?</v>
      </c>
      <c r="D94" s="329"/>
      <c r="E94" s="752" t="str">
        <f t="shared" si="7"/>
        <v/>
      </c>
      <c r="F94" s="327"/>
      <c r="G94" s="823">
        <f t="shared" ref="G94:G95" si="8">IF(LEN(D94)&gt;0,1,0)</f>
        <v>0</v>
      </c>
      <c r="H94" s="817" t="e">
        <f>VLOOKUP('Interactive Data Grading'!D94,WIEA!$E$6:$G$16,3,FALSE)</f>
        <v>#N/A</v>
      </c>
      <c r="I94" s="816"/>
    </row>
    <row r="95" spans="1:18" ht="27.6" customHeight="1">
      <c r="A95" s="215"/>
      <c r="B95" s="554" t="s">
        <v>365</v>
      </c>
      <c r="C95" s="883" t="str">
        <f>WIEA!B37</f>
        <v>Who has access to the import meter readings including current and archived data?</v>
      </c>
      <c r="D95" s="329"/>
      <c r="E95" s="752" t="str">
        <f t="shared" si="7"/>
        <v/>
      </c>
      <c r="F95" s="327"/>
      <c r="G95" s="823">
        <f t="shared" si="8"/>
        <v>0</v>
      </c>
      <c r="H95" s="817" t="e">
        <f>VLOOKUP('Interactive Data Grading'!D95,WIEA!$F$6:$G$16,2,FALSE)</f>
        <v>#N/A</v>
      </c>
      <c r="I95" s="816"/>
    </row>
    <row r="96" spans="1:18" ht="27.6" customHeight="1">
      <c r="A96" s="215"/>
      <c r="B96" s="215"/>
      <c r="C96" s="328" t="s">
        <v>315</v>
      </c>
      <c r="D96" s="894" t="str">
        <f>IF(D62="No","n/a",IF(G96=0,"",H96))</f>
        <v>n/a</v>
      </c>
      <c r="E96" s="752"/>
      <c r="F96" s="327"/>
      <c r="G96" s="823">
        <f>MIN(G92:G95)</f>
        <v>0</v>
      </c>
      <c r="H96" s="820">
        <f t="array" ref="H96">MIN(IF(ISNUMBER(H92:H95),H92:H95))</f>
        <v>0</v>
      </c>
      <c r="I96" s="816"/>
    </row>
    <row r="97" spans="1:18" s="470" customFormat="1" ht="16.350000000000001" customHeight="1">
      <c r="C97" s="567"/>
      <c r="D97" s="567"/>
      <c r="E97" s="847"/>
      <c r="G97" s="821"/>
      <c r="H97" s="821"/>
      <c r="I97" s="822"/>
      <c r="J97" s="821"/>
      <c r="K97" s="821"/>
      <c r="L97" s="821"/>
      <c r="M97" s="821"/>
      <c r="N97" s="821"/>
      <c r="O97" s="821"/>
      <c r="P97" s="821"/>
      <c r="Q97" s="821"/>
      <c r="R97" s="821"/>
    </row>
    <row r="98" spans="1:18" s="470" customFormat="1" ht="16.350000000000001" customHeight="1">
      <c r="C98" s="567"/>
      <c r="D98" s="567"/>
      <c r="E98" s="847"/>
      <c r="G98" s="821"/>
      <c r="H98" s="821"/>
      <c r="I98" s="822"/>
      <c r="J98" s="821"/>
      <c r="K98" s="821"/>
      <c r="L98" s="821"/>
      <c r="M98" s="821"/>
      <c r="N98" s="821"/>
      <c r="O98" s="821"/>
      <c r="P98" s="821"/>
      <c r="Q98" s="821"/>
      <c r="R98" s="821"/>
    </row>
    <row r="99" spans="1:18" s="470" customFormat="1" ht="16.350000000000001" customHeight="1">
      <c r="C99" s="567"/>
      <c r="D99" s="567"/>
      <c r="E99" s="847"/>
      <c r="G99" s="821"/>
      <c r="H99" s="821"/>
      <c r="I99" s="822"/>
      <c r="J99" s="821"/>
      <c r="K99" s="821"/>
      <c r="L99" s="821"/>
      <c r="M99" s="821"/>
      <c r="N99" s="821"/>
      <c r="O99" s="821"/>
      <c r="P99" s="821"/>
      <c r="Q99" s="821"/>
      <c r="R99" s="821"/>
    </row>
    <row r="100" spans="1:18" s="470" customFormat="1" ht="16.350000000000001" customHeight="1">
      <c r="C100" s="567"/>
      <c r="D100" s="567"/>
      <c r="E100" s="847"/>
      <c r="G100" s="821"/>
      <c r="H100" s="821"/>
      <c r="I100" s="822"/>
      <c r="J100" s="821"/>
      <c r="K100" s="821"/>
      <c r="L100" s="821"/>
      <c r="M100" s="821"/>
      <c r="N100" s="821"/>
      <c r="O100" s="821"/>
      <c r="P100" s="821"/>
      <c r="Q100" s="821"/>
      <c r="R100" s="821"/>
    </row>
    <row r="101" spans="1:18" s="470" customFormat="1" ht="16.350000000000001" customHeight="1">
      <c r="C101" s="567"/>
      <c r="D101" s="567"/>
      <c r="E101" s="847"/>
      <c r="G101" s="821"/>
      <c r="H101" s="821"/>
      <c r="I101" s="822"/>
      <c r="J101" s="821"/>
      <c r="K101" s="821"/>
      <c r="L101" s="821"/>
      <c r="M101" s="821"/>
      <c r="N101" s="821"/>
      <c r="O101" s="821"/>
      <c r="P101" s="821"/>
      <c r="Q101" s="821"/>
      <c r="R101" s="821"/>
    </row>
    <row r="102" spans="1:18" s="470" customFormat="1" ht="16.350000000000001" customHeight="1">
      <c r="C102" s="567"/>
      <c r="D102" s="567"/>
      <c r="E102" s="847"/>
      <c r="G102" s="821"/>
      <c r="H102" s="821"/>
      <c r="I102" s="822"/>
      <c r="J102" s="821"/>
      <c r="K102" s="821"/>
      <c r="L102" s="821"/>
      <c r="M102" s="821"/>
      <c r="N102" s="821"/>
      <c r="O102" s="821"/>
      <c r="P102" s="821"/>
      <c r="Q102" s="821"/>
      <c r="R102" s="821"/>
    </row>
    <row r="103" spans="1:18" s="470" customFormat="1" ht="16.350000000000001" customHeight="1">
      <c r="C103" s="567"/>
      <c r="D103" s="567"/>
      <c r="E103" s="847"/>
      <c r="G103" s="821"/>
      <c r="H103" s="821"/>
      <c r="I103" s="822"/>
      <c r="J103" s="821"/>
      <c r="K103" s="821"/>
      <c r="L103" s="821"/>
      <c r="M103" s="821"/>
      <c r="N103" s="821"/>
      <c r="O103" s="821"/>
      <c r="P103" s="821"/>
      <c r="Q103" s="821"/>
      <c r="R103" s="821"/>
    </row>
    <row r="104" spans="1:18" s="470" customFormat="1" ht="16.350000000000001" customHeight="1">
      <c r="C104" s="567"/>
      <c r="D104" s="567"/>
      <c r="E104" s="847"/>
      <c r="G104" s="821"/>
      <c r="H104" s="821"/>
      <c r="I104" s="822"/>
      <c r="J104" s="821"/>
      <c r="K104" s="821"/>
      <c r="L104" s="821"/>
      <c r="M104" s="821"/>
      <c r="N104" s="821"/>
      <c r="O104" s="821"/>
      <c r="P104" s="821"/>
      <c r="Q104" s="821"/>
      <c r="R104" s="821"/>
    </row>
    <row r="105" spans="1:18" s="470" customFormat="1" ht="16.350000000000001" customHeight="1">
      <c r="C105" s="567"/>
      <c r="D105" s="567"/>
      <c r="E105" s="847"/>
      <c r="G105" s="821"/>
      <c r="H105" s="821"/>
      <c r="I105" s="822"/>
      <c r="J105" s="821"/>
      <c r="K105" s="821"/>
      <c r="L105" s="821"/>
      <c r="M105" s="821"/>
      <c r="N105" s="821"/>
      <c r="O105" s="821"/>
      <c r="P105" s="821"/>
      <c r="Q105" s="821"/>
      <c r="R105" s="821"/>
    </row>
    <row r="106" spans="1:18" s="470" customFormat="1" ht="16.350000000000001" customHeight="1">
      <c r="C106" s="567"/>
      <c r="D106" s="567"/>
      <c r="E106" s="847"/>
      <c r="G106" s="821"/>
      <c r="H106" s="821"/>
      <c r="I106" s="822"/>
      <c r="J106" s="821"/>
      <c r="K106" s="821"/>
      <c r="L106" s="821"/>
      <c r="M106" s="821"/>
      <c r="N106" s="821"/>
      <c r="O106" s="821"/>
      <c r="P106" s="821"/>
      <c r="Q106" s="821"/>
      <c r="R106" s="821"/>
    </row>
    <row r="107" spans="1:18" s="470" customFormat="1" ht="16.350000000000001" customHeight="1">
      <c r="C107" s="567"/>
      <c r="D107" s="567"/>
      <c r="E107" s="847"/>
      <c r="G107" s="821"/>
      <c r="H107" s="821"/>
      <c r="I107" s="822"/>
      <c r="J107" s="821"/>
      <c r="K107" s="821"/>
      <c r="L107" s="821"/>
      <c r="M107" s="821"/>
      <c r="N107" s="821"/>
      <c r="O107" s="821"/>
      <c r="P107" s="821"/>
      <c r="Q107" s="821"/>
      <c r="R107" s="821"/>
    </row>
    <row r="108" spans="1:18" s="470" customFormat="1" ht="16.350000000000001" customHeight="1">
      <c r="C108" s="567"/>
      <c r="D108" s="567"/>
      <c r="E108" s="847"/>
      <c r="G108" s="821"/>
      <c r="H108" s="821"/>
      <c r="I108" s="822"/>
      <c r="J108" s="821"/>
      <c r="K108" s="821"/>
      <c r="L108" s="821"/>
      <c r="M108" s="821"/>
      <c r="N108" s="821"/>
      <c r="O108" s="821"/>
      <c r="P108" s="821"/>
      <c r="Q108" s="821"/>
      <c r="R108" s="821"/>
    </row>
    <row r="109" spans="1:18" s="470" customFormat="1" ht="16.350000000000001" customHeight="1">
      <c r="C109" s="567"/>
      <c r="D109" s="567"/>
      <c r="E109" s="847"/>
      <c r="G109" s="821"/>
      <c r="H109" s="821"/>
      <c r="I109" s="822"/>
      <c r="J109" s="821"/>
      <c r="K109" s="821"/>
      <c r="L109" s="821"/>
      <c r="M109" s="821"/>
      <c r="N109" s="821"/>
      <c r="O109" s="821"/>
      <c r="P109" s="821"/>
      <c r="Q109" s="821"/>
      <c r="R109" s="821"/>
    </row>
    <row r="110" spans="1:18" s="470" customFormat="1" ht="16.350000000000001" customHeight="1">
      <c r="C110" s="567"/>
      <c r="D110" s="567"/>
      <c r="E110" s="847"/>
      <c r="G110" s="821"/>
      <c r="H110" s="821"/>
      <c r="I110" s="822"/>
      <c r="J110" s="821"/>
      <c r="K110" s="821"/>
      <c r="L110" s="821"/>
      <c r="M110" s="821"/>
      <c r="N110" s="821"/>
      <c r="O110" s="821"/>
      <c r="P110" s="821"/>
      <c r="Q110" s="821"/>
      <c r="R110" s="821"/>
    </row>
    <row r="111" spans="1:18" s="470" customFormat="1" ht="16.350000000000001" customHeight="1">
      <c r="C111" s="567"/>
      <c r="D111" s="567"/>
      <c r="E111" s="847"/>
      <c r="G111" s="821"/>
      <c r="H111" s="821"/>
      <c r="I111" s="822"/>
      <c r="J111" s="821"/>
      <c r="K111" s="821"/>
      <c r="L111" s="821"/>
      <c r="M111" s="821"/>
      <c r="N111" s="821"/>
      <c r="O111" s="821"/>
      <c r="P111" s="821"/>
      <c r="Q111" s="821"/>
      <c r="R111" s="821"/>
    </row>
    <row r="112" spans="1:18" s="470" customFormat="1" ht="16.350000000000001" customHeight="1">
      <c r="A112" s="1066" t="s">
        <v>1137</v>
      </c>
      <c r="B112" s="1067"/>
      <c r="C112" s="1057" t="s">
        <v>379</v>
      </c>
      <c r="D112" s="1057"/>
      <c r="E112" s="891" t="s">
        <v>1138</v>
      </c>
      <c r="G112" s="821"/>
      <c r="H112" s="821"/>
      <c r="I112" s="822"/>
      <c r="J112" s="821"/>
      <c r="K112" s="821"/>
      <c r="L112" s="821"/>
      <c r="M112" s="821"/>
      <c r="N112" s="821"/>
      <c r="O112" s="821"/>
      <c r="P112" s="821"/>
      <c r="Q112" s="821"/>
      <c r="R112" s="821"/>
    </row>
    <row r="113" spans="1:18" ht="12.6" customHeight="1">
      <c r="A113" s="215"/>
      <c r="B113" s="215"/>
      <c r="C113" s="1065" t="str">
        <f>IF(OR(AND(D115="Yes",Worksheet!H17&gt;0),AND(D115="No",Worksheet!H17&lt;=0),LEN(D115)=0),"","Inconsistency between Worksheet WE input and we.0 response")</f>
        <v/>
      </c>
      <c r="D113" s="1065"/>
      <c r="E113" s="753"/>
      <c r="F113" s="327"/>
      <c r="H113" s="813"/>
      <c r="I113" s="813"/>
    </row>
    <row r="114" spans="1:18" s="575" customFormat="1" ht="12">
      <c r="A114" s="571"/>
      <c r="B114" s="572" t="s">
        <v>380</v>
      </c>
      <c r="C114" s="573" t="s">
        <v>305</v>
      </c>
      <c r="D114" s="573" t="s">
        <v>663</v>
      </c>
      <c r="E114" s="752"/>
      <c r="F114" s="574"/>
      <c r="G114" s="814"/>
      <c r="H114" s="815" t="s">
        <v>303</v>
      </c>
      <c r="I114" s="815" t="s">
        <v>296</v>
      </c>
      <c r="J114" s="814" t="s">
        <v>794</v>
      </c>
      <c r="K114" s="814"/>
      <c r="L114" s="814"/>
      <c r="M114" s="814"/>
      <c r="N114" s="814"/>
      <c r="O114" s="814"/>
      <c r="P114" s="814"/>
      <c r="Q114" s="814"/>
      <c r="R114" s="814"/>
    </row>
    <row r="115" spans="1:18" ht="18" customHeight="1">
      <c r="A115" s="215"/>
      <c r="B115" s="215" t="s">
        <v>442</v>
      </c>
      <c r="C115" s="883" t="str">
        <f>WE!B34</f>
        <v>Did the water utility export any water during the audit year?</v>
      </c>
      <c r="D115" s="329" t="s">
        <v>269</v>
      </c>
      <c r="E115" s="752"/>
      <c r="F115" s="327"/>
      <c r="H115" s="809" t="s">
        <v>530</v>
      </c>
      <c r="I115" s="816"/>
      <c r="J115" s="809" t="s">
        <v>793</v>
      </c>
    </row>
    <row r="116" spans="1:18" ht="17.45" customHeight="1">
      <c r="A116" s="215"/>
      <c r="B116" s="215" t="s">
        <v>381</v>
      </c>
      <c r="C116" s="883" t="str">
        <f>WE!B35</f>
        <v>What percent of water exported is metered?</v>
      </c>
      <c r="D116" s="329"/>
      <c r="E116" s="752" t="str">
        <f>IF(OR(D127=10,NOT(ISNUMBER(D127))),"",IF(I116=I127,"Limiting",IF(VLOOKUP(D116,$P$7:$Q$15,2,FALSE)=0,"Limiting","")))</f>
        <v/>
      </c>
      <c r="F116" s="327"/>
      <c r="G116" s="809">
        <f>IF(LEN(D116)&gt;0,1,0)</f>
        <v>0</v>
      </c>
      <c r="H116" s="817" t="e">
        <f>VLOOKUP('Interactive Data Grading'!D116,WE!$C$6:$M$16,11,FALSE)</f>
        <v>#N/A</v>
      </c>
      <c r="I116" s="817" t="e">
        <f>H116</f>
        <v>#N/A</v>
      </c>
    </row>
    <row r="117" spans="1:18" ht="67.349999999999994" customHeight="1">
      <c r="A117" s="215"/>
      <c r="C117" s="1063" t="s">
        <v>1237</v>
      </c>
      <c r="D117" s="1064"/>
      <c r="E117" s="752"/>
      <c r="F117" s="327"/>
      <c r="H117" s="817"/>
      <c r="I117" s="818"/>
    </row>
    <row r="118" spans="1:18" ht="18" customHeight="1">
      <c r="A118" s="215"/>
      <c r="B118" s="215" t="s">
        <v>382</v>
      </c>
      <c r="C118" s="883" t="str">
        <f>WE!B36</f>
        <v>What is the frequency of electronic calibration?</v>
      </c>
      <c r="D118" s="329"/>
      <c r="E118" s="752" t="str">
        <f>IFERROR(IF(OR($D$127=10,NOT(ISNUMBER($D$127))),"",IF(I118=$I$127,"Limiting","")),"")</f>
        <v/>
      </c>
      <c r="F118" s="327"/>
      <c r="G118" s="809" t="str">
        <f>IFERROR(IF(H116&lt;7,1,IF(LEN(D118)&gt;0,1,0)),"")</f>
        <v/>
      </c>
      <c r="H118" s="817" t="e">
        <f>VLOOKUP('Interactive Data Grading'!D118,WE!$D$6:$M$16,10,FALSE)</f>
        <v>#N/A</v>
      </c>
      <c r="I118" s="818" t="e">
        <f>IF(AND(H118&gt;=7,H121&gt;=7),MAX(H118,9),IF(AND(H118&gt;3,H118&lt;7,H121&gt;3,H121&lt;7),MAX(H118,H121),IF(H121&gt;=7,MAX(7,H118),H118)))</f>
        <v>#N/A</v>
      </c>
    </row>
    <row r="119" spans="1:18" ht="26.1" customHeight="1">
      <c r="A119" s="215"/>
      <c r="B119" s="215" t="s">
        <v>383</v>
      </c>
      <c r="C119" s="883" t="str">
        <f>WE!B37</f>
        <v>What level of data transfer errors are checked as part of the electronic calibration process?</v>
      </c>
      <c r="D119" s="334"/>
      <c r="E119" s="752" t="str">
        <f t="shared" ref="E119:E126" si="9">IFERROR(IF(OR($D$127=10,NOT(ISNUMBER($D$127))),"",IF(I119=$I$127,"Limiting","")),"")</f>
        <v/>
      </c>
      <c r="F119" s="327"/>
      <c r="G119" s="819" t="str">
        <f>IFERROR(IF(H116&lt;7,1,IF(OR(D118=WE!D23,D118=WE!D27),1,IF(LEN(D119)&gt;0,1,0))),"")</f>
        <v/>
      </c>
      <c r="H119" s="817" t="e">
        <f>VLOOKUP('Interactive Data Grading'!D119,WE!$E$6:$M$16,9,FALSE)</f>
        <v>#N/A</v>
      </c>
      <c r="I119" s="817" t="e">
        <f>H119</f>
        <v>#N/A</v>
      </c>
      <c r="J119" s="809" t="s">
        <v>817</v>
      </c>
    </row>
    <row r="120" spans="1:18" ht="18" customHeight="1">
      <c r="A120" s="215"/>
      <c r="B120" s="215" t="s">
        <v>384</v>
      </c>
      <c r="C120" s="883" t="str">
        <f>WE!B38</f>
        <v>Is the most recent electronic calibration documentation available?</v>
      </c>
      <c r="D120" s="329"/>
      <c r="E120" s="752" t="str">
        <f t="shared" si="9"/>
        <v/>
      </c>
      <c r="F120" s="327"/>
      <c r="G120" s="809" t="str">
        <f>IFERROR(IF(H116&lt;7,1,IF(OR(D118=WE!D23,D118=WE!D27),1,IF(LEN(D120)&gt;0,1,0))),"")</f>
        <v/>
      </c>
      <c r="H120" s="817" t="e">
        <f>VLOOKUP('Interactive Data Grading'!D120,WE!$F$6:$M$16,8,FALSE)</f>
        <v>#N/A</v>
      </c>
      <c r="I120" s="818" t="e">
        <f>IF(D118=WE!D23,X,IF(AND(H120=5,H122=10),7,H120))</f>
        <v>#N/A</v>
      </c>
      <c r="J120" s="809" t="s">
        <v>382</v>
      </c>
    </row>
    <row r="121" spans="1:18" ht="16.350000000000001" customHeight="1">
      <c r="A121" s="215"/>
      <c r="B121" s="215" t="s">
        <v>385</v>
      </c>
      <c r="C121" s="883" t="str">
        <f>WE!B39</f>
        <v>What is the frequency of in-situ flow accuracy testing?</v>
      </c>
      <c r="D121" s="329"/>
      <c r="E121" s="752" t="str">
        <f t="shared" si="9"/>
        <v/>
      </c>
      <c r="F121" s="327"/>
      <c r="G121" s="809" t="str">
        <f>IFERROR(IF(H116&lt;7,1,IF(LEN(D121)&gt;0,1,0)),"")</f>
        <v/>
      </c>
      <c r="H121" s="817" t="e">
        <f>VLOOKUP('Interactive Data Grading'!D121,WE!$G$6:$M$16,7,FALSE)</f>
        <v>#N/A</v>
      </c>
      <c r="I121" s="818" t="e">
        <f>IF(AND(H118&gt;=7,H121&gt;=7),MAX(H121,9),IF(AND(H118&gt;3,H118&lt;7,H121&gt;3,H121&lt;7),MAX(H118,H121),IF(H118&gt;=7,MAX(7,H121),H121)))</f>
        <v>#N/A</v>
      </c>
    </row>
    <row r="122" spans="1:18" ht="20.100000000000001" customHeight="1">
      <c r="A122" s="215"/>
      <c r="B122" s="215" t="s">
        <v>386</v>
      </c>
      <c r="C122" s="883" t="str">
        <f>WE!B40</f>
        <v>Is the most recent in-situ flow accuracy testing documentation available?</v>
      </c>
      <c r="D122" s="329"/>
      <c r="E122" s="752" t="str">
        <f t="shared" si="9"/>
        <v/>
      </c>
      <c r="F122" s="327"/>
      <c r="G122" s="809" t="str">
        <f>IFERROR(IF(H116&lt;7,1,IF(D121=WE!G23,1,IF(LEN(D122)&gt;0,1,0))),"")</f>
        <v/>
      </c>
      <c r="H122" s="817" t="e">
        <f>VLOOKUP('Interactive Data Grading'!D122,WE!$H$6:$M$16,6,FALSE)</f>
        <v>#N/A</v>
      </c>
      <c r="I122" s="818" t="e">
        <f>IF(D121=WE!G23,X,IF(AND(H122=5,H120=10),7,H122))</f>
        <v>#N/A</v>
      </c>
      <c r="J122" s="809" t="s">
        <v>384</v>
      </c>
    </row>
    <row r="123" spans="1:18" ht="27" customHeight="1">
      <c r="A123" s="215"/>
      <c r="B123" s="215" t="s">
        <v>387</v>
      </c>
      <c r="C123" s="883" t="str">
        <f>WE!B41</f>
        <v>What are the total volume-weighted average results of in-situ flow accuracy testing (during or closest to audit year)?</v>
      </c>
      <c r="D123" s="329"/>
      <c r="E123" s="752" t="str">
        <f t="shared" si="9"/>
        <v/>
      </c>
      <c r="F123" s="327"/>
      <c r="G123" s="809" t="str">
        <f>IFERROR(IF(H116&lt;7,1,IF(OR(D121=WE!G23,D122=WE!H23),1,IF(LEN(D123)&gt;0,1,0))),"")</f>
        <v/>
      </c>
      <c r="H123" s="817" t="e">
        <f>VLOOKUP('Interactive Data Grading'!D123,WE!$I$6:$M$16,5,FALSE)</f>
        <v>#N/A</v>
      </c>
      <c r="I123" s="817" t="e">
        <f>IF(OR(D121=WE!G23,D122=WE!H23),X,H123)</f>
        <v>#N/A</v>
      </c>
      <c r="J123" s="809" t="s">
        <v>818</v>
      </c>
    </row>
    <row r="124" spans="1:18" ht="37.5" customHeight="1">
      <c r="A124" s="215"/>
      <c r="B124" s="215" t="s">
        <v>388</v>
      </c>
      <c r="C124" s="883" t="str">
        <f>WE!B42</f>
        <v>Have testing and calibration procedures been closely scrutinized for compliance with procedures described in the AWWA M36 and/or M33 Manual(s)?</v>
      </c>
      <c r="D124" s="329"/>
      <c r="E124" s="752" t="str">
        <f t="shared" si="9"/>
        <v/>
      </c>
      <c r="F124" s="327"/>
      <c r="G124" s="809" t="str">
        <f>IFERROR(IF(H116&lt;7,1,IF(AND(OR(D118=WE!D23,D118=WE!D27),D121=WE!G23),1,IF(LEN(D124)&gt;0,1,0))),"")</f>
        <v/>
      </c>
      <c r="H124" s="817" t="e">
        <f>VLOOKUP('Interactive Data Grading'!D124,WE!$J$6:$M$16,4,FALSE)</f>
        <v>#N/A</v>
      </c>
      <c r="I124" s="817" t="e">
        <f>IF(OR(D121=WE!G23,D122=WE!H23),X,H124)</f>
        <v>#N/A</v>
      </c>
      <c r="J124" s="819" t="s">
        <v>819</v>
      </c>
    </row>
    <row r="125" spans="1:18" ht="25.35" customHeight="1">
      <c r="A125" s="215"/>
      <c r="B125" s="215" t="s">
        <v>389</v>
      </c>
      <c r="C125" s="883" t="str">
        <f>WE!B43</f>
        <v>Which best describes the frequency of meter readings (data collection frequency as opposed to billing frequency)?</v>
      </c>
      <c r="D125" s="329"/>
      <c r="E125" s="752" t="str">
        <f t="shared" si="9"/>
        <v/>
      </c>
      <c r="F125" s="327"/>
      <c r="G125" s="809" t="str">
        <f>IFERROR(IF(H116&lt;7,1,IF(LEN(D125)&gt;0,1,0)),"")</f>
        <v/>
      </c>
      <c r="H125" s="817" t="e">
        <f>VLOOKUP('Interactive Data Grading'!D125,WE!$K$6:$M$16,3,FALSE)</f>
        <v>#N/A</v>
      </c>
      <c r="I125" s="817" t="e">
        <f>H125</f>
        <v>#N/A</v>
      </c>
    </row>
    <row r="126" spans="1:18" ht="44.45" customHeight="1">
      <c r="A126" s="215"/>
      <c r="B126" s="215" t="s">
        <v>815</v>
      </c>
      <c r="C126" s="883"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2" t="str">
        <f t="shared" si="9"/>
        <v/>
      </c>
      <c r="F126" s="327"/>
      <c r="G126" s="809" t="str">
        <f>IFERROR(IF(H116&lt;7,1,IF(LEN(D126)&gt;0,1,0)),"")</f>
        <v/>
      </c>
      <c r="H126" s="817" t="e">
        <f>VLOOKUP('Interactive Data Grading'!D126,WE!$L$6:$M$16,2,FALSE)</f>
        <v>#N/A</v>
      </c>
      <c r="I126" s="817" t="e">
        <f>H126</f>
        <v>#N/A</v>
      </c>
    </row>
    <row r="127" spans="1:18" ht="27.6" customHeight="1">
      <c r="A127" s="215"/>
      <c r="B127" s="215"/>
      <c r="C127" s="328" t="s">
        <v>315</v>
      </c>
      <c r="D127" s="755" t="str">
        <f>IF(D115="","",IF(D115="No","n/a",IF(G127=0,"",IF(R9=0,H116,I127))))</f>
        <v>n/a</v>
      </c>
      <c r="E127" s="752"/>
      <c r="F127" s="327"/>
      <c r="G127" s="809">
        <f>MIN(G116:G126)</f>
        <v>0</v>
      </c>
      <c r="H127" s="820" t="e">
        <f>MIN(H116:H126)</f>
        <v>#N/A</v>
      </c>
      <c r="I127" s="820">
        <f t="array" ref="I127">MIN(IF(ISNUMBER(I116:I126),I116:I126))</f>
        <v>0</v>
      </c>
    </row>
    <row r="128" spans="1:18" s="470" customFormat="1" ht="16.350000000000001" customHeight="1">
      <c r="C128" s="567"/>
      <c r="D128" s="567"/>
      <c r="E128" s="847"/>
      <c r="G128" s="821"/>
      <c r="H128" s="821"/>
      <c r="I128" s="822"/>
      <c r="J128" s="821"/>
      <c r="K128" s="821"/>
      <c r="L128" s="821"/>
      <c r="M128" s="821"/>
      <c r="N128" s="821"/>
      <c r="O128" s="821"/>
      <c r="P128" s="821"/>
      <c r="Q128" s="821"/>
      <c r="R128" s="821"/>
    </row>
    <row r="129" spans="1:18" s="470" customFormat="1" ht="16.350000000000001" customHeight="1">
      <c r="C129" s="567"/>
      <c r="D129" s="567"/>
      <c r="E129" s="847"/>
      <c r="G129" s="821"/>
      <c r="H129" s="821"/>
      <c r="I129" s="822"/>
      <c r="J129" s="821"/>
      <c r="K129" s="821"/>
      <c r="L129" s="821"/>
      <c r="M129" s="821"/>
      <c r="N129" s="821"/>
      <c r="O129" s="821"/>
      <c r="P129" s="821"/>
      <c r="Q129" s="821"/>
      <c r="R129" s="821"/>
    </row>
    <row r="130" spans="1:18" s="470" customFormat="1" ht="16.350000000000001" customHeight="1">
      <c r="C130" s="567"/>
      <c r="D130" s="567"/>
      <c r="E130" s="847"/>
      <c r="G130" s="821"/>
      <c r="H130" s="821"/>
      <c r="I130" s="822"/>
      <c r="J130" s="821"/>
      <c r="K130" s="821"/>
      <c r="L130" s="821"/>
      <c r="M130" s="821"/>
      <c r="N130" s="821"/>
      <c r="O130" s="821"/>
      <c r="P130" s="821"/>
      <c r="Q130" s="821"/>
      <c r="R130" s="821"/>
    </row>
    <row r="131" spans="1:18" s="470" customFormat="1" ht="16.350000000000001" customHeight="1">
      <c r="C131" s="567"/>
      <c r="D131" s="567"/>
      <c r="E131" s="847"/>
      <c r="G131" s="821"/>
      <c r="H131" s="821"/>
      <c r="I131" s="822"/>
      <c r="J131" s="821"/>
      <c r="K131" s="821"/>
      <c r="L131" s="821"/>
      <c r="M131" s="821"/>
      <c r="N131" s="821"/>
      <c r="O131" s="821"/>
      <c r="P131" s="821"/>
      <c r="Q131" s="821"/>
      <c r="R131" s="821"/>
    </row>
    <row r="132" spans="1:18" s="470" customFormat="1" ht="16.350000000000001" customHeight="1">
      <c r="C132" s="567"/>
      <c r="D132" s="567"/>
      <c r="E132" s="847"/>
      <c r="G132" s="821"/>
      <c r="H132" s="821"/>
      <c r="I132" s="822"/>
      <c r="J132" s="821"/>
      <c r="K132" s="821"/>
      <c r="L132" s="821"/>
      <c r="M132" s="821"/>
      <c r="N132" s="821"/>
      <c r="O132" s="821"/>
      <c r="P132" s="821"/>
      <c r="Q132" s="821"/>
      <c r="R132" s="821"/>
    </row>
    <row r="133" spans="1:18" s="470" customFormat="1" ht="16.350000000000001" customHeight="1">
      <c r="C133" s="567"/>
      <c r="D133" s="567"/>
      <c r="E133" s="847"/>
      <c r="G133" s="821"/>
      <c r="H133" s="821"/>
      <c r="I133" s="822"/>
      <c r="J133" s="821"/>
      <c r="K133" s="821"/>
      <c r="L133" s="821"/>
      <c r="M133" s="821"/>
      <c r="N133" s="821"/>
      <c r="O133" s="821"/>
      <c r="P133" s="821"/>
      <c r="Q133" s="821"/>
      <c r="R133" s="821"/>
    </row>
    <row r="134" spans="1:18" s="470" customFormat="1" ht="13.35" customHeight="1">
      <c r="C134" s="567"/>
      <c r="D134" s="567"/>
      <c r="E134" s="847"/>
      <c r="G134" s="821"/>
      <c r="H134" s="821"/>
      <c r="I134" s="822"/>
      <c r="J134" s="821"/>
      <c r="K134" s="821"/>
      <c r="L134" s="821"/>
      <c r="M134" s="821"/>
      <c r="N134" s="821"/>
      <c r="O134" s="821"/>
      <c r="P134" s="821"/>
      <c r="Q134" s="821"/>
      <c r="R134" s="821"/>
    </row>
    <row r="135" spans="1:18" s="470" customFormat="1" ht="13.35" customHeight="1">
      <c r="C135" s="567"/>
      <c r="D135" s="567"/>
      <c r="E135" s="847"/>
      <c r="G135" s="821"/>
      <c r="H135" s="821"/>
      <c r="I135" s="822"/>
      <c r="J135" s="821"/>
      <c r="K135" s="821"/>
      <c r="L135" s="821"/>
      <c r="M135" s="821"/>
      <c r="N135" s="821"/>
      <c r="O135" s="821"/>
      <c r="P135" s="821"/>
      <c r="Q135" s="821"/>
      <c r="R135" s="821"/>
    </row>
    <row r="136" spans="1:18" s="470" customFormat="1" ht="13.35" customHeight="1">
      <c r="C136" s="567"/>
      <c r="D136" s="567"/>
      <c r="E136" s="847"/>
      <c r="G136" s="821"/>
      <c r="H136" s="821"/>
      <c r="I136" s="822"/>
      <c r="J136" s="821"/>
      <c r="K136" s="821"/>
      <c r="L136" s="821"/>
      <c r="M136" s="821"/>
      <c r="N136" s="821"/>
      <c r="O136" s="821"/>
      <c r="P136" s="821"/>
      <c r="Q136" s="821"/>
      <c r="R136" s="821"/>
    </row>
    <row r="137" spans="1:18" s="470" customFormat="1" ht="13.35" customHeight="1">
      <c r="C137" s="567"/>
      <c r="D137" s="567"/>
      <c r="E137" s="847"/>
      <c r="G137" s="821"/>
      <c r="H137" s="821"/>
      <c r="I137" s="822"/>
      <c r="J137" s="821"/>
      <c r="K137" s="821"/>
      <c r="L137" s="821"/>
      <c r="M137" s="821"/>
      <c r="N137" s="821"/>
      <c r="O137" s="821"/>
      <c r="P137" s="821"/>
      <c r="Q137" s="821"/>
      <c r="R137" s="821"/>
    </row>
    <row r="138" spans="1:18" s="470" customFormat="1" ht="4.5" customHeight="1">
      <c r="C138" s="567"/>
      <c r="D138" s="567"/>
      <c r="E138" s="847"/>
      <c r="G138" s="821"/>
      <c r="H138" s="821"/>
      <c r="I138" s="822"/>
      <c r="J138" s="821"/>
      <c r="K138" s="821"/>
      <c r="L138" s="821"/>
      <c r="M138" s="821"/>
      <c r="N138" s="821"/>
      <c r="O138" s="821"/>
      <c r="P138" s="821"/>
      <c r="Q138" s="821"/>
      <c r="R138" s="821"/>
    </row>
    <row r="139" spans="1:18" s="470" customFormat="1" ht="5.25" customHeight="1">
      <c r="C139" s="567"/>
      <c r="D139" s="567"/>
      <c r="E139" s="847"/>
      <c r="G139" s="821"/>
      <c r="H139" s="821"/>
      <c r="I139" s="822"/>
      <c r="J139" s="821"/>
      <c r="K139" s="821"/>
      <c r="L139" s="821"/>
      <c r="M139" s="821"/>
      <c r="N139" s="821"/>
      <c r="O139" s="821"/>
      <c r="P139" s="821"/>
      <c r="Q139" s="821"/>
      <c r="R139" s="821"/>
    </row>
    <row r="140" spans="1:18" s="470" customFormat="1" ht="3.75" customHeight="1">
      <c r="C140" s="567"/>
      <c r="D140" s="567"/>
      <c r="E140" s="847"/>
      <c r="G140" s="821"/>
      <c r="H140" s="821"/>
      <c r="I140" s="822"/>
      <c r="J140" s="821"/>
      <c r="K140" s="821"/>
      <c r="L140" s="821"/>
      <c r="M140" s="821"/>
      <c r="N140" s="821"/>
      <c r="O140" s="821"/>
      <c r="P140" s="821"/>
      <c r="Q140" s="821"/>
      <c r="R140" s="821"/>
    </row>
    <row r="141" spans="1:18" s="470" customFormat="1" ht="11.1" customHeight="1">
      <c r="C141" s="567"/>
      <c r="D141" s="567"/>
      <c r="E141" s="847"/>
      <c r="G141" s="821"/>
      <c r="H141" s="821"/>
      <c r="I141" s="822"/>
      <c r="J141" s="821"/>
      <c r="K141" s="821"/>
      <c r="L141" s="821"/>
      <c r="M141" s="821"/>
      <c r="N141" s="821"/>
      <c r="O141" s="821"/>
      <c r="P141" s="821"/>
      <c r="Q141" s="821"/>
      <c r="R141" s="821"/>
    </row>
    <row r="142" spans="1:18" s="470" customFormat="1" ht="8.4499999999999993" customHeight="1">
      <c r="C142" s="567"/>
      <c r="D142" s="567"/>
      <c r="E142" s="847"/>
      <c r="G142" s="821"/>
      <c r="H142" s="821"/>
      <c r="I142" s="822"/>
      <c r="J142" s="821"/>
      <c r="K142" s="821"/>
      <c r="L142" s="821"/>
      <c r="M142" s="821"/>
      <c r="N142" s="821"/>
      <c r="O142" s="821"/>
      <c r="P142" s="821"/>
      <c r="Q142" s="821"/>
      <c r="R142" s="821"/>
    </row>
    <row r="143" spans="1:18" s="470" customFormat="1" ht="16.350000000000001" customHeight="1">
      <c r="A143" s="1066" t="s">
        <v>1137</v>
      </c>
      <c r="B143" s="1067"/>
      <c r="C143" s="1057" t="s">
        <v>395</v>
      </c>
      <c r="D143" s="1057"/>
      <c r="E143" s="891" t="s">
        <v>1138</v>
      </c>
      <c r="G143" s="821"/>
      <c r="H143" s="821" t="s">
        <v>530</v>
      </c>
      <c r="I143" s="822"/>
      <c r="J143" s="821"/>
      <c r="K143" s="821"/>
      <c r="L143" s="821"/>
      <c r="M143" s="821"/>
      <c r="N143" s="821"/>
      <c r="O143" s="821"/>
      <c r="P143" s="821"/>
      <c r="Q143" s="821"/>
      <c r="R143" s="821"/>
    </row>
    <row r="144" spans="1:18" ht="9.75" customHeight="1">
      <c r="A144" s="215"/>
      <c r="B144" s="215"/>
      <c r="C144" s="215"/>
      <c r="D144" s="215"/>
      <c r="E144" s="753"/>
      <c r="F144" s="327"/>
      <c r="I144" s="813"/>
    </row>
    <row r="145" spans="1:18" s="575" customFormat="1" ht="12">
      <c r="A145" s="571"/>
      <c r="B145" s="572" t="s">
        <v>390</v>
      </c>
      <c r="C145" s="573" t="s">
        <v>305</v>
      </c>
      <c r="D145" s="573" t="s">
        <v>663</v>
      </c>
      <c r="E145" s="752"/>
      <c r="F145" s="574"/>
      <c r="G145" s="814"/>
      <c r="H145" s="815" t="s">
        <v>303</v>
      </c>
      <c r="I145" s="815"/>
      <c r="J145" s="814" t="s">
        <v>794</v>
      </c>
      <c r="K145" s="814"/>
      <c r="L145" s="814"/>
      <c r="M145" s="814"/>
      <c r="N145" s="814"/>
      <c r="O145" s="814"/>
      <c r="P145" s="814"/>
      <c r="Q145" s="814"/>
      <c r="R145" s="814"/>
    </row>
    <row r="146" spans="1:18" ht="27.6" customHeight="1">
      <c r="A146" s="215"/>
      <c r="B146" s="554" t="s">
        <v>391</v>
      </c>
      <c r="C146" s="883" t="str">
        <f>WEEA!B34</f>
        <v>Is an agreement in place between Exporting and Importing Utility?</v>
      </c>
      <c r="D146" s="329"/>
      <c r="E146" s="752" t="str">
        <f>IFERROR(IF(OR($D$150="",$H146=10,NOT(ISNUMBER($H146))),"",IF(H146=$H$150,"Limiting","")),"")</f>
        <v/>
      </c>
      <c r="F146" s="327"/>
      <c r="G146" s="823">
        <f t="shared" ref="G146" si="10">IF(LEN(D146)&gt;0,1,0)</f>
        <v>0</v>
      </c>
      <c r="H146" s="817" t="e">
        <f>VLOOKUP('Interactive Data Grading'!D146,WEEA!$C$6:$G$16,5,FALSE)</f>
        <v>#N/A</v>
      </c>
      <c r="I146" s="817"/>
    </row>
    <row r="147" spans="1:18" ht="27.6" customHeight="1">
      <c r="A147" s="215"/>
      <c r="B147" s="554" t="s">
        <v>392</v>
      </c>
      <c r="C147" s="883" t="str">
        <f>WEEA!B35</f>
        <v>Are meter accuracy testing or electronic calibration requirements stipulated in the water purchase agreement?</v>
      </c>
      <c r="D147" s="329"/>
      <c r="E147" s="752" t="str">
        <f t="shared" ref="E147:E149" si="11">IFERROR(IF(OR($D$150="",$H147=10,NOT(ISNUMBER($H147))),"",IF(H147=$H$150,"Limiting","")),"")</f>
        <v/>
      </c>
      <c r="F147" s="327"/>
      <c r="G147" s="823">
        <f>IF(OR(LEN(D147)&gt;0,D146=WEEA!$C$23),1,0)</f>
        <v>0</v>
      </c>
      <c r="H147" s="817" t="e">
        <f>VLOOKUP('Interactive Data Grading'!D147,WEEA!$D$6:$G$16,4,FALSE)</f>
        <v>#N/A</v>
      </c>
      <c r="I147" s="818"/>
      <c r="J147" s="809" t="s">
        <v>391</v>
      </c>
    </row>
    <row r="148" spans="1:18" ht="27.6" customHeight="1">
      <c r="A148" s="215"/>
      <c r="B148" s="554" t="s">
        <v>393</v>
      </c>
      <c r="C148" s="883" t="str">
        <f>WEEA!B36</f>
        <v>Are flow accuracy test and/or electronic calibration results used to inform the error adjustment input in the water audit?</v>
      </c>
      <c r="D148" s="329"/>
      <c r="E148" s="752" t="str">
        <f t="shared" si="11"/>
        <v/>
      </c>
      <c r="F148" s="327"/>
      <c r="G148" s="823">
        <f t="shared" ref="G148:G149" si="12">IF(LEN(D148)&gt;0,1,0)</f>
        <v>0</v>
      </c>
      <c r="H148" s="817" t="e">
        <f>VLOOKUP('Interactive Data Grading'!D148,WEEA!$E$6:$G$16,3,FALSE)</f>
        <v>#N/A</v>
      </c>
      <c r="I148" s="818"/>
    </row>
    <row r="149" spans="1:18" ht="27.6" customHeight="1">
      <c r="A149" s="215"/>
      <c r="B149" s="554" t="s">
        <v>394</v>
      </c>
      <c r="C149" s="883" t="str">
        <f>WEEA!B37</f>
        <v>Who has access to the import meter readings including current and archived data?</v>
      </c>
      <c r="D149" s="329"/>
      <c r="E149" s="752" t="str">
        <f t="shared" si="11"/>
        <v/>
      </c>
      <c r="F149" s="327"/>
      <c r="G149" s="823">
        <f t="shared" si="12"/>
        <v>0</v>
      </c>
      <c r="H149" s="817" t="e">
        <f>VLOOKUP('Interactive Data Grading'!D149,WEEA!$F$6:$G$16,2,FALSE)</f>
        <v>#N/A</v>
      </c>
      <c r="I149" s="818"/>
    </row>
    <row r="150" spans="1:18" ht="27.6" customHeight="1">
      <c r="A150" s="215"/>
      <c r="B150" s="215"/>
      <c r="C150" s="328" t="s">
        <v>315</v>
      </c>
      <c r="D150" s="894" t="str">
        <f>IF(D115="No","n/a",IF(G150=0,"",H150))</f>
        <v>n/a</v>
      </c>
      <c r="E150" s="752"/>
      <c r="F150" s="327"/>
      <c r="G150" s="823">
        <f>MIN(G146:G149)</f>
        <v>0</v>
      </c>
      <c r="H150" s="820">
        <f t="array" ref="H150">MIN(IF(ISNUMBER(H146:H149),H146:H149))</f>
        <v>0</v>
      </c>
      <c r="I150" s="820"/>
    </row>
    <row r="151" spans="1:18" s="470" customFormat="1" ht="16.350000000000001" customHeight="1">
      <c r="C151" s="567"/>
      <c r="D151" s="567"/>
      <c r="E151" s="847"/>
      <c r="G151" s="821"/>
      <c r="H151" s="821"/>
      <c r="I151" s="822"/>
      <c r="J151" s="821"/>
      <c r="K151" s="821"/>
      <c r="L151" s="821"/>
      <c r="M151" s="821"/>
      <c r="N151" s="821"/>
      <c r="O151" s="821"/>
      <c r="P151" s="821"/>
      <c r="Q151" s="821"/>
      <c r="R151" s="821"/>
    </row>
    <row r="152" spans="1:18" s="470" customFormat="1" ht="16.350000000000001" customHeight="1">
      <c r="C152" s="567"/>
      <c r="D152" s="567"/>
      <c r="E152" s="847"/>
      <c r="G152" s="821"/>
      <c r="H152" s="821"/>
      <c r="I152" s="822"/>
      <c r="J152" s="821"/>
      <c r="K152" s="821"/>
      <c r="L152" s="821"/>
      <c r="M152" s="821"/>
      <c r="N152" s="821"/>
      <c r="O152" s="821"/>
      <c r="P152" s="821"/>
      <c r="Q152" s="821"/>
      <c r="R152" s="821"/>
    </row>
    <row r="153" spans="1:18" s="470" customFormat="1" ht="16.350000000000001" customHeight="1">
      <c r="C153" s="567"/>
      <c r="D153" s="567"/>
      <c r="E153" s="847"/>
      <c r="G153" s="821"/>
      <c r="H153" s="821"/>
      <c r="I153" s="822"/>
      <c r="J153" s="821"/>
      <c r="K153" s="821"/>
      <c r="L153" s="821"/>
      <c r="M153" s="821"/>
      <c r="N153" s="821"/>
      <c r="O153" s="821"/>
      <c r="P153" s="821"/>
      <c r="Q153" s="821"/>
      <c r="R153" s="821"/>
    </row>
    <row r="154" spans="1:18" s="470" customFormat="1" ht="16.350000000000001" customHeight="1">
      <c r="C154" s="567"/>
      <c r="D154" s="567"/>
      <c r="E154" s="847"/>
      <c r="G154" s="821"/>
      <c r="H154" s="821"/>
      <c r="I154" s="822"/>
      <c r="J154" s="821"/>
      <c r="K154" s="821"/>
      <c r="L154" s="821"/>
      <c r="M154" s="821"/>
      <c r="N154" s="821"/>
      <c r="O154" s="821"/>
      <c r="P154" s="821"/>
      <c r="Q154" s="821"/>
      <c r="R154" s="821"/>
    </row>
    <row r="155" spans="1:18" s="470" customFormat="1" ht="16.350000000000001" customHeight="1">
      <c r="C155" s="567"/>
      <c r="D155" s="567"/>
      <c r="E155" s="847"/>
      <c r="G155" s="821"/>
      <c r="H155" s="821"/>
      <c r="I155" s="822"/>
      <c r="J155" s="821"/>
      <c r="K155" s="821"/>
      <c r="L155" s="821"/>
      <c r="M155" s="821"/>
      <c r="N155" s="821"/>
      <c r="O155" s="821"/>
      <c r="P155" s="821"/>
      <c r="Q155" s="821"/>
      <c r="R155" s="821"/>
    </row>
    <row r="156" spans="1:18" s="470" customFormat="1" ht="16.350000000000001" customHeight="1">
      <c r="C156" s="567"/>
      <c r="D156" s="567"/>
      <c r="E156" s="847"/>
      <c r="G156" s="821"/>
      <c r="H156" s="821"/>
      <c r="I156" s="822"/>
      <c r="J156" s="821"/>
      <c r="K156" s="821"/>
      <c r="L156" s="821"/>
      <c r="M156" s="821"/>
      <c r="N156" s="821"/>
      <c r="O156" s="821"/>
      <c r="P156" s="821"/>
      <c r="Q156" s="821"/>
      <c r="R156" s="821"/>
    </row>
    <row r="157" spans="1:18" s="470" customFormat="1" ht="16.350000000000001" customHeight="1">
      <c r="C157" s="567"/>
      <c r="D157" s="567"/>
      <c r="E157" s="847"/>
      <c r="G157" s="821"/>
      <c r="H157" s="821"/>
      <c r="I157" s="822"/>
      <c r="J157" s="821"/>
      <c r="K157" s="821"/>
      <c r="L157" s="821"/>
      <c r="M157" s="821"/>
      <c r="N157" s="821"/>
      <c r="O157" s="821"/>
      <c r="P157" s="821"/>
      <c r="Q157" s="821"/>
      <c r="R157" s="821"/>
    </row>
    <row r="158" spans="1:18" s="470" customFormat="1" ht="16.350000000000001" customHeight="1">
      <c r="C158" s="567"/>
      <c r="D158" s="567"/>
      <c r="E158" s="847"/>
      <c r="G158" s="821"/>
      <c r="H158" s="821"/>
      <c r="I158" s="822"/>
      <c r="J158" s="821"/>
      <c r="K158" s="821"/>
      <c r="L158" s="821"/>
      <c r="M158" s="821"/>
      <c r="N158" s="821"/>
      <c r="O158" s="821"/>
      <c r="P158" s="821"/>
      <c r="Q158" s="821"/>
      <c r="R158" s="821"/>
    </row>
    <row r="159" spans="1:18" s="470" customFormat="1" ht="16.350000000000001" customHeight="1">
      <c r="C159" s="567"/>
      <c r="D159" s="567"/>
      <c r="E159" s="847"/>
      <c r="G159" s="821"/>
      <c r="H159" s="821"/>
      <c r="I159" s="822"/>
      <c r="J159" s="821"/>
      <c r="K159" s="821"/>
      <c r="L159" s="821"/>
      <c r="M159" s="821"/>
      <c r="N159" s="821"/>
      <c r="O159" s="821"/>
      <c r="P159" s="821"/>
      <c r="Q159" s="821"/>
      <c r="R159" s="821"/>
    </row>
    <row r="160" spans="1:18" s="470" customFormat="1" ht="16.350000000000001" customHeight="1">
      <c r="C160" s="567"/>
      <c r="D160" s="567"/>
      <c r="E160" s="847"/>
      <c r="G160" s="821"/>
      <c r="H160" s="821"/>
      <c r="I160" s="822"/>
      <c r="J160" s="821"/>
      <c r="K160" s="821"/>
      <c r="L160" s="821"/>
      <c r="M160" s="821"/>
      <c r="N160" s="821"/>
      <c r="O160" s="821"/>
      <c r="P160" s="821"/>
      <c r="Q160" s="821"/>
      <c r="R160" s="821"/>
    </row>
    <row r="161" spans="1:18" s="470" customFormat="1" ht="16.350000000000001" customHeight="1">
      <c r="C161" s="567"/>
      <c r="D161" s="567"/>
      <c r="E161" s="847"/>
      <c r="G161" s="821"/>
      <c r="H161" s="821"/>
      <c r="I161" s="822"/>
      <c r="J161" s="821"/>
      <c r="K161" s="821"/>
      <c r="L161" s="821"/>
      <c r="M161" s="821"/>
      <c r="N161" s="821"/>
      <c r="O161" s="821"/>
      <c r="P161" s="821"/>
      <c r="Q161" s="821"/>
      <c r="R161" s="821"/>
    </row>
    <row r="162" spans="1:18" s="470" customFormat="1" ht="16.350000000000001" customHeight="1">
      <c r="C162" s="567"/>
      <c r="D162" s="567"/>
      <c r="E162" s="847"/>
      <c r="G162" s="821"/>
      <c r="H162" s="821"/>
      <c r="I162" s="822"/>
      <c r="J162" s="821"/>
      <c r="K162" s="821"/>
      <c r="L162" s="821"/>
      <c r="M162" s="821"/>
      <c r="N162" s="821"/>
      <c r="O162" s="821"/>
      <c r="P162" s="821"/>
      <c r="Q162" s="821"/>
      <c r="R162" s="821"/>
    </row>
    <row r="163" spans="1:18" s="470" customFormat="1" ht="16.350000000000001" customHeight="1">
      <c r="C163" s="567"/>
      <c r="D163" s="567"/>
      <c r="E163" s="847"/>
      <c r="G163" s="821"/>
      <c r="H163" s="821"/>
      <c r="I163" s="822"/>
      <c r="J163" s="821"/>
      <c r="K163" s="821"/>
      <c r="L163" s="821"/>
      <c r="M163" s="821"/>
      <c r="N163" s="821"/>
      <c r="O163" s="821"/>
      <c r="P163" s="821"/>
      <c r="Q163" s="821"/>
      <c r="R163" s="821"/>
    </row>
    <row r="164" spans="1:18" s="470" customFormat="1" ht="16.350000000000001" customHeight="1">
      <c r="C164" s="567"/>
      <c r="D164" s="567"/>
      <c r="E164" s="847"/>
      <c r="G164" s="821"/>
      <c r="H164" s="821"/>
      <c r="I164" s="822"/>
      <c r="J164" s="821"/>
      <c r="K164" s="821"/>
      <c r="L164" s="821"/>
      <c r="M164" s="821"/>
      <c r="N164" s="821"/>
      <c r="O164" s="821"/>
      <c r="P164" s="821"/>
      <c r="Q164" s="821"/>
      <c r="R164" s="821"/>
    </row>
    <row r="165" spans="1:18" s="470" customFormat="1" ht="16.350000000000001" customHeight="1">
      <c r="C165" s="567"/>
      <c r="D165" s="567"/>
      <c r="E165" s="847"/>
      <c r="G165" s="821"/>
      <c r="H165" s="821"/>
      <c r="I165" s="822"/>
      <c r="J165" s="821"/>
      <c r="K165" s="821"/>
      <c r="L165" s="821"/>
      <c r="M165" s="821"/>
      <c r="N165" s="821"/>
      <c r="O165" s="821"/>
      <c r="P165" s="821"/>
      <c r="Q165" s="821"/>
      <c r="R165" s="821"/>
    </row>
    <row r="166" spans="1:18" s="470" customFormat="1" ht="16.350000000000001" customHeight="1">
      <c r="A166" s="1066" t="s">
        <v>1137</v>
      </c>
      <c r="B166" s="1067"/>
      <c r="C166" s="1057" t="s">
        <v>402</v>
      </c>
      <c r="D166" s="1057"/>
      <c r="E166" s="891" t="s">
        <v>1138</v>
      </c>
      <c r="G166" s="821"/>
      <c r="H166" s="821"/>
      <c r="I166" s="822"/>
      <c r="J166" s="821"/>
      <c r="K166" s="821"/>
      <c r="L166" s="821"/>
      <c r="M166" s="821"/>
      <c r="N166" s="821"/>
      <c r="O166" s="821"/>
      <c r="P166" s="821"/>
      <c r="Q166" s="821"/>
      <c r="R166" s="821"/>
    </row>
    <row r="167" spans="1:18" ht="12" customHeight="1">
      <c r="A167" s="215"/>
      <c r="B167" s="215"/>
      <c r="C167" s="1065" t="str">
        <f>IF(OR(AND(D169="Yes",Worksheet!H23&gt;0),AND(D169="No",Worksheet!H23&lt;=0),LEN(D169)=0),"","Inconsistency between Worksheet BMAC input and bmac.0 response")</f>
        <v/>
      </c>
      <c r="D167" s="1065"/>
      <c r="E167" s="753"/>
      <c r="F167" s="327"/>
      <c r="H167" s="813"/>
      <c r="I167" s="813"/>
    </row>
    <row r="168" spans="1:18" s="575" customFormat="1" ht="12">
      <c r="A168" s="571"/>
      <c r="B168" s="572" t="s">
        <v>403</v>
      </c>
      <c r="C168" s="573" t="s">
        <v>305</v>
      </c>
      <c r="D168" s="573" t="s">
        <v>663</v>
      </c>
      <c r="E168" s="752"/>
      <c r="F168" s="574"/>
      <c r="G168" s="814"/>
      <c r="H168" s="815" t="s">
        <v>303</v>
      </c>
      <c r="I168" s="815"/>
      <c r="J168" s="814" t="s">
        <v>794</v>
      </c>
      <c r="K168" s="814"/>
      <c r="L168" s="814"/>
      <c r="M168" s="814"/>
      <c r="N168" s="814"/>
      <c r="O168" s="814"/>
      <c r="P168" s="814"/>
      <c r="Q168" s="814"/>
      <c r="R168" s="814"/>
    </row>
    <row r="169" spans="1:18" ht="20.100000000000001" customHeight="1">
      <c r="A169" s="215"/>
      <c r="B169" s="554" t="s">
        <v>443</v>
      </c>
      <c r="C169" s="883" t="str">
        <f>BMAC!B34</f>
        <v xml:space="preserve">Were any customers metered in the audit year? </v>
      </c>
      <c r="D169" s="334" t="s">
        <v>262</v>
      </c>
      <c r="E169" s="752"/>
      <c r="F169" s="327"/>
      <c r="H169" s="809" t="str">
        <f>IF(D169="",X,"")</f>
        <v/>
      </c>
      <c r="I169" s="816"/>
      <c r="J169" s="809" t="s">
        <v>828</v>
      </c>
    </row>
    <row r="170" spans="1:18" ht="23.1" customHeight="1">
      <c r="A170" s="215"/>
      <c r="B170" s="554" t="s">
        <v>404</v>
      </c>
      <c r="C170" s="883" t="str">
        <f>BMAC!B35</f>
        <v>For billed metered accounts, what % of bills are estimated in a typical billing cycle?</v>
      </c>
      <c r="D170" s="334" t="s">
        <v>661</v>
      </c>
      <c r="E170" s="752" t="str">
        <f t="shared" ref="E170:E176" si="13">IFERROR(IF(OR($D$177=10,NOT(ISNUMBER($D$177))),"",IF(I170=$I$177,"Limiting","")),"")</f>
        <v/>
      </c>
      <c r="F170" s="327"/>
      <c r="G170" s="810">
        <f>IF($D$169="No",1,IF(LEN(D170)&gt;0,1,0))</f>
        <v>1</v>
      </c>
      <c r="H170" s="824">
        <f>VLOOKUP('Interactive Data Grading'!D170,BMAC!$C$6:$J$15,8,FALSE)</f>
        <v>10</v>
      </c>
      <c r="I170" s="824">
        <f>H170</f>
        <v>10</v>
      </c>
    </row>
    <row r="171" spans="1:18" ht="38.25" customHeight="1">
      <c r="A171" s="215"/>
      <c r="B171" s="554" t="s">
        <v>405</v>
      </c>
      <c r="C171" s="883" t="str">
        <f>BMAC!B36</f>
        <v>How often does the utility read its customer meters?
For systems with multiple read frequencies, select the reading frequency that describes the majority of your customers.</v>
      </c>
      <c r="D171" s="334" t="s">
        <v>270</v>
      </c>
      <c r="E171" s="752" t="str">
        <f t="shared" si="13"/>
        <v/>
      </c>
      <c r="F171" s="327"/>
      <c r="G171" s="810">
        <f t="shared" ref="G171:G175" si="14">IF($D$169="No",1,IF(LEN(D171)&gt;0,1,0))</f>
        <v>1</v>
      </c>
      <c r="H171" s="824">
        <f>VLOOKUP('Interactive Data Grading'!D171,BMAC!$D$6:$J$15,7,FALSE)</f>
        <v>9</v>
      </c>
      <c r="I171" s="824">
        <f t="shared" ref="I171:I175" si="15">H171</f>
        <v>9</v>
      </c>
    </row>
    <row r="172" spans="1:18" ht="22.35" customHeight="1">
      <c r="A172" s="215"/>
      <c r="B172" s="554" t="s">
        <v>406</v>
      </c>
      <c r="C172" s="883" t="str">
        <f>BMAC!B37</f>
        <v>Is the BMAC volume pro-rated to represent consumption occuring exactly during the audit period?</v>
      </c>
      <c r="D172" s="334" t="s">
        <v>269</v>
      </c>
      <c r="E172" s="752" t="str">
        <f t="shared" si="13"/>
        <v>Limiting</v>
      </c>
      <c r="F172" s="327"/>
      <c r="G172" s="810">
        <f t="shared" si="14"/>
        <v>1</v>
      </c>
      <c r="H172" s="824">
        <f>VLOOKUP('Interactive Data Grading'!D172,BMAC!$E$6:$J$15,6,FALSE)</f>
        <v>8</v>
      </c>
      <c r="I172" s="824">
        <f t="shared" si="15"/>
        <v>8</v>
      </c>
    </row>
    <row r="173" spans="1:18" ht="20.100000000000001" customHeight="1">
      <c r="A173" s="215"/>
      <c r="B173" s="554" t="s">
        <v>407</v>
      </c>
      <c r="C173" s="883" t="str">
        <f>BMAC!B38</f>
        <v>How frequently does internal review by utility staff of the BMAC volumes occur?</v>
      </c>
      <c r="D173" s="334" t="s">
        <v>426</v>
      </c>
      <c r="E173" s="752" t="str">
        <f t="shared" si="13"/>
        <v/>
      </c>
      <c r="F173" s="327"/>
      <c r="G173" s="810">
        <f t="shared" si="14"/>
        <v>1</v>
      </c>
      <c r="H173" s="824">
        <f>VLOOKUP('Interactive Data Grading'!D173,BMAC!$F$6:$J$15,5,FALSE)</f>
        <v>10</v>
      </c>
      <c r="I173" s="824">
        <f t="shared" si="15"/>
        <v>10</v>
      </c>
    </row>
    <row r="174" spans="1:18" ht="20.100000000000001" customHeight="1">
      <c r="A174" s="215"/>
      <c r="B174" s="554" t="s">
        <v>408</v>
      </c>
      <c r="C174" s="883" t="str">
        <f>BMAC!B39</f>
        <v>What level of detail is examined in the internal review of BMAC volumes?</v>
      </c>
      <c r="D174" s="334" t="s">
        <v>981</v>
      </c>
      <c r="E174" s="752" t="str">
        <f t="shared" si="13"/>
        <v/>
      </c>
      <c r="F174" s="327"/>
      <c r="G174" s="810">
        <f>IF(OR($D$169="No",D173=BMAC!F23),1,IF(LEN(D174)&gt;0,1,0))</f>
        <v>1</v>
      </c>
      <c r="H174" s="824">
        <f>VLOOKUP('Interactive Data Grading'!D174,BMAC!$G$6:$J$15,4,FALSE)</f>
        <v>10</v>
      </c>
      <c r="I174" s="824">
        <f>IF(D173=BMAC!F23,X,H174)</f>
        <v>10</v>
      </c>
      <c r="J174" s="809" t="s">
        <v>407</v>
      </c>
    </row>
    <row r="175" spans="1:18" ht="22.9" customHeight="1">
      <c r="A175" s="215"/>
      <c r="B175" s="554" t="s">
        <v>409</v>
      </c>
      <c r="C175" s="883" t="str">
        <f>BMAC!B40</f>
        <v>When was the most recent billing data review by someone who is independent of the utility billing process?</v>
      </c>
      <c r="D175" s="334" t="s">
        <v>895</v>
      </c>
      <c r="E175" s="752" t="str">
        <f t="shared" si="13"/>
        <v>Limiting</v>
      </c>
      <c r="F175" s="327"/>
      <c r="G175" s="810">
        <f t="shared" si="14"/>
        <v>1</v>
      </c>
      <c r="H175" s="824">
        <f>VLOOKUP('Interactive Data Grading'!D175,BMAC!$H$6:$J$15,3,FALSE)</f>
        <v>8</v>
      </c>
      <c r="I175" s="824">
        <f t="shared" si="15"/>
        <v>8</v>
      </c>
    </row>
    <row r="176" spans="1:18" ht="22.9" customHeight="1">
      <c r="A176" s="215"/>
      <c r="B176" s="554" t="s">
        <v>410</v>
      </c>
      <c r="C176" s="883" t="str">
        <f>BMAC!B41</f>
        <v>What level of detail was examined in the review by someone who is independent of the utility billing process?</v>
      </c>
      <c r="D176" s="329"/>
      <c r="E176" s="752" t="str">
        <f t="shared" si="13"/>
        <v/>
      </c>
      <c r="F176" s="327"/>
      <c r="G176" s="810">
        <f>IF(OR($D$169="No",D175=BMAC!H23),1,IF(LEN(D176)&gt;0,1,0))</f>
        <v>1</v>
      </c>
      <c r="H176" s="824" t="e">
        <f>VLOOKUP('Interactive Data Grading'!D176,BMAC!$I$6:$J$15,2,FALSE)</f>
        <v>#N/A</v>
      </c>
      <c r="I176" s="824" t="e">
        <f>IF(D175=BMAC!H23,X,H176)</f>
        <v>#NAME?</v>
      </c>
      <c r="J176" s="809" t="s">
        <v>409</v>
      </c>
    </row>
    <row r="177" spans="1:18" ht="27.6" customHeight="1">
      <c r="A177" s="215"/>
      <c r="B177" s="215"/>
      <c r="C177" s="328" t="s">
        <v>315</v>
      </c>
      <c r="D177" s="755">
        <f>IF(D169="","",IF(D169="No","n/a",IF(G177=0,"",I177)))</f>
        <v>8</v>
      </c>
      <c r="E177" s="752"/>
      <c r="F177" s="327"/>
      <c r="G177" s="810">
        <f>MIN(G170:G176)</f>
        <v>1</v>
      </c>
      <c r="H177" s="820" t="e">
        <f>MIN(H169:H176)</f>
        <v>#N/A</v>
      </c>
      <c r="I177" s="820">
        <f t="array" ref="I177">MIN(IF(ISNUMBER(I168:I176),I168:I176))</f>
        <v>8</v>
      </c>
    </row>
    <row r="178" spans="1:18" s="470" customFormat="1" ht="16.350000000000001" customHeight="1">
      <c r="C178" s="567"/>
      <c r="D178" s="567"/>
      <c r="E178" s="847"/>
      <c r="G178" s="821"/>
      <c r="H178" s="821"/>
      <c r="I178" s="822"/>
      <c r="J178" s="821"/>
      <c r="K178" s="821"/>
      <c r="L178" s="821"/>
      <c r="M178" s="821"/>
      <c r="N178" s="821"/>
      <c r="O178" s="821"/>
      <c r="P178" s="821"/>
      <c r="Q178" s="821"/>
      <c r="R178" s="821"/>
    </row>
    <row r="179" spans="1:18" s="470" customFormat="1" ht="16.350000000000001" customHeight="1">
      <c r="C179" s="567"/>
      <c r="D179" s="567"/>
      <c r="E179" s="847"/>
      <c r="G179" s="821"/>
      <c r="H179" s="821"/>
      <c r="I179" s="822"/>
      <c r="J179" s="821"/>
      <c r="K179" s="821"/>
      <c r="L179" s="821"/>
      <c r="M179" s="821"/>
      <c r="N179" s="821"/>
      <c r="O179" s="821"/>
      <c r="P179" s="821"/>
      <c r="Q179" s="821"/>
      <c r="R179" s="821"/>
    </row>
    <row r="180" spans="1:18" s="470" customFormat="1" ht="16.350000000000001" customHeight="1">
      <c r="C180" s="567"/>
      <c r="D180" s="567"/>
      <c r="E180" s="847"/>
      <c r="G180" s="821"/>
      <c r="H180" s="821"/>
      <c r="I180" s="822"/>
      <c r="J180" s="821"/>
      <c r="K180" s="821"/>
      <c r="L180" s="821"/>
      <c r="M180" s="821"/>
      <c r="N180" s="821"/>
      <c r="O180" s="821"/>
      <c r="P180" s="821"/>
      <c r="Q180" s="821"/>
      <c r="R180" s="821"/>
    </row>
    <row r="181" spans="1:18" s="470" customFormat="1" ht="16.350000000000001" customHeight="1">
      <c r="C181" s="567"/>
      <c r="D181" s="567"/>
      <c r="E181" s="847"/>
      <c r="G181" s="821"/>
      <c r="H181" s="821"/>
      <c r="I181" s="822"/>
      <c r="J181" s="821"/>
      <c r="K181" s="821"/>
      <c r="L181" s="821"/>
      <c r="M181" s="821"/>
      <c r="N181" s="821"/>
      <c r="O181" s="821"/>
      <c r="P181" s="821"/>
      <c r="Q181" s="821"/>
      <c r="R181" s="821"/>
    </row>
    <row r="182" spans="1:18" s="470" customFormat="1" ht="16.350000000000001" customHeight="1">
      <c r="C182" s="567"/>
      <c r="D182" s="567"/>
      <c r="E182" s="847"/>
      <c r="G182" s="821"/>
      <c r="H182" s="821"/>
      <c r="I182" s="822"/>
      <c r="J182" s="821"/>
      <c r="K182" s="821"/>
      <c r="L182" s="821"/>
      <c r="M182" s="821"/>
      <c r="N182" s="821"/>
      <c r="O182" s="821"/>
      <c r="P182" s="821"/>
      <c r="Q182" s="821"/>
      <c r="R182" s="821"/>
    </row>
    <row r="183" spans="1:18" s="470" customFormat="1" ht="16.350000000000001" customHeight="1">
      <c r="C183" s="567"/>
      <c r="D183" s="567"/>
      <c r="E183" s="847"/>
      <c r="G183" s="821"/>
      <c r="H183" s="821"/>
      <c r="I183" s="822"/>
      <c r="J183" s="821"/>
      <c r="K183" s="821"/>
      <c r="L183" s="821"/>
      <c r="M183" s="821"/>
      <c r="N183" s="821"/>
      <c r="O183" s="821"/>
      <c r="P183" s="821"/>
      <c r="Q183" s="821"/>
      <c r="R183" s="821"/>
    </row>
    <row r="184" spans="1:18" s="470" customFormat="1" ht="16.350000000000001" customHeight="1">
      <c r="C184" s="567"/>
      <c r="D184" s="567"/>
      <c r="E184" s="847"/>
      <c r="G184" s="821"/>
      <c r="H184" s="821"/>
      <c r="I184" s="822"/>
      <c r="J184" s="821"/>
      <c r="K184" s="821"/>
      <c r="L184" s="821"/>
      <c r="M184" s="821"/>
      <c r="N184" s="821"/>
      <c r="O184" s="821"/>
      <c r="P184" s="821"/>
      <c r="Q184" s="821"/>
      <c r="R184" s="821"/>
    </row>
    <row r="185" spans="1:18" s="470" customFormat="1" ht="16.350000000000001" customHeight="1">
      <c r="C185" s="567"/>
      <c r="D185" s="567"/>
      <c r="E185" s="847"/>
      <c r="G185" s="821"/>
      <c r="H185" s="821"/>
      <c r="I185" s="822"/>
      <c r="J185" s="821"/>
      <c r="K185" s="821"/>
      <c r="L185" s="821"/>
      <c r="M185" s="821"/>
      <c r="N185" s="821"/>
      <c r="O185" s="821"/>
      <c r="P185" s="821"/>
      <c r="Q185" s="821"/>
      <c r="R185" s="821"/>
    </row>
    <row r="186" spans="1:18" s="470" customFormat="1" ht="16.350000000000001" customHeight="1">
      <c r="C186" s="567"/>
      <c r="D186" s="567"/>
      <c r="E186" s="847"/>
      <c r="G186" s="821"/>
      <c r="H186" s="821"/>
      <c r="I186" s="822"/>
      <c r="J186" s="821"/>
      <c r="K186" s="821"/>
      <c r="L186" s="821"/>
      <c r="M186" s="821"/>
      <c r="N186" s="821"/>
      <c r="O186" s="821"/>
      <c r="P186" s="821"/>
      <c r="Q186" s="821"/>
      <c r="R186" s="821"/>
    </row>
    <row r="187" spans="1:18" s="470" customFormat="1" ht="16.350000000000001" customHeight="1">
      <c r="C187" s="567"/>
      <c r="D187" s="567"/>
      <c r="E187" s="847"/>
      <c r="G187" s="821"/>
      <c r="H187" s="821"/>
      <c r="I187" s="822"/>
      <c r="J187" s="821"/>
      <c r="K187" s="821"/>
      <c r="L187" s="821"/>
      <c r="M187" s="821"/>
      <c r="N187" s="821"/>
      <c r="O187" s="821"/>
      <c r="P187" s="821"/>
      <c r="Q187" s="821"/>
      <c r="R187" s="821"/>
    </row>
    <row r="188" spans="1:18" s="470" customFormat="1" ht="16.350000000000001" customHeight="1">
      <c r="C188" s="567"/>
      <c r="D188" s="567"/>
      <c r="E188" s="847"/>
      <c r="G188" s="821"/>
      <c r="H188" s="821"/>
      <c r="I188" s="822"/>
      <c r="J188" s="821"/>
      <c r="K188" s="821"/>
      <c r="L188" s="821"/>
      <c r="M188" s="821"/>
      <c r="N188" s="821"/>
      <c r="O188" s="821"/>
      <c r="P188" s="821"/>
      <c r="Q188" s="821"/>
      <c r="R188" s="821"/>
    </row>
    <row r="189" spans="1:18" s="470" customFormat="1" ht="47.45" customHeight="1">
      <c r="C189" s="567"/>
      <c r="D189" s="567"/>
      <c r="E189" s="847"/>
      <c r="G189" s="821"/>
      <c r="H189" s="821"/>
      <c r="I189" s="822"/>
      <c r="J189" s="821"/>
      <c r="K189" s="821"/>
      <c r="L189" s="821"/>
      <c r="M189" s="821"/>
      <c r="N189" s="821"/>
      <c r="O189" s="821"/>
      <c r="P189" s="821"/>
      <c r="Q189" s="821"/>
      <c r="R189" s="821"/>
    </row>
    <row r="190" spans="1:18" s="470" customFormat="1" ht="33.75" customHeight="1">
      <c r="C190" s="567"/>
      <c r="D190" s="567"/>
      <c r="E190" s="847"/>
      <c r="G190" s="821"/>
      <c r="H190" s="821"/>
      <c r="I190" s="822"/>
      <c r="J190" s="821"/>
      <c r="K190" s="821"/>
      <c r="L190" s="821"/>
      <c r="M190" s="821"/>
      <c r="N190" s="821"/>
      <c r="O190" s="821"/>
      <c r="P190" s="821"/>
      <c r="Q190" s="821"/>
      <c r="R190" s="821"/>
    </row>
    <row r="191" spans="1:18" s="470" customFormat="1" ht="32.25" customHeight="1">
      <c r="C191" s="567"/>
      <c r="D191" s="567"/>
      <c r="E191" s="847"/>
      <c r="G191" s="821"/>
      <c r="H191" s="821"/>
      <c r="I191" s="822"/>
      <c r="J191" s="821"/>
      <c r="K191" s="821"/>
      <c r="L191" s="821"/>
      <c r="M191" s="821"/>
      <c r="N191" s="821"/>
      <c r="O191" s="821"/>
      <c r="P191" s="821"/>
      <c r="Q191" s="821"/>
      <c r="R191" s="821"/>
    </row>
    <row r="192" spans="1:18" s="470" customFormat="1" ht="24.75" customHeight="1">
      <c r="C192" s="567"/>
      <c r="D192" s="567"/>
      <c r="E192" s="847"/>
      <c r="G192" s="821"/>
      <c r="H192" s="821"/>
      <c r="I192" s="822"/>
      <c r="J192" s="821"/>
      <c r="K192" s="821"/>
      <c r="L192" s="821"/>
      <c r="M192" s="821"/>
      <c r="N192" s="821"/>
      <c r="O192" s="821"/>
      <c r="P192" s="821"/>
      <c r="Q192" s="821"/>
      <c r="R192" s="821"/>
    </row>
    <row r="193" spans="1:18" s="470" customFormat="1" ht="16.350000000000001" customHeight="1">
      <c r="A193" s="1066" t="s">
        <v>1137</v>
      </c>
      <c r="B193" s="1067"/>
      <c r="C193" s="1057" t="s">
        <v>444</v>
      </c>
      <c r="D193" s="1057"/>
      <c r="E193" s="891" t="s">
        <v>1138</v>
      </c>
      <c r="G193" s="821"/>
      <c r="H193" s="821"/>
      <c r="I193" s="822"/>
      <c r="J193" s="821"/>
      <c r="K193" s="821"/>
      <c r="L193" s="821"/>
      <c r="M193" s="821"/>
      <c r="N193" s="821"/>
      <c r="O193" s="821"/>
      <c r="P193" s="821"/>
      <c r="Q193" s="821"/>
      <c r="R193" s="821"/>
    </row>
    <row r="194" spans="1:18" ht="12" customHeight="1">
      <c r="A194" s="215"/>
      <c r="B194" s="215"/>
      <c r="C194" s="1065" t="str">
        <f>IF(OR(AND(D196="Yes",Worksheet!H24&gt;0),AND(D196="No",Worksheet!H24&lt;=0),LEN(D196)=0),"","Inconsistency between Worksheet BUAC input and buac.0 response")</f>
        <v/>
      </c>
      <c r="D194" s="1065"/>
      <c r="E194" s="753"/>
      <c r="F194" s="327"/>
      <c r="H194" s="813"/>
      <c r="I194" s="813"/>
    </row>
    <row r="195" spans="1:18" s="575" customFormat="1" ht="12">
      <c r="A195" s="571"/>
      <c r="B195" s="572" t="s">
        <v>445</v>
      </c>
      <c r="C195" s="573" t="s">
        <v>305</v>
      </c>
      <c r="D195" s="573" t="s">
        <v>663</v>
      </c>
      <c r="E195" s="752"/>
      <c r="F195" s="574"/>
      <c r="G195" s="814"/>
      <c r="H195" s="815" t="s">
        <v>303</v>
      </c>
      <c r="I195" s="815"/>
      <c r="J195" s="814" t="s">
        <v>794</v>
      </c>
      <c r="K195" s="814"/>
      <c r="L195" s="814"/>
      <c r="M195" s="814"/>
      <c r="N195" s="814"/>
      <c r="O195" s="814"/>
      <c r="P195" s="814"/>
      <c r="Q195" s="814"/>
      <c r="R195" s="814"/>
    </row>
    <row r="196" spans="1:18" ht="27.6" customHeight="1">
      <c r="A196" s="215"/>
      <c r="B196" s="554" t="s">
        <v>446</v>
      </c>
      <c r="C196" s="883" t="str">
        <f>BUAC!B34</f>
        <v>Was there any billed consumption on unmetered accounts in the audit year?</v>
      </c>
      <c r="D196" s="329" t="s">
        <v>269</v>
      </c>
      <c r="E196" s="752"/>
      <c r="F196" s="327"/>
      <c r="H196" s="809" t="str">
        <f>IF(D196="",X,"")</f>
        <v/>
      </c>
      <c r="I196" s="816"/>
      <c r="J196" s="809" t="s">
        <v>828</v>
      </c>
    </row>
    <row r="197" spans="1:18" ht="27.6" customHeight="1">
      <c r="A197" s="215"/>
      <c r="B197" s="554" t="s">
        <v>437</v>
      </c>
      <c r="C197" s="883" t="str">
        <f>BUAC!B35</f>
        <v>What portion of billed accounts are unmetered (% by number of accounts)?</v>
      </c>
      <c r="D197" s="329"/>
      <c r="E197" s="752" t="str">
        <f>IF(OR($D$200=10,$D$200="n/a"),"",IFERROR(IF(H197=MIN($H$197:$H$199),"Limiting",""),""))</f>
        <v/>
      </c>
      <c r="F197" s="327"/>
      <c r="H197" s="817" t="e">
        <f>VLOOKUP('Interactive Data Grading'!D197,BUAC!$C$6:$F$15,4,FALSE)</f>
        <v>#N/A</v>
      </c>
      <c r="I197" s="817"/>
    </row>
    <row r="198" spans="1:18" ht="27.6" customHeight="1">
      <c r="A198" s="215"/>
      <c r="B198" s="554" t="s">
        <v>438</v>
      </c>
      <c r="C198" s="883" t="str">
        <f>BUAC!B36</f>
        <v>Methodology to quantify consumption for unmetered accounts?</v>
      </c>
      <c r="D198" s="329"/>
      <c r="E198" s="752" t="str">
        <f>IF(OR($D$200=10,$D$200="n/a"),"",IFERROR(IF(H198=MIN($H$197:$H$199),"Limiting",""),""))</f>
        <v/>
      </c>
      <c r="F198" s="327"/>
      <c r="H198" s="817" t="e">
        <f>VLOOKUP('Interactive Data Grading'!D198,BUAC!$D$6:$F$15,3,FALSE)</f>
        <v>#N/A</v>
      </c>
      <c r="I198" s="818"/>
    </row>
    <row r="199" spans="1:18" ht="27.6" customHeight="1">
      <c r="A199" s="215"/>
      <c r="B199" s="554" t="s">
        <v>439</v>
      </c>
      <c r="C199" s="883" t="str">
        <f>BUAC!B37</f>
        <v>How frequently is unmetered customer consumption estimated?</v>
      </c>
      <c r="D199" s="329"/>
      <c r="E199" s="752" t="str">
        <f>IF(OR($D$200=10,$D$200="n/a"),"",IFERROR(IF(H199=MIN($H$197:$H$199),"Limiting",""),""))</f>
        <v/>
      </c>
      <c r="F199" s="327"/>
      <c r="H199" s="817" t="e">
        <f>VLOOKUP('Interactive Data Grading'!D199,BUAC!$E$6:$F$15,2,FALSE)</f>
        <v>#N/A</v>
      </c>
      <c r="I199" s="818"/>
    </row>
    <row r="200" spans="1:18" ht="27.6" customHeight="1">
      <c r="A200" s="215"/>
      <c r="B200" s="215"/>
      <c r="C200" s="328" t="s">
        <v>315</v>
      </c>
      <c r="D200" s="755" t="str">
        <f>IFERROR((IF(D196="No","n/a",H200)),"")</f>
        <v>n/a</v>
      </c>
      <c r="E200" s="752"/>
      <c r="F200" s="327"/>
      <c r="H200" s="820" t="e">
        <f>MIN(H196:H199)</f>
        <v>#N/A</v>
      </c>
      <c r="I200" s="817"/>
    </row>
    <row r="201" spans="1:18" s="470" customFormat="1" ht="16.350000000000001" customHeight="1">
      <c r="C201" s="567"/>
      <c r="D201" s="567"/>
      <c r="E201" s="847"/>
      <c r="G201" s="821"/>
      <c r="H201" s="821"/>
      <c r="I201" s="822"/>
      <c r="J201" s="821"/>
      <c r="K201" s="821"/>
      <c r="L201" s="821"/>
      <c r="M201" s="821"/>
      <c r="N201" s="821"/>
      <c r="O201" s="821"/>
      <c r="P201" s="821"/>
      <c r="Q201" s="821"/>
      <c r="R201" s="821"/>
    </row>
    <row r="202" spans="1:18" s="470" customFormat="1" ht="16.350000000000001" customHeight="1">
      <c r="C202" s="567"/>
      <c r="D202" s="567"/>
      <c r="E202" s="847"/>
      <c r="G202" s="821"/>
      <c r="H202" s="821"/>
      <c r="I202" s="822"/>
      <c r="J202" s="821"/>
      <c r="K202" s="821"/>
      <c r="L202" s="821"/>
      <c r="M202" s="821"/>
      <c r="N202" s="821"/>
      <c r="O202" s="821"/>
      <c r="P202" s="821"/>
      <c r="Q202" s="821"/>
      <c r="R202" s="821"/>
    </row>
    <row r="203" spans="1:18" s="470" customFormat="1" ht="16.350000000000001" customHeight="1">
      <c r="C203" s="567"/>
      <c r="D203" s="567"/>
      <c r="E203" s="847"/>
      <c r="G203" s="821"/>
      <c r="H203" s="821"/>
      <c r="I203" s="822"/>
      <c r="J203" s="821"/>
      <c r="K203" s="821"/>
      <c r="L203" s="821"/>
      <c r="M203" s="821"/>
      <c r="N203" s="821"/>
      <c r="O203" s="821"/>
      <c r="P203" s="821"/>
      <c r="Q203" s="821"/>
      <c r="R203" s="821"/>
    </row>
    <row r="204" spans="1:18" s="470" customFormat="1" ht="16.350000000000001" customHeight="1">
      <c r="C204" s="567"/>
      <c r="D204" s="567"/>
      <c r="E204" s="847"/>
      <c r="G204" s="821"/>
      <c r="H204" s="821"/>
      <c r="I204" s="822"/>
      <c r="J204" s="821"/>
      <c r="K204" s="821"/>
      <c r="L204" s="821"/>
      <c r="M204" s="821"/>
      <c r="N204" s="821"/>
      <c r="O204" s="821"/>
      <c r="P204" s="821"/>
      <c r="Q204" s="821"/>
      <c r="R204" s="821"/>
    </row>
    <row r="205" spans="1:18" s="470" customFormat="1" ht="16.350000000000001" customHeight="1">
      <c r="C205" s="567"/>
      <c r="D205" s="567"/>
      <c r="E205" s="847"/>
      <c r="G205" s="821"/>
      <c r="H205" s="821"/>
      <c r="I205" s="822"/>
      <c r="J205" s="821"/>
      <c r="K205" s="821"/>
      <c r="L205" s="821"/>
      <c r="M205" s="821"/>
      <c r="N205" s="821"/>
      <c r="O205" s="821"/>
      <c r="P205" s="821"/>
      <c r="Q205" s="821"/>
      <c r="R205" s="821"/>
    </row>
    <row r="206" spans="1:18" s="470" customFormat="1" ht="16.350000000000001" customHeight="1">
      <c r="C206" s="567"/>
      <c r="D206" s="567"/>
      <c r="E206" s="847"/>
      <c r="G206" s="821"/>
      <c r="H206" s="821"/>
      <c r="I206" s="822"/>
      <c r="J206" s="821"/>
      <c r="K206" s="821"/>
      <c r="L206" s="821"/>
      <c r="M206" s="821"/>
      <c r="N206" s="821"/>
      <c r="O206" s="821"/>
      <c r="P206" s="821"/>
      <c r="Q206" s="821"/>
      <c r="R206" s="821"/>
    </row>
    <row r="207" spans="1:18" s="470" customFormat="1" ht="16.350000000000001" customHeight="1">
      <c r="C207" s="567"/>
      <c r="D207" s="567"/>
      <c r="E207" s="847"/>
      <c r="G207" s="821"/>
      <c r="H207" s="821"/>
      <c r="I207" s="822"/>
      <c r="J207" s="821"/>
      <c r="K207" s="821"/>
      <c r="L207" s="821"/>
      <c r="M207" s="821"/>
      <c r="N207" s="821"/>
      <c r="O207" s="821"/>
      <c r="P207" s="821"/>
      <c r="Q207" s="821"/>
      <c r="R207" s="821"/>
    </row>
    <row r="208" spans="1:18" s="470" customFormat="1" ht="16.350000000000001" customHeight="1">
      <c r="C208" s="567"/>
      <c r="D208" s="567"/>
      <c r="E208" s="847"/>
      <c r="G208" s="821"/>
      <c r="H208" s="821"/>
      <c r="I208" s="822"/>
      <c r="J208" s="821"/>
      <c r="K208" s="821"/>
      <c r="L208" s="821"/>
      <c r="M208" s="821"/>
      <c r="N208" s="821"/>
      <c r="O208" s="821"/>
      <c r="P208" s="821"/>
      <c r="Q208" s="821"/>
      <c r="R208" s="821"/>
    </row>
    <row r="209" spans="1:18" s="470" customFormat="1" ht="57.6" customHeight="1">
      <c r="C209" s="567"/>
      <c r="D209" s="567"/>
      <c r="E209" s="847"/>
      <c r="G209" s="821"/>
      <c r="H209" s="821"/>
      <c r="I209" s="822"/>
      <c r="J209" s="821"/>
      <c r="K209" s="821"/>
      <c r="L209" s="821"/>
      <c r="M209" s="821"/>
      <c r="N209" s="821"/>
      <c r="O209" s="821"/>
      <c r="P209" s="821"/>
      <c r="Q209" s="821"/>
      <c r="R209" s="821"/>
    </row>
    <row r="210" spans="1:18" s="470" customFormat="1" ht="57.6" customHeight="1">
      <c r="C210" s="567"/>
      <c r="D210" s="567"/>
      <c r="E210" s="847"/>
      <c r="G210" s="821"/>
      <c r="H210" s="821"/>
      <c r="I210" s="822"/>
      <c r="J210" s="821"/>
      <c r="K210" s="821"/>
      <c r="L210" s="821"/>
      <c r="M210" s="821"/>
      <c r="N210" s="821"/>
      <c r="O210" s="821"/>
      <c r="P210" s="821"/>
      <c r="Q210" s="821"/>
      <c r="R210" s="821"/>
    </row>
    <row r="211" spans="1:18" s="470" customFormat="1" ht="57.6" customHeight="1">
      <c r="C211" s="567"/>
      <c r="D211" s="567"/>
      <c r="E211" s="847"/>
      <c r="G211" s="821"/>
      <c r="H211" s="821"/>
      <c r="I211" s="822"/>
      <c r="J211" s="821"/>
      <c r="K211" s="821"/>
      <c r="L211" s="821"/>
      <c r="M211" s="821"/>
      <c r="N211" s="821"/>
      <c r="O211" s="821"/>
      <c r="P211" s="821"/>
      <c r="Q211" s="821"/>
      <c r="R211" s="821"/>
    </row>
    <row r="212" spans="1:18" s="470" customFormat="1" ht="33.75" customHeight="1">
      <c r="C212" s="567"/>
      <c r="D212" s="567"/>
      <c r="E212" s="847"/>
      <c r="G212" s="821"/>
      <c r="H212" s="821"/>
      <c r="I212" s="822"/>
      <c r="J212" s="821"/>
      <c r="K212" s="821"/>
      <c r="L212" s="821"/>
      <c r="M212" s="821"/>
      <c r="N212" s="821"/>
      <c r="O212" s="821"/>
      <c r="P212" s="821"/>
      <c r="Q212" s="821"/>
      <c r="R212" s="821"/>
    </row>
    <row r="213" spans="1:18" s="470" customFormat="1" ht="16.350000000000001" customHeight="1">
      <c r="C213" s="567"/>
      <c r="D213" s="567"/>
      <c r="E213" s="847"/>
      <c r="G213" s="821"/>
      <c r="H213" s="821"/>
      <c r="I213" s="822"/>
      <c r="J213" s="821"/>
      <c r="K213" s="821"/>
      <c r="L213" s="821"/>
      <c r="M213" s="821"/>
      <c r="N213" s="821"/>
      <c r="O213" s="821"/>
      <c r="P213" s="821"/>
      <c r="Q213" s="821"/>
      <c r="R213" s="821"/>
    </row>
    <row r="214" spans="1:18" s="470" customFormat="1" ht="16.350000000000001" customHeight="1">
      <c r="C214" s="567"/>
      <c r="D214" s="567"/>
      <c r="E214" s="847"/>
      <c r="G214" s="821"/>
      <c r="H214" s="821"/>
      <c r="I214" s="822"/>
      <c r="J214" s="821"/>
      <c r="K214" s="821"/>
      <c r="L214" s="821"/>
      <c r="M214" s="821"/>
      <c r="N214" s="821"/>
      <c r="O214" s="821"/>
      <c r="P214" s="821"/>
      <c r="Q214" s="821"/>
      <c r="R214" s="821"/>
    </row>
    <row r="215" spans="1:18" s="470" customFormat="1" ht="18.75" customHeight="1">
      <c r="C215" s="567"/>
      <c r="D215" s="567"/>
      <c r="E215" s="847"/>
      <c r="G215" s="821"/>
      <c r="H215" s="821"/>
      <c r="I215" s="822"/>
      <c r="J215" s="821"/>
      <c r="K215" s="821"/>
      <c r="L215" s="821"/>
      <c r="M215" s="821"/>
      <c r="N215" s="821"/>
      <c r="O215" s="821"/>
      <c r="P215" s="821"/>
      <c r="Q215" s="821"/>
      <c r="R215" s="821"/>
    </row>
    <row r="216" spans="1:18" s="470" customFormat="1" ht="16.350000000000001" customHeight="1">
      <c r="A216" s="1066" t="s">
        <v>1137</v>
      </c>
      <c r="B216" s="1067"/>
      <c r="C216" s="1057" t="s">
        <v>462</v>
      </c>
      <c r="D216" s="1057"/>
      <c r="E216" s="891" t="s">
        <v>1138</v>
      </c>
      <c r="G216" s="821"/>
      <c r="H216" s="821"/>
      <c r="I216" s="822"/>
      <c r="J216" s="821"/>
      <c r="K216" s="821"/>
      <c r="L216" s="821"/>
      <c r="M216" s="821"/>
      <c r="N216" s="821"/>
      <c r="O216" s="821"/>
      <c r="P216" s="821"/>
      <c r="Q216" s="821"/>
      <c r="R216" s="821"/>
    </row>
    <row r="217" spans="1:18" ht="12" customHeight="1">
      <c r="A217" s="215"/>
      <c r="B217" s="215"/>
      <c r="C217" s="1065" t="str">
        <f>IF(OR(AND(D219="Yes",Worksheet!H25&gt;0),AND(D219="No",Worksheet!H25&lt;=0),LEN(D219)=0),"","Inconsistency between Worksheet UMAC input and umac.0 response")</f>
        <v/>
      </c>
      <c r="D217" s="1065"/>
      <c r="E217" s="753"/>
      <c r="F217" s="327"/>
      <c r="H217" s="813"/>
      <c r="I217" s="813"/>
    </row>
    <row r="218" spans="1:18" s="575" customFormat="1" ht="12">
      <c r="A218" s="571"/>
      <c r="B218" s="572" t="s">
        <v>474</v>
      </c>
      <c r="C218" s="573" t="s">
        <v>305</v>
      </c>
      <c r="D218" s="573" t="s">
        <v>663</v>
      </c>
      <c r="E218" s="752"/>
      <c r="F218" s="574"/>
      <c r="G218" s="814"/>
      <c r="H218" s="815" t="s">
        <v>303</v>
      </c>
      <c r="I218" s="815"/>
      <c r="J218" s="814" t="s">
        <v>794</v>
      </c>
      <c r="K218" s="814"/>
      <c r="L218" s="814"/>
      <c r="M218" s="814"/>
      <c r="N218" s="814"/>
      <c r="O218" s="814"/>
      <c r="P218" s="814"/>
      <c r="Q218" s="814"/>
      <c r="R218" s="814"/>
    </row>
    <row r="219" spans="1:18" ht="27.6" customHeight="1">
      <c r="A219" s="215"/>
      <c r="B219" s="554" t="s">
        <v>475</v>
      </c>
      <c r="C219" s="883" t="str">
        <f>UMAC!B34</f>
        <v>Did the water utility have any unbilled-metered consumption in the audit year?</v>
      </c>
      <c r="D219" s="329" t="s">
        <v>269</v>
      </c>
      <c r="E219" s="752"/>
      <c r="F219" s="327"/>
      <c r="H219" s="809" t="str">
        <f>IF(D219="",X,"")</f>
        <v/>
      </c>
      <c r="I219" s="816"/>
      <c r="J219" s="809" t="s">
        <v>828</v>
      </c>
    </row>
    <row r="220" spans="1:18" ht="27.6" customHeight="1">
      <c r="A220" s="215"/>
      <c r="B220" s="554" t="s">
        <v>456</v>
      </c>
      <c r="C220" s="883" t="str">
        <f>UMAC!B35</f>
        <v>Does the water utility policy articulate which accounts are exempt from billing?</v>
      </c>
      <c r="D220" s="329"/>
      <c r="E220" s="752" t="str">
        <f>IF(OR($D$224=10,$D$224="n/a"),"",IFERROR(IF(H220=MIN($H$220:$H$223),"Limiting",""),""))</f>
        <v/>
      </c>
      <c r="F220" s="327"/>
      <c r="H220" s="817" t="e">
        <f>VLOOKUP('Interactive Data Grading'!D220,UMAC!$C$6:$G$15,5,FALSE)</f>
        <v>#N/A</v>
      </c>
      <c r="I220" s="817"/>
    </row>
    <row r="221" spans="1:18" ht="27.6" customHeight="1">
      <c r="A221" s="215"/>
      <c r="B221" s="554" t="s">
        <v>457</v>
      </c>
      <c r="C221" s="883" t="str">
        <f>UMAC!B36</f>
        <v>How many unbilled metered accounts exist?</v>
      </c>
      <c r="D221" s="329"/>
      <c r="E221" s="752" t="str">
        <f>IF(OR($D$224=10,$D$224="n/a"),"",IFERROR(IF(H221=MIN($H$220:$H$223),"Limiting",""),""))</f>
        <v/>
      </c>
      <c r="F221" s="327"/>
      <c r="H221" s="817" t="e">
        <f>VLOOKUP('Interactive Data Grading'!D221,UMAC!$D$6:$G$15,4,FALSE)</f>
        <v>#N/A</v>
      </c>
      <c r="I221" s="818"/>
    </row>
    <row r="222" spans="1:18" ht="41.85" customHeight="1">
      <c r="A222" s="215"/>
      <c r="B222" s="554" t="s">
        <v>458</v>
      </c>
      <c r="C222" s="883" t="str">
        <f>UMAC!B37</f>
        <v>How often is each unbilled customer meter read? 
For systems with multiple read frequencies, select the reading frequency that describes the majority of your customers.</v>
      </c>
      <c r="D222" s="329"/>
      <c r="E222" s="752" t="str">
        <f>IF(OR($D$224=10,$D$224="n/a"),"",IFERROR(IF(H222=MIN($H$220:$H$223),"Limiting",""),""))</f>
        <v/>
      </c>
      <c r="F222" s="327"/>
      <c r="H222" s="817" t="e">
        <f>VLOOKUP('Interactive Data Grading'!D222,UMAC!$E$6:$G$15,3,FALSE)</f>
        <v>#N/A</v>
      </c>
      <c r="I222" s="818"/>
    </row>
    <row r="223" spans="1:18" ht="27.6" customHeight="1">
      <c r="A223" s="215"/>
      <c r="B223" s="554" t="s">
        <v>459</v>
      </c>
      <c r="C223" s="883" t="str">
        <f>UMAC!B38</f>
        <v>How often are unbilled metered volumes reviewed for error?</v>
      </c>
      <c r="D223" s="329"/>
      <c r="E223" s="752" t="str">
        <f>IF(OR($D$224=10,$D$224="n/a"),"",IFERROR(IF(H223=MIN($H$220:$H$223),"Limiting",""),""))</f>
        <v/>
      </c>
      <c r="F223" s="327"/>
      <c r="H223" s="817" t="e">
        <f>VLOOKUP('Interactive Data Grading'!D223,UMAC!$F$6:$G$15,2,FALSE)</f>
        <v>#N/A</v>
      </c>
      <c r="I223" s="817"/>
    </row>
    <row r="224" spans="1:18" ht="27.6" customHeight="1">
      <c r="A224" s="215"/>
      <c r="B224" s="215"/>
      <c r="C224" s="328" t="s">
        <v>315</v>
      </c>
      <c r="D224" s="755" t="str">
        <f>IFERROR((IF(D219="No","n/a",H224)),"")</f>
        <v>n/a</v>
      </c>
      <c r="E224" s="752"/>
      <c r="F224" s="327"/>
      <c r="H224" s="820" t="e">
        <f>MIN(H219:H223)</f>
        <v>#N/A</v>
      </c>
      <c r="I224" s="817"/>
    </row>
    <row r="225" spans="1:18" s="470" customFormat="1" ht="16.350000000000001" customHeight="1">
      <c r="C225" s="567"/>
      <c r="D225" s="567"/>
      <c r="E225" s="847"/>
      <c r="G225" s="821"/>
      <c r="H225" s="821"/>
      <c r="I225" s="822"/>
      <c r="J225" s="821"/>
      <c r="K225" s="821"/>
      <c r="L225" s="821"/>
      <c r="M225" s="821"/>
      <c r="N225" s="821"/>
      <c r="O225" s="821"/>
      <c r="P225" s="821"/>
      <c r="Q225" s="821"/>
      <c r="R225" s="821"/>
    </row>
    <row r="226" spans="1:18" s="470" customFormat="1" ht="16.350000000000001" customHeight="1">
      <c r="C226" s="567"/>
      <c r="D226" s="567"/>
      <c r="E226" s="847"/>
      <c r="G226" s="821"/>
      <c r="H226" s="821"/>
      <c r="I226" s="822"/>
      <c r="J226" s="821"/>
      <c r="K226" s="821"/>
      <c r="L226" s="821"/>
      <c r="M226" s="821"/>
      <c r="N226" s="821"/>
      <c r="O226" s="821"/>
      <c r="P226" s="821"/>
      <c r="Q226" s="821"/>
      <c r="R226" s="821"/>
    </row>
    <row r="227" spans="1:18" s="470" customFormat="1" ht="16.350000000000001" customHeight="1">
      <c r="C227" s="567"/>
      <c r="D227" s="567"/>
      <c r="E227" s="847"/>
      <c r="G227" s="821"/>
      <c r="H227" s="821"/>
      <c r="I227" s="822"/>
      <c r="J227" s="821"/>
      <c r="K227" s="821"/>
      <c r="L227" s="821"/>
      <c r="M227" s="821"/>
      <c r="N227" s="821"/>
      <c r="O227" s="821"/>
      <c r="P227" s="821"/>
      <c r="Q227" s="821"/>
      <c r="R227" s="821"/>
    </row>
    <row r="228" spans="1:18" s="470" customFormat="1" ht="16.350000000000001" customHeight="1">
      <c r="C228" s="567"/>
      <c r="D228" s="567"/>
      <c r="E228" s="847"/>
      <c r="G228" s="821"/>
      <c r="H228" s="821"/>
      <c r="I228" s="822"/>
      <c r="J228" s="821"/>
      <c r="K228" s="821"/>
      <c r="L228" s="821"/>
      <c r="M228" s="821"/>
      <c r="N228" s="821"/>
      <c r="O228" s="821"/>
      <c r="P228" s="821"/>
      <c r="Q228" s="821"/>
      <c r="R228" s="821"/>
    </row>
    <row r="229" spans="1:18" s="470" customFormat="1" ht="16.350000000000001" customHeight="1">
      <c r="C229" s="567"/>
      <c r="D229" s="567"/>
      <c r="E229" s="847"/>
      <c r="G229" s="821"/>
      <c r="H229" s="821"/>
      <c r="I229" s="822"/>
      <c r="J229" s="821"/>
      <c r="K229" s="821"/>
      <c r="L229" s="821"/>
      <c r="M229" s="821"/>
      <c r="N229" s="821"/>
      <c r="O229" s="821"/>
      <c r="P229" s="821"/>
      <c r="Q229" s="821"/>
      <c r="R229" s="821"/>
    </row>
    <row r="230" spans="1:18" s="470" customFormat="1" ht="40.35" customHeight="1">
      <c r="C230" s="567"/>
      <c r="D230" s="567"/>
      <c r="E230" s="847"/>
      <c r="G230" s="821"/>
      <c r="H230" s="821"/>
      <c r="I230" s="822"/>
      <c r="J230" s="821"/>
      <c r="K230" s="821"/>
      <c r="L230" s="821"/>
      <c r="M230" s="821"/>
      <c r="N230" s="821"/>
      <c r="O230" s="821"/>
      <c r="P230" s="821"/>
      <c r="Q230" s="821"/>
      <c r="R230" s="821"/>
    </row>
    <row r="231" spans="1:18" s="470" customFormat="1" ht="40.35" customHeight="1">
      <c r="C231" s="567"/>
      <c r="D231" s="567"/>
      <c r="E231" s="847"/>
      <c r="G231" s="821"/>
      <c r="H231" s="821"/>
      <c r="I231" s="822"/>
      <c r="J231" s="821"/>
      <c r="K231" s="821"/>
      <c r="L231" s="821"/>
      <c r="M231" s="821"/>
      <c r="N231" s="821"/>
      <c r="O231" s="821"/>
      <c r="P231" s="821"/>
      <c r="Q231" s="821"/>
      <c r="R231" s="821"/>
    </row>
    <row r="232" spans="1:18" s="470" customFormat="1" ht="40.35" customHeight="1">
      <c r="C232" s="567"/>
      <c r="D232" s="567"/>
      <c r="E232" s="847"/>
      <c r="G232" s="821"/>
      <c r="H232" s="821"/>
      <c r="I232" s="822"/>
      <c r="J232" s="821"/>
      <c r="K232" s="821"/>
      <c r="L232" s="821"/>
      <c r="M232" s="821"/>
      <c r="N232" s="821"/>
      <c r="O232" s="821"/>
      <c r="P232" s="821"/>
      <c r="Q232" s="821"/>
      <c r="R232" s="821"/>
    </row>
    <row r="233" spans="1:18" s="470" customFormat="1" ht="23.25" customHeight="1">
      <c r="C233" s="567"/>
      <c r="D233" s="567"/>
      <c r="E233" s="847"/>
      <c r="G233" s="821"/>
      <c r="H233" s="821"/>
      <c r="I233" s="822"/>
      <c r="J233" s="821"/>
      <c r="K233" s="821"/>
      <c r="L233" s="821"/>
      <c r="M233" s="821"/>
      <c r="N233" s="821"/>
      <c r="O233" s="821"/>
      <c r="P233" s="821"/>
      <c r="Q233" s="821"/>
      <c r="R233" s="821"/>
    </row>
    <row r="234" spans="1:18" s="470" customFormat="1" ht="13.5" customHeight="1">
      <c r="C234" s="567"/>
      <c r="D234" s="567"/>
      <c r="E234" s="847"/>
      <c r="G234" s="821"/>
      <c r="H234" s="821"/>
      <c r="I234" s="822"/>
      <c r="J234" s="821"/>
      <c r="K234" s="821"/>
      <c r="L234" s="821"/>
      <c r="M234" s="821"/>
      <c r="N234" s="821"/>
      <c r="O234" s="821"/>
      <c r="P234" s="821"/>
      <c r="Q234" s="821"/>
      <c r="R234" s="821"/>
    </row>
    <row r="235" spans="1:18" s="470" customFormat="1" ht="16.350000000000001" customHeight="1">
      <c r="C235" s="567"/>
      <c r="D235" s="567"/>
      <c r="E235" s="847"/>
      <c r="G235" s="821"/>
      <c r="H235" s="821"/>
      <c r="I235" s="822"/>
      <c r="J235" s="821"/>
      <c r="K235" s="821"/>
      <c r="L235" s="821"/>
      <c r="M235" s="821"/>
      <c r="N235" s="821"/>
      <c r="O235" s="821"/>
      <c r="P235" s="821"/>
      <c r="Q235" s="821"/>
      <c r="R235" s="821"/>
    </row>
    <row r="236" spans="1:18" s="470" customFormat="1" ht="12.75" customHeight="1">
      <c r="C236" s="567"/>
      <c r="D236" s="567"/>
      <c r="E236" s="847"/>
      <c r="G236" s="821"/>
      <c r="H236" s="821"/>
      <c r="I236" s="822"/>
      <c r="J236" s="821"/>
      <c r="K236" s="821"/>
      <c r="L236" s="821"/>
      <c r="M236" s="821"/>
      <c r="N236" s="821"/>
      <c r="O236" s="821"/>
      <c r="P236" s="821"/>
      <c r="Q236" s="821"/>
      <c r="R236" s="821"/>
    </row>
    <row r="237" spans="1:18" s="470" customFormat="1" ht="12.75" customHeight="1">
      <c r="C237" s="567"/>
      <c r="D237" s="567"/>
      <c r="E237" s="847"/>
      <c r="G237" s="821"/>
      <c r="H237" s="821"/>
      <c r="I237" s="822"/>
      <c r="J237" s="821"/>
      <c r="K237" s="821"/>
      <c r="L237" s="821"/>
      <c r="M237" s="821"/>
      <c r="N237" s="821"/>
      <c r="O237" s="821"/>
      <c r="P237" s="821"/>
      <c r="Q237" s="821"/>
      <c r="R237" s="821"/>
    </row>
    <row r="238" spans="1:18" s="470" customFormat="1" ht="12.75" customHeight="1">
      <c r="C238" s="567"/>
      <c r="D238" s="567"/>
      <c r="E238" s="847"/>
      <c r="G238" s="821"/>
      <c r="H238" s="821"/>
      <c r="I238" s="822"/>
      <c r="J238" s="821"/>
      <c r="K238" s="821"/>
      <c r="L238" s="821"/>
      <c r="M238" s="821"/>
      <c r="N238" s="821"/>
      <c r="O238" s="821"/>
      <c r="P238" s="821"/>
      <c r="Q238" s="821"/>
      <c r="R238" s="821"/>
    </row>
    <row r="239" spans="1:18" s="470" customFormat="1" ht="51" customHeight="1">
      <c r="C239" s="567"/>
      <c r="D239" s="567"/>
      <c r="E239" s="847"/>
      <c r="G239" s="821"/>
      <c r="H239" s="821"/>
      <c r="I239" s="822"/>
      <c r="J239" s="821"/>
      <c r="K239" s="821"/>
      <c r="L239" s="821"/>
      <c r="M239" s="821"/>
      <c r="N239" s="821"/>
      <c r="O239" s="821"/>
      <c r="P239" s="821"/>
      <c r="Q239" s="821"/>
      <c r="R239" s="821"/>
    </row>
    <row r="240" spans="1:18" s="470" customFormat="1" ht="16.350000000000001" customHeight="1">
      <c r="A240" s="1066" t="s">
        <v>1137</v>
      </c>
      <c r="B240" s="1067"/>
      <c r="C240" s="1057" t="s">
        <v>473</v>
      </c>
      <c r="D240" s="1057"/>
      <c r="E240" s="891" t="s">
        <v>1138</v>
      </c>
      <c r="G240" s="821"/>
      <c r="H240" s="821"/>
      <c r="I240" s="822"/>
      <c r="J240" s="821"/>
      <c r="K240" s="821"/>
      <c r="L240" s="821"/>
      <c r="M240" s="821"/>
      <c r="N240" s="821"/>
      <c r="O240" s="821"/>
      <c r="P240" s="821"/>
      <c r="Q240" s="821"/>
      <c r="R240" s="821"/>
    </row>
    <row r="241" spans="1:18" ht="9.75" customHeight="1">
      <c r="A241" s="215"/>
      <c r="B241" s="215"/>
      <c r="C241" s="1059" t="str">
        <f>IF(Worksheet!W26=1,"This Data Grading Criteria is hidden when the 'default' input is used on the Worksheet","")</f>
        <v/>
      </c>
      <c r="D241" s="1059"/>
      <c r="E241" s="753"/>
      <c r="F241" s="327"/>
      <c r="H241" s="813"/>
      <c r="I241" s="813"/>
    </row>
    <row r="242" spans="1:18" s="575" customFormat="1" ht="12">
      <c r="A242" s="571"/>
      <c r="B242" s="572" t="s">
        <v>476</v>
      </c>
      <c r="C242" s="573" t="s">
        <v>305</v>
      </c>
      <c r="D242" s="573" t="s">
        <v>663</v>
      </c>
      <c r="E242" s="752"/>
      <c r="F242" s="574"/>
      <c r="G242" s="814"/>
      <c r="H242" s="815" t="s">
        <v>303</v>
      </c>
      <c r="I242" s="815"/>
      <c r="J242" s="814" t="s">
        <v>794</v>
      </c>
      <c r="K242" s="814"/>
      <c r="L242" s="814"/>
      <c r="M242" s="814"/>
      <c r="N242" s="814"/>
      <c r="O242" s="814"/>
      <c r="P242" s="814"/>
      <c r="Q242" s="814"/>
      <c r="R242" s="814"/>
    </row>
    <row r="243" spans="1:18" ht="27.6" customHeight="1">
      <c r="A243" s="215"/>
      <c r="B243" s="554" t="s">
        <v>477</v>
      </c>
      <c r="C243" s="883" t="str">
        <f>UUAC!B34</f>
        <v xml:space="preserve">On the Worksheet, the status of the default option is: </v>
      </c>
      <c r="D243" s="332" t="str">
        <f>IF(AND(Worksheet!W26=2,Worksheet!Q26&gt;0),UUAC!A2,UUAC!A3)</f>
        <v>A system specific volume has been entered</v>
      </c>
      <c r="E243" s="752"/>
      <c r="F243" s="327"/>
      <c r="I243" s="816"/>
      <c r="J243" s="809" t="s">
        <v>838</v>
      </c>
    </row>
    <row r="244" spans="1:18" ht="27.6" customHeight="1">
      <c r="A244" s="215"/>
      <c r="B244" s="554" t="s">
        <v>467</v>
      </c>
      <c r="C244" s="883" t="str">
        <f>UUAC!B35</f>
        <v>How well-understood is the extent of unbilled unmetered use?</v>
      </c>
      <c r="D244" s="330" t="s">
        <v>839</v>
      </c>
      <c r="E244" s="752" t="str">
        <f>IF(OR($D$247=10,$D$247=3),"",IFERROR(IF(H244=MIN($H$244:$H$246),"Limiting",""),""))</f>
        <v>Limiting</v>
      </c>
      <c r="F244" s="327"/>
      <c r="H244" s="817">
        <f>VLOOKUP('Interactive Data Grading'!D244,UUAC!$C$6:$F$15,4,FALSE)</f>
        <v>4</v>
      </c>
      <c r="I244" s="817"/>
    </row>
    <row r="245" spans="1:18" ht="27.6" customHeight="1">
      <c r="A245" s="215"/>
      <c r="B245" s="554" t="s">
        <v>468</v>
      </c>
      <c r="C245" s="883" t="str">
        <f>UUAC!B36</f>
        <v>Which best describes the records that are kept for events of unbilled unmetered use?</v>
      </c>
      <c r="D245" s="331" t="s">
        <v>834</v>
      </c>
      <c r="E245" s="752" t="str">
        <f>IF(OR($D$247=10,$D$247=3),"",IFERROR(IF(H245=MIN($H$244:$H$246),"Limiting",""),""))</f>
        <v/>
      </c>
      <c r="F245" s="327"/>
      <c r="H245" s="817">
        <f>VLOOKUP('Interactive Data Grading'!D245,UUAC!$D$6:$F$15,3,FALSE)</f>
        <v>6</v>
      </c>
      <c r="I245" s="818"/>
    </row>
    <row r="246" spans="1:18" ht="27.6" customHeight="1">
      <c r="A246" s="215"/>
      <c r="B246" s="554" t="s">
        <v>469</v>
      </c>
      <c r="C246" s="883" t="str">
        <f>UUAC!B37</f>
        <v>How is the majority of unbilled unmetered use estimated?</v>
      </c>
      <c r="D246" s="331" t="s">
        <v>480</v>
      </c>
      <c r="E246" s="752" t="str">
        <f>IF(OR($D$247=10,$D$247=3),"",IFERROR(IF(H246=MIN($H$244:$H$246),"Limiting",""),""))</f>
        <v/>
      </c>
      <c r="F246" s="327"/>
      <c r="H246" s="817">
        <f>VLOOKUP('Interactive Data Grading'!D246,UUAC!$E$6:$F$15,2,FALSE)</f>
        <v>5</v>
      </c>
      <c r="I246" s="818"/>
    </row>
    <row r="247" spans="1:18" ht="27.6" customHeight="1">
      <c r="A247" s="215"/>
      <c r="B247" s="215"/>
      <c r="C247" s="328" t="s">
        <v>315</v>
      </c>
      <c r="D247" s="894">
        <f>IFERROR((IF(D243=UUAC!A3,3,H247)),"")</f>
        <v>4</v>
      </c>
      <c r="E247" s="752"/>
      <c r="F247" s="327"/>
      <c r="H247" s="820">
        <f>MIN(H244:H246)</f>
        <v>4</v>
      </c>
      <c r="I247" s="817"/>
    </row>
    <row r="248" spans="1:18" s="470" customFormat="1" ht="16.350000000000001" customHeight="1">
      <c r="C248" s="567"/>
      <c r="D248" s="567"/>
      <c r="E248" s="847"/>
      <c r="G248" s="821"/>
      <c r="H248" s="821"/>
      <c r="I248" s="822"/>
      <c r="J248" s="821"/>
      <c r="K248" s="821"/>
      <c r="L248" s="821"/>
      <c r="M248" s="821"/>
      <c r="N248" s="821"/>
      <c r="O248" s="821"/>
      <c r="P248" s="821"/>
      <c r="Q248" s="821"/>
      <c r="R248" s="821"/>
    </row>
    <row r="249" spans="1:18" s="470" customFormat="1" ht="16.350000000000001" customHeight="1">
      <c r="C249" s="567"/>
      <c r="D249" s="567"/>
      <c r="E249" s="847"/>
      <c r="G249" s="821"/>
      <c r="H249" s="821"/>
      <c r="I249" s="822"/>
      <c r="J249" s="821"/>
      <c r="K249" s="821"/>
      <c r="L249" s="821"/>
      <c r="M249" s="821"/>
      <c r="N249" s="821"/>
      <c r="O249" s="821"/>
      <c r="P249" s="821"/>
      <c r="Q249" s="821"/>
      <c r="R249" s="821"/>
    </row>
    <row r="250" spans="1:18" s="470" customFormat="1" ht="16.350000000000001" customHeight="1">
      <c r="C250" s="567"/>
      <c r="D250" s="567"/>
      <c r="E250" s="847"/>
      <c r="G250" s="821"/>
      <c r="H250" s="821"/>
      <c r="I250" s="822"/>
      <c r="J250" s="821"/>
      <c r="K250" s="821"/>
      <c r="L250" s="821"/>
      <c r="M250" s="821"/>
      <c r="N250" s="821"/>
      <c r="O250" s="821"/>
      <c r="P250" s="821"/>
      <c r="Q250" s="821"/>
      <c r="R250" s="821"/>
    </row>
    <row r="251" spans="1:18" s="470" customFormat="1" ht="16.350000000000001" customHeight="1">
      <c r="C251" s="567"/>
      <c r="D251" s="567"/>
      <c r="E251" s="847"/>
      <c r="G251" s="821"/>
      <c r="H251" s="821"/>
      <c r="I251" s="822"/>
      <c r="J251" s="821"/>
      <c r="K251" s="821"/>
      <c r="L251" s="821"/>
      <c r="M251" s="821"/>
      <c r="N251" s="821"/>
      <c r="O251" s="821"/>
      <c r="P251" s="821"/>
      <c r="Q251" s="821"/>
      <c r="R251" s="821"/>
    </row>
    <row r="252" spans="1:18" s="470" customFormat="1" ht="16.350000000000001" customHeight="1">
      <c r="C252" s="567"/>
      <c r="D252" s="567"/>
      <c r="E252" s="847"/>
      <c r="G252" s="821"/>
      <c r="H252" s="821"/>
      <c r="I252" s="822"/>
      <c r="J252" s="821"/>
      <c r="K252" s="821"/>
      <c r="L252" s="821"/>
      <c r="M252" s="821"/>
      <c r="N252" s="821"/>
      <c r="O252" s="821"/>
      <c r="P252" s="821"/>
      <c r="Q252" s="821"/>
      <c r="R252" s="821"/>
    </row>
    <row r="253" spans="1:18" s="470" customFormat="1" ht="16.350000000000001" customHeight="1">
      <c r="C253" s="567"/>
      <c r="D253" s="567"/>
      <c r="E253" s="847"/>
      <c r="G253" s="821"/>
      <c r="H253" s="821"/>
      <c r="I253" s="822"/>
      <c r="J253" s="821"/>
      <c r="K253" s="821"/>
      <c r="L253" s="821"/>
      <c r="M253" s="821"/>
      <c r="N253" s="821"/>
      <c r="O253" s="821"/>
      <c r="P253" s="821"/>
      <c r="Q253" s="821"/>
      <c r="R253" s="821"/>
    </row>
    <row r="254" spans="1:18" s="470" customFormat="1" ht="16.350000000000001" customHeight="1">
      <c r="C254" s="567"/>
      <c r="D254" s="567"/>
      <c r="E254" s="847"/>
      <c r="G254" s="821"/>
      <c r="H254" s="821"/>
      <c r="I254" s="822"/>
      <c r="J254" s="821"/>
      <c r="K254" s="821"/>
      <c r="L254" s="821"/>
      <c r="M254" s="821"/>
      <c r="N254" s="821"/>
      <c r="O254" s="821"/>
      <c r="P254" s="821"/>
      <c r="Q254" s="821"/>
      <c r="R254" s="821"/>
    </row>
    <row r="255" spans="1:18" s="470" customFormat="1" ht="16.350000000000001" customHeight="1">
      <c r="C255" s="567"/>
      <c r="D255" s="567"/>
      <c r="E255" s="847"/>
      <c r="G255" s="821"/>
      <c r="H255" s="821"/>
      <c r="I255" s="822"/>
      <c r="J255" s="821"/>
      <c r="K255" s="821"/>
      <c r="L255" s="821"/>
      <c r="M255" s="821"/>
      <c r="N255" s="821"/>
      <c r="O255" s="821"/>
      <c r="P255" s="821"/>
      <c r="Q255" s="821"/>
      <c r="R255" s="821"/>
    </row>
    <row r="256" spans="1:18" s="470" customFormat="1" ht="41.1" customHeight="1">
      <c r="C256" s="567"/>
      <c r="D256" s="567"/>
      <c r="E256" s="847"/>
      <c r="G256" s="821"/>
      <c r="H256" s="821"/>
      <c r="I256" s="822"/>
      <c r="J256" s="821"/>
      <c r="K256" s="821"/>
      <c r="L256" s="821"/>
      <c r="M256" s="821"/>
      <c r="N256" s="821"/>
      <c r="O256" s="821"/>
      <c r="P256" s="821"/>
      <c r="Q256" s="821"/>
      <c r="R256" s="821"/>
    </row>
    <row r="257" spans="1:18" s="470" customFormat="1" ht="41.1" customHeight="1">
      <c r="C257" s="567"/>
      <c r="D257" s="567"/>
      <c r="E257" s="847"/>
      <c r="G257" s="821"/>
      <c r="H257" s="821"/>
      <c r="I257" s="822"/>
      <c r="J257" s="821"/>
      <c r="K257" s="821"/>
      <c r="L257" s="821"/>
      <c r="M257" s="821"/>
      <c r="N257" s="821"/>
      <c r="O257" s="821"/>
      <c r="P257" s="821"/>
      <c r="Q257" s="821"/>
      <c r="R257" s="821"/>
    </row>
    <row r="258" spans="1:18" s="470" customFormat="1" ht="41.1" customHeight="1">
      <c r="C258" s="567"/>
      <c r="D258" s="567"/>
      <c r="E258" s="847"/>
      <c r="G258" s="821"/>
      <c r="H258" s="821"/>
      <c r="I258" s="822"/>
      <c r="J258" s="821"/>
      <c r="K258" s="821"/>
      <c r="L258" s="821"/>
      <c r="M258" s="821"/>
      <c r="N258" s="821"/>
      <c r="O258" s="821"/>
      <c r="P258" s="821"/>
      <c r="Q258" s="821"/>
      <c r="R258" s="821"/>
    </row>
    <row r="259" spans="1:18" s="470" customFormat="1" ht="41.1" customHeight="1">
      <c r="C259" s="567"/>
      <c r="D259" s="567"/>
      <c r="E259" s="847"/>
      <c r="G259" s="821"/>
      <c r="H259" s="821"/>
      <c r="I259" s="822"/>
      <c r="J259" s="821"/>
      <c r="K259" s="821"/>
      <c r="L259" s="821"/>
      <c r="M259" s="821"/>
      <c r="N259" s="821"/>
      <c r="O259" s="821"/>
      <c r="P259" s="821"/>
      <c r="Q259" s="821"/>
      <c r="R259" s="821"/>
    </row>
    <row r="260" spans="1:18" s="470" customFormat="1" ht="41.1" customHeight="1">
      <c r="C260" s="567"/>
      <c r="D260" s="567"/>
      <c r="E260" s="847"/>
      <c r="G260" s="821"/>
      <c r="H260" s="821"/>
      <c r="I260" s="822"/>
      <c r="J260" s="821"/>
      <c r="K260" s="821"/>
      <c r="L260" s="821"/>
      <c r="M260" s="821"/>
      <c r="N260" s="821"/>
      <c r="O260" s="821"/>
      <c r="P260" s="821"/>
      <c r="Q260" s="821"/>
      <c r="R260" s="821"/>
    </row>
    <row r="261" spans="1:18" s="470" customFormat="1" ht="31.5" customHeight="1">
      <c r="C261" s="567"/>
      <c r="D261" s="567"/>
      <c r="E261" s="847"/>
      <c r="G261" s="821"/>
      <c r="H261" s="821"/>
      <c r="I261" s="822"/>
      <c r="J261" s="821"/>
      <c r="K261" s="821"/>
      <c r="L261" s="821"/>
      <c r="M261" s="821"/>
      <c r="N261" s="821"/>
      <c r="O261" s="821"/>
      <c r="P261" s="821"/>
      <c r="Q261" s="821"/>
      <c r="R261" s="821"/>
    </row>
    <row r="262" spans="1:18" s="470" customFormat="1" ht="23.25" customHeight="1">
      <c r="C262" s="567"/>
      <c r="D262" s="567"/>
      <c r="E262" s="847"/>
      <c r="G262" s="821"/>
      <c r="H262" s="821"/>
      <c r="I262" s="822"/>
      <c r="J262" s="821"/>
      <c r="K262" s="821"/>
      <c r="L262" s="821"/>
      <c r="M262" s="821"/>
      <c r="N262" s="821"/>
      <c r="O262" s="821"/>
      <c r="P262" s="821"/>
      <c r="Q262" s="821"/>
      <c r="R262" s="821"/>
    </row>
    <row r="263" spans="1:18" s="470" customFormat="1" ht="16.350000000000001" customHeight="1">
      <c r="A263" s="1066" t="s">
        <v>1137</v>
      </c>
      <c r="B263" s="1067"/>
      <c r="C263" s="1057" t="s">
        <v>552</v>
      </c>
      <c r="D263" s="1057"/>
      <c r="E263" s="891" t="s">
        <v>1138</v>
      </c>
      <c r="G263" s="821"/>
      <c r="H263" s="821"/>
      <c r="I263" s="822"/>
      <c r="J263" s="821"/>
      <c r="K263" s="821"/>
      <c r="L263" s="821"/>
      <c r="M263" s="821"/>
      <c r="N263" s="821"/>
      <c r="O263" s="821"/>
      <c r="P263" s="821"/>
      <c r="Q263" s="821"/>
      <c r="R263" s="821"/>
    </row>
    <row r="264" spans="1:18" ht="9.75" customHeight="1">
      <c r="A264" s="215"/>
      <c r="B264" s="215"/>
      <c r="C264" s="1059" t="str">
        <f>IF(Worksheet!W39=1,"This Data Grading Criteria is hidden when the 'default' input is used on the Worksheet","")</f>
        <v>This Data Grading Criteria is hidden when the 'default' input is used on the Worksheet</v>
      </c>
      <c r="D264" s="1059"/>
      <c r="E264" s="753"/>
      <c r="F264" s="327"/>
      <c r="H264" s="813"/>
      <c r="I264" s="813"/>
    </row>
    <row r="265" spans="1:18" s="575" customFormat="1" ht="12">
      <c r="A265" s="571"/>
      <c r="B265" s="572" t="s">
        <v>553</v>
      </c>
      <c r="C265" s="573" t="s">
        <v>305</v>
      </c>
      <c r="D265" s="573" t="s">
        <v>663</v>
      </c>
      <c r="E265" s="752"/>
      <c r="F265" s="574"/>
      <c r="G265" s="814"/>
      <c r="H265" s="815" t="s">
        <v>303</v>
      </c>
      <c r="I265" s="815"/>
      <c r="J265" s="814" t="s">
        <v>794</v>
      </c>
      <c r="K265" s="814"/>
      <c r="L265" s="814"/>
      <c r="M265" s="814"/>
      <c r="N265" s="814"/>
      <c r="O265" s="814"/>
      <c r="P265" s="814"/>
      <c r="Q265" s="814"/>
      <c r="R265" s="814"/>
    </row>
    <row r="266" spans="1:18" ht="27.6" customHeight="1">
      <c r="A266" s="215"/>
      <c r="B266" s="554" t="s">
        <v>554</v>
      </c>
      <c r="C266" s="883" t="str">
        <f>SDHE!B34</f>
        <v xml:space="preserve">On the Worksheet, the status of the default option is: </v>
      </c>
      <c r="D266" s="333" t="str">
        <f>IF(AND(Worksheet!W39=2,Worksheet!Q39&gt;0),SDHE!A2,SDHE!A3)</f>
        <v>Default is used because Custom Value is selected but no value has been entered</v>
      </c>
      <c r="F266" s="327"/>
      <c r="H266" s="809" t="s">
        <v>529</v>
      </c>
      <c r="I266" s="816"/>
      <c r="J266" s="809" t="s">
        <v>838</v>
      </c>
    </row>
    <row r="267" spans="1:18" ht="27.6" customHeight="1">
      <c r="A267" s="215"/>
      <c r="B267" s="554" t="s">
        <v>535</v>
      </c>
      <c r="C267" s="883" t="str">
        <f>SDHE!B35</f>
        <v>Which best describes how the input was derived?</v>
      </c>
      <c r="D267" s="331"/>
      <c r="E267" s="752" t="str">
        <f>IF(OR($D$271=10,$D$271=3),"",IFERROR(IF(H267=MIN($H$267:$H$270),"Limiting",""),""))</f>
        <v/>
      </c>
      <c r="F267" s="327"/>
      <c r="H267" s="817" t="e">
        <f>VLOOKUP('Interactive Data Grading'!D267,SDHE!$C$6:$G$15,5,FALSE)</f>
        <v>#N/A</v>
      </c>
      <c r="I267" s="817"/>
    </row>
    <row r="268" spans="1:18" ht="27.6" customHeight="1">
      <c r="A268" s="215"/>
      <c r="B268" s="554" t="s">
        <v>536</v>
      </c>
      <c r="C268" s="883" t="str">
        <f>SDHE!B36</f>
        <v>Which best describes validation performed in the billing software for multipliers (conversions between unit of meter reading and unit of billing)?</v>
      </c>
      <c r="D268" s="331"/>
      <c r="E268" s="752" t="str">
        <f>IF(OR($D$271=10,$D$271=3),"",IFERROR(IF(H268=MIN($H$267:$H$270),"Limiting",""),""))</f>
        <v/>
      </c>
      <c r="F268" s="327"/>
      <c r="H268" s="817" t="e">
        <f>VLOOKUP('Interactive Data Grading'!D268,SDHE!$D$6:$G$15,4,FALSE)</f>
        <v>#N/A</v>
      </c>
      <c r="I268" s="818"/>
    </row>
    <row r="269" spans="1:18" ht="35.25" customHeight="1">
      <c r="A269" s="215"/>
      <c r="B269" s="554" t="s">
        <v>537</v>
      </c>
      <c r="C269" s="883" t="str">
        <f>SDHE!B37</f>
        <v>Which best describes the policy for new service accounts to ensure there is no lapse between start of customer water usage and start of measurement/billing?</v>
      </c>
      <c r="D269" s="331"/>
      <c r="E269" s="752" t="str">
        <f>IF(OR($D$271=10,$D$271=3),"",IFERROR(IF(H269=MIN($H$267:$H$270),"Limiting",""),""))</f>
        <v/>
      </c>
      <c r="F269" s="327"/>
      <c r="H269" s="817" t="e">
        <f>VLOOKUP('Interactive Data Grading'!D269,SDHE!$E$6:$G$15,3,FALSE)</f>
        <v>#N/A</v>
      </c>
      <c r="I269" s="818"/>
    </row>
    <row r="270" spans="1:18" ht="27.6" customHeight="1">
      <c r="A270" s="215"/>
      <c r="B270" s="554" t="s">
        <v>538</v>
      </c>
      <c r="C270" s="883" t="str">
        <f>SDHE!B38</f>
        <v>Which best describes auditing that takes place on the billing process?</v>
      </c>
      <c r="D270" s="331"/>
      <c r="E270" s="752" t="str">
        <f>IF(OR($D$271=10,$D$271=3),"",IFERROR(IF(H270=MIN($H$267:$H$270),"Limiting",""),""))</f>
        <v/>
      </c>
      <c r="F270" s="327"/>
      <c r="H270" s="817" t="e">
        <f>VLOOKUP('Interactive Data Grading'!D270,SDHE!$F$6:$G$15,2,FALSE)</f>
        <v>#N/A</v>
      </c>
      <c r="I270" s="818"/>
      <c r="N270" s="1058"/>
      <c r="O270" s="1058"/>
    </row>
    <row r="271" spans="1:18" ht="27.6" customHeight="1">
      <c r="A271" s="215"/>
      <c r="B271" s="215"/>
      <c r="C271" s="328" t="s">
        <v>315</v>
      </c>
      <c r="D271" s="894">
        <f>IFERROR((IF(D266=SDHE!A3,3,H271)),"")</f>
        <v>3</v>
      </c>
      <c r="E271" s="752"/>
      <c r="F271" s="327"/>
      <c r="H271" s="820" t="e">
        <f>MIN(H267:H270)</f>
        <v>#N/A</v>
      </c>
      <c r="I271" s="817"/>
    </row>
    <row r="272" spans="1:18"/>
    <row r="273" spans="1:18"/>
    <row r="274" spans="1:18"/>
    <row r="275" spans="1:18"/>
    <row r="276" spans="1:18"/>
    <row r="277" spans="1:18"/>
    <row r="278" spans="1:18"/>
    <row r="279" spans="1:18" s="470" customFormat="1" ht="16.350000000000001" customHeight="1">
      <c r="C279" s="567"/>
      <c r="D279" s="567"/>
      <c r="E279" s="847"/>
      <c r="G279" s="821"/>
      <c r="H279" s="821"/>
      <c r="I279" s="822"/>
      <c r="J279" s="821"/>
      <c r="K279" s="821"/>
      <c r="L279" s="821"/>
      <c r="M279" s="821"/>
      <c r="N279" s="821"/>
      <c r="O279" s="821"/>
      <c r="P279" s="821"/>
      <c r="Q279" s="821"/>
      <c r="R279" s="821"/>
    </row>
    <row r="280" spans="1:18" s="470" customFormat="1" ht="16.350000000000001" customHeight="1">
      <c r="C280" s="567"/>
      <c r="D280" s="567"/>
      <c r="E280" s="847"/>
      <c r="G280" s="821"/>
      <c r="H280" s="821"/>
      <c r="I280" s="822"/>
      <c r="J280" s="821"/>
      <c r="K280" s="821"/>
      <c r="L280" s="821"/>
      <c r="M280" s="821"/>
      <c r="N280" s="821"/>
      <c r="O280" s="821"/>
      <c r="P280" s="821"/>
      <c r="Q280" s="821"/>
      <c r="R280" s="821"/>
    </row>
    <row r="281" spans="1:18" s="470" customFormat="1" ht="53.1" customHeight="1">
      <c r="C281" s="567"/>
      <c r="D281" s="567"/>
      <c r="E281" s="847"/>
      <c r="G281" s="821"/>
      <c r="H281" s="821"/>
      <c r="I281" s="822"/>
      <c r="J281" s="821"/>
      <c r="K281" s="821"/>
      <c r="L281" s="821"/>
      <c r="M281" s="821"/>
      <c r="N281" s="821"/>
      <c r="O281" s="821"/>
      <c r="P281" s="821"/>
      <c r="Q281" s="821"/>
      <c r="R281" s="821"/>
    </row>
    <row r="282" spans="1:18" s="470" customFormat="1" ht="53.1" customHeight="1">
      <c r="C282" s="567"/>
      <c r="D282" s="567"/>
      <c r="E282" s="847"/>
      <c r="G282" s="821"/>
      <c r="H282" s="821"/>
      <c r="I282" s="822"/>
      <c r="J282" s="821"/>
      <c r="K282" s="821"/>
      <c r="L282" s="821"/>
      <c r="M282" s="821"/>
      <c r="N282" s="821"/>
      <c r="O282" s="821"/>
      <c r="P282" s="821"/>
      <c r="Q282" s="821"/>
      <c r="R282" s="821"/>
    </row>
    <row r="283" spans="1:18" s="470" customFormat="1" ht="53.1" customHeight="1">
      <c r="C283" s="567"/>
      <c r="D283" s="567"/>
      <c r="E283" s="847"/>
      <c r="G283" s="821"/>
      <c r="H283" s="821"/>
      <c r="I283" s="822"/>
      <c r="J283" s="821"/>
      <c r="K283" s="821"/>
      <c r="L283" s="821"/>
      <c r="M283" s="821"/>
      <c r="N283" s="821"/>
      <c r="O283" s="821"/>
      <c r="P283" s="821"/>
      <c r="Q283" s="821"/>
      <c r="R283" s="821"/>
    </row>
    <row r="284" spans="1:18" s="470" customFormat="1" ht="33" customHeight="1">
      <c r="C284" s="567"/>
      <c r="D284" s="567"/>
      <c r="E284" s="847"/>
      <c r="G284" s="821"/>
      <c r="H284" s="821"/>
      <c r="I284" s="822"/>
      <c r="J284" s="821"/>
      <c r="K284" s="821"/>
      <c r="L284" s="821"/>
      <c r="M284" s="821"/>
      <c r="N284" s="821"/>
      <c r="O284" s="821"/>
      <c r="P284" s="821"/>
      <c r="Q284" s="821"/>
      <c r="R284" s="821"/>
    </row>
    <row r="285" spans="1:18" s="470" customFormat="1" ht="25.5" customHeight="1">
      <c r="C285" s="567"/>
      <c r="D285" s="567"/>
      <c r="E285" s="847"/>
      <c r="G285" s="821"/>
      <c r="H285" s="821"/>
      <c r="I285" s="822"/>
      <c r="J285" s="821"/>
      <c r="K285" s="821"/>
      <c r="L285" s="821"/>
      <c r="M285" s="821"/>
      <c r="N285" s="821"/>
      <c r="O285" s="821"/>
      <c r="P285" s="821"/>
      <c r="Q285" s="821"/>
      <c r="R285" s="821"/>
    </row>
    <row r="286" spans="1:18" s="470" customFormat="1" ht="26.25" customHeight="1">
      <c r="C286" s="567"/>
      <c r="D286" s="567"/>
      <c r="E286" s="847"/>
      <c r="G286" s="821"/>
      <c r="H286" s="821"/>
      <c r="I286" s="822"/>
      <c r="J286" s="821"/>
      <c r="K286" s="821"/>
      <c r="L286" s="821"/>
      <c r="M286" s="821"/>
      <c r="N286" s="821"/>
      <c r="O286" s="821"/>
      <c r="P286" s="821"/>
      <c r="Q286" s="821"/>
      <c r="R286" s="821"/>
    </row>
    <row r="287" spans="1:18" s="470" customFormat="1" ht="16.350000000000001" customHeight="1">
      <c r="A287" s="1066" t="s">
        <v>1137</v>
      </c>
      <c r="B287" s="1067"/>
      <c r="C287" s="1057" t="s">
        <v>523</v>
      </c>
      <c r="D287" s="1057"/>
      <c r="E287" s="891" t="s">
        <v>1138</v>
      </c>
      <c r="G287" s="821"/>
      <c r="H287" s="821"/>
      <c r="I287" s="822"/>
      <c r="J287" s="821"/>
      <c r="K287" s="821"/>
      <c r="L287" s="821"/>
      <c r="M287" s="821"/>
      <c r="N287" s="821"/>
      <c r="O287" s="821"/>
      <c r="P287" s="821"/>
      <c r="Q287" s="821"/>
      <c r="R287" s="821"/>
    </row>
    <row r="288" spans="1:18" ht="12" customHeight="1">
      <c r="A288" s="215"/>
      <c r="B288" s="215"/>
      <c r="C288" s="1065" t="str">
        <f>IF(OR(AND(D290="Yes",Worksheet!Y25&gt;0),AND(D290="No",Worksheet!Y25&lt;=0),LEN(D290)=0),"","Inconsistency between Worksheet CMI input and cmi.0 response")</f>
        <v/>
      </c>
      <c r="D288" s="1065"/>
      <c r="E288" s="753"/>
      <c r="F288" s="327"/>
      <c r="H288" s="813"/>
      <c r="I288" s="813"/>
    </row>
    <row r="289" spans="1:18" s="575" customFormat="1" ht="12">
      <c r="A289" s="571"/>
      <c r="B289" s="572" t="s">
        <v>524</v>
      </c>
      <c r="C289" s="573" t="s">
        <v>305</v>
      </c>
      <c r="D289" s="573" t="s">
        <v>663</v>
      </c>
      <c r="E289" s="752"/>
      <c r="F289" s="574"/>
      <c r="G289" s="814"/>
      <c r="H289" s="815" t="s">
        <v>303</v>
      </c>
      <c r="I289" s="815"/>
      <c r="J289" s="814" t="s">
        <v>794</v>
      </c>
      <c r="K289" s="814"/>
      <c r="L289" s="814"/>
      <c r="M289" s="814"/>
      <c r="N289" s="814"/>
      <c r="O289" s="814"/>
      <c r="P289" s="814"/>
      <c r="Q289" s="814"/>
      <c r="R289" s="814"/>
    </row>
    <row r="290" spans="1:18" ht="29.45" customHeight="1">
      <c r="A290" s="215"/>
      <c r="B290" s="554" t="s">
        <v>525</v>
      </c>
      <c r="C290" s="883" t="str">
        <f>CMI!B34</f>
        <v>Was there any metered customer usage during the audit period?</v>
      </c>
      <c r="D290" s="334" t="s">
        <v>262</v>
      </c>
      <c r="E290" s="752"/>
      <c r="F290" s="327"/>
      <c r="G290" s="809">
        <f t="shared" ref="G290:G299" si="16">IF(LEN(D290)&gt;0,1,0)</f>
        <v>1</v>
      </c>
      <c r="I290" s="816"/>
      <c r="J290" s="809" t="s">
        <v>845</v>
      </c>
    </row>
    <row r="291" spans="1:18" ht="29.45" customHeight="1">
      <c r="A291" s="215"/>
      <c r="B291" s="554" t="s">
        <v>503</v>
      </c>
      <c r="C291" s="883" t="str">
        <f>CMI!B35</f>
        <v>Do you test meters reactively (when triggered by customer complaint or billing/consumption flag)?</v>
      </c>
      <c r="D291" s="334" t="s">
        <v>864</v>
      </c>
      <c r="E291" s="752" t="str">
        <f t="shared" ref="E291:E298" si="17">IFERROR(IF(OR($D$300=10,NOT(ISNUMBER($D$300))),"",IF(H291=$H$300,"Limiting","")),"")</f>
        <v/>
      </c>
      <c r="F291" s="327"/>
      <c r="G291" s="809">
        <f>IF(LEN(D291)&gt;0,1,0)</f>
        <v>1</v>
      </c>
      <c r="H291" s="817">
        <f>VLOOKUP('Interactive Data Grading'!D291,CMI!$C$6:$J$16,8,FALSE)</f>
        <v>10</v>
      </c>
      <c r="I291" s="817">
        <f>H291</f>
        <v>10</v>
      </c>
    </row>
    <row r="292" spans="1:18" ht="39.75" customHeight="1">
      <c r="A292" s="215"/>
      <c r="B292" s="554" t="s">
        <v>504</v>
      </c>
      <c r="C292" s="883" t="str">
        <f>CMI!B36</f>
        <v>For small size customer meters, which best describes the frequency of proactive testing (effort beyond when triggered by customer complaint or billing/consumption flags)?</v>
      </c>
      <c r="D292" s="334" t="s">
        <v>854</v>
      </c>
      <c r="E292" s="752" t="str">
        <f t="shared" si="17"/>
        <v>Limiting</v>
      </c>
      <c r="F292" s="327"/>
      <c r="G292" s="809">
        <f t="shared" si="16"/>
        <v>1</v>
      </c>
      <c r="H292" s="817">
        <f>VLOOKUP('Interactive Data Grading'!D292,CMI!$D$6:$J$16,7,FALSE)</f>
        <v>3</v>
      </c>
      <c r="I292" s="817">
        <f>H292</f>
        <v>3</v>
      </c>
      <c r="N292" s="1058"/>
      <c r="O292" s="1058"/>
    </row>
    <row r="293" spans="1:18" ht="29.45" customHeight="1">
      <c r="A293" s="215"/>
      <c r="B293" s="554" t="s">
        <v>526</v>
      </c>
      <c r="C293" s="883" t="str">
        <f>CMI!B37</f>
        <v xml:space="preserve">Which best describes what meters are included in the proactive small size customer meter testing activities? </v>
      </c>
      <c r="D293" s="334"/>
      <c r="E293" s="752" t="str">
        <f t="shared" si="17"/>
        <v/>
      </c>
      <c r="F293" s="327"/>
      <c r="G293" s="809">
        <f>IF(OR($D$292=CMI!$D$23,$D$292=CMI!$D$24,$D$292=CMI!$D$27),1,IF(LEN(D293)&gt;0,1,0))</f>
        <v>1</v>
      </c>
      <c r="H293" s="817" t="e">
        <f>VLOOKUP('Interactive Data Grading'!D293,CMI!$E$6:$J$16,6,FALSE)</f>
        <v>#N/A</v>
      </c>
      <c r="I293" s="817" t="e">
        <f>IF(OR(D292=CMI!D23,D292=CMI!D24),X,H293)</f>
        <v>#NAME?</v>
      </c>
      <c r="J293" s="809" t="s">
        <v>504</v>
      </c>
    </row>
    <row r="294" spans="1:18" ht="29.45" customHeight="1">
      <c r="A294" s="215"/>
      <c r="B294" s="554" t="s">
        <v>527</v>
      </c>
      <c r="C294" s="883" t="str">
        <f>CMI!B38</f>
        <v>For mid and large size customer meters, which best describes the frequency of the proactive testing program?</v>
      </c>
      <c r="D294" s="334" t="s">
        <v>862</v>
      </c>
      <c r="E294" s="752" t="str">
        <f t="shared" si="17"/>
        <v/>
      </c>
      <c r="F294" s="327"/>
      <c r="G294" s="809">
        <f t="shared" si="16"/>
        <v>1</v>
      </c>
      <c r="H294" s="817">
        <f>VLOOKUP('Interactive Data Grading'!D294,CMI!$F$6:$J$16,5,FALSE)</f>
        <v>8</v>
      </c>
      <c r="I294" s="817">
        <f>H294</f>
        <v>8</v>
      </c>
    </row>
    <row r="295" spans="1:18" ht="29.45" customHeight="1">
      <c r="A295" s="215"/>
      <c r="B295" s="554" t="s">
        <v>505</v>
      </c>
      <c r="C295" s="883" t="str">
        <f>CMI!B39</f>
        <v xml:space="preserve">Which best describes what meters are included in the proactive mid- and large customer meter testing activities? </v>
      </c>
      <c r="D295" s="334" t="s">
        <v>867</v>
      </c>
      <c r="E295" s="752" t="str">
        <f t="shared" si="17"/>
        <v/>
      </c>
      <c r="F295" s="327"/>
      <c r="G295" s="898">
        <f>IF(OR($D$294=CMI!$F$23,$D$294=CMI!F$24),1,IF(LEN(D295)&gt;0,1,0))</f>
        <v>1</v>
      </c>
      <c r="H295" s="817">
        <f>VLOOKUP('Interactive Data Grading'!D295,CMI!$G$6:$J$16,4,FALSE)</f>
        <v>10</v>
      </c>
      <c r="I295" s="817">
        <f>IF(OR(D294=CMI!F23,D294=CMI!F24),X,H295)</f>
        <v>10</v>
      </c>
      <c r="J295" s="809" t="s">
        <v>527</v>
      </c>
    </row>
    <row r="296" spans="1:18" ht="29.45" customHeight="1">
      <c r="A296" s="215"/>
      <c r="B296" s="554" t="s">
        <v>528</v>
      </c>
      <c r="C296" s="883" t="str">
        <f>CMI!B40</f>
        <v>Which best describes how the input was derived?</v>
      </c>
      <c r="D296" s="334" t="s">
        <v>859</v>
      </c>
      <c r="E296" s="752" t="str">
        <f t="shared" si="17"/>
        <v/>
      </c>
      <c r="F296" s="327"/>
      <c r="G296" s="809">
        <f t="shared" si="16"/>
        <v>1</v>
      </c>
      <c r="H296" s="817">
        <f>VLOOKUP('Interactive Data Grading'!D296,CMI!$H$6:$J$16,3,FALSE)</f>
        <v>6</v>
      </c>
      <c r="I296" s="817">
        <f>H296</f>
        <v>6</v>
      </c>
    </row>
    <row r="297" spans="1:18" ht="29.45" customHeight="1">
      <c r="A297" s="215"/>
      <c r="B297" s="554" t="s">
        <v>506</v>
      </c>
      <c r="C297" s="883" t="str">
        <f>CMI!B41</f>
        <v>Has the input derivation been reviewed by someone with expert knowledge in the M36 methodology?</v>
      </c>
      <c r="D297" s="334" t="s">
        <v>269</v>
      </c>
      <c r="E297" s="752" t="str">
        <f t="shared" si="17"/>
        <v/>
      </c>
      <c r="F297" s="327"/>
      <c r="G297" s="809">
        <f t="shared" si="16"/>
        <v>1</v>
      </c>
      <c r="H297" s="817">
        <f>VLOOKUP('Interactive Data Grading'!D297,CMI!$I$6:$J$16,2,FALSE)</f>
        <v>9</v>
      </c>
      <c r="I297" s="817">
        <f>H297</f>
        <v>9</v>
      </c>
    </row>
    <row r="298" spans="1:18" ht="29.45" customHeight="1">
      <c r="A298" s="215"/>
      <c r="B298" s="554" t="s">
        <v>507</v>
      </c>
      <c r="C298" s="883" t="str">
        <f>CMI!B42</f>
        <v>To what extent does meter replacement occur and for which meters?</v>
      </c>
      <c r="D298" s="334" t="s">
        <v>751</v>
      </c>
      <c r="E298" s="752" t="str">
        <f t="shared" si="17"/>
        <v/>
      </c>
      <c r="F298" s="327"/>
      <c r="G298" s="809">
        <f t="shared" si="16"/>
        <v>1</v>
      </c>
      <c r="H298" s="817"/>
      <c r="I298" s="817"/>
      <c r="J298" s="809" t="s">
        <v>754</v>
      </c>
    </row>
    <row r="299" spans="1:18" ht="29.45" customHeight="1">
      <c r="A299" s="215"/>
      <c r="B299" s="554" t="s">
        <v>508</v>
      </c>
      <c r="C299" s="883" t="str">
        <f>CMI!B43</f>
        <v>Which best describes the reliability of meter installation records?</v>
      </c>
      <c r="D299" s="334" t="s">
        <v>521</v>
      </c>
      <c r="E299" s="752"/>
      <c r="F299" s="327"/>
      <c r="G299" s="809">
        <f t="shared" si="16"/>
        <v>1</v>
      </c>
      <c r="H299" s="817"/>
      <c r="I299" s="817"/>
      <c r="J299" s="809" t="s">
        <v>754</v>
      </c>
    </row>
    <row r="300" spans="1:18" ht="29.45" customHeight="1">
      <c r="A300" s="215"/>
      <c r="B300" s="215"/>
      <c r="C300" s="328" t="s">
        <v>315</v>
      </c>
      <c r="D300" s="756">
        <f>IF(D290="No","n/a",IF(G300=0,"",I300))</f>
        <v>3</v>
      </c>
      <c r="E300" s="752"/>
      <c r="F300" s="327"/>
      <c r="G300" s="809">
        <f>MIN(G290:G299)</f>
        <v>1</v>
      </c>
      <c r="H300" s="820">
        <f t="array" ref="H300">MIN(IF(ISNUMBER(H291:H297),H291:H297))</f>
        <v>3</v>
      </c>
      <c r="I300" s="820">
        <f t="array" ref="I300">MIN(IF(ISNUMBER(I290:I299),I290:I299))</f>
        <v>3</v>
      </c>
    </row>
    <row r="301" spans="1:18" s="470" customFormat="1" ht="16.350000000000001" customHeight="1">
      <c r="C301" s="567"/>
      <c r="D301" s="567"/>
      <c r="E301" s="847"/>
      <c r="G301" s="821"/>
      <c r="H301" s="821"/>
      <c r="I301" s="822"/>
      <c r="J301" s="821"/>
      <c r="K301" s="821"/>
      <c r="L301" s="821"/>
      <c r="M301" s="821"/>
      <c r="N301" s="821"/>
      <c r="O301" s="821"/>
      <c r="P301" s="821"/>
      <c r="Q301" s="821"/>
      <c r="R301" s="821"/>
    </row>
    <row r="302" spans="1:18" s="470" customFormat="1" ht="16.350000000000001" customHeight="1">
      <c r="C302" s="567"/>
      <c r="D302" s="567"/>
      <c r="E302" s="847"/>
      <c r="G302" s="821"/>
      <c r="H302" s="821"/>
      <c r="I302" s="822"/>
      <c r="J302" s="821"/>
      <c r="K302" s="821"/>
      <c r="L302" s="821"/>
      <c r="M302" s="821"/>
      <c r="N302" s="821"/>
      <c r="O302" s="821"/>
      <c r="P302" s="821"/>
      <c r="Q302" s="821"/>
      <c r="R302" s="821"/>
    </row>
    <row r="303" spans="1:18" s="470" customFormat="1" ht="16.350000000000001" customHeight="1">
      <c r="C303" s="567"/>
      <c r="D303" s="567"/>
      <c r="E303" s="847"/>
      <c r="G303" s="821"/>
      <c r="H303" s="821"/>
      <c r="I303" s="822"/>
      <c r="J303" s="821"/>
      <c r="K303" s="821"/>
      <c r="L303" s="821"/>
      <c r="M303" s="821"/>
      <c r="N303" s="821"/>
      <c r="O303" s="821"/>
      <c r="P303" s="821"/>
      <c r="Q303" s="821"/>
      <c r="R303" s="821"/>
    </row>
    <row r="304" spans="1:18" s="470" customFormat="1" ht="16.350000000000001" customHeight="1">
      <c r="C304" s="567"/>
      <c r="D304" s="567"/>
      <c r="E304" s="847"/>
      <c r="G304" s="821"/>
      <c r="H304" s="821"/>
      <c r="I304" s="822"/>
      <c r="J304" s="821"/>
      <c r="K304" s="821"/>
      <c r="L304" s="821"/>
      <c r="M304" s="821"/>
      <c r="N304" s="821"/>
      <c r="O304" s="821"/>
      <c r="P304" s="821"/>
      <c r="Q304" s="821"/>
      <c r="R304" s="821"/>
    </row>
    <row r="305" spans="1:18" s="470" customFormat="1" ht="16.350000000000001" customHeight="1">
      <c r="C305" s="567"/>
      <c r="D305" s="567"/>
      <c r="E305" s="847"/>
      <c r="G305" s="821"/>
      <c r="H305" s="821"/>
      <c r="I305" s="822"/>
      <c r="J305" s="821"/>
      <c r="K305" s="821"/>
      <c r="L305" s="821"/>
      <c r="M305" s="821"/>
      <c r="N305" s="821"/>
      <c r="O305" s="821"/>
      <c r="P305" s="821"/>
      <c r="Q305" s="821"/>
      <c r="R305" s="821"/>
    </row>
    <row r="306" spans="1:18" s="470" customFormat="1" ht="16.350000000000001" customHeight="1">
      <c r="C306" s="567"/>
      <c r="D306" s="567"/>
      <c r="E306" s="847"/>
      <c r="G306" s="821"/>
      <c r="H306" s="821"/>
      <c r="I306" s="822"/>
      <c r="J306" s="821"/>
      <c r="K306" s="821"/>
      <c r="L306" s="821"/>
      <c r="M306" s="821"/>
      <c r="N306" s="821"/>
      <c r="O306" s="821"/>
      <c r="P306" s="821"/>
      <c r="Q306" s="821"/>
      <c r="R306" s="821"/>
    </row>
    <row r="307" spans="1:18" s="470" customFormat="1" ht="16.350000000000001" customHeight="1">
      <c r="C307" s="567"/>
      <c r="D307" s="567"/>
      <c r="E307" s="847"/>
      <c r="G307" s="821"/>
      <c r="H307" s="821"/>
      <c r="I307" s="822"/>
      <c r="J307" s="821"/>
      <c r="K307" s="821"/>
      <c r="L307" s="821"/>
      <c r="M307" s="821"/>
      <c r="N307" s="821"/>
      <c r="O307" s="821"/>
      <c r="P307" s="821"/>
      <c r="Q307" s="821"/>
      <c r="R307" s="821"/>
    </row>
    <row r="308" spans="1:18" s="470" customFormat="1" ht="16.350000000000001" customHeight="1">
      <c r="C308" s="567"/>
      <c r="D308" s="567"/>
      <c r="E308" s="847"/>
      <c r="G308" s="821"/>
      <c r="H308" s="821"/>
      <c r="I308" s="822"/>
      <c r="J308" s="821"/>
      <c r="K308" s="821"/>
      <c r="L308" s="821"/>
      <c r="M308" s="821"/>
      <c r="N308" s="821"/>
      <c r="O308" s="821"/>
      <c r="P308" s="821"/>
      <c r="Q308" s="821"/>
      <c r="R308" s="821"/>
    </row>
    <row r="309" spans="1:18" s="470" customFormat="1" ht="16.350000000000001" customHeight="1">
      <c r="C309" s="567"/>
      <c r="D309" s="567"/>
      <c r="E309" s="847"/>
      <c r="G309" s="821"/>
      <c r="H309" s="821"/>
      <c r="I309" s="822"/>
      <c r="J309" s="821"/>
      <c r="K309" s="821"/>
      <c r="L309" s="821"/>
      <c r="M309" s="821"/>
      <c r="N309" s="821"/>
      <c r="O309" s="821"/>
      <c r="P309" s="821"/>
      <c r="Q309" s="821"/>
      <c r="R309" s="821"/>
    </row>
    <row r="310" spans="1:18" s="470" customFormat="1" ht="9" customHeight="1">
      <c r="C310" s="567"/>
      <c r="D310" s="567"/>
      <c r="E310" s="847"/>
      <c r="G310" s="821"/>
      <c r="H310" s="821"/>
      <c r="I310" s="822"/>
      <c r="J310" s="821"/>
      <c r="K310" s="821"/>
      <c r="L310" s="821"/>
      <c r="M310" s="821"/>
      <c r="N310" s="821"/>
      <c r="O310" s="821"/>
      <c r="P310" s="821"/>
      <c r="Q310" s="821"/>
      <c r="R310" s="821"/>
    </row>
    <row r="311" spans="1:18" s="470" customFormat="1" ht="9" customHeight="1">
      <c r="C311" s="567"/>
      <c r="D311" s="567"/>
      <c r="E311" s="847"/>
      <c r="G311" s="821"/>
      <c r="H311" s="821"/>
      <c r="I311" s="822"/>
      <c r="J311" s="821"/>
      <c r="K311" s="821"/>
      <c r="L311" s="821"/>
      <c r="M311" s="821"/>
      <c r="N311" s="821"/>
      <c r="O311" s="821"/>
      <c r="P311" s="821"/>
      <c r="Q311" s="821"/>
      <c r="R311" s="821"/>
    </row>
    <row r="312" spans="1:18" s="470" customFormat="1" ht="9" customHeight="1">
      <c r="C312" s="567"/>
      <c r="D312" s="567"/>
      <c r="E312" s="847"/>
      <c r="G312" s="821"/>
      <c r="H312" s="821"/>
      <c r="I312" s="822"/>
      <c r="J312" s="821"/>
      <c r="K312" s="821"/>
      <c r="L312" s="821"/>
      <c r="M312" s="821"/>
      <c r="N312" s="821"/>
      <c r="O312" s="821"/>
      <c r="P312" s="821"/>
      <c r="Q312" s="821"/>
      <c r="R312" s="821"/>
    </row>
    <row r="313" spans="1:18" s="470" customFormat="1" ht="9" customHeight="1">
      <c r="C313" s="567"/>
      <c r="D313" s="567"/>
      <c r="E313" s="847"/>
      <c r="G313" s="821"/>
      <c r="H313" s="821"/>
      <c r="I313" s="822"/>
      <c r="J313" s="821"/>
      <c r="K313" s="821"/>
      <c r="L313" s="821"/>
      <c r="M313" s="821"/>
      <c r="N313" s="821"/>
      <c r="O313" s="821"/>
      <c r="P313" s="821"/>
      <c r="Q313" s="821"/>
      <c r="R313" s="821"/>
    </row>
    <row r="314" spans="1:18" s="470" customFormat="1" ht="16.350000000000001" customHeight="1">
      <c r="C314" s="567"/>
      <c r="D314" s="567"/>
      <c r="E314" s="847"/>
      <c r="G314" s="821"/>
      <c r="H314" s="821"/>
      <c r="I314" s="822"/>
      <c r="J314" s="821"/>
      <c r="K314" s="821"/>
      <c r="L314" s="821"/>
      <c r="M314" s="821"/>
      <c r="N314" s="821"/>
      <c r="O314" s="821"/>
      <c r="P314" s="821"/>
      <c r="Q314" s="821"/>
      <c r="R314" s="821"/>
    </row>
    <row r="315" spans="1:18" s="470" customFormat="1" ht="12" customHeight="1">
      <c r="C315" s="567"/>
      <c r="D315" s="567"/>
      <c r="E315" s="847"/>
      <c r="G315" s="821"/>
      <c r="H315" s="821"/>
      <c r="I315" s="822"/>
      <c r="J315" s="821"/>
      <c r="K315" s="821"/>
      <c r="L315" s="821"/>
      <c r="M315" s="821"/>
      <c r="N315" s="821"/>
      <c r="O315" s="821"/>
      <c r="P315" s="821"/>
      <c r="Q315" s="821"/>
      <c r="R315" s="821"/>
    </row>
    <row r="316" spans="1:18" s="470" customFormat="1" ht="16.350000000000001" customHeight="1">
      <c r="A316" s="1066" t="s">
        <v>1137</v>
      </c>
      <c r="B316" s="1067"/>
      <c r="C316" s="1057" t="s">
        <v>496</v>
      </c>
      <c r="D316" s="1057"/>
      <c r="E316" s="891" t="s">
        <v>1138</v>
      </c>
      <c r="G316" s="821"/>
      <c r="H316" s="821"/>
      <c r="I316" s="822"/>
      <c r="J316" s="821"/>
      <c r="K316" s="821"/>
      <c r="L316" s="821"/>
      <c r="M316" s="821"/>
      <c r="N316" s="821"/>
      <c r="O316" s="821"/>
      <c r="P316" s="821"/>
      <c r="Q316" s="821"/>
      <c r="R316" s="821"/>
    </row>
    <row r="317" spans="1:18" ht="9.75" customHeight="1">
      <c r="A317" s="215"/>
      <c r="B317" s="215"/>
      <c r="C317" s="1059" t="str">
        <f>IF(Worksheet!W43=1,"This Data Grading Criteria is hidden when the 'default' input is used on the Worksheet","")</f>
        <v/>
      </c>
      <c r="D317" s="1059"/>
      <c r="E317" s="753"/>
      <c r="F317" s="327"/>
      <c r="H317" s="813"/>
      <c r="I317" s="813"/>
    </row>
    <row r="318" spans="1:18" s="575" customFormat="1" ht="12">
      <c r="A318" s="571"/>
      <c r="B318" s="572" t="s">
        <v>497</v>
      </c>
      <c r="C318" s="573" t="s">
        <v>305</v>
      </c>
      <c r="D318" s="573" t="s">
        <v>663</v>
      </c>
      <c r="E318" s="752"/>
      <c r="F318" s="574"/>
      <c r="G318" s="814"/>
      <c r="H318" s="815" t="s">
        <v>303</v>
      </c>
      <c r="I318" s="815"/>
      <c r="J318" s="814" t="s">
        <v>794</v>
      </c>
      <c r="K318" s="814"/>
      <c r="L318" s="814"/>
      <c r="M318" s="814"/>
      <c r="N318" s="814"/>
      <c r="O318" s="814"/>
      <c r="P318" s="814"/>
      <c r="Q318" s="814"/>
      <c r="R318" s="814"/>
    </row>
    <row r="319" spans="1:18" ht="27.6" customHeight="1">
      <c r="A319" s="215"/>
      <c r="B319" s="554" t="s">
        <v>498</v>
      </c>
      <c r="C319" s="883" t="str">
        <f>UC!B34</f>
        <v xml:space="preserve">On the Worksheet, the status of the default option is: </v>
      </c>
      <c r="D319" s="333" t="str">
        <f>IF(AND(Worksheet!W43=2,Worksheet!Q43&gt;0),UC!A2,UC!A3)</f>
        <v>Default is used because Custom Value is selected but no value has been entered</v>
      </c>
      <c r="E319" s="752"/>
      <c r="F319" s="327"/>
      <c r="I319" s="816"/>
      <c r="J319" s="809" t="s">
        <v>838</v>
      </c>
    </row>
    <row r="320" spans="1:18" ht="27.6" customHeight="1">
      <c r="A320" s="215"/>
      <c r="B320" s="554" t="s">
        <v>490</v>
      </c>
      <c r="C320" s="883" t="str">
        <f>UC!B35</f>
        <v>Which best describes how the input was derived?</v>
      </c>
      <c r="D320" s="331" t="s">
        <v>499</v>
      </c>
      <c r="E320" s="752" t="str">
        <f>IF(OR($D$322=10,$D$322=3),"",IFERROR(IF(H320=MIN($H$320:$H$321),"Limiting",""),""))</f>
        <v/>
      </c>
      <c r="F320" s="327"/>
      <c r="H320" s="817">
        <f>VLOOKUP('Interactive Data Grading'!D320,UC!$C$6:$E$15,3,FALSE)</f>
        <v>1</v>
      </c>
      <c r="I320" s="817"/>
    </row>
    <row r="321" spans="1:18" ht="27.6" customHeight="1">
      <c r="A321" s="215"/>
      <c r="B321" s="554" t="s">
        <v>491</v>
      </c>
      <c r="C321" s="883" t="str">
        <f>UC!B36</f>
        <v>Which best describes the extent of unauthorized consumption tracking and oversight?</v>
      </c>
      <c r="D321" s="331" t="s">
        <v>501</v>
      </c>
      <c r="E321" s="752" t="str">
        <f>IF(OR($D$322=10,$D$322=3),"",IFERROR(IF(H321=MIN($H$320:$H$321),"Limiting",""),""))</f>
        <v/>
      </c>
      <c r="F321" s="327"/>
      <c r="H321" s="817">
        <f>VLOOKUP('Interactive Data Grading'!D321,UC!$D$6:$E$15,2,FALSE)</f>
        <v>4</v>
      </c>
      <c r="I321" s="818"/>
    </row>
    <row r="322" spans="1:18" ht="27.6" customHeight="1">
      <c r="A322" s="215"/>
      <c r="B322" s="215"/>
      <c r="C322" s="328" t="s">
        <v>315</v>
      </c>
      <c r="D322" s="894">
        <f>IFERROR((IF(D319=UC!A3,3,H322)),"")</f>
        <v>3</v>
      </c>
      <c r="E322" s="752"/>
      <c r="F322" s="327"/>
      <c r="H322" s="820">
        <f>MIN(H320:H321)</f>
        <v>1</v>
      </c>
      <c r="I322" s="817"/>
    </row>
    <row r="323" spans="1:18"/>
    <row r="324" spans="1:18"/>
    <row r="325" spans="1:18" s="470" customFormat="1" ht="16.350000000000001" customHeight="1">
      <c r="C325" s="567"/>
      <c r="D325" s="567"/>
      <c r="E325" s="847"/>
      <c r="G325" s="821"/>
      <c r="H325" s="821"/>
      <c r="I325" s="822"/>
      <c r="J325" s="821"/>
      <c r="K325" s="821"/>
      <c r="L325" s="821"/>
      <c r="M325" s="821"/>
      <c r="N325" s="821"/>
      <c r="O325" s="821"/>
      <c r="P325" s="821"/>
      <c r="Q325" s="821"/>
      <c r="R325" s="821"/>
    </row>
    <row r="326" spans="1:18" s="470" customFormat="1" ht="16.350000000000001" customHeight="1">
      <c r="C326" s="567"/>
      <c r="D326" s="567"/>
      <c r="E326" s="847"/>
      <c r="G326" s="821"/>
      <c r="H326" s="821"/>
      <c r="I326" s="822"/>
      <c r="J326" s="821"/>
      <c r="K326" s="821"/>
      <c r="L326" s="821"/>
      <c r="M326" s="821"/>
      <c r="N326" s="821"/>
      <c r="O326" s="821"/>
      <c r="P326" s="821"/>
      <c r="Q326" s="821"/>
      <c r="R326" s="821"/>
    </row>
    <row r="327" spans="1:18" s="470" customFormat="1" ht="16.350000000000001" customHeight="1">
      <c r="C327" s="567"/>
      <c r="D327" s="567"/>
      <c r="E327" s="847"/>
      <c r="G327" s="821"/>
      <c r="H327" s="821"/>
      <c r="I327" s="822"/>
      <c r="J327" s="821"/>
      <c r="K327" s="821"/>
      <c r="L327" s="821"/>
      <c r="M327" s="821"/>
      <c r="N327" s="821"/>
      <c r="O327" s="821"/>
      <c r="P327" s="821"/>
      <c r="Q327" s="821"/>
      <c r="R327" s="821"/>
    </row>
    <row r="328" spans="1:18" s="470" customFormat="1" ht="16.350000000000001" customHeight="1">
      <c r="C328" s="567"/>
      <c r="D328" s="567"/>
      <c r="E328" s="847"/>
      <c r="G328" s="821"/>
      <c r="H328" s="821"/>
      <c r="I328" s="822"/>
      <c r="J328" s="821"/>
      <c r="K328" s="821"/>
      <c r="L328" s="821"/>
      <c r="M328" s="821"/>
      <c r="N328" s="821"/>
      <c r="O328" s="821"/>
      <c r="P328" s="821"/>
      <c r="Q328" s="821"/>
      <c r="R328" s="821"/>
    </row>
    <row r="329" spans="1:18" s="470" customFormat="1" ht="16.350000000000001" customHeight="1">
      <c r="C329" s="567"/>
      <c r="D329" s="567"/>
      <c r="E329" s="847"/>
      <c r="G329" s="821"/>
      <c r="H329" s="821"/>
      <c r="I329" s="822"/>
      <c r="J329" s="821"/>
      <c r="K329" s="821"/>
      <c r="L329" s="821"/>
      <c r="M329" s="821"/>
      <c r="N329" s="821"/>
      <c r="O329" s="821"/>
      <c r="P329" s="821"/>
      <c r="Q329" s="821"/>
      <c r="R329" s="821"/>
    </row>
    <row r="330" spans="1:18" s="470" customFormat="1" ht="16.350000000000001" customHeight="1">
      <c r="C330" s="567"/>
      <c r="D330" s="567"/>
      <c r="E330" s="847"/>
      <c r="G330" s="821"/>
      <c r="H330" s="821"/>
      <c r="I330" s="822"/>
      <c r="J330" s="821"/>
      <c r="K330" s="821"/>
      <c r="L330" s="821"/>
      <c r="M330" s="821"/>
      <c r="N330" s="821"/>
      <c r="O330" s="821"/>
      <c r="P330" s="821"/>
      <c r="Q330" s="821"/>
      <c r="R330" s="821"/>
    </row>
    <row r="331" spans="1:18" s="470" customFormat="1" ht="16.350000000000001" customHeight="1">
      <c r="C331" s="567"/>
      <c r="D331" s="567"/>
      <c r="E331" s="847"/>
      <c r="G331" s="821"/>
      <c r="H331" s="821"/>
      <c r="I331" s="822"/>
      <c r="J331" s="821"/>
      <c r="K331" s="821"/>
      <c r="L331" s="821"/>
      <c r="M331" s="821"/>
      <c r="N331" s="821"/>
      <c r="O331" s="821"/>
      <c r="P331" s="821"/>
      <c r="Q331" s="821"/>
      <c r="R331" s="821"/>
    </row>
    <row r="332" spans="1:18" s="470" customFormat="1" ht="16.350000000000001" customHeight="1">
      <c r="C332" s="567"/>
      <c r="D332" s="567"/>
      <c r="E332" s="847"/>
      <c r="G332" s="821"/>
      <c r="H332" s="821"/>
      <c r="I332" s="822"/>
      <c r="J332" s="821"/>
      <c r="K332" s="821"/>
      <c r="L332" s="821"/>
      <c r="M332" s="821"/>
      <c r="N332" s="821"/>
      <c r="O332" s="821"/>
      <c r="P332" s="821"/>
      <c r="Q332" s="821"/>
      <c r="R332" s="821"/>
    </row>
    <row r="333" spans="1:18" s="470" customFormat="1" ht="16.350000000000001" customHeight="1">
      <c r="C333" s="567"/>
      <c r="D333" s="567"/>
      <c r="E333" s="847"/>
      <c r="G333" s="821"/>
      <c r="H333" s="821"/>
      <c r="I333" s="822"/>
      <c r="J333" s="821"/>
      <c r="K333" s="821"/>
      <c r="L333" s="821"/>
      <c r="M333" s="821"/>
      <c r="N333" s="821"/>
      <c r="O333" s="821"/>
      <c r="P333" s="821"/>
      <c r="Q333" s="821"/>
      <c r="R333" s="821"/>
    </row>
    <row r="334" spans="1:18" s="470" customFormat="1" ht="16.350000000000001" customHeight="1">
      <c r="C334" s="567"/>
      <c r="D334" s="567"/>
      <c r="E334" s="847"/>
      <c r="G334" s="821"/>
      <c r="H334" s="821"/>
      <c r="I334" s="822"/>
      <c r="J334" s="821"/>
      <c r="K334" s="821"/>
      <c r="L334" s="821"/>
      <c r="M334" s="821"/>
      <c r="N334" s="821"/>
      <c r="O334" s="821"/>
      <c r="P334" s="821"/>
      <c r="Q334" s="821"/>
      <c r="R334" s="821"/>
    </row>
    <row r="335" spans="1:18" s="470" customFormat="1" ht="16.350000000000001" customHeight="1">
      <c r="C335" s="567"/>
      <c r="D335" s="567"/>
      <c r="E335" s="847"/>
      <c r="G335" s="821"/>
      <c r="H335" s="821"/>
      <c r="I335" s="822"/>
      <c r="J335" s="821"/>
      <c r="K335" s="821"/>
      <c r="L335" s="821"/>
      <c r="M335" s="821"/>
      <c r="N335" s="821"/>
      <c r="O335" s="821"/>
      <c r="P335" s="821"/>
      <c r="Q335" s="821"/>
      <c r="R335" s="821"/>
    </row>
    <row r="336" spans="1:18" s="470" customFormat="1" ht="16.350000000000001" customHeight="1">
      <c r="C336" s="567"/>
      <c r="D336" s="567"/>
      <c r="E336" s="847"/>
      <c r="G336" s="821"/>
      <c r="H336" s="821"/>
      <c r="I336" s="822"/>
      <c r="J336" s="821"/>
      <c r="K336" s="821"/>
      <c r="L336" s="821"/>
      <c r="M336" s="821"/>
      <c r="N336" s="821"/>
      <c r="O336" s="821"/>
      <c r="P336" s="821"/>
      <c r="Q336" s="821"/>
      <c r="R336" s="821"/>
    </row>
    <row r="337" spans="1:18" s="470" customFormat="1" ht="16.350000000000001" customHeight="1">
      <c r="C337" s="567"/>
      <c r="D337" s="567"/>
      <c r="E337" s="847"/>
      <c r="G337" s="821"/>
      <c r="H337" s="821"/>
      <c r="I337" s="822"/>
      <c r="J337" s="821"/>
      <c r="K337" s="821"/>
      <c r="L337" s="821"/>
      <c r="M337" s="821"/>
      <c r="N337" s="821"/>
      <c r="O337" s="821"/>
      <c r="P337" s="821"/>
      <c r="Q337" s="821"/>
      <c r="R337" s="821"/>
    </row>
    <row r="338" spans="1:18" s="470" customFormat="1" ht="41.45" customHeight="1">
      <c r="C338" s="567"/>
      <c r="D338" s="567"/>
      <c r="E338" s="847"/>
      <c r="G338" s="821"/>
      <c r="H338" s="821"/>
      <c r="I338" s="822"/>
      <c r="J338" s="821"/>
      <c r="K338" s="821"/>
      <c r="L338" s="821"/>
      <c r="M338" s="821"/>
      <c r="N338" s="821"/>
      <c r="O338" s="821"/>
      <c r="P338" s="821"/>
      <c r="Q338" s="821"/>
      <c r="R338" s="821"/>
    </row>
    <row r="339" spans="1:18" s="470" customFormat="1" ht="41.45" customHeight="1">
      <c r="C339" s="567"/>
      <c r="D339" s="567"/>
      <c r="E339" s="847"/>
      <c r="G339" s="821"/>
      <c r="H339" s="821"/>
      <c r="I339" s="822"/>
      <c r="J339" s="821"/>
      <c r="K339" s="821"/>
      <c r="L339" s="821"/>
      <c r="M339" s="821"/>
      <c r="N339" s="821"/>
      <c r="O339" s="821"/>
      <c r="P339" s="821"/>
      <c r="Q339" s="821"/>
      <c r="R339" s="821"/>
    </row>
    <row r="340" spans="1:18" s="470" customFormat="1" ht="41.45" customHeight="1">
      <c r="C340" s="567"/>
      <c r="D340" s="567"/>
      <c r="E340" s="847"/>
      <c r="G340" s="821"/>
      <c r="H340" s="821"/>
      <c r="I340" s="822"/>
      <c r="J340" s="821"/>
      <c r="K340" s="821"/>
      <c r="L340" s="821"/>
      <c r="M340" s="821"/>
      <c r="N340" s="821"/>
      <c r="O340" s="821"/>
      <c r="P340" s="821"/>
      <c r="Q340" s="821"/>
      <c r="R340" s="821"/>
    </row>
    <row r="341" spans="1:18" s="470" customFormat="1" ht="37.5" customHeight="1">
      <c r="C341" s="567"/>
      <c r="D341" s="567"/>
      <c r="E341" s="847"/>
      <c r="G341" s="821"/>
      <c r="H341" s="821"/>
      <c r="I341" s="822"/>
      <c r="J341" s="821"/>
      <c r="K341" s="821"/>
      <c r="L341" s="821"/>
      <c r="M341" s="821"/>
      <c r="N341" s="821"/>
      <c r="O341" s="821"/>
      <c r="P341" s="821"/>
      <c r="Q341" s="821"/>
      <c r="R341" s="821"/>
    </row>
    <row r="342" spans="1:18" s="470" customFormat="1" ht="26.25" customHeight="1">
      <c r="C342" s="567"/>
      <c r="D342" s="567"/>
      <c r="E342" s="847"/>
      <c r="G342" s="821"/>
      <c r="H342" s="821"/>
      <c r="I342" s="822"/>
      <c r="J342" s="821"/>
      <c r="K342" s="821"/>
      <c r="L342" s="821"/>
      <c r="M342" s="821"/>
      <c r="N342" s="821"/>
      <c r="O342" s="821"/>
      <c r="P342" s="821"/>
      <c r="Q342" s="821"/>
      <c r="R342" s="821"/>
    </row>
    <row r="343" spans="1:18" s="470" customFormat="1" ht="16.350000000000001" customHeight="1">
      <c r="A343" s="1066" t="s">
        <v>1137</v>
      </c>
      <c r="B343" s="1067"/>
      <c r="C343" s="1057" t="s">
        <v>569</v>
      </c>
      <c r="D343" s="1057"/>
      <c r="E343" s="891" t="s">
        <v>1138</v>
      </c>
      <c r="G343" s="821"/>
      <c r="H343" s="821"/>
      <c r="I343" s="822"/>
      <c r="J343" s="821"/>
      <c r="K343" s="821"/>
      <c r="L343" s="821"/>
      <c r="M343" s="821"/>
      <c r="N343" s="821"/>
      <c r="O343" s="821"/>
      <c r="P343" s="821"/>
      <c r="Q343" s="821"/>
      <c r="R343" s="821"/>
    </row>
    <row r="344" spans="1:18" ht="9.75" customHeight="1">
      <c r="A344" s="215"/>
      <c r="B344" s="215"/>
      <c r="C344" s="215"/>
      <c r="D344" s="215"/>
      <c r="E344" s="753"/>
      <c r="F344" s="327"/>
      <c r="H344" s="813"/>
      <c r="I344" s="813"/>
    </row>
    <row r="345" spans="1:18" s="575" customFormat="1" ht="12">
      <c r="A345" s="571"/>
      <c r="B345" s="572" t="s">
        <v>570</v>
      </c>
      <c r="C345" s="573" t="s">
        <v>305</v>
      </c>
      <c r="D345" s="573" t="s">
        <v>663</v>
      </c>
      <c r="E345" s="752"/>
      <c r="F345" s="574"/>
      <c r="G345" s="814"/>
      <c r="H345" s="815" t="s">
        <v>303</v>
      </c>
      <c r="I345" s="815"/>
      <c r="J345" s="814" t="s">
        <v>794</v>
      </c>
      <c r="K345" s="814"/>
      <c r="L345" s="814"/>
      <c r="M345" s="814"/>
      <c r="N345" s="814"/>
      <c r="O345" s="814"/>
      <c r="P345" s="814"/>
      <c r="Q345" s="814"/>
      <c r="R345" s="814"/>
    </row>
    <row r="346" spans="1:18" ht="27.6" customHeight="1">
      <c r="A346" s="215"/>
      <c r="B346" s="554" t="s">
        <v>565</v>
      </c>
      <c r="C346" s="883" t="str">
        <f>Lm!B35</f>
        <v>How was the input derived?</v>
      </c>
      <c r="D346" s="334" t="s">
        <v>564</v>
      </c>
      <c r="E346" s="752" t="str">
        <f>IFERROR(IF(OR($H346=10,NOT(ISNUMBER($H346))),"",IF(H346=$H$350,"Limiting","")),"")</f>
        <v/>
      </c>
      <c r="F346" s="327"/>
      <c r="G346" s="823">
        <f t="shared" ref="G346:G348" si="18">IF(LEN(D346)&gt;0,1,0)</f>
        <v>1</v>
      </c>
      <c r="H346" s="817">
        <f>VLOOKUP('Interactive Data Grading'!D346,Lm!$C$6:$G$15,5,FALSE)</f>
        <v>10</v>
      </c>
      <c r="I346" s="817">
        <f>H346</f>
        <v>10</v>
      </c>
    </row>
    <row r="347" spans="1:18" ht="27.6" customHeight="1">
      <c r="A347" s="215"/>
      <c r="B347" s="554" t="s">
        <v>566</v>
      </c>
      <c r="C347" s="883" t="str">
        <f>Lm!B36</f>
        <v>Are hydrant laterals included in the input derivation?</v>
      </c>
      <c r="D347" s="334" t="s">
        <v>269</v>
      </c>
      <c r="E347" s="752" t="str">
        <f t="shared" ref="E347:E349" si="19">IFERROR(IF(OR($H347=10,NOT(ISNUMBER($H347))),"",IF(H347=$H$350,"Limiting","")),"")</f>
        <v>Limiting</v>
      </c>
      <c r="F347" s="327"/>
      <c r="G347" s="823">
        <f>IF(OR(LEN(D347)&gt;0,D346=Lm!$C$6),1,0)</f>
        <v>1</v>
      </c>
      <c r="H347" s="817">
        <f>VLOOKUP('Interactive Data Grading'!D347,Lm!$D$6:$G$15,4,FALSE)</f>
        <v>8</v>
      </c>
      <c r="I347" s="817">
        <f>H347</f>
        <v>8</v>
      </c>
      <c r="J347" s="809" t="s">
        <v>565</v>
      </c>
    </row>
    <row r="348" spans="1:18" ht="27.6" customHeight="1">
      <c r="A348" s="215"/>
      <c r="B348" s="554" t="s">
        <v>567</v>
      </c>
      <c r="C348" s="883" t="str">
        <f>Lm!B37</f>
        <v>Which best describes how the Mains inventory (GIS, ledger, etc) is kept up to date?</v>
      </c>
      <c r="D348" s="334" t="s">
        <v>971</v>
      </c>
      <c r="E348" s="752" t="str">
        <f t="shared" si="19"/>
        <v/>
      </c>
      <c r="F348" s="327"/>
      <c r="G348" s="823">
        <f t="shared" si="18"/>
        <v>1</v>
      </c>
      <c r="H348" s="817">
        <f>VLOOKUP('Interactive Data Grading'!D348,Lm!$E$6:$G$15,3,FALSE)</f>
        <v>10</v>
      </c>
      <c r="I348" s="817">
        <f>H348</f>
        <v>10</v>
      </c>
    </row>
    <row r="349" spans="1:18" ht="27.6" customHeight="1">
      <c r="A349" s="215"/>
      <c r="B349" s="554" t="s">
        <v>568</v>
      </c>
      <c r="C349" s="883" t="str">
        <f>Lm!B38</f>
        <v>Which best describes how the Mains inventory (GIS, ledger, etc) is field validated to confirm field conditions match the inventory?</v>
      </c>
      <c r="D349" s="334" t="s">
        <v>963</v>
      </c>
      <c r="E349" s="752" t="str">
        <f t="shared" si="19"/>
        <v/>
      </c>
      <c r="F349" s="327"/>
      <c r="G349" s="823">
        <f>IF(OR(LEN(D349)&gt;0,$D$348=Lm!$E$8),1,0)</f>
        <v>1</v>
      </c>
      <c r="H349" s="817">
        <f>VLOOKUP('Interactive Data Grading'!D349,Lm!$F$6:$G$15,2,FALSE)</f>
        <v>10</v>
      </c>
      <c r="I349" s="817">
        <f>H349</f>
        <v>10</v>
      </c>
      <c r="J349" s="809" t="s">
        <v>567</v>
      </c>
    </row>
    <row r="350" spans="1:18" ht="27.6" customHeight="1">
      <c r="A350" s="215"/>
      <c r="B350" s="215"/>
      <c r="C350" s="328" t="s">
        <v>315</v>
      </c>
      <c r="D350" s="755">
        <f>IF(G350&lt;1,"",I350)</f>
        <v>8</v>
      </c>
      <c r="E350" s="752"/>
      <c r="F350" s="327"/>
      <c r="G350" s="823">
        <f>MIN(G346:G349)</f>
        <v>1</v>
      </c>
      <c r="H350" s="820">
        <f>MIN(H346:H349)</f>
        <v>8</v>
      </c>
      <c r="I350" s="820">
        <f t="array" ref="I350">MIN(IF(ISNUMBER(I346:I349),I346:I349))</f>
        <v>8</v>
      </c>
    </row>
    <row r="351" spans="1:18" s="470" customFormat="1" ht="16.350000000000001" customHeight="1">
      <c r="C351" s="567"/>
      <c r="D351" s="567"/>
      <c r="E351" s="847"/>
      <c r="G351" s="821"/>
      <c r="H351" s="821"/>
      <c r="I351" s="822"/>
      <c r="J351" s="821"/>
      <c r="K351" s="821"/>
      <c r="L351" s="821"/>
      <c r="M351" s="821"/>
      <c r="N351" s="821"/>
      <c r="O351" s="821"/>
      <c r="P351" s="821"/>
      <c r="Q351" s="821"/>
      <c r="R351" s="821"/>
    </row>
    <row r="352" spans="1:18" s="470" customFormat="1" ht="16.350000000000001" customHeight="1">
      <c r="C352" s="567"/>
      <c r="D352" s="567"/>
      <c r="E352" s="847"/>
      <c r="G352" s="821"/>
      <c r="H352" s="821"/>
      <c r="I352" s="822"/>
      <c r="J352" s="821"/>
      <c r="K352" s="821"/>
      <c r="L352" s="821"/>
      <c r="M352" s="821"/>
      <c r="N352" s="821"/>
      <c r="O352" s="821"/>
      <c r="P352" s="821"/>
      <c r="Q352" s="821"/>
      <c r="R352" s="821"/>
    </row>
    <row r="353" spans="1:18" s="470" customFormat="1" ht="16.350000000000001" customHeight="1">
      <c r="C353" s="567"/>
      <c r="D353" s="567"/>
      <c r="E353" s="847"/>
      <c r="G353" s="821"/>
      <c r="H353" s="821"/>
      <c r="I353" s="822"/>
      <c r="J353" s="821"/>
      <c r="K353" s="821"/>
      <c r="L353" s="821"/>
      <c r="M353" s="821"/>
      <c r="N353" s="821"/>
      <c r="O353" s="821"/>
      <c r="P353" s="821"/>
      <c r="Q353" s="821"/>
      <c r="R353" s="821"/>
    </row>
    <row r="354" spans="1:18" s="470" customFormat="1" ht="16.350000000000001" customHeight="1">
      <c r="C354" s="567"/>
      <c r="D354" s="567"/>
      <c r="E354" s="847"/>
      <c r="G354" s="821"/>
      <c r="H354" s="821"/>
      <c r="I354" s="822"/>
      <c r="J354" s="821"/>
      <c r="K354" s="821"/>
      <c r="L354" s="821"/>
      <c r="M354" s="821"/>
      <c r="N354" s="821"/>
      <c r="O354" s="821"/>
      <c r="P354" s="821"/>
      <c r="Q354" s="821"/>
      <c r="R354" s="821"/>
    </row>
    <row r="355" spans="1:18" s="470" customFormat="1" ht="16.350000000000001" customHeight="1">
      <c r="C355" s="567"/>
      <c r="D355" s="567"/>
      <c r="E355" s="847"/>
      <c r="G355" s="821"/>
      <c r="H355" s="821"/>
      <c r="I355" s="822"/>
      <c r="J355" s="821"/>
      <c r="K355" s="821"/>
      <c r="L355" s="821"/>
      <c r="M355" s="821"/>
      <c r="N355" s="821"/>
      <c r="O355" s="821"/>
      <c r="P355" s="821"/>
      <c r="Q355" s="821"/>
      <c r="R355" s="821"/>
    </row>
    <row r="356" spans="1:18" s="470" customFormat="1" ht="16.350000000000001" customHeight="1">
      <c r="C356" s="567"/>
      <c r="D356" s="567"/>
      <c r="E356" s="847"/>
      <c r="G356" s="821"/>
      <c r="H356" s="821"/>
      <c r="I356" s="822"/>
      <c r="J356" s="821"/>
      <c r="K356" s="821"/>
      <c r="L356" s="821"/>
      <c r="M356" s="821"/>
      <c r="N356" s="821"/>
      <c r="O356" s="821"/>
      <c r="P356" s="821"/>
      <c r="Q356" s="821"/>
      <c r="R356" s="821"/>
    </row>
    <row r="357" spans="1:18" s="470" customFormat="1" ht="16.350000000000001" customHeight="1">
      <c r="C357" s="567"/>
      <c r="D357" s="567"/>
      <c r="E357" s="847"/>
      <c r="G357" s="821"/>
      <c r="H357" s="821"/>
      <c r="I357" s="822"/>
      <c r="J357" s="821"/>
      <c r="K357" s="821"/>
      <c r="L357" s="821"/>
      <c r="M357" s="821"/>
      <c r="N357" s="821"/>
      <c r="O357" s="821"/>
      <c r="P357" s="821"/>
      <c r="Q357" s="821"/>
      <c r="R357" s="821"/>
    </row>
    <row r="358" spans="1:18" s="470" customFormat="1" ht="16.350000000000001" customHeight="1">
      <c r="C358" s="567"/>
      <c r="D358" s="567"/>
      <c r="E358" s="847"/>
      <c r="G358" s="821"/>
      <c r="H358" s="821"/>
      <c r="I358" s="822"/>
      <c r="J358" s="821"/>
      <c r="K358" s="821"/>
      <c r="L358" s="821"/>
      <c r="M358" s="821"/>
      <c r="N358" s="821"/>
      <c r="O358" s="821"/>
      <c r="P358" s="821"/>
      <c r="Q358" s="821"/>
      <c r="R358" s="821"/>
    </row>
    <row r="359" spans="1:18" s="470" customFormat="1" ht="16.350000000000001" customHeight="1">
      <c r="C359" s="567"/>
      <c r="D359" s="567"/>
      <c r="E359" s="847"/>
      <c r="G359" s="821"/>
      <c r="H359" s="821"/>
      <c r="I359" s="822"/>
      <c r="J359" s="821"/>
      <c r="K359" s="821"/>
      <c r="L359" s="821"/>
      <c r="M359" s="821"/>
      <c r="N359" s="821"/>
      <c r="O359" s="821"/>
      <c r="P359" s="821"/>
      <c r="Q359" s="821"/>
      <c r="R359" s="821"/>
    </row>
    <row r="360" spans="1:18" s="470" customFormat="1" ht="50.45" customHeight="1">
      <c r="C360" s="567"/>
      <c r="D360" s="567"/>
      <c r="E360" s="847"/>
      <c r="G360" s="821"/>
      <c r="H360" s="821"/>
      <c r="I360" s="822"/>
      <c r="J360" s="821"/>
      <c r="K360" s="821"/>
      <c r="L360" s="821"/>
      <c r="M360" s="821"/>
      <c r="N360" s="821"/>
      <c r="O360" s="821"/>
      <c r="P360" s="821"/>
      <c r="Q360" s="821"/>
      <c r="R360" s="821"/>
    </row>
    <row r="361" spans="1:18" s="470" customFormat="1" ht="50.45" customHeight="1">
      <c r="C361" s="567"/>
      <c r="D361" s="567"/>
      <c r="E361" s="847"/>
      <c r="G361" s="821"/>
      <c r="H361" s="821"/>
      <c r="I361" s="822"/>
      <c r="J361" s="821"/>
      <c r="K361" s="821"/>
      <c r="L361" s="821"/>
      <c r="M361" s="821"/>
      <c r="N361" s="821"/>
      <c r="O361" s="821"/>
      <c r="P361" s="821"/>
      <c r="Q361" s="821"/>
      <c r="R361" s="821"/>
    </row>
    <row r="362" spans="1:18" s="470" customFormat="1" ht="50.45" customHeight="1">
      <c r="C362" s="567"/>
      <c r="D362" s="567"/>
      <c r="E362" s="847"/>
      <c r="G362" s="821"/>
      <c r="H362" s="821"/>
      <c r="I362" s="822"/>
      <c r="J362" s="821"/>
      <c r="K362" s="821"/>
      <c r="L362" s="821"/>
      <c r="M362" s="821"/>
      <c r="N362" s="821"/>
      <c r="O362" s="821"/>
      <c r="P362" s="821"/>
      <c r="Q362" s="821"/>
      <c r="R362" s="821"/>
    </row>
    <row r="363" spans="1:18" s="470" customFormat="1" ht="34.5" customHeight="1">
      <c r="C363" s="567"/>
      <c r="D363" s="567"/>
      <c r="E363" s="847"/>
      <c r="G363" s="821"/>
      <c r="H363" s="821"/>
      <c r="I363" s="822"/>
      <c r="J363" s="821"/>
      <c r="K363" s="821"/>
      <c r="L363" s="821"/>
      <c r="M363" s="821"/>
      <c r="N363" s="821"/>
      <c r="O363" s="821"/>
      <c r="P363" s="821"/>
      <c r="Q363" s="821"/>
      <c r="R363" s="821"/>
    </row>
    <row r="364" spans="1:18" s="470" customFormat="1" ht="29.25" customHeight="1">
      <c r="C364" s="567"/>
      <c r="D364" s="567"/>
      <c r="E364" s="847"/>
      <c r="G364" s="821"/>
      <c r="H364" s="821"/>
      <c r="I364" s="822"/>
      <c r="J364" s="821"/>
      <c r="K364" s="821"/>
      <c r="L364" s="821"/>
      <c r="M364" s="821"/>
      <c r="N364" s="821"/>
      <c r="O364" s="821"/>
      <c r="P364" s="821"/>
      <c r="Q364" s="821"/>
      <c r="R364" s="821"/>
    </row>
    <row r="365" spans="1:18" s="470" customFormat="1" ht="29.25" customHeight="1">
      <c r="C365" s="567"/>
      <c r="D365" s="567"/>
      <c r="E365" s="847"/>
      <c r="G365" s="821"/>
      <c r="H365" s="821"/>
      <c r="I365" s="822"/>
      <c r="J365" s="821"/>
      <c r="K365" s="821"/>
      <c r="L365" s="821"/>
      <c r="M365" s="821"/>
      <c r="N365" s="821"/>
      <c r="O365" s="821"/>
      <c r="P365" s="821"/>
      <c r="Q365" s="821"/>
      <c r="R365" s="821"/>
    </row>
    <row r="366" spans="1:18" s="470" customFormat="1" ht="16.350000000000001" customHeight="1">
      <c r="A366" s="1066" t="s">
        <v>1137</v>
      </c>
      <c r="B366" s="1067"/>
      <c r="C366" s="1057" t="s">
        <v>582</v>
      </c>
      <c r="D366" s="1057"/>
      <c r="E366" s="891" t="s">
        <v>1138</v>
      </c>
      <c r="G366" s="821"/>
      <c r="H366" s="821"/>
      <c r="I366" s="822"/>
      <c r="J366" s="821"/>
      <c r="K366" s="821"/>
      <c r="L366" s="821"/>
      <c r="M366" s="821"/>
      <c r="N366" s="821"/>
      <c r="O366" s="821"/>
      <c r="P366" s="821"/>
      <c r="Q366" s="821"/>
      <c r="R366" s="821"/>
    </row>
    <row r="367" spans="1:18" ht="9.75" customHeight="1">
      <c r="A367" s="215"/>
      <c r="B367" s="215"/>
      <c r="C367" s="215"/>
      <c r="D367" s="215"/>
      <c r="E367" s="753"/>
      <c r="F367" s="327"/>
      <c r="H367" s="813"/>
      <c r="I367" s="813"/>
    </row>
    <row r="368" spans="1:18" s="575" customFormat="1" ht="12">
      <c r="A368" s="571"/>
      <c r="B368" s="572" t="s">
        <v>583</v>
      </c>
      <c r="C368" s="573" t="s">
        <v>305</v>
      </c>
      <c r="D368" s="573" t="s">
        <v>663</v>
      </c>
      <c r="E368" s="752"/>
      <c r="F368" s="574"/>
      <c r="G368" s="814"/>
      <c r="H368" s="815" t="s">
        <v>303</v>
      </c>
      <c r="I368" s="815"/>
      <c r="J368" s="814" t="s">
        <v>794</v>
      </c>
      <c r="K368" s="814" t="s">
        <v>1270</v>
      </c>
      <c r="L368" s="814"/>
      <c r="M368" s="814"/>
      <c r="N368" s="814"/>
      <c r="O368" s="814"/>
      <c r="P368" s="814"/>
      <c r="Q368" s="814"/>
      <c r="R368" s="814"/>
    </row>
    <row r="369" spans="1:18" ht="27.6" customHeight="1">
      <c r="A369" s="215"/>
      <c r="B369" s="554" t="s">
        <v>572</v>
      </c>
      <c r="C369" s="883" t="str">
        <f>Nc!B35</f>
        <v>How was the input derived?</v>
      </c>
      <c r="D369" s="334" t="s">
        <v>581</v>
      </c>
      <c r="E369" s="752" t="str">
        <f>IFERROR(IF(OR($D$374=10,NOT(ISNUMBER($D$374))),"",IF(I369=$I$374,"Limiting","")),"")</f>
        <v/>
      </c>
      <c r="F369" s="327"/>
      <c r="H369" s="817">
        <f>VLOOKUP('Interactive Data Grading'!D369,Nc!$C$6:$H$15,6,FALSE)</f>
        <v>10</v>
      </c>
      <c r="I369" s="817">
        <f>H369</f>
        <v>10</v>
      </c>
      <c r="K369" s="809" t="str">
        <f>IFERROR(IF(OR($D$374=10,NOT(ISNUMBER($D$374))),"",IF(I369=$I$374,"Limiting","")),"")</f>
        <v/>
      </c>
    </row>
    <row r="370" spans="1:18" ht="27.6" customHeight="1">
      <c r="A370" s="215"/>
      <c r="B370" s="554" t="s">
        <v>573</v>
      </c>
      <c r="C370" s="883" t="str">
        <f>Nc!B36</f>
        <v>What is the count of services based on?</v>
      </c>
      <c r="D370" s="334" t="s">
        <v>868</v>
      </c>
      <c r="E370" s="752" t="str">
        <f t="shared" ref="E370:E373" si="20">IFERROR(IF(OR($D$374=10,NOT(ISNUMBER($D$374))),"",IF(I370=$I$374,"Limiting","")),"")</f>
        <v/>
      </c>
      <c r="F370" s="327"/>
      <c r="G370" s="823">
        <f>IF(OR(LEN(D370)&gt;0,$D$369=Nc!$C$23),1,0)</f>
        <v>1</v>
      </c>
      <c r="H370" s="817">
        <f>VLOOKUP('Interactive Data Grading'!D370,Nc!$D$6:$H$15,5,FALSE)</f>
        <v>10</v>
      </c>
      <c r="I370" s="817">
        <f>H370</f>
        <v>10</v>
      </c>
      <c r="J370" s="809" t="s">
        <v>572</v>
      </c>
      <c r="K370" s="809" t="str">
        <f t="shared" ref="K370:K373" si="21">IFERROR(IF(OR($D$374=10,NOT(ISNUMBER($D$374))),"",IF(I370=$I$374,"Limiting","")),"")</f>
        <v/>
      </c>
    </row>
    <row r="371" spans="1:18" ht="27.6" customHeight="1">
      <c r="A371" s="215"/>
      <c r="B371" s="554" t="s">
        <v>574</v>
      </c>
      <c r="C371" s="883" t="str">
        <f>Nc!B37</f>
        <v xml:space="preserve">Are inactive (but still pressurized) service lines included in the input? These may be metered or unmetered.  </v>
      </c>
      <c r="D371" s="334" t="s">
        <v>262</v>
      </c>
      <c r="E371" s="752" t="str">
        <f t="shared" si="20"/>
        <v/>
      </c>
      <c r="F371" s="327"/>
      <c r="G371" s="823">
        <f>IF(OR(LEN(D371)&gt;0,D369=Nc!$C$23),1,0)</f>
        <v>1</v>
      </c>
      <c r="H371" s="817">
        <f>VLOOKUP('Interactive Data Grading'!D371,Nc!$E$6:$H$15,4,FALSE)</f>
        <v>10</v>
      </c>
      <c r="I371" s="817">
        <f t="shared" ref="I371:I373" si="22">H371</f>
        <v>10</v>
      </c>
      <c r="J371" s="809" t="s">
        <v>572</v>
      </c>
      <c r="K371" s="809" t="str">
        <f t="shared" si="21"/>
        <v/>
      </c>
    </row>
    <row r="372" spans="1:18" ht="27.6" customHeight="1">
      <c r="A372" s="215"/>
      <c r="B372" s="554" t="s">
        <v>575</v>
      </c>
      <c r="C372" s="883" t="str">
        <f>Nc!B38</f>
        <v>Which best describes how the inventory of service connections (GIS, billing system, etc) is kept up to date?</v>
      </c>
      <c r="D372" s="334" t="s">
        <v>969</v>
      </c>
      <c r="E372" s="752" t="str">
        <f t="shared" si="20"/>
        <v/>
      </c>
      <c r="F372" s="327"/>
      <c r="G372" s="823">
        <f t="shared" ref="G372" si="23">IF(LEN(D372)&gt;0,1,0)</f>
        <v>1</v>
      </c>
      <c r="H372" s="817">
        <f>VLOOKUP('Interactive Data Grading'!D372,Nc!$F$6:$H$15,3,FALSE)</f>
        <v>10</v>
      </c>
      <c r="I372" s="817">
        <f t="shared" si="22"/>
        <v>10</v>
      </c>
      <c r="K372" s="809" t="str">
        <f t="shared" si="21"/>
        <v/>
      </c>
    </row>
    <row r="373" spans="1:18" ht="45.6" customHeight="1">
      <c r="A373" s="215"/>
      <c r="B373" s="554" t="s">
        <v>576</v>
      </c>
      <c r="C373" s="883" t="str">
        <f>Nc!B39</f>
        <v>Which best describes how the inventory of service connections (GIS, billing system, etc) is field validated to confirm field conditions match the inventory?</v>
      </c>
      <c r="D373" s="334" t="s">
        <v>961</v>
      </c>
      <c r="E373" s="752" t="str">
        <f t="shared" si="20"/>
        <v>Limiting</v>
      </c>
      <c r="F373" s="327"/>
      <c r="G373" s="825">
        <f>IF(OR(LEN(D373)&gt;0,D372=Nc!F23),1,0)</f>
        <v>1</v>
      </c>
      <c r="H373" s="817">
        <f>VLOOKUP('Interactive Data Grading'!D373,Nc!$G$6:$H$15,2,FALSE)</f>
        <v>8</v>
      </c>
      <c r="I373" s="817">
        <f t="shared" si="22"/>
        <v>8</v>
      </c>
      <c r="J373" s="809" t="s">
        <v>575</v>
      </c>
      <c r="K373" s="809" t="str">
        <f t="shared" si="21"/>
        <v>Limiting</v>
      </c>
    </row>
    <row r="374" spans="1:18" ht="27.6" customHeight="1">
      <c r="A374" s="215"/>
      <c r="B374" s="215"/>
      <c r="C374" s="328" t="s">
        <v>315</v>
      </c>
      <c r="D374" s="755">
        <f>IF(G374&lt;1,"",I374)</f>
        <v>8</v>
      </c>
      <c r="E374" s="752"/>
      <c r="F374" s="327"/>
      <c r="G374" s="825">
        <f>MIN(G370:G373)</f>
        <v>1</v>
      </c>
      <c r="H374" s="820">
        <f>MIN(H369:H373)</f>
        <v>8</v>
      </c>
      <c r="I374" s="820">
        <f t="array" ref="I374">MIN(IF(ISNUMBER(I369:I373),I369:I373))</f>
        <v>8</v>
      </c>
    </row>
    <row r="375" spans="1:18" s="470" customFormat="1" ht="16.350000000000001" customHeight="1">
      <c r="C375" s="567"/>
      <c r="D375" s="567"/>
      <c r="E375" s="847"/>
      <c r="G375" s="821"/>
      <c r="H375" s="821"/>
      <c r="I375" s="822"/>
      <c r="J375" s="821"/>
      <c r="K375" s="821"/>
      <c r="L375" s="821"/>
      <c r="M375" s="821"/>
      <c r="N375" s="821"/>
      <c r="O375" s="821"/>
      <c r="P375" s="821"/>
      <c r="Q375" s="821"/>
      <c r="R375" s="821"/>
    </row>
    <row r="376" spans="1:18" s="470" customFormat="1" ht="16.350000000000001" customHeight="1">
      <c r="C376" s="567"/>
      <c r="D376" s="567"/>
      <c r="E376" s="847"/>
      <c r="G376" s="821"/>
      <c r="H376" s="821"/>
      <c r="I376" s="822"/>
      <c r="J376" s="821"/>
      <c r="K376" s="821"/>
      <c r="L376" s="821"/>
      <c r="M376" s="821"/>
      <c r="N376" s="821"/>
      <c r="O376" s="821"/>
      <c r="P376" s="821"/>
      <c r="Q376" s="821"/>
      <c r="R376" s="821"/>
    </row>
    <row r="377" spans="1:18" s="470" customFormat="1" ht="2.4500000000000002" customHeight="1">
      <c r="C377" s="567"/>
      <c r="D377" s="567"/>
      <c r="E377" s="847"/>
      <c r="G377" s="821"/>
      <c r="H377" s="821"/>
      <c r="I377" s="822"/>
      <c r="J377" s="821"/>
      <c r="K377" s="821"/>
      <c r="L377" s="821"/>
      <c r="M377" s="821"/>
      <c r="N377" s="821"/>
      <c r="O377" s="821"/>
      <c r="P377" s="821"/>
      <c r="Q377" s="821"/>
      <c r="R377" s="821"/>
    </row>
    <row r="378" spans="1:18" s="470" customFormat="1" ht="16.350000000000001" customHeight="1">
      <c r="C378" s="567"/>
      <c r="D378" s="567"/>
      <c r="E378" s="847"/>
      <c r="G378" s="821"/>
      <c r="H378" s="821"/>
      <c r="I378" s="822"/>
      <c r="J378" s="821"/>
      <c r="K378" s="821"/>
      <c r="L378" s="821"/>
      <c r="M378" s="821"/>
      <c r="N378" s="821"/>
      <c r="O378" s="821"/>
      <c r="P378" s="821"/>
      <c r="Q378" s="821"/>
      <c r="R378" s="821"/>
    </row>
    <row r="379" spans="1:18" s="470" customFormat="1" ht="16.350000000000001" customHeight="1">
      <c r="C379" s="567"/>
      <c r="D379" s="567"/>
      <c r="E379" s="847"/>
      <c r="G379" s="821"/>
      <c r="H379" s="821"/>
      <c r="I379" s="822"/>
      <c r="J379" s="821"/>
      <c r="K379" s="821"/>
      <c r="L379" s="821"/>
      <c r="M379" s="821"/>
      <c r="N379" s="821"/>
      <c r="O379" s="821"/>
      <c r="P379" s="821"/>
      <c r="Q379" s="821"/>
      <c r="R379" s="821"/>
    </row>
    <row r="380" spans="1:18" s="470" customFormat="1" ht="16.350000000000001" customHeight="1">
      <c r="C380" s="567"/>
      <c r="D380" s="567"/>
      <c r="E380" s="847"/>
      <c r="G380" s="821"/>
      <c r="H380" s="821"/>
      <c r="I380" s="822"/>
      <c r="J380" s="821"/>
      <c r="K380" s="821"/>
      <c r="L380" s="821"/>
      <c r="M380" s="821"/>
      <c r="N380" s="821"/>
      <c r="O380" s="821"/>
      <c r="P380" s="821"/>
      <c r="Q380" s="821"/>
      <c r="R380" s="821"/>
    </row>
    <row r="381" spans="1:18" s="470" customFormat="1" ht="16.350000000000001" customHeight="1">
      <c r="C381" s="567"/>
      <c r="D381" s="567"/>
      <c r="E381" s="847"/>
      <c r="G381" s="821"/>
      <c r="H381" s="821"/>
      <c r="I381" s="822"/>
      <c r="J381" s="821"/>
      <c r="K381" s="821"/>
      <c r="L381" s="821"/>
      <c r="M381" s="821"/>
      <c r="N381" s="821"/>
      <c r="O381" s="821"/>
      <c r="P381" s="821"/>
      <c r="Q381" s="821"/>
      <c r="R381" s="821"/>
    </row>
    <row r="382" spans="1:18" s="470" customFormat="1" ht="16.350000000000001" customHeight="1">
      <c r="C382" s="567"/>
      <c r="D382" s="567"/>
      <c r="E382" s="847"/>
      <c r="G382" s="821"/>
      <c r="H382" s="821"/>
      <c r="I382" s="822"/>
      <c r="J382" s="821"/>
      <c r="K382" s="821"/>
      <c r="L382" s="821"/>
      <c r="M382" s="821"/>
      <c r="N382" s="821"/>
      <c r="O382" s="821"/>
      <c r="P382" s="821"/>
      <c r="Q382" s="821"/>
      <c r="R382" s="821"/>
    </row>
    <row r="383" spans="1:18" s="470" customFormat="1" ht="16.350000000000001" customHeight="1">
      <c r="C383" s="567"/>
      <c r="D383" s="567"/>
      <c r="E383" s="847"/>
      <c r="G383" s="821"/>
      <c r="H383" s="821"/>
      <c r="I383" s="822"/>
      <c r="J383" s="821"/>
      <c r="K383" s="821"/>
      <c r="L383" s="821"/>
      <c r="M383" s="821"/>
      <c r="N383" s="821"/>
      <c r="O383" s="821"/>
      <c r="P383" s="821"/>
      <c r="Q383" s="821"/>
      <c r="R383" s="821"/>
    </row>
    <row r="384" spans="1:18" s="470" customFormat="1" ht="16.350000000000001" customHeight="1">
      <c r="C384" s="567"/>
      <c r="D384" s="567"/>
      <c r="E384" s="847"/>
      <c r="G384" s="821"/>
      <c r="H384" s="821"/>
      <c r="I384" s="822"/>
      <c r="J384" s="821"/>
      <c r="K384" s="821"/>
      <c r="L384" s="821"/>
      <c r="M384" s="821"/>
      <c r="N384" s="821"/>
      <c r="O384" s="821"/>
      <c r="P384" s="821"/>
      <c r="Q384" s="821"/>
      <c r="R384" s="821"/>
    </row>
    <row r="385" spans="1:18" s="470" customFormat="1" ht="16.350000000000001" customHeight="1">
      <c r="C385" s="567"/>
      <c r="D385" s="567"/>
      <c r="E385" s="847"/>
      <c r="G385" s="821"/>
      <c r="H385" s="821"/>
      <c r="I385" s="822"/>
      <c r="J385" s="821"/>
      <c r="K385" s="821"/>
      <c r="L385" s="821"/>
      <c r="M385" s="821"/>
      <c r="N385" s="821"/>
      <c r="O385" s="821"/>
      <c r="P385" s="821"/>
      <c r="Q385" s="821"/>
      <c r="R385" s="821"/>
    </row>
    <row r="386" spans="1:18" s="470" customFormat="1" ht="16.350000000000001" customHeight="1">
      <c r="C386" s="567"/>
      <c r="D386" s="567"/>
      <c r="E386" s="847"/>
      <c r="G386" s="821"/>
      <c r="H386" s="821"/>
      <c r="I386" s="822"/>
      <c r="J386" s="821"/>
      <c r="K386" s="821"/>
      <c r="L386" s="821"/>
      <c r="M386" s="821"/>
      <c r="N386" s="821"/>
      <c r="O386" s="821"/>
      <c r="P386" s="821"/>
      <c r="Q386" s="821"/>
      <c r="R386" s="821"/>
    </row>
    <row r="387" spans="1:18" s="470" customFormat="1" ht="16.350000000000001" customHeight="1">
      <c r="C387" s="567"/>
      <c r="D387" s="567"/>
      <c r="E387" s="847"/>
      <c r="G387" s="821"/>
      <c r="H387" s="821"/>
      <c r="I387" s="822"/>
      <c r="J387" s="821"/>
      <c r="K387" s="821"/>
      <c r="L387" s="821"/>
      <c r="M387" s="821"/>
      <c r="N387" s="821"/>
      <c r="O387" s="821"/>
      <c r="P387" s="821"/>
      <c r="Q387" s="821"/>
      <c r="R387" s="821"/>
    </row>
    <row r="388" spans="1:18" s="470" customFormat="1" ht="16.350000000000001" customHeight="1">
      <c r="C388" s="567"/>
      <c r="D388" s="567"/>
      <c r="E388" s="847"/>
      <c r="G388" s="821"/>
      <c r="H388" s="821"/>
      <c r="I388" s="822"/>
      <c r="J388" s="821"/>
      <c r="K388" s="821"/>
      <c r="L388" s="821"/>
      <c r="M388" s="821"/>
      <c r="N388" s="821"/>
      <c r="O388" s="821"/>
      <c r="P388" s="821"/>
      <c r="Q388" s="821"/>
      <c r="R388" s="821"/>
    </row>
    <row r="389" spans="1:18" s="470" customFormat="1" ht="21.75" customHeight="1">
      <c r="C389" s="567"/>
      <c r="D389" s="567"/>
      <c r="E389" s="847"/>
      <c r="G389" s="821"/>
      <c r="H389" s="821"/>
      <c r="I389" s="822"/>
      <c r="J389" s="821"/>
      <c r="K389" s="821"/>
      <c r="L389" s="821"/>
      <c r="M389" s="821"/>
      <c r="N389" s="821"/>
      <c r="O389" s="821"/>
      <c r="P389" s="821"/>
      <c r="Q389" s="821"/>
      <c r="R389" s="821"/>
    </row>
    <row r="390" spans="1:18" s="470" customFormat="1" ht="16.350000000000001" customHeight="1">
      <c r="A390" s="1066" t="s">
        <v>1137</v>
      </c>
      <c r="B390" s="1067"/>
      <c r="C390" s="1057" t="s">
        <v>596</v>
      </c>
      <c r="D390" s="1057"/>
      <c r="E390" s="891" t="s">
        <v>1138</v>
      </c>
      <c r="G390" s="821"/>
      <c r="H390" s="821"/>
      <c r="I390" s="822"/>
      <c r="J390" s="821"/>
      <c r="K390" s="821"/>
      <c r="L390" s="821"/>
      <c r="M390" s="821"/>
      <c r="N390" s="821"/>
      <c r="O390" s="821"/>
      <c r="P390" s="821"/>
      <c r="Q390" s="821"/>
      <c r="R390" s="821"/>
    </row>
    <row r="391" spans="1:18" ht="9.75" customHeight="1">
      <c r="A391" s="215"/>
      <c r="B391" s="215"/>
      <c r="C391" s="215"/>
      <c r="D391" s="215"/>
      <c r="E391" s="753"/>
      <c r="F391" s="327"/>
      <c r="H391" s="813"/>
      <c r="I391" s="813"/>
    </row>
    <row r="392" spans="1:18" s="575" customFormat="1" ht="12">
      <c r="A392" s="571"/>
      <c r="B392" s="572" t="s">
        <v>598</v>
      </c>
      <c r="C392" s="573" t="s">
        <v>305</v>
      </c>
      <c r="D392" s="573" t="s">
        <v>663</v>
      </c>
      <c r="E392" s="752"/>
      <c r="F392" s="574"/>
      <c r="G392" s="814"/>
      <c r="H392" s="815" t="s">
        <v>303</v>
      </c>
      <c r="I392" s="815"/>
      <c r="J392" s="814" t="s">
        <v>794</v>
      </c>
      <c r="K392" s="814"/>
      <c r="L392" s="814"/>
      <c r="M392" s="814"/>
      <c r="N392" s="814"/>
      <c r="O392" s="814"/>
      <c r="P392" s="814"/>
      <c r="Q392" s="814"/>
      <c r="R392" s="814"/>
    </row>
    <row r="393" spans="1:18" ht="27.6" customHeight="1">
      <c r="A393" s="215"/>
      <c r="B393" s="554" t="s">
        <v>597</v>
      </c>
      <c r="C393" s="886" t="str">
        <f>Lp!B34</f>
        <v xml:space="preserve">Are customer meters typically located at the curbstop or property line? </v>
      </c>
      <c r="D393" s="333" t="str">
        <f>IF(OR(Worksheet!H65="Yes",Worksheet!H65="No"),Worksheet!H65,"Select on Worksheet")</f>
        <v>No</v>
      </c>
      <c r="E393" s="752"/>
      <c r="F393" s="327"/>
      <c r="I393" s="816"/>
      <c r="J393" s="809" t="s">
        <v>870</v>
      </c>
      <c r="K393" s="809" t="s">
        <v>1270</v>
      </c>
    </row>
    <row r="394" spans="1:18" ht="27.6" customHeight="1">
      <c r="A394" s="215"/>
      <c r="B394" s="554" t="s">
        <v>585</v>
      </c>
      <c r="C394" s="886" t="str">
        <f>Lp!B35</f>
        <v>How was the input derived?</v>
      </c>
      <c r="D394" s="331" t="s">
        <v>892</v>
      </c>
      <c r="E394" s="752" t="str">
        <f>IFERROR(IF(OR($D$398=10,NOT(ISNUMBER($D$398))),"",IF(I394=$I$398,"Limiting","")),"")</f>
        <v>Limiting</v>
      </c>
      <c r="F394" s="327"/>
      <c r="G394" s="809">
        <f>IF(LEN(D394)&gt;0,1,0)</f>
        <v>1</v>
      </c>
      <c r="H394" s="817">
        <f>VLOOKUP(D394,Lp!$C$6:$G$15,5,FALSE)</f>
        <v>7</v>
      </c>
      <c r="I394" s="818">
        <f>H394</f>
        <v>7</v>
      </c>
    </row>
    <row r="395" spans="1:18" ht="27.6" customHeight="1">
      <c r="A395" s="215"/>
      <c r="B395" s="554" t="s">
        <v>586</v>
      </c>
      <c r="C395" s="886" t="str">
        <f>Lp!B36</f>
        <v>Which best describes how the Customer Service Line and Meter Locations mapping is kept up to date?</v>
      </c>
      <c r="D395" s="331" t="s">
        <v>968</v>
      </c>
      <c r="E395" s="752" t="str">
        <f t="shared" ref="E395:E397" si="24">IFERROR(IF(OR($D$398=10,NOT(ISNUMBER($D$398))),"",IF(I395=$I$398,"Limiting","")),"")</f>
        <v/>
      </c>
      <c r="F395" s="327"/>
      <c r="G395" s="809">
        <f>IF(LEN(D395)&gt;0,1,0)</f>
        <v>1</v>
      </c>
      <c r="H395" s="817">
        <f>VLOOKUP('Interactive Data Grading'!D395,Lp!$D$6:$G$15,4,FALSE)</f>
        <v>10</v>
      </c>
      <c r="I395" s="818">
        <f>IF(OR(D392=VOS!D190,D393=VOS!H192),X,H395)</f>
        <v>10</v>
      </c>
      <c r="J395" s="826"/>
    </row>
    <row r="396" spans="1:18" ht="27.6" customHeight="1">
      <c r="A396" s="215"/>
      <c r="B396" s="554" t="s">
        <v>587</v>
      </c>
      <c r="C396" s="886" t="str">
        <f>Lp!B37</f>
        <v>Which best describes how the Customer Service Line mapping is validated to what is in the field?</v>
      </c>
      <c r="D396" s="331" t="s">
        <v>563</v>
      </c>
      <c r="E396" s="752" t="str">
        <f t="shared" si="24"/>
        <v/>
      </c>
      <c r="F396" s="327"/>
      <c r="G396" s="827">
        <f>IF(OR(LEN(D396)&gt;0,D395=Lp!D23),1,0)</f>
        <v>1</v>
      </c>
      <c r="H396" s="817">
        <f>VLOOKUP('Interactive Data Grading'!D396,Lp!$E$6:$G$15,3,FALSE)</f>
        <v>10</v>
      </c>
      <c r="I396" s="817">
        <f>H396</f>
        <v>10</v>
      </c>
      <c r="J396" s="828" t="s">
        <v>586</v>
      </c>
    </row>
    <row r="397" spans="1:18" ht="33" customHeight="1">
      <c r="A397" s="215"/>
      <c r="B397" s="554" t="s">
        <v>588</v>
      </c>
      <c r="C397" s="886" t="str">
        <f>Lp!B38</f>
        <v>Which best describes the policy to define where the utility's ownership of the service line ends, and the customer's ownership of the service line begins?</v>
      </c>
      <c r="D397" s="331" t="s">
        <v>549</v>
      </c>
      <c r="E397" s="752" t="str">
        <f t="shared" si="24"/>
        <v/>
      </c>
      <c r="F397" s="327"/>
      <c r="G397" s="809">
        <f>IF(LEN(D397)&gt;0,1,0)</f>
        <v>1</v>
      </c>
      <c r="H397" s="817">
        <f>VLOOKUP('Interactive Data Grading'!D397,Lp!$F$6:$G$15,2,FALSE)</f>
        <v>10</v>
      </c>
      <c r="I397" s="817">
        <f>H397</f>
        <v>10</v>
      </c>
      <c r="J397" s="826"/>
    </row>
    <row r="398" spans="1:18" ht="27.6" customHeight="1">
      <c r="A398" s="215"/>
      <c r="B398" s="215"/>
      <c r="C398" s="328" t="s">
        <v>315</v>
      </c>
      <c r="D398" s="755">
        <f>IFERROR((IF(D393="Yes","10",IF(G398=0,"",I398))),"")</f>
        <v>7</v>
      </c>
      <c r="E398" s="752"/>
      <c r="F398" s="327"/>
      <c r="G398" s="810">
        <f>MIN(G394:G397)</f>
        <v>1</v>
      </c>
      <c r="H398" s="820">
        <f>MIN(H394:H397)</f>
        <v>7</v>
      </c>
      <c r="I398" s="820">
        <f t="array" ref="I398">MIN(IF(ISNUMBER(I394:I397),I394:I397))</f>
        <v>7</v>
      </c>
    </row>
    <row r="399" spans="1:18" s="470" customFormat="1" ht="16.350000000000001" customHeight="1">
      <c r="C399" s="568"/>
      <c r="D399" s="568"/>
      <c r="E399" s="847"/>
      <c r="G399" s="821"/>
      <c r="H399" s="821"/>
      <c r="I399" s="822"/>
      <c r="J399" s="821"/>
      <c r="K399" s="821"/>
      <c r="L399" s="821"/>
      <c r="M399" s="821"/>
      <c r="N399" s="821"/>
      <c r="O399" s="821"/>
      <c r="P399" s="821"/>
      <c r="Q399" s="821"/>
      <c r="R399" s="821"/>
    </row>
    <row r="400" spans="1:18" s="470" customFormat="1" ht="16.350000000000001" customHeight="1">
      <c r="C400" s="568"/>
      <c r="D400" s="568"/>
      <c r="E400" s="847"/>
      <c r="G400" s="821"/>
      <c r="H400" s="821"/>
      <c r="I400" s="822"/>
      <c r="J400" s="821"/>
      <c r="K400" s="821"/>
      <c r="L400" s="821"/>
      <c r="M400" s="821"/>
      <c r="N400" s="821"/>
      <c r="O400" s="821"/>
      <c r="P400" s="821"/>
      <c r="Q400" s="821"/>
      <c r="R400" s="821"/>
    </row>
    <row r="401" spans="1:18" s="470" customFormat="1" ht="16.350000000000001" customHeight="1">
      <c r="C401" s="568"/>
      <c r="D401" s="568"/>
      <c r="E401" s="847"/>
      <c r="G401" s="821"/>
      <c r="H401" s="821"/>
      <c r="I401" s="822"/>
      <c r="J401" s="821"/>
      <c r="K401" s="821"/>
      <c r="L401" s="821"/>
      <c r="M401" s="821"/>
      <c r="N401" s="821"/>
      <c r="O401" s="821"/>
      <c r="P401" s="821"/>
      <c r="Q401" s="821"/>
      <c r="R401" s="821"/>
    </row>
    <row r="402" spans="1:18" s="470" customFormat="1" ht="16.350000000000001" customHeight="1">
      <c r="C402" s="568"/>
      <c r="D402" s="568"/>
      <c r="E402" s="847"/>
      <c r="G402" s="821"/>
      <c r="H402" s="821"/>
      <c r="I402" s="822"/>
      <c r="J402" s="821"/>
      <c r="K402" s="821"/>
      <c r="L402" s="821"/>
      <c r="M402" s="821"/>
      <c r="N402" s="821"/>
      <c r="O402" s="821"/>
      <c r="P402" s="821"/>
      <c r="Q402" s="821"/>
      <c r="R402" s="821"/>
    </row>
    <row r="403" spans="1:18" s="470" customFormat="1" ht="16.350000000000001" customHeight="1">
      <c r="C403" s="568"/>
      <c r="D403" s="568"/>
      <c r="E403" s="847"/>
      <c r="G403" s="821"/>
      <c r="H403" s="821"/>
      <c r="I403" s="822"/>
      <c r="J403" s="821"/>
      <c r="K403" s="821"/>
      <c r="L403" s="821"/>
      <c r="M403" s="821"/>
      <c r="N403" s="821"/>
      <c r="O403" s="821"/>
      <c r="P403" s="821"/>
      <c r="Q403" s="821"/>
      <c r="R403" s="821"/>
    </row>
    <row r="404" spans="1:18" s="470" customFormat="1" ht="16.350000000000001" customHeight="1">
      <c r="C404" s="568"/>
      <c r="D404" s="568"/>
      <c r="E404" s="847"/>
      <c r="G404" s="821"/>
      <c r="H404" s="821"/>
      <c r="I404" s="822"/>
      <c r="J404" s="821"/>
      <c r="K404" s="821"/>
      <c r="L404" s="821"/>
      <c r="M404" s="821"/>
      <c r="N404" s="821"/>
      <c r="O404" s="821"/>
      <c r="P404" s="821"/>
      <c r="Q404" s="821"/>
      <c r="R404" s="821"/>
    </row>
    <row r="405" spans="1:18" s="470" customFormat="1" ht="16.350000000000001" customHeight="1">
      <c r="C405" s="568"/>
      <c r="D405" s="568"/>
      <c r="E405" s="847"/>
      <c r="G405" s="821"/>
      <c r="H405" s="821"/>
      <c r="I405" s="822"/>
      <c r="J405" s="821"/>
      <c r="K405" s="821"/>
      <c r="L405" s="821"/>
      <c r="M405" s="821"/>
      <c r="N405" s="821"/>
      <c r="O405" s="821"/>
      <c r="P405" s="821"/>
      <c r="Q405" s="821"/>
      <c r="R405" s="821"/>
    </row>
    <row r="406" spans="1:18" s="470" customFormat="1" ht="16.350000000000001" customHeight="1">
      <c r="C406" s="568"/>
      <c r="D406" s="568"/>
      <c r="E406" s="847"/>
      <c r="G406" s="821"/>
      <c r="H406" s="821"/>
      <c r="I406" s="822"/>
      <c r="J406" s="821"/>
      <c r="K406" s="821"/>
      <c r="L406" s="821"/>
      <c r="M406" s="821"/>
      <c r="N406" s="821"/>
      <c r="O406" s="821"/>
      <c r="P406" s="821"/>
      <c r="Q406" s="821"/>
      <c r="R406" s="821"/>
    </row>
    <row r="407" spans="1:18" s="470" customFormat="1" ht="16.350000000000001" customHeight="1">
      <c r="C407" s="568"/>
      <c r="D407" s="568"/>
      <c r="E407" s="847"/>
      <c r="G407" s="821"/>
      <c r="H407" s="821"/>
      <c r="I407" s="822"/>
      <c r="J407" s="821"/>
      <c r="K407" s="821"/>
      <c r="L407" s="821"/>
      <c r="M407" s="821"/>
      <c r="N407" s="821"/>
      <c r="O407" s="821"/>
      <c r="P407" s="821"/>
      <c r="Q407" s="821"/>
      <c r="R407" s="821"/>
    </row>
    <row r="408" spans="1:18" s="470" customFormat="1" ht="16.350000000000001" customHeight="1">
      <c r="C408" s="568"/>
      <c r="D408" s="568"/>
      <c r="E408" s="847"/>
      <c r="G408" s="821"/>
      <c r="H408" s="821"/>
      <c r="I408" s="822"/>
      <c r="J408" s="821"/>
      <c r="K408" s="821"/>
      <c r="L408" s="821"/>
      <c r="M408" s="821"/>
      <c r="N408" s="821"/>
      <c r="O408" s="821"/>
      <c r="P408" s="821"/>
      <c r="Q408" s="821"/>
      <c r="R408" s="821"/>
    </row>
    <row r="409" spans="1:18" s="470" customFormat="1" ht="16.350000000000001" customHeight="1">
      <c r="C409" s="568"/>
      <c r="D409" s="568"/>
      <c r="E409" s="847"/>
      <c r="G409" s="821"/>
      <c r="H409" s="821"/>
      <c r="I409" s="822"/>
      <c r="J409" s="821"/>
      <c r="K409" s="821"/>
      <c r="L409" s="821"/>
      <c r="M409" s="821"/>
      <c r="N409" s="821"/>
      <c r="O409" s="821"/>
      <c r="P409" s="821"/>
      <c r="Q409" s="821"/>
      <c r="R409" s="821"/>
    </row>
    <row r="410" spans="1:18" s="470" customFormat="1" ht="16.350000000000001" customHeight="1">
      <c r="C410" s="568"/>
      <c r="D410" s="568"/>
      <c r="E410" s="847"/>
      <c r="G410" s="821"/>
      <c r="H410" s="821"/>
      <c r="I410" s="822"/>
      <c r="J410" s="821"/>
      <c r="K410" s="821"/>
      <c r="L410" s="821"/>
      <c r="M410" s="821"/>
      <c r="N410" s="821"/>
      <c r="O410" s="821"/>
      <c r="P410" s="821"/>
      <c r="Q410" s="821"/>
      <c r="R410" s="821"/>
    </row>
    <row r="411" spans="1:18" s="470" customFormat="1" ht="16.350000000000001" customHeight="1">
      <c r="C411" s="568"/>
      <c r="D411" s="568"/>
      <c r="E411" s="847"/>
      <c r="G411" s="821"/>
      <c r="H411" s="821"/>
      <c r="I411" s="822"/>
      <c r="J411" s="821"/>
      <c r="K411" s="821"/>
      <c r="L411" s="821"/>
      <c r="M411" s="821"/>
      <c r="N411" s="821"/>
      <c r="O411" s="821"/>
      <c r="P411" s="821"/>
      <c r="Q411" s="821"/>
      <c r="R411" s="821"/>
    </row>
    <row r="412" spans="1:18" s="470" customFormat="1" ht="16.350000000000001" customHeight="1">
      <c r="C412" s="568"/>
      <c r="D412" s="568"/>
      <c r="E412" s="847"/>
      <c r="G412" s="821"/>
      <c r="H412" s="821"/>
      <c r="I412" s="822"/>
      <c r="J412" s="821"/>
      <c r="K412" s="821"/>
      <c r="L412" s="821"/>
      <c r="M412" s="821"/>
      <c r="N412" s="821"/>
      <c r="O412" s="821"/>
      <c r="P412" s="821"/>
      <c r="Q412" s="821"/>
      <c r="R412" s="821"/>
    </row>
    <row r="413" spans="1:18" s="470" customFormat="1" ht="16.350000000000001" customHeight="1">
      <c r="C413" s="568"/>
      <c r="D413" s="568"/>
      <c r="E413" s="847"/>
      <c r="G413" s="821"/>
      <c r="H413" s="821"/>
      <c r="I413" s="822"/>
      <c r="J413" s="821"/>
      <c r="K413" s="821"/>
      <c r="L413" s="821"/>
      <c r="M413" s="821"/>
      <c r="N413" s="821"/>
      <c r="O413" s="821"/>
      <c r="P413" s="821"/>
      <c r="Q413" s="821"/>
      <c r="R413" s="821"/>
    </row>
    <row r="414" spans="1:18" s="470" customFormat="1" ht="16.350000000000001" customHeight="1">
      <c r="A414" s="1066" t="s">
        <v>1137</v>
      </c>
      <c r="B414" s="1067"/>
      <c r="C414" s="1057" t="s">
        <v>622</v>
      </c>
      <c r="D414" s="1057"/>
      <c r="E414" s="891" t="s">
        <v>1138</v>
      </c>
      <c r="G414" s="821"/>
      <c r="H414" s="821"/>
      <c r="I414" s="822"/>
      <c r="J414" s="821"/>
      <c r="K414" s="821"/>
      <c r="L414" s="821"/>
      <c r="M414" s="821"/>
      <c r="N414" s="821"/>
      <c r="O414" s="821"/>
      <c r="P414" s="821"/>
      <c r="Q414" s="821"/>
      <c r="R414" s="821"/>
    </row>
    <row r="415" spans="1:18" ht="9.75" customHeight="1">
      <c r="A415" s="215"/>
      <c r="B415" s="215"/>
      <c r="C415" s="215"/>
      <c r="D415" s="215"/>
      <c r="E415" s="753"/>
      <c r="F415" s="327"/>
      <c r="H415" s="813"/>
      <c r="I415" s="813"/>
    </row>
    <row r="416" spans="1:18" s="575" customFormat="1" ht="12">
      <c r="A416" s="571"/>
      <c r="B416" s="572" t="s">
        <v>623</v>
      </c>
      <c r="C416" s="573" t="s">
        <v>305</v>
      </c>
      <c r="D416" s="573" t="s">
        <v>663</v>
      </c>
      <c r="E416" s="752"/>
      <c r="F416" s="574"/>
      <c r="G416" s="814"/>
      <c r="H416" s="815" t="s">
        <v>303</v>
      </c>
      <c r="I416" s="815"/>
      <c r="J416" s="814" t="s">
        <v>794</v>
      </c>
      <c r="K416" s="814" t="s">
        <v>1269</v>
      </c>
      <c r="L416" s="814"/>
      <c r="M416" s="814"/>
      <c r="N416" s="814"/>
      <c r="O416" s="814"/>
      <c r="P416" s="814"/>
      <c r="Q416" s="814"/>
      <c r="R416" s="814"/>
    </row>
    <row r="417" spans="1:18" ht="27.6" customHeight="1">
      <c r="A417" s="215"/>
      <c r="B417" s="554" t="s">
        <v>616</v>
      </c>
      <c r="C417" s="883" t="str">
        <f>AOP!B35</f>
        <v>Which best describes checks on the boundary integrity for the system's pressure zone(s)?</v>
      </c>
      <c r="D417" s="334" t="s">
        <v>989</v>
      </c>
      <c r="E417" s="752" t="str">
        <f t="shared" ref="E417:E421" si="25">IFERROR(IF(OR($D$422=10,NOT(ISNUMBER($D$422))),"",IF(I417=$I$422,"Limiting","")),"")</f>
        <v/>
      </c>
      <c r="F417" s="327"/>
      <c r="G417" s="823">
        <f t="shared" ref="G417:G421" si="26">IF(LEN(D417)&gt;0,1,0)</f>
        <v>1</v>
      </c>
      <c r="H417" s="817">
        <f>VLOOKUP('Interactive Data Grading'!D417,AOP!$C$6:$H$17,6,FALSE)</f>
        <v>8</v>
      </c>
      <c r="I417" s="817">
        <f>H417</f>
        <v>8</v>
      </c>
      <c r="K417" s="847" t="str">
        <f>IFERROR(IF(OR($D$422=10,NOT(ISNUMBER($D$422))),"",IF(I417=$I$422,"Limiting","")),"")</f>
        <v/>
      </c>
    </row>
    <row r="418" spans="1:18" ht="27.6" customHeight="1">
      <c r="A418" s="215"/>
      <c r="B418" s="554" t="s">
        <v>617</v>
      </c>
      <c r="C418" s="883" t="str">
        <f>AOP!B36</f>
        <v>Which best describes how one-time pressure readings (i.e. from hydrants) are collected?</v>
      </c>
      <c r="D418" s="334" t="s">
        <v>613</v>
      </c>
      <c r="E418" s="752" t="str">
        <f t="shared" si="25"/>
        <v/>
      </c>
      <c r="F418" s="327"/>
      <c r="G418" s="823">
        <f t="shared" si="26"/>
        <v>1</v>
      </c>
      <c r="H418" s="818">
        <f>VLOOKUP('Interactive Data Grading'!D418,AOP!$D$6:$H$17,5,FALSE)</f>
        <v>10</v>
      </c>
      <c r="I418" s="818">
        <f>IF(H419=10,10,H418)</f>
        <v>10</v>
      </c>
      <c r="J418" s="826" t="s">
        <v>762</v>
      </c>
      <c r="K418" s="847" t="str">
        <f t="shared" ref="K418:K421" si="27">IFERROR(IF(OR($D$422=10,NOT(ISNUMBER($D$422))),"",IF(I418=$I$422,"Limiting","")),"")</f>
        <v/>
      </c>
    </row>
    <row r="419" spans="1:18" ht="27.6" customHeight="1">
      <c r="A419" s="215"/>
      <c r="B419" s="554" t="s">
        <v>618</v>
      </c>
      <c r="C419" s="883" t="str">
        <f>AOP!B37</f>
        <v>Which best describes where continuous pressure data (via temporary data loggers or permanent telemetry) is collected?</v>
      </c>
      <c r="D419" s="334" t="s">
        <v>761</v>
      </c>
      <c r="E419" s="752" t="str">
        <f t="shared" si="25"/>
        <v/>
      </c>
      <c r="F419" s="327"/>
      <c r="G419" s="823">
        <f t="shared" si="26"/>
        <v>1</v>
      </c>
      <c r="H419" s="817">
        <f>VLOOKUP('Interactive Data Grading'!D419,AOP!$E$6:$H$17,4,FALSE)</f>
        <v>8</v>
      </c>
      <c r="I419" s="818">
        <f>H419</f>
        <v>8</v>
      </c>
      <c r="K419" s="847" t="str">
        <f>IFERROR(IF(OR($D$422=10,NOT(ISNUMBER($D$422))),"",IF(I419=$I$422,"Limiting","")),"")</f>
        <v/>
      </c>
    </row>
    <row r="420" spans="1:18" ht="27.6" customHeight="1">
      <c r="A420" s="215"/>
      <c r="B420" s="554" t="s">
        <v>619</v>
      </c>
      <c r="C420" s="883" t="str">
        <f>AOP!B38</f>
        <v xml:space="preserve">
Which best describes how continuous pressure data is collected?</v>
      </c>
      <c r="D420" s="334" t="s">
        <v>893</v>
      </c>
      <c r="E420" s="752" t="str">
        <f t="shared" si="25"/>
        <v/>
      </c>
      <c r="F420" s="327"/>
      <c r="G420" s="823">
        <f>IF(OR(LEN(D420)&gt;0,D419=AOP!E23),1,0)</f>
        <v>1</v>
      </c>
      <c r="H420" s="817">
        <f>VLOOKUP('Interactive Data Grading'!D420,AOP!$F$6:$H$17,3,FALSE)</f>
        <v>10</v>
      </c>
      <c r="I420" s="817">
        <f>IF(D419=AOP!E23,X,H420)</f>
        <v>10</v>
      </c>
      <c r="J420" s="809" t="s">
        <v>894</v>
      </c>
      <c r="K420" s="847" t="str">
        <f t="shared" si="27"/>
        <v/>
      </c>
    </row>
    <row r="421" spans="1:18" ht="27.6" customHeight="1">
      <c r="A421" s="215"/>
      <c r="B421" s="554" t="s">
        <v>620</v>
      </c>
      <c r="C421" s="883" t="str">
        <f>AOP!B39</f>
        <v>How was the input derived?</v>
      </c>
      <c r="D421" s="334" t="s">
        <v>610</v>
      </c>
      <c r="E421" s="752" t="str">
        <f t="shared" si="25"/>
        <v>Limiting</v>
      </c>
      <c r="F421" s="327"/>
      <c r="G421" s="823">
        <f t="shared" si="26"/>
        <v>1</v>
      </c>
      <c r="H421" s="817">
        <f>VLOOKUP('Interactive Data Grading'!D421,AOP!$G$6:$H$17,2,FALSE)</f>
        <v>7</v>
      </c>
      <c r="I421" s="817">
        <f>H421</f>
        <v>7</v>
      </c>
      <c r="K421" s="847" t="str">
        <f t="shared" si="27"/>
        <v>Limiting</v>
      </c>
    </row>
    <row r="422" spans="1:18" ht="27.6" customHeight="1">
      <c r="A422" s="215"/>
      <c r="B422" s="215"/>
      <c r="C422" s="328" t="s">
        <v>315</v>
      </c>
      <c r="D422" s="755">
        <f>IF(G422&lt;1,"",I422)</f>
        <v>7</v>
      </c>
      <c r="E422" s="752"/>
      <c r="F422" s="327"/>
      <c r="G422" s="825">
        <f>MIN(G417:G421)</f>
        <v>1</v>
      </c>
      <c r="H422" s="820">
        <f>MIN(H417:H421)</f>
        <v>7</v>
      </c>
      <c r="I422" s="820">
        <f t="array" ref="I422">MIN(IF(ISNUMBER(I417:I421),I417:I421))</f>
        <v>7</v>
      </c>
    </row>
    <row r="423" spans="1:18" s="470" customFormat="1" ht="16.350000000000001" customHeight="1">
      <c r="C423" s="568"/>
      <c r="D423" s="568"/>
      <c r="E423" s="847"/>
      <c r="G423" s="821"/>
      <c r="H423" s="821"/>
      <c r="I423" s="822"/>
      <c r="J423" s="821"/>
      <c r="K423" s="821"/>
      <c r="L423" s="821"/>
      <c r="M423" s="821"/>
      <c r="N423" s="821"/>
      <c r="O423" s="821"/>
      <c r="P423" s="821"/>
      <c r="Q423" s="821"/>
      <c r="R423" s="821"/>
    </row>
    <row r="424" spans="1:18" s="470" customFormat="1" ht="16.350000000000001" customHeight="1">
      <c r="C424" s="568"/>
      <c r="D424" s="568"/>
      <c r="E424" s="847"/>
      <c r="G424" s="821"/>
      <c r="H424" s="821"/>
      <c r="I424" s="822"/>
      <c r="J424" s="821"/>
      <c r="K424" s="821"/>
      <c r="L424" s="821"/>
      <c r="M424" s="821"/>
      <c r="N424" s="821"/>
      <c r="O424" s="821"/>
      <c r="P424" s="821"/>
      <c r="Q424" s="821"/>
      <c r="R424" s="821"/>
    </row>
    <row r="425" spans="1:18" s="470" customFormat="1" ht="16.350000000000001" customHeight="1">
      <c r="C425" s="568"/>
      <c r="D425" s="568"/>
      <c r="G425" s="821"/>
      <c r="H425" s="821"/>
      <c r="I425" s="822"/>
      <c r="J425" s="821"/>
      <c r="K425" s="821"/>
      <c r="L425" s="821"/>
      <c r="M425" s="821"/>
      <c r="N425" s="821"/>
      <c r="O425" s="821"/>
      <c r="P425" s="821"/>
      <c r="Q425" s="821"/>
      <c r="R425" s="821"/>
    </row>
    <row r="426" spans="1:18" s="470" customFormat="1" ht="16.350000000000001" customHeight="1">
      <c r="C426" s="568"/>
      <c r="D426" s="568"/>
      <c r="E426" s="847"/>
      <c r="G426" s="821"/>
      <c r="H426" s="821"/>
      <c r="I426" s="822"/>
      <c r="J426" s="821"/>
      <c r="K426" s="821"/>
      <c r="L426" s="821"/>
      <c r="M426" s="821"/>
      <c r="N426" s="821"/>
      <c r="O426" s="821"/>
      <c r="P426" s="821"/>
      <c r="Q426" s="821"/>
      <c r="R426" s="821"/>
    </row>
    <row r="427" spans="1:18" s="470" customFormat="1" ht="16.350000000000001" customHeight="1">
      <c r="C427" s="568"/>
      <c r="D427" s="568"/>
      <c r="E427" s="847"/>
      <c r="G427" s="821"/>
      <c r="H427" s="821"/>
      <c r="I427" s="822"/>
      <c r="J427" s="821"/>
      <c r="K427" s="821"/>
      <c r="L427" s="821"/>
      <c r="M427" s="821"/>
      <c r="N427" s="821"/>
      <c r="O427" s="821"/>
      <c r="P427" s="821"/>
      <c r="Q427" s="821"/>
      <c r="R427" s="821"/>
    </row>
    <row r="428" spans="1:18" s="470" customFormat="1" ht="16.350000000000001" customHeight="1">
      <c r="C428" s="568"/>
      <c r="D428" s="568"/>
      <c r="E428" s="847"/>
      <c r="G428" s="821"/>
      <c r="H428" s="821"/>
      <c r="I428" s="822"/>
      <c r="J428" s="821"/>
      <c r="K428" s="821"/>
      <c r="L428" s="821"/>
      <c r="M428" s="821"/>
      <c r="N428" s="821"/>
      <c r="O428" s="821"/>
      <c r="P428" s="821"/>
      <c r="Q428" s="821"/>
      <c r="R428" s="821"/>
    </row>
    <row r="429" spans="1:18" s="470" customFormat="1" ht="16.350000000000001" customHeight="1">
      <c r="C429" s="568"/>
      <c r="D429" s="568"/>
      <c r="E429" s="847"/>
      <c r="G429" s="821"/>
      <c r="H429" s="821"/>
      <c r="I429" s="822"/>
      <c r="J429" s="821"/>
      <c r="K429" s="821"/>
      <c r="L429" s="821"/>
      <c r="M429" s="821"/>
      <c r="N429" s="821"/>
      <c r="O429" s="821"/>
      <c r="P429" s="821"/>
      <c r="Q429" s="821"/>
      <c r="R429" s="821"/>
    </row>
    <row r="430" spans="1:18" s="470" customFormat="1" ht="16.350000000000001" customHeight="1">
      <c r="C430" s="568"/>
      <c r="D430" s="568"/>
      <c r="E430" s="847"/>
      <c r="G430" s="821"/>
      <c r="H430" s="821"/>
      <c r="I430" s="822"/>
      <c r="J430" s="821"/>
      <c r="K430" s="821"/>
      <c r="L430" s="821"/>
      <c r="M430" s="821"/>
      <c r="N430" s="821"/>
      <c r="O430" s="821"/>
      <c r="P430" s="821"/>
      <c r="Q430" s="821"/>
      <c r="R430" s="821"/>
    </row>
    <row r="431" spans="1:18" s="470" customFormat="1" ht="16.350000000000001" customHeight="1">
      <c r="C431" s="568"/>
      <c r="D431" s="568"/>
      <c r="E431" s="847"/>
      <c r="G431" s="821"/>
      <c r="H431" s="821"/>
      <c r="I431" s="822"/>
      <c r="J431" s="821"/>
      <c r="K431" s="821"/>
      <c r="L431" s="821"/>
      <c r="M431" s="821"/>
      <c r="N431" s="821"/>
      <c r="O431" s="821"/>
      <c r="P431" s="821"/>
      <c r="Q431" s="821"/>
      <c r="R431" s="821"/>
    </row>
    <row r="432" spans="1:18" s="470" customFormat="1" ht="16.350000000000001" customHeight="1">
      <c r="C432" s="568"/>
      <c r="D432" s="568"/>
      <c r="E432" s="847"/>
      <c r="G432" s="821"/>
      <c r="H432" s="821"/>
      <c r="I432" s="822"/>
      <c r="J432" s="821"/>
      <c r="K432" s="821"/>
      <c r="L432" s="821"/>
      <c r="M432" s="821"/>
      <c r="N432" s="821"/>
      <c r="O432" s="821"/>
      <c r="P432" s="821"/>
      <c r="Q432" s="821"/>
      <c r="R432" s="821"/>
    </row>
    <row r="433" spans="1:18" s="470" customFormat="1" ht="16.350000000000001" customHeight="1">
      <c r="C433" s="568"/>
      <c r="D433" s="568"/>
      <c r="E433" s="847"/>
      <c r="G433" s="821"/>
      <c r="H433" s="821"/>
      <c r="I433" s="822"/>
      <c r="J433" s="821"/>
      <c r="K433" s="821"/>
      <c r="L433" s="821"/>
      <c r="M433" s="821"/>
      <c r="N433" s="821"/>
      <c r="O433" s="821"/>
      <c r="P433" s="821"/>
      <c r="Q433" s="821"/>
      <c r="R433" s="821"/>
    </row>
    <row r="434" spans="1:18" s="470" customFormat="1" ht="16.350000000000001" customHeight="1">
      <c r="C434" s="568"/>
      <c r="D434" s="568"/>
      <c r="E434" s="847"/>
      <c r="G434" s="821"/>
      <c r="H434" s="821"/>
      <c r="I434" s="822"/>
      <c r="J434" s="821"/>
      <c r="K434" s="821"/>
      <c r="L434" s="821"/>
      <c r="M434" s="821"/>
      <c r="N434" s="821"/>
      <c r="O434" s="821"/>
      <c r="P434" s="821"/>
      <c r="Q434" s="821"/>
      <c r="R434" s="821"/>
    </row>
    <row r="435" spans="1:18" s="470" customFormat="1" ht="16.350000000000001" customHeight="1">
      <c r="C435" s="568"/>
      <c r="D435" s="568"/>
      <c r="E435" s="847"/>
      <c r="G435" s="821"/>
      <c r="H435" s="821"/>
      <c r="I435" s="822"/>
      <c r="J435" s="821"/>
      <c r="K435" s="821"/>
      <c r="L435" s="821"/>
      <c r="M435" s="821"/>
      <c r="N435" s="821"/>
      <c r="O435" s="821"/>
      <c r="P435" s="821"/>
      <c r="Q435" s="821"/>
      <c r="R435" s="821"/>
    </row>
    <row r="436" spans="1:18" s="470" customFormat="1" ht="16.350000000000001" customHeight="1">
      <c r="C436" s="568"/>
      <c r="D436" s="568"/>
      <c r="E436" s="847"/>
      <c r="G436" s="821"/>
      <c r="H436" s="821"/>
      <c r="I436" s="822"/>
      <c r="J436" s="821"/>
      <c r="K436" s="821"/>
      <c r="L436" s="821"/>
      <c r="M436" s="821"/>
      <c r="N436" s="821"/>
      <c r="O436" s="821"/>
      <c r="P436" s="821"/>
      <c r="Q436" s="821"/>
      <c r="R436" s="821"/>
    </row>
    <row r="437" spans="1:18" s="470" customFormat="1" ht="16.350000000000001" customHeight="1">
      <c r="C437" s="568"/>
      <c r="D437" s="568"/>
      <c r="E437" s="847"/>
      <c r="G437" s="821"/>
      <c r="H437" s="821"/>
      <c r="I437" s="822"/>
      <c r="J437" s="821"/>
      <c r="K437" s="821"/>
      <c r="L437" s="821"/>
      <c r="M437" s="821"/>
      <c r="N437" s="821"/>
      <c r="O437" s="821"/>
      <c r="P437" s="821"/>
      <c r="Q437" s="821"/>
      <c r="R437" s="821"/>
    </row>
    <row r="438" spans="1:18" s="470" customFormat="1" ht="16.350000000000001" customHeight="1">
      <c r="A438" s="1066" t="s">
        <v>1137</v>
      </c>
      <c r="B438" s="1067"/>
      <c r="C438" s="1057" t="s">
        <v>642</v>
      </c>
      <c r="D438" s="1057"/>
      <c r="E438" s="891" t="s">
        <v>1138</v>
      </c>
      <c r="G438" s="821"/>
      <c r="H438" s="821"/>
      <c r="I438" s="822"/>
      <c r="J438" s="821"/>
      <c r="K438" s="821"/>
      <c r="L438" s="821"/>
      <c r="M438" s="821"/>
      <c r="N438" s="821"/>
      <c r="O438" s="821"/>
      <c r="P438" s="821"/>
      <c r="Q438" s="821"/>
      <c r="R438" s="821"/>
    </row>
    <row r="439" spans="1:18" ht="12" customHeight="1">
      <c r="A439" s="215"/>
      <c r="B439" s="215"/>
      <c r="C439" s="1060" t="str">
        <f>IF(OR(AND(D441="Yes",Worksheet!H23&gt;0),AND(D441="No",Worksheet!H23&lt;=0),LEN(D441)=0),"","Inconsistency between Worksheet BMAC input and cruc.0 response")</f>
        <v/>
      </c>
      <c r="D439" s="1060"/>
      <c r="E439" s="753"/>
      <c r="F439" s="327"/>
      <c r="H439" s="813"/>
    </row>
    <row r="440" spans="1:18" s="575" customFormat="1" ht="12">
      <c r="A440" s="571"/>
      <c r="B440" s="572" t="s">
        <v>643</v>
      </c>
      <c r="C440" s="573" t="s">
        <v>305</v>
      </c>
      <c r="D440" s="573" t="s">
        <v>663</v>
      </c>
      <c r="E440" s="752"/>
      <c r="F440" s="574"/>
      <c r="G440" s="814"/>
      <c r="H440" s="815" t="s">
        <v>303</v>
      </c>
      <c r="I440" s="829"/>
      <c r="J440" s="814" t="s">
        <v>794</v>
      </c>
      <c r="K440" s="814"/>
      <c r="L440" s="814"/>
      <c r="M440" s="814"/>
      <c r="N440" s="814"/>
      <c r="O440" s="814"/>
      <c r="P440" s="814"/>
      <c r="Q440" s="814"/>
      <c r="R440" s="814"/>
    </row>
    <row r="441" spans="1:18" ht="27.6" customHeight="1">
      <c r="A441" s="215"/>
      <c r="B441" s="554" t="s">
        <v>876</v>
      </c>
      <c r="C441" s="883" t="str">
        <f>CRUC!B34</f>
        <v>Was any metered consumption billed on a volumetric basis in the audit period?</v>
      </c>
      <c r="D441" s="334" t="s">
        <v>262</v>
      </c>
      <c r="E441" s="752"/>
      <c r="F441" s="327"/>
      <c r="H441" s="817"/>
      <c r="I441" s="817"/>
      <c r="J441" s="830" t="s">
        <v>845</v>
      </c>
    </row>
    <row r="442" spans="1:18" ht="27.6" customHeight="1">
      <c r="A442" s="215"/>
      <c r="B442" s="554" t="s">
        <v>627</v>
      </c>
      <c r="C442" s="883" t="str">
        <f>CRUC!B35</f>
        <v>Which best describes the use and reliability of the current rate structure?</v>
      </c>
      <c r="D442" s="334" t="s">
        <v>638</v>
      </c>
      <c r="E442" s="752" t="str">
        <f>IF(OR($D$446=10,$D$446="n/a"),"",IFERROR(IF(H442=MIN($H$442:$H$445),"Limiting",""),""))</f>
        <v/>
      </c>
      <c r="F442" s="327"/>
      <c r="H442" s="817">
        <f>VLOOKUP('Interactive Data Grading'!D442,CRUC!$C$6:$G$17,5,FALSE)</f>
        <v>10</v>
      </c>
      <c r="I442" s="817"/>
      <c r="J442" s="830"/>
    </row>
    <row r="443" spans="1:18" ht="27.6" customHeight="1">
      <c r="A443" s="215"/>
      <c r="B443" s="554" t="s">
        <v>628</v>
      </c>
      <c r="C443" s="883" t="str">
        <f>CRUC!B36</f>
        <v>Choose the option that best describes how the input was derived</v>
      </c>
      <c r="D443" s="334" t="s">
        <v>636</v>
      </c>
      <c r="E443" s="752" t="str">
        <f>IF(OR($D$446=10,$D$446="n/a"),"",IFERROR(IF(H443=MIN($H$442:$H$445),"Limiting",""),""))</f>
        <v>Limiting</v>
      </c>
      <c r="F443" s="327"/>
      <c r="H443" s="817">
        <f>VLOOKUP('Interactive Data Grading'!D443,CRUC!$D$6:$G$17,4,FALSE)</f>
        <v>5</v>
      </c>
      <c r="I443" s="817"/>
    </row>
    <row r="444" spans="1:18" ht="27.6" customHeight="1">
      <c r="A444" s="215"/>
      <c r="B444" s="554" t="s">
        <v>629</v>
      </c>
      <c r="C444" s="883" t="str">
        <f>CRUC!B37</f>
        <v>Is there any additional volumetric revenue the utility receives that depends on water meter readings, such as sewer?</v>
      </c>
      <c r="D444" s="334" t="s">
        <v>269</v>
      </c>
      <c r="E444" s="752" t="str">
        <f>IF(OR($D$446=10,$D$446="n/a"),"",IFERROR(IF(H444=MIN($H$442:$H$445),"Limiting",""),""))</f>
        <v/>
      </c>
      <c r="F444" s="327"/>
      <c r="H444" s="817">
        <f>VLOOKUP('Interactive Data Grading'!D444,CRUC!$E$6:$G$17,3,FALSE)</f>
        <v>10</v>
      </c>
      <c r="I444" s="817"/>
    </row>
    <row r="445" spans="1:18" ht="27.6" customHeight="1">
      <c r="A445" s="215"/>
      <c r="B445" s="554" t="s">
        <v>630</v>
      </c>
      <c r="C445" s="883" t="str">
        <f>CRUC!B38</f>
        <v>Has the input derivation been reviewed by someone with expert knowledge in the M36 methodology?</v>
      </c>
      <c r="D445" s="334" t="s">
        <v>269</v>
      </c>
      <c r="E445" s="752" t="str">
        <f>IF(OR($D$446=10,$D$446="n/a"),"",IFERROR(IF(H445=MIN($H$442:$H$445),"Limiting",""),""))</f>
        <v/>
      </c>
      <c r="F445" s="327"/>
      <c r="H445" s="817">
        <f>VLOOKUP('Interactive Data Grading'!D445,CRUC!$F$6:$G$17,2,FALSE)</f>
        <v>9</v>
      </c>
      <c r="I445" s="818"/>
    </row>
    <row r="446" spans="1:18" ht="27.6" customHeight="1">
      <c r="A446" s="215"/>
      <c r="B446" s="215"/>
      <c r="C446" s="328" t="s">
        <v>315</v>
      </c>
      <c r="D446" s="755">
        <f>IF(D441="No","n/a",IF(ISNA(H446),"",H446))</f>
        <v>5</v>
      </c>
      <c r="E446" s="752"/>
      <c r="F446" s="327"/>
      <c r="H446" s="820">
        <f>MIN(H442:H445)</f>
        <v>5</v>
      </c>
      <c r="I446" s="817"/>
    </row>
    <row r="447" spans="1:18" s="470" customFormat="1" ht="16.350000000000001" customHeight="1">
      <c r="C447" s="568"/>
      <c r="D447" s="568"/>
      <c r="E447" s="847"/>
      <c r="G447" s="821"/>
      <c r="H447" s="831"/>
      <c r="I447" s="822"/>
      <c r="J447" s="821"/>
      <c r="K447" s="821"/>
      <c r="L447" s="821"/>
      <c r="M447" s="821"/>
      <c r="N447" s="821"/>
      <c r="O447" s="821"/>
      <c r="P447" s="821"/>
      <c r="Q447" s="821"/>
      <c r="R447" s="821"/>
    </row>
    <row r="448" spans="1:18" s="470" customFormat="1" ht="16.350000000000001" customHeight="1">
      <c r="C448" s="568"/>
      <c r="D448" s="568"/>
      <c r="E448" s="847"/>
      <c r="G448" s="821"/>
      <c r="H448" s="831"/>
      <c r="I448" s="822"/>
      <c r="J448" s="821"/>
      <c r="K448" s="821"/>
      <c r="L448" s="821"/>
      <c r="M448" s="821"/>
      <c r="N448" s="821"/>
      <c r="O448" s="821"/>
      <c r="P448" s="821"/>
      <c r="Q448" s="821"/>
      <c r="R448" s="821"/>
    </row>
    <row r="449" spans="1:18" s="470" customFormat="1" ht="16.350000000000001" customHeight="1">
      <c r="C449" s="568"/>
      <c r="D449" s="568"/>
      <c r="E449" s="847"/>
      <c r="G449" s="821"/>
      <c r="H449" s="831"/>
      <c r="I449" s="822"/>
      <c r="J449" s="821"/>
      <c r="K449" s="821"/>
      <c r="L449" s="821"/>
      <c r="M449" s="821"/>
      <c r="N449" s="821"/>
      <c r="O449" s="821"/>
      <c r="P449" s="821"/>
      <c r="Q449" s="821"/>
      <c r="R449" s="821"/>
    </row>
    <row r="450" spans="1:18" s="470" customFormat="1" ht="16.350000000000001" customHeight="1">
      <c r="C450" s="568"/>
      <c r="D450" s="568"/>
      <c r="E450" s="847"/>
      <c r="G450" s="821"/>
      <c r="H450" s="831"/>
      <c r="I450" s="822"/>
      <c r="J450" s="821"/>
      <c r="K450" s="821"/>
      <c r="L450" s="821"/>
      <c r="M450" s="821"/>
      <c r="N450" s="821"/>
      <c r="O450" s="821"/>
      <c r="P450" s="821"/>
      <c r="Q450" s="821"/>
      <c r="R450" s="821"/>
    </row>
    <row r="451" spans="1:18" s="470" customFormat="1" ht="16.350000000000001" customHeight="1">
      <c r="C451" s="568"/>
      <c r="D451" s="568"/>
      <c r="E451" s="847"/>
      <c r="G451" s="821"/>
      <c r="H451" s="831"/>
      <c r="I451" s="822"/>
      <c r="J451" s="821"/>
      <c r="K451" s="821"/>
      <c r="L451" s="821"/>
      <c r="M451" s="821"/>
      <c r="N451" s="821"/>
      <c r="O451" s="821"/>
      <c r="P451" s="821"/>
      <c r="Q451" s="821"/>
      <c r="R451" s="821"/>
    </row>
    <row r="452" spans="1:18" s="470" customFormat="1" ht="16.350000000000001" customHeight="1">
      <c r="C452" s="568"/>
      <c r="D452" s="568"/>
      <c r="E452" s="847"/>
      <c r="G452" s="821"/>
      <c r="H452" s="831"/>
      <c r="I452" s="822"/>
      <c r="J452" s="821"/>
      <c r="K452" s="821"/>
      <c r="L452" s="821"/>
      <c r="M452" s="821"/>
      <c r="N452" s="821"/>
      <c r="O452" s="821"/>
      <c r="P452" s="821"/>
      <c r="Q452" s="821"/>
      <c r="R452" s="821"/>
    </row>
    <row r="453" spans="1:18" s="470" customFormat="1" ht="16.350000000000001" customHeight="1">
      <c r="C453" s="568"/>
      <c r="D453" s="568"/>
      <c r="E453" s="847"/>
      <c r="G453" s="821"/>
      <c r="H453" s="831"/>
      <c r="I453" s="822"/>
      <c r="J453" s="821"/>
      <c r="K453" s="821"/>
      <c r="L453" s="821"/>
      <c r="M453" s="821"/>
      <c r="N453" s="821"/>
      <c r="O453" s="821"/>
      <c r="P453" s="821"/>
      <c r="Q453" s="821"/>
      <c r="R453" s="821"/>
    </row>
    <row r="454" spans="1:18" s="470" customFormat="1" ht="16.350000000000001" customHeight="1">
      <c r="C454" s="568"/>
      <c r="D454" s="568"/>
      <c r="E454" s="847"/>
      <c r="G454" s="821"/>
      <c r="H454" s="831"/>
      <c r="I454" s="822"/>
      <c r="J454" s="821"/>
      <c r="K454" s="821"/>
      <c r="L454" s="821"/>
      <c r="M454" s="821"/>
      <c r="N454" s="821"/>
      <c r="O454" s="821"/>
      <c r="P454" s="821"/>
      <c r="Q454" s="821"/>
      <c r="R454" s="821"/>
    </row>
    <row r="455" spans="1:18" s="470" customFormat="1" ht="16.350000000000001" customHeight="1">
      <c r="C455" s="568"/>
      <c r="D455" s="568"/>
      <c r="E455" s="847"/>
      <c r="G455" s="821"/>
      <c r="H455" s="831"/>
      <c r="I455" s="822"/>
      <c r="J455" s="821"/>
      <c r="K455" s="821"/>
      <c r="L455" s="821"/>
      <c r="M455" s="821"/>
      <c r="N455" s="821"/>
      <c r="O455" s="821"/>
      <c r="P455" s="821"/>
      <c r="Q455" s="821"/>
      <c r="R455" s="821"/>
    </row>
    <row r="456" spans="1:18" s="470" customFormat="1" ht="16.350000000000001" customHeight="1">
      <c r="C456" s="568"/>
      <c r="D456" s="568"/>
      <c r="E456" s="847"/>
      <c r="G456" s="821"/>
      <c r="H456" s="831"/>
      <c r="I456" s="822"/>
      <c r="J456" s="821"/>
      <c r="K456" s="821"/>
      <c r="L456" s="821"/>
      <c r="M456" s="821"/>
      <c r="N456" s="821"/>
      <c r="O456" s="821"/>
      <c r="P456" s="821"/>
      <c r="Q456" s="821"/>
      <c r="R456" s="821"/>
    </row>
    <row r="457" spans="1:18" s="470" customFormat="1" ht="16.350000000000001" customHeight="1">
      <c r="C457" s="568"/>
      <c r="D457" s="568"/>
      <c r="E457" s="847"/>
      <c r="G457" s="821"/>
      <c r="H457" s="831"/>
      <c r="I457" s="822"/>
      <c r="J457" s="821"/>
      <c r="K457" s="821"/>
      <c r="L457" s="821"/>
      <c r="M457" s="821"/>
      <c r="N457" s="821"/>
      <c r="O457" s="821"/>
      <c r="P457" s="821"/>
      <c r="Q457" s="821"/>
      <c r="R457" s="821"/>
    </row>
    <row r="458" spans="1:18" s="470" customFormat="1" ht="16.350000000000001" customHeight="1">
      <c r="C458" s="568"/>
      <c r="D458" s="568"/>
      <c r="E458" s="847"/>
      <c r="G458" s="821"/>
      <c r="H458" s="831"/>
      <c r="I458" s="822"/>
      <c r="J458" s="821"/>
      <c r="K458" s="821"/>
      <c r="L458" s="821"/>
      <c r="M458" s="821"/>
      <c r="N458" s="821"/>
      <c r="O458" s="821"/>
      <c r="P458" s="821"/>
      <c r="Q458" s="821"/>
      <c r="R458" s="821"/>
    </row>
    <row r="459" spans="1:18" s="470" customFormat="1" ht="16.350000000000001" customHeight="1">
      <c r="C459" s="568"/>
      <c r="D459" s="568"/>
      <c r="E459" s="847"/>
      <c r="G459" s="821"/>
      <c r="H459" s="831"/>
      <c r="I459" s="822"/>
      <c r="J459" s="821"/>
      <c r="K459" s="821"/>
      <c r="L459" s="821"/>
      <c r="M459" s="821"/>
      <c r="N459" s="821"/>
      <c r="O459" s="821"/>
      <c r="P459" s="821"/>
      <c r="Q459" s="821"/>
      <c r="R459" s="821"/>
    </row>
    <row r="460" spans="1:18" s="470" customFormat="1" ht="16.350000000000001" customHeight="1">
      <c r="C460" s="568"/>
      <c r="D460" s="568"/>
      <c r="E460" s="847"/>
      <c r="G460" s="821"/>
      <c r="H460" s="831"/>
      <c r="I460" s="822"/>
      <c r="J460" s="821"/>
      <c r="K460" s="821"/>
      <c r="L460" s="821"/>
      <c r="M460" s="821"/>
      <c r="N460" s="821"/>
      <c r="O460" s="821"/>
      <c r="P460" s="821"/>
      <c r="Q460" s="821"/>
      <c r="R460" s="821"/>
    </row>
    <row r="461" spans="1:18" s="470" customFormat="1" ht="16.350000000000001" customHeight="1">
      <c r="C461" s="568"/>
      <c r="D461" s="568"/>
      <c r="E461" s="847"/>
      <c r="G461" s="821"/>
      <c r="H461" s="831"/>
      <c r="I461" s="822"/>
      <c r="J461" s="821"/>
      <c r="K461" s="821"/>
      <c r="L461" s="821"/>
      <c r="M461" s="821"/>
      <c r="N461" s="821"/>
      <c r="O461" s="821"/>
      <c r="P461" s="821"/>
      <c r="Q461" s="821"/>
      <c r="R461" s="821"/>
    </row>
    <row r="462" spans="1:18" s="470" customFormat="1" ht="16.350000000000001" customHeight="1">
      <c r="A462" s="1066" t="s">
        <v>1137</v>
      </c>
      <c r="B462" s="1067"/>
      <c r="C462" s="1057" t="s">
        <v>644</v>
      </c>
      <c r="D462" s="1057"/>
      <c r="E462" s="891" t="s">
        <v>1138</v>
      </c>
      <c r="G462" s="821"/>
      <c r="H462" s="831"/>
      <c r="I462" s="822"/>
      <c r="J462" s="821"/>
      <c r="K462" s="821"/>
      <c r="L462" s="821"/>
      <c r="M462" s="821"/>
      <c r="N462" s="821"/>
      <c r="O462" s="821"/>
      <c r="P462" s="821"/>
      <c r="Q462" s="821"/>
      <c r="R462" s="821"/>
    </row>
    <row r="463" spans="1:18" ht="3.6" customHeight="1">
      <c r="A463" s="215"/>
      <c r="B463" s="215"/>
      <c r="C463" s="215"/>
      <c r="D463" s="215"/>
      <c r="E463" s="753"/>
      <c r="F463" s="327"/>
      <c r="H463" s="813"/>
      <c r="I463" s="813"/>
    </row>
    <row r="464" spans="1:18" s="575" customFormat="1" ht="12">
      <c r="A464" s="571"/>
      <c r="B464" s="572" t="s">
        <v>645</v>
      </c>
      <c r="C464" s="573" t="s">
        <v>305</v>
      </c>
      <c r="D464" s="573" t="s">
        <v>663</v>
      </c>
      <c r="E464" s="752"/>
      <c r="F464" s="574"/>
      <c r="G464" s="814"/>
      <c r="H464" s="815" t="s">
        <v>303</v>
      </c>
      <c r="I464" s="815" t="s">
        <v>296</v>
      </c>
      <c r="J464" s="814"/>
      <c r="K464" s="814"/>
      <c r="L464" s="814"/>
      <c r="M464" s="814"/>
      <c r="N464" s="814"/>
      <c r="O464" s="814"/>
      <c r="P464" s="814"/>
      <c r="Q464" s="814"/>
      <c r="R464" s="814"/>
    </row>
    <row r="465" spans="1:10" ht="12.75" customHeight="1">
      <c r="A465" s="215"/>
      <c r="B465" s="554" t="s">
        <v>646</v>
      </c>
      <c r="C465" s="887" t="str">
        <f>VPC!B35</f>
        <v>Choose the option that best describes how the input was derived</v>
      </c>
      <c r="D465" s="933" t="s">
        <v>879</v>
      </c>
      <c r="E465" s="752" t="str">
        <f>IF($D$469=10,"",IFERROR(IF(H465=MIN($H$465:$H$468),"Limiting",""),""))</f>
        <v/>
      </c>
      <c r="F465" s="327"/>
      <c r="H465" s="817">
        <f>VLOOKUP('Interactive Data Grading'!D465,VPC!$C$6:$G$18,5,FALSE)</f>
        <v>10</v>
      </c>
      <c r="I465" s="818">
        <f>H465</f>
        <v>10</v>
      </c>
      <c r="J465" s="830" t="s">
        <v>655</v>
      </c>
    </row>
    <row r="466" spans="1:10" ht="133.35" customHeight="1">
      <c r="A466" s="215"/>
      <c r="B466" s="555" t="s">
        <v>647</v>
      </c>
      <c r="C466" s="887"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34" t="s">
        <v>1105</v>
      </c>
      <c r="E466" s="752" t="str">
        <f>IFERROR(IF(OR($D$469=10,$D$465=VPC!$C$18),"",IF(H466=MIN($H$465:$H$468),"Limiting","")),"")</f>
        <v>Limiting</v>
      </c>
      <c r="F466" s="327"/>
      <c r="H466" s="824">
        <f>VLOOKUP('Interactive Data Grading'!D466,VPC!$D$6:$G$18,4,FALSE)</f>
        <v>3</v>
      </c>
      <c r="I466" s="824">
        <f>H466</f>
        <v>3</v>
      </c>
    </row>
    <row r="467" spans="1:10" ht="200.45" customHeight="1">
      <c r="A467" s="215"/>
      <c r="B467" s="555" t="s">
        <v>648</v>
      </c>
      <c r="C467" s="887"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34" t="s">
        <v>1102</v>
      </c>
      <c r="E467" s="752" t="str">
        <f>IFERROR(IF(OR($D$469=10,$D$465=VPC!$C$18),"",IF(H467=MIN($H$465:$H$468),"Limiting","")),"")</f>
        <v/>
      </c>
      <c r="F467" s="327"/>
      <c r="H467" s="824">
        <f>VLOOKUP('Interactive Data Grading'!D467,VPC!$E$6:$G$18,3,FALSE)</f>
        <v>8</v>
      </c>
      <c r="I467" s="832">
        <f>IF(D465=VPC!C17,10,'Interactive Data Grading'!H467)</f>
        <v>8</v>
      </c>
    </row>
    <row r="468" spans="1:10" ht="27.6" customHeight="1">
      <c r="A468" s="215"/>
      <c r="B468" s="555" t="s">
        <v>649</v>
      </c>
      <c r="C468" s="887" t="str">
        <f>VPC!B38</f>
        <v>Has the input derivation been reviewed by someone with expert knowledge in the M36 methodology?</v>
      </c>
      <c r="D468" s="334" t="s">
        <v>269</v>
      </c>
      <c r="E468" s="752" t="str">
        <f>IFERROR(IF(OR($D$469=10,$D$465=VPC!$C$18),"",IF(H468=MIN($H$465:$H$468),"Limiting","")),"")</f>
        <v/>
      </c>
      <c r="F468" s="327"/>
      <c r="H468" s="817">
        <f>VLOOKUP('Interactive Data Grading'!D468,VPC!$F$6:$G$18,2,FALSE)</f>
        <v>9</v>
      </c>
      <c r="I468" s="817">
        <f>H468</f>
        <v>9</v>
      </c>
    </row>
    <row r="469" spans="1:10" ht="14.1" customHeight="1">
      <c r="A469" s="215"/>
      <c r="B469" s="215"/>
      <c r="C469" s="328" t="s">
        <v>315</v>
      </c>
      <c r="D469" s="755">
        <f>IFERROR(IF(D465=VPC!C18,'Interactive Data Grading'!D446,I469),"")</f>
        <v>3</v>
      </c>
      <c r="E469" s="752"/>
      <c r="F469" s="327"/>
      <c r="H469" s="820">
        <f>MIN(H465:H468)</f>
        <v>3</v>
      </c>
      <c r="I469" s="820">
        <f>MIN(I465:I468)</f>
        <v>3</v>
      </c>
    </row>
    <row r="470" spans="1:10" ht="9.75" customHeight="1">
      <c r="A470" s="215"/>
      <c r="B470" s="215"/>
      <c r="C470" s="215"/>
      <c r="D470" s="215"/>
      <c r="E470" s="892"/>
      <c r="F470" s="327"/>
      <c r="H470" s="813"/>
      <c r="I470" s="81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39:C42 C9:D9 C11:C19">
    <cfRule type="expression" dxfId="153" priority="138">
      <formula>$D$8="No"</formula>
    </cfRule>
  </conditionalFormatting>
  <conditionalFormatting sqref="D20">
    <cfRule type="expression" dxfId="152" priority="47">
      <formula>$D$20&lt;&gt;""</formula>
    </cfRule>
  </conditionalFormatting>
  <conditionalFormatting sqref="C11:C19 E11:E19">
    <cfRule type="expression" dxfId="151" priority="132">
      <formula>$R$7=0</formula>
    </cfRule>
  </conditionalFormatting>
  <conditionalFormatting sqref="D43">
    <cfRule type="expression" dxfId="150" priority="49">
      <formula>$D$43&lt;&gt;""</formula>
    </cfRule>
  </conditionalFormatting>
  <conditionalFormatting sqref="C63:E63 C92:E95 C65:E73">
    <cfRule type="expression" dxfId="149" priority="130">
      <formula>$D$62="No"</formula>
    </cfRule>
  </conditionalFormatting>
  <conditionalFormatting sqref="D74">
    <cfRule type="expression" dxfId="148" priority="45">
      <formula>$D$74&lt;&gt;""</formula>
    </cfRule>
  </conditionalFormatting>
  <conditionalFormatting sqref="C116:E116 C146:E149 C118:E126">
    <cfRule type="expression" dxfId="147" priority="122">
      <formula>$D$115="No"</formula>
    </cfRule>
  </conditionalFormatting>
  <conditionalFormatting sqref="D127">
    <cfRule type="expression" dxfId="146" priority="41">
      <formula>$D$127&lt;&gt;""</formula>
    </cfRule>
  </conditionalFormatting>
  <conditionalFormatting sqref="D96">
    <cfRule type="expression" dxfId="145" priority="43">
      <formula>$D$96&lt;&gt;""</formula>
    </cfRule>
  </conditionalFormatting>
  <conditionalFormatting sqref="C176:E176 C170:C175 E170:E175">
    <cfRule type="expression" dxfId="144" priority="110">
      <formula>$D$169="No"</formula>
    </cfRule>
  </conditionalFormatting>
  <conditionalFormatting sqref="C197:D199">
    <cfRule type="expression" dxfId="143" priority="108">
      <formula>$D$196="No"</formula>
    </cfRule>
  </conditionalFormatting>
  <conditionalFormatting sqref="D200">
    <cfRule type="expression" dxfId="142" priority="35">
      <formula>$D$200&lt;&gt;""</formula>
    </cfRule>
  </conditionalFormatting>
  <conditionalFormatting sqref="C220:D223">
    <cfRule type="expression" dxfId="141" priority="106">
      <formula>$D$219="No"</formula>
    </cfRule>
  </conditionalFormatting>
  <conditionalFormatting sqref="D224">
    <cfRule type="expression" dxfId="140" priority="33">
      <formula>$D$224&lt;&gt;""</formula>
    </cfRule>
  </conditionalFormatting>
  <conditionalFormatting sqref="C244:C246">
    <cfRule type="expression" dxfId="139" priority="104">
      <formula>$D$243="Yes"</formula>
    </cfRule>
  </conditionalFormatting>
  <conditionalFormatting sqref="C320:C321">
    <cfRule type="expression" dxfId="138" priority="102">
      <formula>$D$319="Yes"</formula>
    </cfRule>
  </conditionalFormatting>
  <conditionalFormatting sqref="D322">
    <cfRule type="expression" dxfId="137" priority="19">
      <formula>$D$322&lt;&gt;""</formula>
    </cfRule>
  </conditionalFormatting>
  <conditionalFormatting sqref="C291:C299">
    <cfRule type="expression" dxfId="136" priority="100">
      <formula>$D$290="No"</formula>
    </cfRule>
  </conditionalFormatting>
  <conditionalFormatting sqref="D300">
    <cfRule type="expression" dxfId="135" priority="13">
      <formula>$D$300&lt;&gt;""</formula>
    </cfRule>
  </conditionalFormatting>
  <conditionalFormatting sqref="C267:D270">
    <cfRule type="expression" dxfId="134" priority="96">
      <formula>$D$266="Yes"</formula>
    </cfRule>
  </conditionalFormatting>
  <conditionalFormatting sqref="D350">
    <cfRule type="expression" dxfId="133" priority="21">
      <formula>$D$350&lt;&gt;""</formula>
    </cfRule>
  </conditionalFormatting>
  <conditionalFormatting sqref="D374">
    <cfRule type="expression" dxfId="132" priority="23">
      <formula>$D$374&lt;&gt;""</formula>
    </cfRule>
  </conditionalFormatting>
  <conditionalFormatting sqref="C394:C397">
    <cfRule type="expression" dxfId="131" priority="92">
      <formula>$D$393="Yes"</formula>
    </cfRule>
  </conditionalFormatting>
  <conditionalFormatting sqref="D247">
    <cfRule type="expression" dxfId="130" priority="15">
      <formula>$D$247&lt;&gt;""</formula>
    </cfRule>
  </conditionalFormatting>
  <conditionalFormatting sqref="D271">
    <cfRule type="expression" dxfId="129" priority="17">
      <formula>$D$271&lt;&gt;""</formula>
    </cfRule>
  </conditionalFormatting>
  <conditionalFormatting sqref="D398">
    <cfRule type="expression" dxfId="128" priority="25">
      <formula>D398&lt;&gt;""</formula>
    </cfRule>
  </conditionalFormatting>
  <conditionalFormatting sqref="D422">
    <cfRule type="expression" dxfId="127" priority="27">
      <formula>$D$422&lt;&gt;""</formula>
    </cfRule>
  </conditionalFormatting>
  <conditionalFormatting sqref="D469">
    <cfRule type="expression" dxfId="126" priority="29">
      <formula>$D$469&lt;&gt;""</formula>
    </cfRule>
  </conditionalFormatting>
  <conditionalFormatting sqref="D446">
    <cfRule type="expression" dxfId="125" priority="31">
      <formula>$D$446&lt;&gt;""</formula>
    </cfRule>
  </conditionalFormatting>
  <conditionalFormatting sqref="C65:E73">
    <cfRule type="expression" dxfId="124" priority="82">
      <formula>$I$63&lt;6</formula>
    </cfRule>
  </conditionalFormatting>
  <conditionalFormatting sqref="C93:E93">
    <cfRule type="expression" dxfId="123" priority="80">
      <formula>$D$92="No"</formula>
    </cfRule>
  </conditionalFormatting>
  <conditionalFormatting sqref="C147:E147">
    <cfRule type="expression" dxfId="122" priority="79">
      <formula>$D$146="No"</formula>
    </cfRule>
  </conditionalFormatting>
  <conditionalFormatting sqref="D150">
    <cfRule type="expression" dxfId="121" priority="39">
      <formula>$D$150&lt;&gt;""</formula>
    </cfRule>
  </conditionalFormatting>
  <conditionalFormatting sqref="D177">
    <cfRule type="expression" dxfId="120" priority="37">
      <formula>$D$177&lt;&gt;""</formula>
    </cfRule>
  </conditionalFormatting>
  <conditionalFormatting sqref="C442:C445">
    <cfRule type="expression" dxfId="119" priority="59">
      <formula>$D$441="No"</formula>
    </cfRule>
  </conditionalFormatting>
  <conditionalFormatting sqref="C40">
    <cfRule type="expression" dxfId="118" priority="58">
      <formula>$D$39="No"</formula>
    </cfRule>
  </conditionalFormatting>
  <conditionalFormatting sqref="E394:E397">
    <cfRule type="expression" dxfId="117" priority="51">
      <formula>$D$393="Yes"</formula>
    </cfRule>
  </conditionalFormatting>
  <conditionalFormatting sqref="C118:E126">
    <cfRule type="expression" dxfId="116" priority="12">
      <formula>$R$9=0</formula>
    </cfRule>
  </conditionalFormatting>
  <conditionalFormatting sqref="D11:D19">
    <cfRule type="expression" dxfId="115" priority="10">
      <formula>$D$8="No"</formula>
    </cfRule>
  </conditionalFormatting>
  <conditionalFormatting sqref="D11:D19">
    <cfRule type="expression" dxfId="114" priority="9">
      <formula>$R$7=0</formula>
    </cfRule>
  </conditionalFormatting>
  <conditionalFormatting sqref="D39:D42">
    <cfRule type="expression" dxfId="113" priority="8">
      <formula>$D$8="No"</formula>
    </cfRule>
  </conditionalFormatting>
  <conditionalFormatting sqref="D40">
    <cfRule type="expression" dxfId="112" priority="7">
      <formula>$D$39="No"</formula>
    </cfRule>
  </conditionalFormatting>
  <conditionalFormatting sqref="D170:D175">
    <cfRule type="expression" dxfId="111" priority="6">
      <formula>$D$169="No"</formula>
    </cfRule>
  </conditionalFormatting>
  <conditionalFormatting sqref="D244:D246">
    <cfRule type="expression" dxfId="110" priority="5">
      <formula>$D$243="Yes"</formula>
    </cfRule>
  </conditionalFormatting>
  <conditionalFormatting sqref="D291:D299">
    <cfRule type="expression" dxfId="109" priority="4">
      <formula>$D$290="No"</formula>
    </cfRule>
  </conditionalFormatting>
  <conditionalFormatting sqref="D320:D321">
    <cfRule type="expression" dxfId="108" priority="3">
      <formula>$D$319="Yes"</formula>
    </cfRule>
  </conditionalFormatting>
  <conditionalFormatting sqref="D394:D397">
    <cfRule type="expression" dxfId="107" priority="2">
      <formula>$D$393="Yes"</formula>
    </cfRule>
  </conditionalFormatting>
  <conditionalFormatting sqref="D442:D445">
    <cfRule type="expression" dxfId="106" priority="1">
      <formula>$D$441="No"</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8" id="{342999CA-1B99-45BC-AEF6-71C0DF65E538}">
            <xm:f>'M36 Refs'!$AN$98=1</xm:f>
            <x14:dxf>
              <fill>
                <patternFill>
                  <bgColor theme="0"/>
                </patternFill>
              </fill>
            </x14:dxf>
          </x14:cfRule>
          <x14:cfRule type="expression" priority="13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46" id="{A983955F-565C-458B-879A-DA6409BF7663}">
            <xm:f>'M36 Refs'!$AN$100=1</xm:f>
            <x14:dxf>
              <fill>
                <patternFill>
                  <bgColor theme="0"/>
                </patternFill>
              </fill>
            </x14:dxf>
          </x14:cfRule>
          <x14:cfRule type="expression" priority="12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42" id="{A745AB2D-5947-4271-9FB9-B3B67240C25F}">
            <xm:f>'M36 Refs'!$AN$102=1</xm:f>
            <x14:dxf>
              <fill>
                <patternFill>
                  <bgColor theme="0"/>
                </patternFill>
              </fill>
            </x14:dxf>
          </x14:cfRule>
          <x14:cfRule type="expression" priority="12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44" id="{E603A46D-9E05-4A05-9558-18C955159F61}">
            <xm:f>'M36 Refs'!$AN$101=1</xm:f>
            <x14:dxf>
              <fill>
                <patternFill>
                  <bgColor theme="0"/>
                </patternFill>
              </fill>
            </x14:dxf>
          </x14:cfRule>
          <x14:cfRule type="expression" priority="11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6" id="{2AE65D20-7690-4375-ABB7-50058E806AAF}">
            <xm:f>'M36 Refs'!$AN$105=1</xm:f>
            <x14:dxf>
              <fill>
                <patternFill>
                  <bgColor theme="0"/>
                </patternFill>
              </fill>
            </x14:dxf>
          </x14:cfRule>
          <x14:cfRule type="expression" priority="10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34" id="{1301210A-65DD-487D-8A88-D4D27128EA18}">
            <xm:f>'M36 Refs'!$AN$106=1</xm:f>
            <x14:dxf>
              <fill>
                <patternFill>
                  <bgColor theme="0"/>
                </patternFill>
              </fill>
            </x14:dxf>
          </x14:cfRule>
          <x14:cfRule type="expression" priority="10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20" id="{065DCBC7-59C7-4A2F-864F-4E3E4F4435E9}">
            <xm:f>'M36 Refs'!$AN$108=1</xm:f>
            <x14:dxf>
              <fill>
                <patternFill>
                  <bgColor theme="0"/>
                </patternFill>
              </fill>
            </x14:dxf>
          </x14:cfRule>
          <x14:cfRule type="expression" priority="10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14" id="{6696E19F-DA4F-404C-908E-E11C9E5DDFE4}">
            <xm:f>'M36 Refs'!$AN$109=1</xm:f>
            <x14:dxf>
              <fill>
                <patternFill>
                  <bgColor theme="0"/>
                </patternFill>
              </fill>
            </x14:dxf>
          </x14:cfRule>
          <x14:cfRule type="expression" priority="9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22" id="{6EE198CB-A750-4171-B3CA-2A7C9FCB617F}">
            <xm:f>'M36 Refs'!$AN$111=1</xm:f>
            <x14:dxf>
              <fill>
                <patternFill>
                  <bgColor theme="0"/>
                </patternFill>
              </fill>
            </x14:dxf>
          </x14:cfRule>
          <x14:cfRule type="expression" priority="9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24" id="{A43A2CF2-6EE3-4AA8-8B13-F98C70FDF5A8}">
            <xm:f>'M36 Refs'!$AN$112=1</xm:f>
            <x14:dxf>
              <fill>
                <patternFill>
                  <bgColor theme="0"/>
                </patternFill>
              </fill>
            </x14:dxf>
          </x14:cfRule>
          <x14:cfRule type="expression" priority="9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60228261-E30B-429C-87F4-64B62AC95699}">
            <xm:f>'M36 Refs'!$AN$107=1</xm:f>
            <x14:dxf>
              <fill>
                <patternFill>
                  <bgColor theme="0"/>
                </patternFill>
              </fill>
            </x14:dxf>
          </x14:cfRule>
          <x14:cfRule type="expression" priority="9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18" id="{D37B9311-510A-4DF0-8369-ACA17B9F3750}">
            <xm:f>'M36 Refs'!$AN$110=1</xm:f>
            <x14:dxf>
              <fill>
                <patternFill>
                  <bgColor theme="0"/>
                </patternFill>
              </fill>
            </x14:dxf>
          </x14:cfRule>
          <x14:cfRule type="expression" priority="9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26" id="{96C225E7-36DD-4106-8A82-B4196C764E80}">
            <xm:f>'M36 Refs'!$AN$113=1</xm:f>
            <x14:dxf>
              <fill>
                <patternFill>
                  <bgColor theme="0"/>
                </patternFill>
              </fill>
            </x14:dxf>
          </x14:cfRule>
          <x14:cfRule type="expression" priority="8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28" id="{8DE6F58F-9EC6-4CEA-A1EA-20D2AB33EF70}">
            <xm:f>'M36 Refs'!$AN$114=1</xm:f>
            <x14:dxf>
              <fill>
                <patternFill>
                  <bgColor theme="0"/>
                </patternFill>
              </fill>
            </x14:dxf>
          </x14:cfRule>
          <x14:cfRule type="expression" priority="8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30" id="{1A8C499A-9B80-457F-A3D7-1A28295A5C51}">
            <xm:f>'M36 Refs'!$AN$117=1</xm:f>
            <x14:dxf>
              <fill>
                <patternFill>
                  <bgColor theme="0"/>
                </patternFill>
              </fill>
            </x14:dxf>
          </x14:cfRule>
          <x14:cfRule type="expression" priority="8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32" id="{80683471-A408-466F-B198-58AFF865068C}">
            <xm:f>'M36 Refs'!$AN$116=1</xm:f>
            <x14:dxf>
              <fill>
                <patternFill>
                  <bgColor theme="0"/>
                </patternFill>
              </fill>
            </x14:dxf>
          </x14:cfRule>
          <x14:cfRule type="expression" priority="8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40" id="{8A466D5C-5E34-4D2B-8C51-690BD823D37A}">
            <xm:f>'M36 Refs'!$AN$103=1</xm:f>
            <x14:dxf>
              <fill>
                <patternFill>
                  <bgColor theme="0"/>
                </patternFill>
              </fill>
            </x14:dxf>
          </x14:cfRule>
          <x14:cfRule type="expression" priority="7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38" id="{E63664CE-E042-4EA0-9288-451D9B9A3289}">
            <xm:f>'M36 Refs'!$AN$104=1</xm:f>
            <x14:dxf>
              <fill>
                <patternFill>
                  <bgColor theme="0"/>
                </patternFill>
              </fill>
            </x14:dxf>
          </x14:cfRule>
          <x14:cfRule type="expression" priority="6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50" id="{400E7F1C-1782-43CF-A04F-A94BF2CD504A}">
            <xm:f>'M36 Refs'!$AN$99=1</xm:f>
            <x14:dxf>
              <fill>
                <patternFill>
                  <bgColor theme="0"/>
                </patternFill>
              </fill>
            </x14:dxf>
          </x14:cfRule>
          <x14:cfRule type="expression" priority="13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36" id="{341AE257-EC73-400B-89AB-4C5646B33088}">
            <xm:f>$D$14=VOS!$G$23</xm:f>
            <x14:dxf>
              <font>
                <color theme="0"/>
              </font>
              <fill>
                <patternFill>
                  <bgColor theme="0"/>
                </patternFill>
              </fill>
            </x14:dxf>
          </x14:cfRule>
          <xm:sqref>C15:C16</xm:sqref>
        </x14:conditionalFormatting>
        <x14:conditionalFormatting xmlns:xm="http://schemas.microsoft.com/office/excel/2006/main">
          <x14:cfRule type="expression" priority="135" id="{9FCD7173-9E07-4B9B-9406-8959B64B3E3A}">
            <xm:f>$D$15=VOS!$H$23</xm:f>
            <x14:dxf>
              <font>
                <color theme="0"/>
              </font>
              <fill>
                <patternFill>
                  <bgColor theme="0"/>
                </patternFill>
              </fill>
            </x14:dxf>
          </x14:cfRule>
          <xm:sqref>C16</xm:sqref>
        </x14:conditionalFormatting>
        <x14:conditionalFormatting xmlns:xm="http://schemas.microsoft.com/office/excel/2006/main">
          <x14:cfRule type="expression" priority="12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2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1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1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99" id="{B4068CBD-A7D0-4944-9FB5-973E02C67BB8}">
            <xm:f>OR($D$292=CMI!$D$23,$D$292=CMI!$D$27,$D$292=CMI!$D$24)</xm:f>
            <x14:dxf>
              <font>
                <color theme="0"/>
              </font>
              <fill>
                <patternFill>
                  <bgColor theme="0"/>
                </patternFill>
              </fill>
            </x14:dxf>
          </x14:cfRule>
          <xm:sqref>C293</xm:sqref>
        </x14:conditionalFormatting>
        <x14:conditionalFormatting xmlns:xm="http://schemas.microsoft.com/office/excel/2006/main">
          <x14:cfRule type="expression" priority="98" id="{07BAA198-0591-4340-BFEF-0BF0EA9BB90D}">
            <xm:f>OR($D$294=CMI!$F$23,$D$294=CMI!$F$24)</xm:f>
            <x14:dxf>
              <font>
                <color theme="0"/>
              </font>
              <fill>
                <patternFill>
                  <bgColor theme="0"/>
                </patternFill>
              </fill>
            </x14:dxf>
          </x14:cfRule>
          <xm:sqref>C295</xm:sqref>
        </x14:conditionalFormatting>
        <x14:conditionalFormatting xmlns:xm="http://schemas.microsoft.com/office/excel/2006/main">
          <x14:cfRule type="expression" priority="85" id="{596BF620-4935-4DA0-8DCD-9E42D0D5132F}">
            <xm:f>$D$465=VPC!$C$28</xm:f>
            <x14:dxf>
              <font>
                <color theme="0"/>
              </font>
              <fill>
                <patternFill>
                  <bgColor theme="0"/>
                </patternFill>
              </fill>
            </x14:dxf>
          </x14:cfRule>
          <xm:sqref>C466:C468</xm:sqref>
        </x14:conditionalFormatting>
        <x14:conditionalFormatting xmlns:xm="http://schemas.microsoft.com/office/excel/2006/main">
          <x14:cfRule type="expression" priority="221" id="{D13ABB5E-5A03-43E8-B3A0-06F8A82057AB}">
            <xm:f>OR($D$11=VOS!$D$23,$D$11=VOS!$D$27)</xm:f>
            <x14:dxf>
              <font>
                <color theme="0"/>
              </font>
              <fill>
                <patternFill>
                  <bgColor theme="0"/>
                </patternFill>
              </fill>
            </x14:dxf>
          </x14:cfRule>
          <xm:sqref>C12:C13</xm:sqref>
        </x14:conditionalFormatting>
        <x14:conditionalFormatting xmlns:xm="http://schemas.microsoft.com/office/excel/2006/main">
          <x14:cfRule type="expression" priority="22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2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2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2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76" id="{377097A0-939F-4A75-9E5A-A44DBCA9BEA8}">
            <xm:f>Worksheet!$W$26=1</xm:f>
            <x14:dxf>
              <font>
                <color theme="0"/>
              </font>
              <fill>
                <patternFill patternType="none">
                  <bgColor auto="1"/>
                </patternFill>
              </fill>
              <border>
                <left/>
                <right/>
                <top/>
                <bottom/>
              </border>
            </x14:dxf>
          </x14:cfRule>
          <xm:sqref>B242:E243 B244:C246 E244:E246</xm:sqref>
        </x14:conditionalFormatting>
        <x14:conditionalFormatting xmlns:xm="http://schemas.microsoft.com/office/excel/2006/main">
          <x14:cfRule type="expression" priority="7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69" id="{C12A24C5-E275-498A-BD23-712018DF033F}">
            <xm:f>$D$173=BMAC!$F$23</xm:f>
            <x14:dxf>
              <font>
                <color theme="0"/>
              </font>
              <fill>
                <patternFill>
                  <bgColor theme="0"/>
                </patternFill>
              </fill>
            </x14:dxf>
          </x14:cfRule>
          <xm:sqref>C174</xm:sqref>
        </x14:conditionalFormatting>
        <x14:conditionalFormatting xmlns:xm="http://schemas.microsoft.com/office/excel/2006/main">
          <x14:cfRule type="expression" priority="6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66" id="{1E3B969D-5300-4276-9C31-D73F15462A68}">
            <xm:f>$D$346=Lm!$C$6</xm:f>
            <x14:dxf>
              <font>
                <color theme="0"/>
              </font>
              <fill>
                <patternFill>
                  <bgColor theme="0"/>
                </patternFill>
              </fill>
            </x14:dxf>
          </x14:cfRule>
          <xm:sqref>C347</xm:sqref>
        </x14:conditionalFormatting>
        <x14:conditionalFormatting xmlns:xm="http://schemas.microsoft.com/office/excel/2006/main">
          <x14:cfRule type="expression" priority="65" id="{62487611-CCC5-4131-8671-9384555C1D5C}">
            <xm:f>OR($D$11=VOS!$D$23,$D$11=VOS!$D$27)</xm:f>
            <x14:dxf>
              <font>
                <color theme="0"/>
              </font>
              <fill>
                <patternFill>
                  <bgColor theme="0"/>
                </patternFill>
              </fill>
            </x14:dxf>
          </x14:cfRule>
          <xm:sqref>C12:C13 E12:E13</xm:sqref>
        </x14:conditionalFormatting>
        <x14:conditionalFormatting xmlns:xm="http://schemas.microsoft.com/office/excel/2006/main">
          <x14:cfRule type="expression" priority="64" id="{AFDF8079-973B-45E0-A88D-46DEC2F3D708}">
            <xm:f>AND(OR($D$11=VOS!$D$23,$D$11=VOS!$D$27),$D$14=VOS!$G$23)</xm:f>
            <x14:dxf>
              <font>
                <color theme="0"/>
              </font>
              <fill>
                <patternFill>
                  <bgColor theme="0"/>
                </patternFill>
              </fill>
            </x14:dxf>
          </x14:cfRule>
          <x14:cfRule type="expression" priority="133" id="{4C1716C0-67E4-4092-8D4F-A10C01A83AEC}">
            <xm:f>AND($D$11=VOS!$D$23,$D$14=VOS!$G$23)</xm:f>
            <x14:dxf>
              <font>
                <color theme="0"/>
              </font>
              <fill>
                <patternFill>
                  <bgColor theme="0"/>
                </patternFill>
              </fill>
            </x14:dxf>
          </x14:cfRule>
          <xm:sqref>C17 E17</xm:sqref>
        </x14:conditionalFormatting>
        <x14:conditionalFormatting xmlns:xm="http://schemas.microsoft.com/office/excel/2006/main">
          <x14:cfRule type="expression" priority="6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xm:sqref>
        </x14:conditionalFormatting>
        <x14:conditionalFormatting xmlns:xm="http://schemas.microsoft.com/office/excel/2006/main">
          <x14:cfRule type="expression" priority="6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C370:C371</xm:sqref>
        </x14:conditionalFormatting>
        <x14:conditionalFormatting xmlns:xm="http://schemas.microsoft.com/office/excel/2006/main">
          <x14:cfRule type="expression" priority="6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xm:sqref>
        </x14:conditionalFormatting>
        <x14:conditionalFormatting xmlns:xm="http://schemas.microsoft.com/office/excel/2006/main">
          <x14:cfRule type="expression" priority="6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xm:sqref>
        </x14:conditionalFormatting>
        <x14:conditionalFormatting xmlns:xm="http://schemas.microsoft.com/office/excel/2006/main">
          <x14:cfRule type="expression" priority="5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xm:sqref>
        </x14:conditionalFormatting>
        <x14:conditionalFormatting xmlns:xm="http://schemas.microsoft.com/office/excel/2006/main">
          <x14:cfRule type="expression" priority="27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77" id="{39816A52-D01B-4267-8852-5F28AA5FA9D1}">
            <xm:f>Worksheet!$W$43=1</xm:f>
            <x14:dxf>
              <font>
                <color theme="0"/>
              </font>
              <fill>
                <patternFill patternType="none">
                  <bgColor auto="1"/>
                </patternFill>
              </fill>
              <border>
                <left/>
                <right/>
                <top/>
                <bottom/>
                <vertical/>
                <horizontal/>
              </border>
            </x14:dxf>
          </x14:cfRule>
          <xm:sqref>B318:E319 B320:C321 E320:E321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5"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7"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3"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8"/>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6"/>
      <c r="C2" s="667"/>
      <c r="D2" s="667"/>
      <c r="E2" s="849"/>
      <c r="F2" s="667"/>
      <c r="G2" s="667"/>
      <c r="H2" s="667"/>
      <c r="I2" s="667"/>
      <c r="J2" s="667"/>
      <c r="K2" s="667"/>
      <c r="L2" s="667"/>
      <c r="M2" s="667"/>
      <c r="N2" s="667"/>
      <c r="O2" s="913"/>
      <c r="P2" s="667"/>
      <c r="Q2" s="667"/>
      <c r="R2" s="667"/>
      <c r="S2" s="667"/>
      <c r="T2" s="667"/>
      <c r="U2" s="667"/>
      <c r="V2" s="667"/>
      <c r="W2" s="667"/>
      <c r="X2" s="667"/>
      <c r="Y2" s="667"/>
      <c r="Z2" s="667"/>
      <c r="AA2" s="856" t="s">
        <v>1028</v>
      </c>
      <c r="AB2" s="670"/>
      <c r="AC2" s="667"/>
      <c r="AD2" s="667"/>
      <c r="AE2" s="667"/>
      <c r="AF2" s="667"/>
      <c r="AG2" s="667"/>
      <c r="AH2" s="667"/>
      <c r="AI2" s="667"/>
      <c r="AJ2" s="667"/>
      <c r="AK2" s="667"/>
      <c r="AL2" s="667"/>
      <c r="AM2" s="667"/>
      <c r="AN2" s="1081" t="s">
        <v>1156</v>
      </c>
      <c r="AO2" s="1082"/>
      <c r="AP2" s="1082"/>
      <c r="AQ2" s="1083"/>
      <c r="AR2" s="914"/>
      <c r="AS2" s="1081" t="s">
        <v>1157</v>
      </c>
      <c r="AT2" s="1082"/>
      <c r="AU2" s="1082"/>
      <c r="AV2" s="1083"/>
      <c r="AW2" s="914"/>
      <c r="AX2" s="1081" t="s">
        <v>1191</v>
      </c>
      <c r="AY2" s="1082"/>
      <c r="AZ2" s="1082"/>
      <c r="BA2" s="1083"/>
      <c r="BB2" s="875"/>
      <c r="BC2" s="109"/>
      <c r="BL2" s="602"/>
      <c r="BN2" s="658"/>
      <c r="BO2" s="808">
        <f>LEN(C4)</f>
        <v>0</v>
      </c>
      <c r="BP2" s="483" t="s">
        <v>1111</v>
      </c>
      <c r="BQ2" s="483"/>
      <c r="BR2" s="483"/>
      <c r="BT2" s="483"/>
      <c r="BU2" s="241"/>
      <c r="BV2" s="241"/>
      <c r="BW2" s="241"/>
    </row>
    <row r="3" spans="1:77" ht="20.45" customHeight="1">
      <c r="A3" s="109"/>
      <c r="B3" s="668"/>
      <c r="C3" s="669"/>
      <c r="D3" s="669"/>
      <c r="E3" s="850"/>
      <c r="F3" s="669"/>
      <c r="G3" s="669"/>
      <c r="H3" s="669"/>
      <c r="I3" s="669"/>
      <c r="J3" s="669"/>
      <c r="K3" s="669"/>
      <c r="L3" s="669"/>
      <c r="M3" s="672"/>
      <c r="N3" s="471"/>
      <c r="O3" s="671" t="s">
        <v>66</v>
      </c>
      <c r="P3" s="675" t="str">
        <f>IF(ISBLANK('Start Page'!AB9),"Enter info on the Start Page",'Start Page'!AB9&amp;IF(ISBLANK('Start Page'!AM28),"","  ("&amp;'Start Page'!AM28&amp;")"))</f>
        <v>VEOLIA - Brown Manor</v>
      </c>
      <c r="Q3" s="675"/>
      <c r="R3" s="675"/>
      <c r="S3" s="675"/>
      <c r="T3" s="675"/>
      <c r="U3" s="675"/>
      <c r="V3" s="675"/>
      <c r="W3" s="675"/>
      <c r="X3" s="675"/>
      <c r="Y3" s="675"/>
      <c r="Z3" s="675"/>
      <c r="AA3" s="675"/>
      <c r="AB3" s="675"/>
      <c r="AC3" s="672"/>
      <c r="AD3" s="673"/>
      <c r="AE3" s="674"/>
      <c r="AF3" s="671" t="s">
        <v>716</v>
      </c>
      <c r="AG3" s="1068">
        <f>IF(ISBLANK('Start Page'!AB18),"",'Start Page'!AB18)</f>
        <v>2022</v>
      </c>
      <c r="AH3" s="1068"/>
      <c r="AI3" s="471"/>
      <c r="AJ3" s="676">
        <f>IF(ISBLANK('Start Page'!AB19),"",'Start Page'!AB19)</f>
        <v>2022</v>
      </c>
      <c r="AK3" s="676"/>
      <c r="AL3" s="471"/>
      <c r="AM3" s="675" t="str">
        <f>IF(ISBLANK('Start Page'!AB20),"",TEXT('Start Page'!AB20,"mmm dd yyyy")&amp;" - "&amp;TEXT('Start Page'!AB21,"mmm dd yyyy"))</f>
        <v>Jan 01 2022 - Dec 31 2022</v>
      </c>
      <c r="AN3" s="675"/>
      <c r="AO3" s="675"/>
      <c r="AP3" s="675"/>
      <c r="AQ3" s="675"/>
      <c r="AR3" s="675"/>
      <c r="AS3" s="669"/>
      <c r="AT3" s="669"/>
      <c r="AU3" s="669"/>
      <c r="AV3" s="669"/>
      <c r="AW3" s="669"/>
      <c r="AX3" s="669"/>
      <c r="AY3" s="669"/>
      <c r="AZ3" s="669"/>
      <c r="BA3" s="669"/>
      <c r="BB3" s="875"/>
      <c r="BC3" s="109"/>
      <c r="BN3" s="658"/>
      <c r="BO3" s="924" t="str">
        <f>IF(OR(LEN(J7)=0,J7="N/A*",J7="TBD"),"ok",IF(J7&gt;=100,"Max DVS Flag","ok"))</f>
        <v>ok</v>
      </c>
      <c r="BP3" s="483" t="s">
        <v>1251</v>
      </c>
      <c r="BQ3" s="483"/>
      <c r="BR3" s="483"/>
      <c r="BT3" s="483"/>
      <c r="BU3" s="241"/>
      <c r="BV3" s="241"/>
      <c r="BW3" s="241"/>
    </row>
    <row r="4" spans="1:77" ht="15" customHeight="1">
      <c r="A4" s="109"/>
      <c r="B4" s="341"/>
      <c r="C4" s="1076" t="str">
        <f>IFERROR(IF(ISBLANK('Start Page'!$AB$22),"******* REPORTING UNITS MUST BE SELECTED ON THE INSTRUCTIONS TAB BEFORE PERFORMANCE INDICATORS CAN BE DISPLAYED *******",IF('M36 Refs'!AN118&gt;0," ******* COMPLETE ALL VISIBLE QUESTIONS ON THE INTERACTIVE DATA GRADING TAB TO DISPLAY PERFORMANCE INDICATORS *******","")),"")</f>
        <v/>
      </c>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1076"/>
      <c r="AE4" s="1076"/>
      <c r="AF4" s="1076"/>
      <c r="AG4" s="1076"/>
      <c r="AH4" s="1076"/>
      <c r="AI4" s="1076"/>
      <c r="AJ4" s="1076"/>
      <c r="AK4" s="1076"/>
      <c r="AL4" s="1076"/>
      <c r="AM4" s="1076"/>
      <c r="AN4" s="1076"/>
      <c r="AO4" s="1076"/>
      <c r="AP4" s="1076"/>
      <c r="AQ4" s="1076"/>
      <c r="AR4" s="1076"/>
      <c r="AS4" s="1076"/>
      <c r="AT4" s="1076"/>
      <c r="AU4" s="1076"/>
      <c r="AV4" s="1076"/>
      <c r="AW4" s="1076"/>
      <c r="AX4" s="1076"/>
      <c r="AY4" s="1076"/>
      <c r="AZ4" s="1076"/>
      <c r="BA4" s="1076"/>
      <c r="BB4" s="600"/>
      <c r="BC4" s="109"/>
      <c r="BN4" s="658"/>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71" t="s">
        <v>783</v>
      </c>
      <c r="D5" s="1071"/>
      <c r="E5" s="1071"/>
      <c r="F5" s="1071"/>
      <c r="G5" s="1071"/>
      <c r="H5" s="1071"/>
      <c r="I5" s="1071"/>
      <c r="J5" s="1071"/>
      <c r="K5" s="1071"/>
      <c r="L5" s="1071"/>
      <c r="M5" s="1071"/>
      <c r="N5" s="1071"/>
      <c r="O5" s="1071"/>
      <c r="P5" s="1071"/>
      <c r="Q5" s="1071"/>
      <c r="R5" s="1071"/>
      <c r="S5" s="1071"/>
      <c r="T5" s="1071"/>
      <c r="U5" s="1071"/>
      <c r="V5" s="1071"/>
      <c r="W5" s="734"/>
      <c r="X5" s="734"/>
      <c r="Y5" s="734"/>
      <c r="Z5" s="734"/>
      <c r="AA5" s="734"/>
      <c r="AB5" s="734"/>
      <c r="AC5" s="734"/>
      <c r="AD5" s="624" t="s">
        <v>1254</v>
      </c>
      <c r="AE5" s="734"/>
      <c r="AF5" s="734"/>
      <c r="AG5" s="734"/>
      <c r="AH5" s="1078" t="s">
        <v>1165</v>
      </c>
      <c r="AI5" s="1078"/>
      <c r="AJ5" s="1078"/>
      <c r="AK5" s="1078"/>
      <c r="AL5" s="1078"/>
      <c r="AM5" s="1078"/>
      <c r="AN5" s="1078"/>
      <c r="AO5" s="1078"/>
      <c r="AP5" s="1078"/>
      <c r="AQ5" s="1078"/>
      <c r="AR5" s="1078"/>
      <c r="AS5" s="624" t="s">
        <v>1253</v>
      </c>
      <c r="AT5" s="734"/>
      <c r="AU5" s="734"/>
      <c r="AV5" s="734"/>
      <c r="AW5" s="734"/>
      <c r="AX5" s="734"/>
      <c r="AY5" s="734"/>
      <c r="AZ5" s="734"/>
      <c r="BA5" s="734"/>
      <c r="BB5" s="600"/>
      <c r="BC5" s="109"/>
      <c r="BN5" s="658"/>
      <c r="BO5" s="483"/>
      <c r="BP5" s="483"/>
      <c r="BQ5" s="483"/>
      <c r="BR5" s="483"/>
      <c r="BS5" s="483"/>
      <c r="BT5" s="483"/>
      <c r="BU5" s="241"/>
      <c r="BV5" s="241"/>
      <c r="BW5" s="241"/>
    </row>
    <row r="6" spans="1:77" s="244" customFormat="1" ht="12.95" customHeight="1">
      <c r="A6" s="243"/>
      <c r="B6" s="341"/>
      <c r="C6" s="1071"/>
      <c r="D6" s="1071"/>
      <c r="E6" s="1071"/>
      <c r="F6" s="1071"/>
      <c r="G6" s="1071"/>
      <c r="H6" s="1071"/>
      <c r="I6" s="1071"/>
      <c r="J6" s="1071"/>
      <c r="K6" s="1071"/>
      <c r="L6" s="1071"/>
      <c r="M6" s="1071"/>
      <c r="N6" s="1071"/>
      <c r="O6" s="1071"/>
      <c r="P6" s="1071"/>
      <c r="Q6" s="1071"/>
      <c r="R6" s="1071"/>
      <c r="S6" s="1071"/>
      <c r="T6" s="1071"/>
      <c r="U6" s="1071"/>
      <c r="V6" s="1071"/>
      <c r="W6" s="677"/>
      <c r="X6" s="900"/>
      <c r="Y6" s="901" t="s">
        <v>1208</v>
      </c>
      <c r="Z6" s="1073">
        <v>0.73699999999999999</v>
      </c>
      <c r="AA6" s="1073"/>
      <c r="AB6" s="902" t="s">
        <v>1255</v>
      </c>
      <c r="AC6" s="612"/>
      <c r="AD6" s="734"/>
      <c r="AE6" s="734"/>
      <c r="AF6" s="734"/>
      <c r="AG6" s="734"/>
      <c r="AH6" s="1078"/>
      <c r="AI6" s="1078"/>
      <c r="AJ6" s="1078"/>
      <c r="AK6" s="1078"/>
      <c r="AL6" s="1078"/>
      <c r="AM6" s="1078"/>
      <c r="AN6" s="1078"/>
      <c r="AO6" s="1078"/>
      <c r="AP6" s="1078"/>
      <c r="AQ6" s="1078"/>
      <c r="AR6" s="1078"/>
      <c r="AS6" s="734"/>
      <c r="AT6" s="734"/>
      <c r="AU6" s="734"/>
      <c r="AV6" s="734"/>
      <c r="AW6" s="734"/>
      <c r="AX6" s="734"/>
      <c r="AY6" s="734"/>
      <c r="AZ6" s="734"/>
      <c r="BA6" s="734"/>
      <c r="BB6" s="600"/>
      <c r="BC6" s="243"/>
      <c r="BD6" s="245" t="s">
        <v>688</v>
      </c>
      <c r="BM6" s="659"/>
      <c r="BN6" s="660"/>
      <c r="BO6" s="708"/>
      <c r="BP6" s="708"/>
      <c r="BQ6" s="708"/>
      <c r="BR6" s="708">
        <f>IFERROR(IF(ISBLANK('Start Page'!$AB$22),"N/A*",IF('M36 Refs'!AN118&gt;0,"",ROUND('M36 Refs'!AH118,0))),"")</f>
        <v>62</v>
      </c>
      <c r="BS6" s="709"/>
      <c r="BT6" s="708"/>
      <c r="BU6" s="710"/>
      <c r="BV6" s="710"/>
      <c r="BW6" s="710"/>
      <c r="BX6" s="58"/>
      <c r="BY6" s="58"/>
    </row>
    <row r="7" spans="1:77" s="244" customFormat="1" ht="12.95" customHeight="1">
      <c r="A7" s="243"/>
      <c r="B7" s="335"/>
      <c r="C7" s="58"/>
      <c r="D7" s="247"/>
      <c r="E7" s="851"/>
      <c r="F7" s="247"/>
      <c r="G7" s="247"/>
      <c r="H7" s="677"/>
      <c r="I7" s="791" t="s">
        <v>239</v>
      </c>
      <c r="J7" s="1070">
        <f>BR6</f>
        <v>62</v>
      </c>
      <c r="K7" s="1070"/>
      <c r="L7" s="792"/>
      <c r="M7" s="792"/>
      <c r="N7" s="792"/>
      <c r="O7" s="792"/>
      <c r="P7" s="792"/>
      <c r="Q7" s="791" t="s">
        <v>683</v>
      </c>
      <c r="R7" s="1069" t="str">
        <f>IF(BO2&gt;0,"",BR4)</f>
        <v>Tier III (51-70)</v>
      </c>
      <c r="S7" s="1069"/>
      <c r="T7" s="1069"/>
      <c r="U7" s="1069"/>
      <c r="V7" s="1069"/>
      <c r="W7" s="677"/>
      <c r="X7" s="904" t="s">
        <v>1248</v>
      </c>
      <c r="AD7" s="612"/>
      <c r="AE7" s="859"/>
      <c r="AF7" s="859"/>
      <c r="AG7" s="859"/>
      <c r="AH7" s="1072" t="s">
        <v>1192</v>
      </c>
      <c r="AI7" s="1072"/>
      <c r="AJ7" s="1072"/>
      <c r="AK7" s="1072"/>
      <c r="AL7" s="1072"/>
      <c r="AM7" s="1072"/>
      <c r="AN7" s="1072"/>
      <c r="AO7" s="1072"/>
      <c r="AP7" s="1072"/>
      <c r="AQ7" s="1072"/>
      <c r="AR7" s="1072"/>
      <c r="AS7" s="859"/>
      <c r="AT7" s="859"/>
      <c r="AU7" s="859"/>
      <c r="AV7" s="859"/>
      <c r="AW7" s="859"/>
      <c r="AX7" s="859"/>
      <c r="AY7" s="859"/>
      <c r="AZ7" s="859"/>
      <c r="BA7" s="859"/>
      <c r="BB7" s="600"/>
      <c r="BC7" s="243"/>
      <c r="BD7" s="244" t="str">
        <f>IF('Start Page'!$AB$22="million gallons (US)","MG/Yr",IF('Start Page'!$AB$22="Megalitres (thousand cubic metres)","ML/Yr",IF('Start Page'!$AB$22="acre-feet","Acre-ft/Yr","")))</f>
        <v>MG/Yr</v>
      </c>
      <c r="BM7" s="659"/>
      <c r="BN7" s="660"/>
      <c r="BO7" s="711" t="s">
        <v>774</v>
      </c>
      <c r="BP7" s="711"/>
      <c r="BQ7" s="711"/>
      <c r="BR7" s="711" t="s">
        <v>780</v>
      </c>
      <c r="BS7" s="708"/>
      <c r="BT7" s="708"/>
      <c r="BU7" s="710"/>
      <c r="BV7" s="710"/>
      <c r="BW7" s="710"/>
      <c r="BX7" s="58"/>
      <c r="BY7" s="58"/>
    </row>
    <row r="8" spans="1:77" ht="12.95" customHeight="1">
      <c r="A8" s="109"/>
      <c r="B8" s="335"/>
      <c r="C8" s="612"/>
      <c r="D8" s="612"/>
      <c r="E8" s="852"/>
      <c r="F8" s="612"/>
      <c r="G8" s="612"/>
      <c r="H8" s="1077" t="s">
        <v>1097</v>
      </c>
      <c r="I8" s="1077"/>
      <c r="J8" s="1074" t="s">
        <v>948</v>
      </c>
      <c r="K8" s="1074"/>
      <c r="L8" s="1074"/>
      <c r="M8" s="1074"/>
      <c r="N8" s="1074"/>
      <c r="O8" s="1074"/>
      <c r="P8" s="1075" t="s">
        <v>1096</v>
      </c>
      <c r="Q8" s="1075"/>
      <c r="R8" s="1075"/>
      <c r="S8" s="1075"/>
      <c r="T8" s="612"/>
      <c r="U8" s="612"/>
      <c r="V8" s="247"/>
      <c r="W8" s="247"/>
      <c r="X8" s="58"/>
      <c r="Y8" s="859"/>
      <c r="Z8" s="859"/>
      <c r="AA8" s="859"/>
      <c r="AB8" s="612"/>
      <c r="AC8" s="612"/>
      <c r="AD8" s="612"/>
      <c r="AE8" s="859"/>
      <c r="AF8" s="859"/>
      <c r="AG8" s="859"/>
      <c r="AH8" s="1072"/>
      <c r="AI8" s="1072"/>
      <c r="AJ8" s="1072"/>
      <c r="AK8" s="1072"/>
      <c r="AL8" s="1072"/>
      <c r="AM8" s="1072"/>
      <c r="AN8" s="1072"/>
      <c r="AO8" s="1072"/>
      <c r="AP8" s="1072"/>
      <c r="AQ8" s="1072"/>
      <c r="AR8" s="1072"/>
      <c r="AS8" s="859"/>
      <c r="AT8" s="859"/>
      <c r="AU8" s="859"/>
      <c r="AV8" s="859"/>
      <c r="AW8" s="859"/>
      <c r="AX8" s="859"/>
      <c r="AY8" s="859"/>
      <c r="AZ8" s="859"/>
      <c r="BA8" s="859"/>
      <c r="BB8" s="342"/>
      <c r="BC8" s="109"/>
      <c r="BD8" s="58" t="str">
        <f>IF(BD29=FALSE,"Variable Production Cost","Customer Retail Unit Cost")</f>
        <v>Variable Production Cost</v>
      </c>
      <c r="BN8" s="658"/>
      <c r="BO8" s="483"/>
      <c r="BP8" s="483">
        <f>SUM(BP9:BP13)</f>
        <v>100</v>
      </c>
      <c r="BQ8" s="483"/>
      <c r="BR8" s="483" t="s">
        <v>687</v>
      </c>
      <c r="BS8" s="483">
        <f>BR6</f>
        <v>62</v>
      </c>
      <c r="BT8" s="483"/>
      <c r="BU8" s="241"/>
      <c r="BV8" s="241"/>
      <c r="BW8" s="241"/>
    </row>
    <row r="9" spans="1:77" ht="12.95" customHeight="1">
      <c r="A9" s="109"/>
      <c r="B9" s="335"/>
      <c r="C9" s="612"/>
      <c r="D9" s="612"/>
      <c r="E9" s="852"/>
      <c r="F9" s="612"/>
      <c r="G9" s="612"/>
      <c r="H9" s="1077"/>
      <c r="I9" s="1077"/>
      <c r="J9" s="1074"/>
      <c r="K9" s="1074"/>
      <c r="L9" s="1074"/>
      <c r="M9" s="1074"/>
      <c r="N9" s="1074"/>
      <c r="O9" s="1074"/>
      <c r="P9" s="1075"/>
      <c r="Q9" s="1075"/>
      <c r="R9" s="1075"/>
      <c r="S9" s="1075"/>
      <c r="T9" s="612"/>
      <c r="U9" s="612"/>
      <c r="V9" s="665"/>
      <c r="W9" s="247"/>
      <c r="X9" s="677"/>
      <c r="Y9" s="677"/>
      <c r="Z9" s="677"/>
      <c r="AA9" s="677"/>
      <c r="AB9" s="677"/>
      <c r="AC9" s="677"/>
      <c r="AD9" s="677"/>
      <c r="AE9" s="677"/>
      <c r="AF9" s="677"/>
      <c r="AG9" s="677"/>
      <c r="AH9" s="677"/>
      <c r="AI9" s="677"/>
      <c r="AJ9" s="247"/>
      <c r="AK9" s="677"/>
      <c r="AL9" s="677"/>
      <c r="AM9" s="677"/>
      <c r="AN9" s="677"/>
      <c r="AO9" s="677"/>
      <c r="AP9" s="677"/>
      <c r="AQ9" s="677"/>
      <c r="AR9" s="677"/>
      <c r="AS9" s="677"/>
      <c r="AT9" s="677"/>
      <c r="AU9" s="677"/>
      <c r="AV9" s="677"/>
      <c r="AW9" s="677"/>
      <c r="AX9" s="677"/>
      <c r="AY9" s="677"/>
      <c r="AZ9" s="677"/>
      <c r="BA9" s="677"/>
      <c r="BB9" s="342"/>
      <c r="BC9" s="109"/>
      <c r="BD9" s="225" t="str">
        <f>IF(BD29=FALSE,"VPC","CRUC")</f>
        <v>VPC</v>
      </c>
      <c r="BN9" s="661"/>
      <c r="BO9" s="483" t="s">
        <v>778</v>
      </c>
      <c r="BP9" s="483">
        <v>25</v>
      </c>
      <c r="BQ9" s="483"/>
      <c r="BR9" s="483" t="s">
        <v>780</v>
      </c>
      <c r="BS9" s="719">
        <f>SUM(BP8:BP12)/150</f>
        <v>1.2666666666666666</v>
      </c>
      <c r="BT9" s="483"/>
      <c r="BU9" s="241"/>
      <c r="BV9" s="241"/>
      <c r="BW9" s="241"/>
    </row>
    <row r="10" spans="1:77" ht="12.95" customHeight="1">
      <c r="A10" s="109"/>
      <c r="B10" s="335"/>
      <c r="C10" s="665"/>
      <c r="D10" s="665"/>
      <c r="E10" s="58"/>
      <c r="F10" s="58"/>
      <c r="G10" s="58"/>
      <c r="H10" s="665"/>
      <c r="I10" s="928" t="s">
        <v>263</v>
      </c>
      <c r="J10" s="665"/>
      <c r="K10" s="665"/>
      <c r="L10" s="665"/>
      <c r="M10" s="665"/>
      <c r="N10" s="665"/>
      <c r="O10" s="926" t="s">
        <v>264</v>
      </c>
      <c r="P10" s="665"/>
      <c r="Q10" s="665"/>
      <c r="R10" s="665"/>
      <c r="S10" s="665"/>
      <c r="T10" s="665"/>
      <c r="U10" s="665"/>
      <c r="V10" s="665"/>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1"/>
      <c r="BO10" s="483" t="s">
        <v>779</v>
      </c>
      <c r="BP10" s="483">
        <v>25</v>
      </c>
      <c r="BQ10" s="483"/>
      <c r="BR10" s="483" t="s">
        <v>781</v>
      </c>
      <c r="BS10" s="483">
        <f>SUM(BP8:BP13)-SUM(BS8:BS9)</f>
        <v>136.73333333333335</v>
      </c>
      <c r="BT10" s="483"/>
      <c r="BU10" s="241"/>
      <c r="BV10" s="241"/>
      <c r="BW10" s="241"/>
    </row>
    <row r="11" spans="1:77" ht="12.95" customHeight="1">
      <c r="A11" s="109"/>
      <c r="B11" s="335"/>
      <c r="C11" s="58"/>
      <c r="D11" s="247"/>
      <c r="E11" s="851"/>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8"/>
      <c r="AG11" s="618"/>
      <c r="AH11" s="618"/>
      <c r="AI11" s="618"/>
      <c r="AJ11" s="618"/>
      <c r="AK11" s="618"/>
      <c r="AL11" s="618"/>
      <c r="AM11" s="618"/>
      <c r="AN11" s="618"/>
      <c r="AO11" s="618"/>
      <c r="AP11" s="618"/>
      <c r="AQ11" s="618"/>
      <c r="AR11" s="618"/>
      <c r="AS11" s="618"/>
      <c r="AT11" s="618"/>
      <c r="AU11" s="618"/>
      <c r="AV11" s="618"/>
      <c r="AW11" s="618"/>
      <c r="AX11" s="618"/>
      <c r="AY11" s="247"/>
      <c r="AZ11" s="247"/>
      <c r="BA11" s="247"/>
      <c r="BB11" s="342"/>
      <c r="BC11" s="109"/>
      <c r="BD11" s="58" t="str">
        <f>IF(ISBLANK('Start Page'!$AB$22),"",IF('Start Page'!$AB$22="Megalitres (thousand cubic metres)","litres/km","gal/mile")&amp;"/day")</f>
        <v>gal/mile/day</v>
      </c>
      <c r="BN11" s="661"/>
      <c r="BO11" s="483" t="s">
        <v>775</v>
      </c>
      <c r="BP11" s="483">
        <v>20</v>
      </c>
      <c r="BQ11" s="483"/>
      <c r="BR11" s="483"/>
      <c r="BS11" s="483"/>
      <c r="BT11" s="483"/>
      <c r="BU11" s="741" t="s">
        <v>1209</v>
      </c>
      <c r="BV11" s="729"/>
      <c r="BW11" s="729"/>
      <c r="BX11" s="729"/>
    </row>
    <row r="12" spans="1:77" ht="12.95" customHeight="1">
      <c r="A12" s="109"/>
      <c r="B12" s="335"/>
      <c r="C12" s="58"/>
      <c r="D12" s="247"/>
      <c r="E12" s="851"/>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8"/>
      <c r="AG12" s="618"/>
      <c r="AH12" s="679"/>
      <c r="AI12" s="679"/>
      <c r="AJ12" s="247"/>
      <c r="AK12" s="247"/>
      <c r="AL12" s="247"/>
      <c r="AM12" s="247"/>
      <c r="AN12" s="247"/>
      <c r="AO12" s="247"/>
      <c r="AP12" s="247"/>
      <c r="AQ12" s="247"/>
      <c r="AR12" s="247"/>
      <c r="AS12" s="247"/>
      <c r="AT12" s="247"/>
      <c r="AU12" s="247"/>
      <c r="AV12" s="677"/>
      <c r="AW12" s="677"/>
      <c r="AX12" s="247"/>
      <c r="AY12" s="247"/>
      <c r="AZ12" s="247"/>
      <c r="BA12" s="247"/>
      <c r="BB12" s="342"/>
      <c r="BC12" s="109"/>
      <c r="BD12" s="58" t="str">
        <f>IF(ISBLANK('Start Page'!$AB$22),"",IF('Start Page'!$AB$22="Megalitres (thousand cubic metres)","litres/conn/day/m","gal/conn/day/psi"))</f>
        <v>gal/conn/day/psi</v>
      </c>
      <c r="BN12" s="661"/>
      <c r="BO12" s="483" t="s">
        <v>776</v>
      </c>
      <c r="BP12" s="483">
        <v>20</v>
      </c>
      <c r="BQ12" s="483"/>
      <c r="BR12" s="483"/>
      <c r="BS12" s="483"/>
      <c r="BT12" s="483"/>
      <c r="BU12" s="712" t="s">
        <v>1033</v>
      </c>
      <c r="BV12" s="712"/>
      <c r="BW12" s="712"/>
    </row>
    <row r="13" spans="1:77" ht="15" customHeight="1">
      <c r="A13" s="109"/>
      <c r="B13" s="335"/>
      <c r="C13" s="58"/>
      <c r="D13" s="247"/>
      <c r="E13" s="851"/>
      <c r="F13" s="247"/>
      <c r="G13" s="247"/>
      <c r="H13" s="247"/>
      <c r="I13" s="247"/>
      <c r="J13" s="247"/>
      <c r="K13" s="247"/>
      <c r="L13" s="247"/>
      <c r="M13" s="247"/>
      <c r="N13" s="247"/>
      <c r="O13" s="247"/>
      <c r="P13" s="247"/>
      <c r="Q13" s="247"/>
      <c r="R13" s="926" t="s">
        <v>265</v>
      </c>
      <c r="S13" s="247"/>
      <c r="T13" s="247"/>
      <c r="U13" s="247"/>
      <c r="V13" s="247"/>
      <c r="W13" s="247"/>
      <c r="X13" s="247"/>
      <c r="Y13" s="247"/>
      <c r="Z13" s="247"/>
      <c r="AA13" s="247"/>
      <c r="AB13" s="247"/>
      <c r="AC13" s="247"/>
      <c r="AD13" s="247"/>
      <c r="AE13" s="247"/>
      <c r="AF13" s="680"/>
      <c r="AG13" s="680"/>
      <c r="AH13" s="680"/>
      <c r="AI13" s="680"/>
      <c r="AJ13" s="680"/>
      <c r="AK13" s="680"/>
      <c r="AL13" s="680"/>
      <c r="AM13" s="680"/>
      <c r="AN13" s="680"/>
      <c r="AO13" s="680"/>
      <c r="AP13" s="680"/>
      <c r="AQ13" s="680"/>
      <c r="AR13" s="680"/>
      <c r="AS13" s="680"/>
      <c r="AT13" s="680"/>
      <c r="AU13" s="680"/>
      <c r="AV13" s="677"/>
      <c r="AW13" s="677"/>
      <c r="AX13" s="247"/>
      <c r="AY13" s="247"/>
      <c r="AZ13" s="247"/>
      <c r="BA13" s="247"/>
      <c r="BB13" s="342"/>
      <c r="BC13" s="109"/>
      <c r="BD13" s="58" t="s">
        <v>1206</v>
      </c>
      <c r="BN13" s="661"/>
      <c r="BO13" s="483" t="s">
        <v>777</v>
      </c>
      <c r="BP13" s="483">
        <v>10</v>
      </c>
      <c r="BQ13" s="483"/>
      <c r="BR13" s="483"/>
      <c r="BS13" s="483"/>
      <c r="BT13" s="483"/>
      <c r="BU13" s="712" t="s">
        <v>1034</v>
      </c>
      <c r="BV13" s="712"/>
      <c r="BW13" s="712"/>
    </row>
    <row r="14" spans="1:77" ht="15" customHeight="1">
      <c r="A14" s="109"/>
      <c r="B14" s="335"/>
      <c r="C14" s="58"/>
      <c r="D14" s="247"/>
      <c r="E14" s="851"/>
      <c r="F14" s="247"/>
      <c r="G14" s="247"/>
      <c r="H14" s="247"/>
      <c r="I14" s="1094"/>
      <c r="J14" s="1094"/>
      <c r="K14" s="1094"/>
      <c r="L14" s="1094"/>
      <c r="M14" s="1094"/>
      <c r="N14" s="1094"/>
      <c r="O14" s="1094"/>
      <c r="P14" s="247"/>
      <c r="Q14" s="247"/>
      <c r="R14" s="247"/>
      <c r="S14" s="247"/>
      <c r="T14" s="247"/>
      <c r="U14" s="247"/>
      <c r="V14" s="247"/>
      <c r="W14" s="247"/>
      <c r="X14" s="247"/>
      <c r="Y14" s="247"/>
      <c r="Z14" s="247"/>
      <c r="AA14" s="247"/>
      <c r="AB14" s="1079" t="str">
        <f>IF(BS15&lt;0,"negative result check inputs",IF($BS$16=0,"result is below 10th %ile",IF($BS$15&gt;$BS$16,"result is above 90th %ile","")))</f>
        <v/>
      </c>
      <c r="AC14" s="1079"/>
      <c r="AD14" s="1079"/>
      <c r="AE14" s="1079"/>
      <c r="AF14" s="681"/>
      <c r="AG14" s="618"/>
      <c r="AH14" s="679"/>
      <c r="AI14" s="679"/>
      <c r="AJ14" s="247"/>
      <c r="AK14" s="247"/>
      <c r="AL14" s="1079" t="str">
        <f>IF(BS22&lt;0,"negative result check inputs",IF($BS$23=0,"result is below 10th %ile",IF($BS$22&gt;$BS$23,"result is above 90th %ile","")))</f>
        <v/>
      </c>
      <c r="AM14" s="1079"/>
      <c r="AN14" s="1079"/>
      <c r="AO14" s="1079"/>
      <c r="AP14" s="247"/>
      <c r="AQ14" s="247"/>
      <c r="AR14" s="247"/>
      <c r="AS14" s="247"/>
      <c r="AT14" s="247"/>
      <c r="AU14" s="247"/>
      <c r="AV14" s="1079" t="str">
        <f>IF(BS29&lt;0,"negative result check inputs",IF($BS$30=0,"result is below 10th %ile",IF($BS$29&gt;$BS$30,"result is above 90th %ile","")))</f>
        <v>negative result check inputs</v>
      </c>
      <c r="AW14" s="1079"/>
      <c r="AX14" s="1079"/>
      <c r="AY14" s="1079"/>
      <c r="AZ14" s="247"/>
      <c r="BA14" s="247"/>
      <c r="BB14" s="342"/>
      <c r="BC14" s="109"/>
      <c r="BN14" s="661"/>
      <c r="BO14" s="483"/>
      <c r="BP14" s="735" t="s">
        <v>1042</v>
      </c>
      <c r="BQ14" s="736" t="s">
        <v>1045</v>
      </c>
      <c r="BR14" s="483"/>
      <c r="BS14" s="483"/>
      <c r="BT14" s="483"/>
      <c r="BU14" s="713" t="s">
        <v>708</v>
      </c>
      <c r="BV14" s="713" t="s">
        <v>709</v>
      </c>
      <c r="BW14" s="713" t="s">
        <v>710</v>
      </c>
    </row>
    <row r="15" spans="1:77" ht="15" customHeight="1">
      <c r="A15" s="109"/>
      <c r="B15" s="335"/>
      <c r="C15" s="58"/>
      <c r="D15" s="58"/>
      <c r="E15" s="851"/>
      <c r="F15" s="927" t="s">
        <v>1257</v>
      </c>
      <c r="G15" s="247"/>
      <c r="H15" s="247"/>
      <c r="I15" s="1094"/>
      <c r="J15" s="1094"/>
      <c r="K15" s="1094"/>
      <c r="L15" s="1094"/>
      <c r="M15" s="1094"/>
      <c r="N15" s="1094"/>
      <c r="O15" s="1094"/>
      <c r="P15" s="247"/>
      <c r="Q15" s="247"/>
      <c r="R15" s="247"/>
      <c r="S15" s="247"/>
      <c r="T15" s="247"/>
      <c r="U15" s="247"/>
      <c r="V15" s="247"/>
      <c r="W15" s="247"/>
      <c r="X15" s="247"/>
      <c r="Y15" s="247"/>
      <c r="Z15" s="247"/>
      <c r="AA15" s="247"/>
      <c r="AB15" s="1079"/>
      <c r="AC15" s="1079"/>
      <c r="AD15" s="1079"/>
      <c r="AE15" s="1079"/>
      <c r="AF15" s="618"/>
      <c r="AG15" s="618"/>
      <c r="AH15" s="247"/>
      <c r="AI15" s="247"/>
      <c r="AJ15" s="247"/>
      <c r="AK15" s="247"/>
      <c r="AL15" s="1079"/>
      <c r="AM15" s="1079"/>
      <c r="AN15" s="1079"/>
      <c r="AO15" s="1079"/>
      <c r="AP15" s="247"/>
      <c r="AQ15" s="247"/>
      <c r="AR15" s="247"/>
      <c r="AS15" s="247"/>
      <c r="AT15" s="247"/>
      <c r="AU15" s="682"/>
      <c r="AV15" s="1079"/>
      <c r="AW15" s="1079"/>
      <c r="AX15" s="1079"/>
      <c r="AY15" s="1079"/>
      <c r="AZ15" s="247"/>
      <c r="BA15" s="247"/>
      <c r="BB15" s="342"/>
      <c r="BC15" s="109"/>
      <c r="BN15" s="661"/>
      <c r="BO15" s="714" t="s">
        <v>1024</v>
      </c>
      <c r="BP15" s="714"/>
      <c r="BR15" s="703" t="s">
        <v>1049</v>
      </c>
      <c r="BS15" s="730">
        <f>IF($BO$2&gt;0,"",IFERROR(SUM(N49:N50)/Worksheet!H62,""))</f>
        <v>5.240642815178572</v>
      </c>
      <c r="BT15" s="715"/>
      <c r="BU15" s="803" t="s">
        <v>1045</v>
      </c>
      <c r="BV15" s="716"/>
      <c r="BW15" s="716"/>
      <c r="BX15" s="663"/>
    </row>
    <row r="16" spans="1:77" ht="15" customHeight="1">
      <c r="A16" s="109"/>
      <c r="B16" s="335"/>
      <c r="C16" s="58"/>
      <c r="D16" s="247"/>
      <c r="E16" s="851"/>
      <c r="F16" s="247"/>
      <c r="G16" s="247"/>
      <c r="H16" s="247"/>
      <c r="I16" s="1094"/>
      <c r="J16" s="1094"/>
      <c r="K16" s="1094"/>
      <c r="L16" s="1094"/>
      <c r="M16" s="1094"/>
      <c r="N16" s="1094"/>
      <c r="O16" s="1094"/>
      <c r="P16" s="247"/>
      <c r="Q16" s="247"/>
      <c r="R16" s="247"/>
      <c r="S16" s="926" t="s">
        <v>266</v>
      </c>
      <c r="T16" s="247"/>
      <c r="U16" s="247"/>
      <c r="V16" s="247"/>
      <c r="W16" s="247"/>
      <c r="X16" s="247"/>
      <c r="Y16" s="247"/>
      <c r="Z16" s="247"/>
      <c r="AA16" s="247"/>
      <c r="AB16" s="247"/>
      <c r="AC16" s="247"/>
      <c r="AD16" s="247"/>
      <c r="AE16" s="247"/>
      <c r="AF16" s="618"/>
      <c r="AG16" s="618"/>
      <c r="AH16" s="247"/>
      <c r="AI16" s="247"/>
      <c r="AJ16" s="247"/>
      <c r="AK16" s="247"/>
      <c r="AL16" s="247"/>
      <c r="AM16" s="247"/>
      <c r="AN16" s="247"/>
      <c r="AO16" s="247"/>
      <c r="AP16" s="247"/>
      <c r="AQ16" s="247"/>
      <c r="AR16" s="247"/>
      <c r="AS16" s="247"/>
      <c r="AT16" s="247"/>
      <c r="AU16" s="682"/>
      <c r="AV16" s="682"/>
      <c r="AW16" s="683"/>
      <c r="AX16" s="247"/>
      <c r="AY16" s="247"/>
      <c r="AZ16" s="247"/>
      <c r="BA16" s="247"/>
      <c r="BB16" s="342"/>
      <c r="BC16" s="109"/>
      <c r="BN16" s="733" t="s">
        <v>1044</v>
      </c>
      <c r="BO16" s="715" t="s">
        <v>1043</v>
      </c>
      <c r="BP16" s="717">
        <f>SUM(BP17:BP20)</f>
        <v>57.801400497346833</v>
      </c>
      <c r="BQ16" s="899">
        <f>IF($BD$7="ML/Yr",BW16,BU16)</f>
        <v>5.075047838800522</v>
      </c>
      <c r="BR16" s="703" t="s">
        <v>1048</v>
      </c>
      <c r="BS16" s="738">
        <f>IF(BS15="","",IF(BS15&lt;BQ16,0,IF(BS15&gt;BQ20,BQ20,BS15)))</f>
        <v>5.240642815178572</v>
      </c>
      <c r="BT16" s="715" t="s">
        <v>1043</v>
      </c>
      <c r="BU16" s="729">
        <v>5.075047838800522</v>
      </c>
      <c r="BV16" s="718"/>
      <c r="BW16" s="903">
        <f>IF($Z$6="",BU16/0.737,BU16/$Z$6)</f>
        <v>6.8860893335149553</v>
      </c>
      <c r="BX16" s="663"/>
    </row>
    <row r="17" spans="1:78" ht="15" customHeight="1">
      <c r="A17" s="109"/>
      <c r="B17" s="800"/>
      <c r="C17" s="801"/>
      <c r="D17" s="247"/>
      <c r="E17" s="851"/>
      <c r="F17" s="247"/>
      <c r="G17" s="247"/>
      <c r="H17" s="247"/>
      <c r="I17" s="1094"/>
      <c r="J17" s="1094"/>
      <c r="K17" s="1094"/>
      <c r="L17" s="1094"/>
      <c r="M17" s="1094"/>
      <c r="N17" s="1094"/>
      <c r="O17" s="1094"/>
      <c r="P17" s="247"/>
      <c r="Q17" s="247"/>
      <c r="R17" s="247"/>
      <c r="S17" s="247"/>
      <c r="T17" s="247"/>
      <c r="U17" s="247"/>
      <c r="V17" s="247"/>
      <c r="W17" s="247"/>
      <c r="X17" s="247"/>
      <c r="Y17" s="247"/>
      <c r="Z17" s="247"/>
      <c r="AA17" s="247"/>
      <c r="AB17" s="682"/>
      <c r="AC17" s="793" t="s">
        <v>1024</v>
      </c>
      <c r="AD17" s="247"/>
      <c r="AE17" s="793"/>
      <c r="AF17" s="793"/>
      <c r="AG17" s="794"/>
      <c r="AH17" s="786"/>
      <c r="AI17" s="786"/>
      <c r="AJ17" s="793"/>
      <c r="AK17" s="793"/>
      <c r="AL17" s="793"/>
      <c r="AM17" s="793" t="s">
        <v>1025</v>
      </c>
      <c r="AN17" s="247"/>
      <c r="AO17" s="793"/>
      <c r="AP17" s="793"/>
      <c r="AQ17" s="793"/>
      <c r="AR17" s="793"/>
      <c r="AS17" s="793"/>
      <c r="AT17" s="793"/>
      <c r="AU17" s="793"/>
      <c r="AV17" s="793"/>
      <c r="AW17" s="793" t="s">
        <v>1026</v>
      </c>
      <c r="AX17" s="58"/>
      <c r="AY17" s="701"/>
      <c r="AZ17" s="701"/>
      <c r="BA17" s="247"/>
      <c r="BB17" s="342"/>
      <c r="BC17" s="109"/>
      <c r="BE17" s="58" t="s">
        <v>711</v>
      </c>
      <c r="BF17" s="58" t="s">
        <v>712</v>
      </c>
      <c r="BN17" s="658"/>
      <c r="BO17" s="715" t="s">
        <v>1021</v>
      </c>
      <c r="BP17" s="717">
        <f>BQ17</f>
        <v>9.3314489693766607</v>
      </c>
      <c r="BQ17" s="899">
        <f t="shared" ref="BQ17:BQ20" si="0">IF($BD$7="ML/Yr",BW17,BU17)</f>
        <v>9.3314489693766607</v>
      </c>
      <c r="BR17" s="715" t="s">
        <v>1047</v>
      </c>
      <c r="BS17" s="719">
        <f>SUM(BP16:BP20)/125</f>
        <v>0.92482240795754933</v>
      </c>
      <c r="BT17" s="715" t="s">
        <v>1021</v>
      </c>
      <c r="BU17" s="729">
        <v>9.3314489693766607</v>
      </c>
      <c r="BV17" s="718"/>
      <c r="BW17" s="903">
        <f>IF($Z$6="",BU17/0.737,BU17/$Z$6)</f>
        <v>12.66139615926277</v>
      </c>
      <c r="BX17" s="58" t="s">
        <v>1030</v>
      </c>
      <c r="BY17" s="715"/>
      <c r="BZ17" s="719"/>
    </row>
    <row r="18" spans="1:78" ht="15" customHeight="1">
      <c r="A18" s="109"/>
      <c r="B18" s="335"/>
      <c r="C18" s="58"/>
      <c r="D18" s="247"/>
      <c r="E18" s="851"/>
      <c r="F18" s="247"/>
      <c r="G18" s="247"/>
      <c r="H18" s="247"/>
      <c r="I18" s="247"/>
      <c r="J18" s="247"/>
      <c r="K18" s="247"/>
      <c r="L18" s="247"/>
      <c r="M18" s="247"/>
      <c r="N18" s="247"/>
      <c r="O18" s="247"/>
      <c r="P18" s="247"/>
      <c r="Q18" s="247"/>
      <c r="R18" s="247"/>
      <c r="S18" s="247"/>
      <c r="T18" s="247"/>
      <c r="U18" s="247"/>
      <c r="V18" s="247"/>
      <c r="W18" s="247"/>
      <c r="X18" s="247"/>
      <c r="Y18" s="247"/>
      <c r="Z18" s="247"/>
      <c r="AA18" s="1080">
        <f>BS15</f>
        <v>5.240642815178572</v>
      </c>
      <c r="AB18" s="1080"/>
      <c r="AC18" s="1080"/>
      <c r="AD18" s="870" t="str">
        <f>BD13</f>
        <v>$/conn/year</v>
      </c>
      <c r="AE18" s="871"/>
      <c r="AF18" s="872"/>
      <c r="AG18" s="872"/>
      <c r="AH18" s="873"/>
      <c r="AI18" s="873"/>
      <c r="AJ18" s="871"/>
      <c r="AK18" s="1080">
        <f>BS22</f>
        <v>5.3504860714285725</v>
      </c>
      <c r="AL18" s="1080"/>
      <c r="AM18" s="1080"/>
      <c r="AN18" s="870" t="str">
        <f>BD13</f>
        <v>$/conn/year</v>
      </c>
      <c r="AO18" s="871"/>
      <c r="AP18" s="871"/>
      <c r="AQ18" s="871"/>
      <c r="AR18" s="871"/>
      <c r="AS18" s="871"/>
      <c r="AT18" s="871"/>
      <c r="AU18" s="1080">
        <f>BS29</f>
        <v>-0.10984325625000138</v>
      </c>
      <c r="AV18" s="1080"/>
      <c r="AW18" s="1080"/>
      <c r="AX18" s="870" t="str">
        <f>BD13</f>
        <v>$/conn/year</v>
      </c>
      <c r="AY18" s="700"/>
      <c r="AZ18" s="247"/>
      <c r="BA18" s="247"/>
      <c r="BB18" s="342"/>
      <c r="BC18" s="109"/>
      <c r="BD18" s="58" t="s">
        <v>708</v>
      </c>
      <c r="BE18" s="234">
        <f>(((5.41*Worksheet!H61)+(0.15*Worksheet!H62)+(7.5*(Worksheet!H62*Worksheet!W67/5280)))*Worksheet!H68)/1000000*365</f>
        <v>0.16092694377272726</v>
      </c>
      <c r="BN18" s="658"/>
      <c r="BO18" s="715" t="s">
        <v>1041</v>
      </c>
      <c r="BP18" s="717">
        <f>BQ18-BQ17</f>
        <v>8.9525318444022357</v>
      </c>
      <c r="BQ18" s="899">
        <f t="shared" si="0"/>
        <v>18.283980813778896</v>
      </c>
      <c r="BR18" s="715" t="s">
        <v>781</v>
      </c>
      <c r="BS18" s="719">
        <f>SUM(BP16:BP20)-SUM(BS16,BS17)</f>
        <v>109.43733577155754</v>
      </c>
      <c r="BT18" s="715" t="s">
        <v>1041</v>
      </c>
      <c r="BU18" s="729">
        <v>18.283980813778896</v>
      </c>
      <c r="BV18" s="718"/>
      <c r="BW18" s="903">
        <f>IF($Z$6="",BU18/0.737,BU18/$Z$6)</f>
        <v>24.808657820595517</v>
      </c>
      <c r="BX18" s="58" t="s">
        <v>1207</v>
      </c>
      <c r="BY18" s="715"/>
      <c r="BZ18" s="719"/>
    </row>
    <row r="19" spans="1:78" ht="15" customHeight="1">
      <c r="A19" s="109"/>
      <c r="B19" s="335"/>
      <c r="C19" s="58"/>
      <c r="D19" s="247"/>
      <c r="E19" s="851"/>
      <c r="F19" s="247"/>
      <c r="G19" s="247"/>
      <c r="H19" s="247"/>
      <c r="I19" s="247"/>
      <c r="J19" s="247"/>
      <c r="K19" s="247"/>
      <c r="L19" s="802"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0.49386600861260521</v>
      </c>
      <c r="BF19" s="233">
        <f>BE19*325851.427242/Worksheet!H62/365</f>
        <v>15.746276298701298</v>
      </c>
      <c r="BG19" s="58" t="str">
        <f>IF(BD7="Acre-ft/yr",1,"")</f>
        <v/>
      </c>
      <c r="BJ19" s="241"/>
      <c r="BN19" s="658"/>
      <c r="BO19" s="715" t="s">
        <v>1022</v>
      </c>
      <c r="BP19" s="717">
        <f>BQ19-BQ18</f>
        <v>13.300705385813597</v>
      </c>
      <c r="BQ19" s="899">
        <f t="shared" si="0"/>
        <v>31.584686199592493</v>
      </c>
      <c r="BR19" s="715"/>
      <c r="BS19" s="715"/>
      <c r="BT19" s="715" t="s">
        <v>1022</v>
      </c>
      <c r="BU19" s="729">
        <v>31.584686199592493</v>
      </c>
      <c r="BV19" s="718"/>
      <c r="BW19" s="903">
        <f>IF($Z$6="",BU19/0.737,BU19/$Z$6)</f>
        <v>42.855747896326314</v>
      </c>
    </row>
    <row r="20" spans="1:78" ht="15" customHeight="1">
      <c r="A20" s="109"/>
      <c r="B20" s="335"/>
      <c r="C20" s="158"/>
      <c r="D20" s="158"/>
      <c r="E20" s="851"/>
      <c r="F20" s="158"/>
      <c r="G20" s="158"/>
      <c r="H20" s="158"/>
      <c r="I20" s="158"/>
      <c r="J20" s="158"/>
      <c r="K20" s="158"/>
      <c r="L20" s="58"/>
      <c r="M20" s="158"/>
      <c r="N20" s="158"/>
      <c r="O20" s="158"/>
      <c r="P20" s="158"/>
      <c r="Q20" s="158"/>
      <c r="R20" s="158"/>
      <c r="S20" s="158"/>
      <c r="T20" s="158"/>
      <c r="U20" s="158"/>
      <c r="V20" s="158"/>
      <c r="W20" s="247"/>
      <c r="X20" s="247"/>
      <c r="Y20" s="247"/>
      <c r="Z20" s="247"/>
      <c r="AA20" s="247"/>
      <c r="AB20" s="682"/>
      <c r="AC20" s="682"/>
      <c r="AD20" s="682"/>
      <c r="AE20" s="682"/>
      <c r="AF20" s="682"/>
      <c r="AG20" s="705"/>
      <c r="AH20" s="682"/>
      <c r="AI20" s="682"/>
      <c r="AJ20" s="682"/>
      <c r="AK20" s="682"/>
      <c r="AL20" s="682"/>
      <c r="AM20" s="682"/>
      <c r="AN20" s="682"/>
      <c r="AO20" s="682"/>
      <c r="AP20" s="682"/>
      <c r="AQ20" s="682"/>
      <c r="AR20" s="682"/>
      <c r="AS20" s="682"/>
      <c r="AT20" s="682"/>
      <c r="AU20" s="682"/>
      <c r="AV20" s="612"/>
      <c r="AW20" s="682"/>
      <c r="AX20" s="247"/>
      <c r="AY20" s="247"/>
      <c r="AZ20" s="247"/>
      <c r="BA20" s="247"/>
      <c r="BB20" s="342"/>
      <c r="BC20" s="109"/>
      <c r="BD20" s="58" t="s">
        <v>710</v>
      </c>
      <c r="BE20" s="234">
        <f>(((18*Worksheet!H61)+(0.8*Worksheet!H62)+(25*(Worksheet!H62*Worksheet!W67/1000)))*Worksheet!H68)/1000000*365</f>
        <v>1.2986626999999999</v>
      </c>
      <c r="BN20" s="658"/>
      <c r="BO20" s="715" t="s">
        <v>1023</v>
      </c>
      <c r="BP20" s="717">
        <f>BQ20-BQ19</f>
        <v>26.21671429775434</v>
      </c>
      <c r="BQ20" s="899">
        <f t="shared" si="0"/>
        <v>57.801400497346833</v>
      </c>
      <c r="BR20" s="715"/>
      <c r="BS20" s="715"/>
      <c r="BT20" s="715" t="s">
        <v>1023</v>
      </c>
      <c r="BU20" s="729">
        <v>57.801400497346833</v>
      </c>
      <c r="BV20" s="718"/>
      <c r="BW20" s="903">
        <f>IF($Z$6="",BU20/0.737,BU20/$Z$6)</f>
        <v>78.427951828150384</v>
      </c>
      <c r="BX20" s="737" t="s">
        <v>1046</v>
      </c>
    </row>
    <row r="21" spans="1:78" ht="15" customHeight="1">
      <c r="A21" s="109"/>
      <c r="B21" s="335"/>
      <c r="C21" s="158"/>
      <c r="D21" s="158"/>
      <c r="E21" s="851"/>
      <c r="F21" s="158"/>
      <c r="G21" s="158"/>
      <c r="H21" s="158"/>
      <c r="I21" s="158"/>
      <c r="J21" s="158"/>
      <c r="K21" s="158"/>
      <c r="L21" s="158"/>
      <c r="M21" s="158"/>
      <c r="N21" s="158"/>
      <c r="O21" s="158"/>
      <c r="P21" s="158"/>
      <c r="Q21" s="158"/>
      <c r="R21" s="158"/>
      <c r="S21" s="158"/>
      <c r="T21" s="158"/>
      <c r="U21" s="158"/>
      <c r="V21" s="158"/>
      <c r="W21" s="247"/>
      <c r="X21" s="247"/>
      <c r="Y21" s="247"/>
      <c r="Z21" s="247"/>
      <c r="AA21" s="247"/>
      <c r="AB21" s="682"/>
      <c r="AC21" s="682"/>
      <c r="AD21" s="682"/>
      <c r="AE21" s="682"/>
      <c r="AF21" s="705"/>
      <c r="AG21" s="705"/>
      <c r="AH21" s="682"/>
      <c r="AI21" s="682"/>
      <c r="AJ21" s="682"/>
      <c r="AK21" s="682"/>
      <c r="AL21" s="682"/>
      <c r="AM21" s="682"/>
      <c r="AN21" s="682"/>
      <c r="AO21" s="682"/>
      <c r="AP21" s="682"/>
      <c r="AQ21" s="682"/>
      <c r="AR21" s="682"/>
      <c r="AS21" s="682"/>
      <c r="AT21" s="682"/>
      <c r="AU21" s="682"/>
      <c r="AV21" s="612"/>
      <c r="AW21" s="697"/>
      <c r="AX21" s="684"/>
      <c r="AY21" s="684"/>
      <c r="AZ21" s="685"/>
      <c r="BA21" s="686"/>
      <c r="BB21" s="342"/>
      <c r="BC21" s="109"/>
      <c r="BE21" s="234"/>
      <c r="BN21" s="658"/>
      <c r="BO21" s="700"/>
      <c r="BP21" s="735" t="s">
        <v>1042</v>
      </c>
      <c r="BQ21" s="736" t="s">
        <v>1045</v>
      </c>
      <c r="BR21" s="700"/>
      <c r="BS21" s="700"/>
      <c r="BT21" s="700"/>
      <c r="BU21" s="720"/>
      <c r="BV21" s="718"/>
      <c r="BW21" s="718"/>
      <c r="BX21" s="663"/>
    </row>
    <row r="22" spans="1:78" ht="12.95" customHeight="1">
      <c r="A22" s="109"/>
      <c r="B22" s="603"/>
      <c r="C22" s="158"/>
      <c r="D22" s="158"/>
      <c r="E22" s="851"/>
      <c r="F22" s="158"/>
      <c r="G22" s="158"/>
      <c r="H22" s="158"/>
      <c r="I22" s="158"/>
      <c r="J22" s="158"/>
      <c r="K22" s="158"/>
      <c r="L22" s="158"/>
      <c r="M22" s="158"/>
      <c r="N22" s="158"/>
      <c r="O22" s="158"/>
      <c r="P22" s="158"/>
      <c r="Q22" s="158"/>
      <c r="R22" s="158"/>
      <c r="S22" s="158"/>
      <c r="T22" s="158"/>
      <c r="U22" s="158"/>
      <c r="V22" s="158"/>
      <c r="W22" s="247"/>
      <c r="X22" s="247"/>
      <c r="Y22" s="247"/>
      <c r="Z22" s="247"/>
      <c r="AA22" s="247"/>
      <c r="AB22" s="682"/>
      <c r="AC22" s="682"/>
      <c r="AD22" s="682"/>
      <c r="AE22" s="682"/>
      <c r="AF22" s="705"/>
      <c r="AG22" s="705"/>
      <c r="AH22" s="706"/>
      <c r="AI22" s="706"/>
      <c r="AJ22" s="697"/>
      <c r="AK22" s="682"/>
      <c r="AL22" s="682"/>
      <c r="AM22" s="682"/>
      <c r="AN22" s="682"/>
      <c r="AO22" s="682"/>
      <c r="AP22" s="682"/>
      <c r="AQ22" s="682"/>
      <c r="AR22" s="682"/>
      <c r="AS22" s="682"/>
      <c r="AT22" s="682"/>
      <c r="AU22" s="682"/>
      <c r="AV22" s="682"/>
      <c r="AW22" s="697"/>
      <c r="AX22" s="247"/>
      <c r="AY22" s="247"/>
      <c r="AZ22" s="247"/>
      <c r="BA22" s="247"/>
      <c r="BB22" s="336"/>
      <c r="BC22" s="109"/>
      <c r="BN22" s="658"/>
      <c r="BO22" s="714" t="s">
        <v>1025</v>
      </c>
      <c r="BP22" s="714"/>
      <c r="BQ22" s="714"/>
      <c r="BR22" s="703" t="s">
        <v>1049</v>
      </c>
      <c r="BS22" s="730">
        <f>IF($BO$2&gt;0,"",IFERROR(N49/Worksheet!H62,""))</f>
        <v>5.3504860714285725</v>
      </c>
      <c r="BT22" s="700"/>
      <c r="BU22" s="803" t="s">
        <v>1045</v>
      </c>
      <c r="BV22" s="718"/>
      <c r="BW22" s="718"/>
      <c r="BX22" s="663"/>
    </row>
    <row r="23" spans="1:78" ht="12.95" customHeight="1">
      <c r="A23" s="109"/>
      <c r="B23" s="603"/>
      <c r="C23" s="158"/>
      <c r="D23" s="158"/>
      <c r="E23" s="851"/>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8"/>
      <c r="AG23" s="618"/>
      <c r="AH23" s="679"/>
      <c r="AI23" s="679"/>
      <c r="AJ23" s="684"/>
      <c r="AK23" s="247"/>
      <c r="AL23" s="247"/>
      <c r="AM23" s="247"/>
      <c r="AN23" s="247"/>
      <c r="AO23" s="247"/>
      <c r="AP23" s="247"/>
      <c r="AQ23" s="247"/>
      <c r="AR23" s="247"/>
      <c r="AS23" s="247"/>
      <c r="AT23" s="247"/>
      <c r="AU23" s="682"/>
      <c r="AV23" s="247"/>
      <c r="AW23" s="247"/>
      <c r="AX23" s="247"/>
      <c r="AY23" s="247"/>
      <c r="AZ23" s="247"/>
      <c r="BA23" s="247"/>
      <c r="BB23" s="336"/>
      <c r="BC23" s="109"/>
      <c r="BN23" s="733" t="s">
        <v>1044</v>
      </c>
      <c r="BO23" s="715" t="s">
        <v>1043</v>
      </c>
      <c r="BP23" s="717">
        <f>SUM(BP24:BP27)</f>
        <v>24.233075430263664</v>
      </c>
      <c r="BQ23" s="899">
        <f>IF($BD$7="ML/Yr",BW23,BU23)</f>
        <v>0.26714599111167436</v>
      </c>
      <c r="BR23" s="703" t="s">
        <v>1048</v>
      </c>
      <c r="BS23" s="738">
        <f>IF(BS22="","",IF(BS22&lt;BQ23,0,IF(BS22&gt;BQ27,BQ27,BS22)))</f>
        <v>5.3504860714285725</v>
      </c>
      <c r="BT23" s="715" t="s">
        <v>1043</v>
      </c>
      <c r="BU23" s="729">
        <v>0.26714599111167436</v>
      </c>
      <c r="BV23" s="718"/>
      <c r="BW23" s="903">
        <f>IF($Z$6="",BU23/0.737,BU23/$Z$6)</f>
        <v>0.36247759988015515</v>
      </c>
      <c r="BX23" s="663"/>
    </row>
    <row r="24" spans="1:78" ht="12.95" customHeight="1">
      <c r="A24" s="109"/>
      <c r="B24" s="603"/>
      <c r="C24" s="158"/>
      <c r="D24" s="158"/>
      <c r="E24" s="851"/>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8"/>
      <c r="AG24" s="618"/>
      <c r="AH24" s="679"/>
      <c r="AI24" s="679"/>
      <c r="AJ24" s="684"/>
      <c r="AK24" s="247"/>
      <c r="AL24" s="247"/>
      <c r="AM24" s="247"/>
      <c r="AN24" s="247"/>
      <c r="AO24" s="247"/>
      <c r="AP24" s="247"/>
      <c r="AQ24" s="247"/>
      <c r="AR24" s="247"/>
      <c r="AS24" s="247"/>
      <c r="AT24" s="247"/>
      <c r="AU24" s="682"/>
      <c r="AV24" s="247"/>
      <c r="AW24" s="684"/>
      <c r="AX24" s="247"/>
      <c r="AY24" s="247"/>
      <c r="AZ24" s="247"/>
      <c r="BA24" s="247"/>
      <c r="BB24" s="336"/>
      <c r="BC24" s="109"/>
      <c r="BN24" s="658"/>
      <c r="BO24" s="715" t="s">
        <v>1021</v>
      </c>
      <c r="BP24" s="717">
        <f>BQ24</f>
        <v>0.87495347188920114</v>
      </c>
      <c r="BQ24" s="899">
        <f t="shared" ref="BQ24:BQ27" si="1">IF($BD$7="ML/Yr",BW24,BU24)</f>
        <v>0.87495347188920114</v>
      </c>
      <c r="BR24" s="715" t="s">
        <v>1047</v>
      </c>
      <c r="BS24" s="719">
        <f>SUM(BP23:BP27)/125</f>
        <v>0.38772920688421864</v>
      </c>
      <c r="BT24" s="715" t="s">
        <v>1021</v>
      </c>
      <c r="BU24" s="729">
        <v>0.87495347188920114</v>
      </c>
      <c r="BV24" s="718"/>
      <c r="BW24" s="903">
        <f>IF($Z$6="",BU24/0.737,BU24/$Z$6)</f>
        <v>1.1871824584656732</v>
      </c>
      <c r="BX24" s="58" t="s">
        <v>1030</v>
      </c>
    </row>
    <row r="25" spans="1:78" ht="12.95" customHeight="1">
      <c r="A25" s="109"/>
      <c r="B25" s="603"/>
      <c r="C25" s="158"/>
      <c r="D25" s="158"/>
      <c r="E25" s="851"/>
      <c r="F25" s="158"/>
      <c r="G25" s="158"/>
      <c r="H25" s="158"/>
      <c r="I25" s="158"/>
      <c r="J25" s="158"/>
      <c r="K25" s="158"/>
      <c r="L25" s="158"/>
      <c r="M25" s="158"/>
      <c r="N25" s="158"/>
      <c r="O25" s="158"/>
      <c r="P25" s="158"/>
      <c r="Q25" s="158"/>
      <c r="R25" s="158"/>
      <c r="S25" s="158"/>
      <c r="T25" s="158"/>
      <c r="U25" s="158"/>
      <c r="V25" s="158"/>
      <c r="W25" s="247"/>
      <c r="X25" s="247"/>
      <c r="Y25" s="247"/>
      <c r="Z25" s="247"/>
      <c r="AA25" s="247"/>
      <c r="AB25" s="1079" t="str">
        <f>IF(BS36&lt;0,"negative result check inputs",IF($BS$37=0,"result is below 10th %ile",IF($BS$36&gt;$BS$37,"result is above 90th %ile","")))</f>
        <v>result is below 10th %ile</v>
      </c>
      <c r="AC25" s="1079"/>
      <c r="AD25" s="1079"/>
      <c r="AE25" s="1079"/>
      <c r="AF25" s="618"/>
      <c r="AG25" s="618"/>
      <c r="AH25" s="679"/>
      <c r="AI25" s="679"/>
      <c r="AJ25" s="684"/>
      <c r="AK25" s="247"/>
      <c r="AL25" s="1079" t="str">
        <f>IF(BS43&lt;0,"negative result check inputs",IF($BS$44=0,"result is below 10th %ile",IF($BS$43&gt;$BS$44,"result is above 90th %ile","")))</f>
        <v/>
      </c>
      <c r="AM25" s="1079"/>
      <c r="AN25" s="1079"/>
      <c r="AO25" s="1079"/>
      <c r="AP25" s="247"/>
      <c r="AQ25" s="247"/>
      <c r="AR25" s="247"/>
      <c r="AS25" s="247"/>
      <c r="AT25" s="247"/>
      <c r="AU25" s="682"/>
      <c r="AV25" s="1079" t="str">
        <f>IF(BS55&lt;0,"negative result check inputs",IF($BS$56=0,"result is below 10th %ile",IF($BS$55&gt;$BS$56,"result is above 90th %ile","")))</f>
        <v>negative result check inputs</v>
      </c>
      <c r="AW25" s="1079"/>
      <c r="AX25" s="1079"/>
      <c r="AY25" s="1079"/>
      <c r="AZ25" s="247"/>
      <c r="BA25" s="247"/>
      <c r="BB25" s="336"/>
      <c r="BC25" s="109"/>
      <c r="BN25" s="658"/>
      <c r="BO25" s="715" t="s">
        <v>1041</v>
      </c>
      <c r="BP25" s="717">
        <f>BQ25-BQ24</f>
        <v>5.2798362211473915</v>
      </c>
      <c r="BQ25" s="899">
        <f t="shared" si="1"/>
        <v>6.1547896930365926</v>
      </c>
      <c r="BR25" s="715" t="s">
        <v>781</v>
      </c>
      <c r="BS25" s="719">
        <f>SUM(BP23:BP27)-SUM(BS23,BS24)</f>
        <v>42.727935582214535</v>
      </c>
      <c r="BT25" s="715" t="s">
        <v>1041</v>
      </c>
      <c r="BU25" s="729">
        <v>6.1547896930365926</v>
      </c>
      <c r="BV25" s="718"/>
      <c r="BW25" s="903">
        <f>IF($Z$6="",BU25/0.737,BU25/$Z$6)</f>
        <v>8.3511393392626765</v>
      </c>
      <c r="BX25" s="58" t="s">
        <v>1207</v>
      </c>
    </row>
    <row r="26" spans="1:78" ht="12.95" customHeight="1">
      <c r="A26" s="109"/>
      <c r="B26" s="603"/>
      <c r="C26" s="158"/>
      <c r="D26" s="158"/>
      <c r="E26" s="851"/>
      <c r="F26" s="158"/>
      <c r="G26" s="158"/>
      <c r="H26" s="158"/>
      <c r="I26" s="158"/>
      <c r="J26" s="158"/>
      <c r="K26" s="158"/>
      <c r="L26" s="158"/>
      <c r="M26" s="158"/>
      <c r="N26" s="158"/>
      <c r="O26" s="158"/>
      <c r="P26" s="158"/>
      <c r="Q26" s="158"/>
      <c r="R26" s="158"/>
      <c r="S26" s="158"/>
      <c r="T26" s="158"/>
      <c r="U26" s="158"/>
      <c r="V26" s="158"/>
      <c r="W26" s="247"/>
      <c r="X26" s="247"/>
      <c r="Y26" s="247"/>
      <c r="Z26" s="247"/>
      <c r="AA26" s="247"/>
      <c r="AB26" s="1079"/>
      <c r="AC26" s="1079"/>
      <c r="AD26" s="1079"/>
      <c r="AE26" s="1079"/>
      <c r="AF26" s="618"/>
      <c r="AG26" s="618"/>
      <c r="AH26" s="679"/>
      <c r="AI26" s="679"/>
      <c r="AJ26" s="684"/>
      <c r="AK26" s="247"/>
      <c r="AL26" s="1079"/>
      <c r="AM26" s="1079"/>
      <c r="AN26" s="1079"/>
      <c r="AO26" s="1079"/>
      <c r="AP26" s="247"/>
      <c r="AQ26" s="247"/>
      <c r="AR26" s="247"/>
      <c r="AS26" s="247"/>
      <c r="AT26" s="247"/>
      <c r="AU26" s="682"/>
      <c r="AV26" s="1079"/>
      <c r="AW26" s="1079"/>
      <c r="AX26" s="1079"/>
      <c r="AY26" s="1079"/>
      <c r="AZ26" s="247"/>
      <c r="BA26" s="247"/>
      <c r="BB26" s="336"/>
      <c r="BC26" s="109"/>
      <c r="BN26" s="658"/>
      <c r="BO26" s="715" t="s">
        <v>1022</v>
      </c>
      <c r="BP26" s="717">
        <f>BQ26-BQ25</f>
        <v>7.97433526183511</v>
      </c>
      <c r="BQ26" s="899">
        <f t="shared" si="1"/>
        <v>14.129124954871703</v>
      </c>
      <c r="BR26" s="715"/>
      <c r="BS26" s="715"/>
      <c r="BT26" s="715" t="s">
        <v>1022</v>
      </c>
      <c r="BU26" s="729">
        <v>14.129124954871703</v>
      </c>
      <c r="BV26" s="718"/>
      <c r="BW26" s="903">
        <f>IF($Z$6="",BU26/0.737,BU26/$Z$6)</f>
        <v>19.17113291027368</v>
      </c>
    </row>
    <row r="27" spans="1:78" ht="12.95" customHeight="1">
      <c r="A27" s="109"/>
      <c r="B27" s="603"/>
      <c r="C27" s="158"/>
      <c r="D27" s="158"/>
      <c r="E27" s="851"/>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8"/>
      <c r="AG27" s="618"/>
      <c r="AH27" s="679"/>
      <c r="AI27" s="679"/>
      <c r="AJ27" s="684"/>
      <c r="AK27" s="247"/>
      <c r="AL27" s="247"/>
      <c r="AM27" s="247"/>
      <c r="AN27" s="247"/>
      <c r="AO27" s="247"/>
      <c r="AP27" s="247"/>
      <c r="AQ27" s="247"/>
      <c r="AR27" s="247"/>
      <c r="AS27" s="247"/>
      <c r="AT27" s="247"/>
      <c r="AU27" s="682"/>
      <c r="AV27" s="247"/>
      <c r="AW27" s="684"/>
      <c r="AX27" s="247"/>
      <c r="AY27" s="247"/>
      <c r="AZ27" s="247"/>
      <c r="BA27" s="247"/>
      <c r="BB27" s="336"/>
      <c r="BC27" s="109"/>
      <c r="BD27" s="876">
        <f>'M36 Refs'!AN118</f>
        <v>0</v>
      </c>
      <c r="BE27" s="226" t="s">
        <v>163</v>
      </c>
      <c r="BN27" s="658"/>
      <c r="BO27" s="715" t="s">
        <v>1023</v>
      </c>
      <c r="BP27" s="717">
        <f>BQ27-BQ26</f>
        <v>10.103950475391962</v>
      </c>
      <c r="BQ27" s="899">
        <f t="shared" si="1"/>
        <v>24.233075430263664</v>
      </c>
      <c r="BR27" s="715"/>
      <c r="BS27" s="715"/>
      <c r="BT27" s="715" t="s">
        <v>1023</v>
      </c>
      <c r="BU27" s="729">
        <v>24.233075430263664</v>
      </c>
      <c r="BV27" s="718"/>
      <c r="BW27" s="903">
        <f>IF($Z$6="",BU27/0.737,BU27/$Z$6)</f>
        <v>32.880699362637266</v>
      </c>
      <c r="BX27" s="737" t="s">
        <v>1046</v>
      </c>
    </row>
    <row r="28" spans="1:78" ht="12.95" customHeight="1">
      <c r="A28" s="109"/>
      <c r="B28" s="603"/>
      <c r="C28" s="158"/>
      <c r="D28" s="158"/>
      <c r="E28" s="851"/>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3" t="s">
        <v>1020</v>
      </c>
      <c r="AD28" s="795"/>
      <c r="AE28" s="796"/>
      <c r="AF28" s="796"/>
      <c r="AG28" s="795"/>
      <c r="AH28" s="795"/>
      <c r="AI28" s="795"/>
      <c r="AJ28" s="795"/>
      <c r="AK28" s="795"/>
      <c r="AL28" s="795"/>
      <c r="AM28" s="793" t="s">
        <v>957</v>
      </c>
      <c r="AN28" s="796"/>
      <c r="AO28" s="796"/>
      <c r="AP28" s="796"/>
      <c r="AQ28" s="796"/>
      <c r="AR28" s="796"/>
      <c r="AS28" s="796"/>
      <c r="AT28" s="796"/>
      <c r="AU28" s="796"/>
      <c r="AV28" s="797"/>
      <c r="AW28" s="793" t="s">
        <v>1181</v>
      </c>
      <c r="AX28" s="247"/>
      <c r="AY28" s="247"/>
      <c r="AZ28" s="247"/>
      <c r="BA28" s="247"/>
      <c r="BB28" s="336"/>
      <c r="BC28" s="109"/>
      <c r="BD28" s="58">
        <f>IF(ISBLANK('Start Page'!$AB$22),0,1)</f>
        <v>1</v>
      </c>
      <c r="BE28" s="226" t="s">
        <v>164</v>
      </c>
      <c r="BN28" s="658"/>
      <c r="BP28" s="735" t="s">
        <v>1042</v>
      </c>
      <c r="BQ28" s="736" t="s">
        <v>1045</v>
      </c>
      <c r="BU28" s="58"/>
      <c r="BV28" s="718"/>
      <c r="BW28" s="718"/>
      <c r="BX28" s="663"/>
    </row>
    <row r="29" spans="1:78" ht="12.95" customHeight="1">
      <c r="A29" s="109"/>
      <c r="B29" s="603"/>
      <c r="C29" s="158"/>
      <c r="D29" s="158"/>
      <c r="E29" s="851"/>
      <c r="F29" s="158"/>
      <c r="G29" s="158"/>
      <c r="H29" s="158"/>
      <c r="I29" s="158"/>
      <c r="J29" s="158"/>
      <c r="K29" s="158"/>
      <c r="L29" s="158"/>
      <c r="M29" s="158"/>
      <c r="N29" s="158"/>
      <c r="O29" s="158"/>
      <c r="P29" s="158"/>
      <c r="Q29" s="158"/>
      <c r="R29" s="158"/>
      <c r="S29" s="158"/>
      <c r="T29" s="158"/>
      <c r="U29" s="158"/>
      <c r="V29" s="158"/>
      <c r="W29" s="247"/>
      <c r="X29" s="247"/>
      <c r="Y29" s="247"/>
      <c r="Z29" s="247"/>
      <c r="AA29" s="1084">
        <f>BS36</f>
        <v>1.0665362035224961</v>
      </c>
      <c r="AB29" s="1084"/>
      <c r="AC29" s="1084"/>
      <c r="AD29" s="869" t="str">
        <f>BD10</f>
        <v>gal/conn/day</v>
      </c>
      <c r="AE29" s="869"/>
      <c r="AF29" s="874"/>
      <c r="AG29" s="874"/>
      <c r="AH29" s="699"/>
      <c r="AI29" s="699"/>
      <c r="AJ29" s="699"/>
      <c r="AK29" s="1084">
        <f>BS43</f>
        <v>1.7833170254403135</v>
      </c>
      <c r="AL29" s="1084"/>
      <c r="AM29" s="1084"/>
      <c r="AN29" s="870" t="str">
        <f>BD10</f>
        <v>gal/conn/day</v>
      </c>
      <c r="AO29" s="699"/>
      <c r="AP29" s="699"/>
      <c r="AQ29" s="699"/>
      <c r="AR29" s="699"/>
      <c r="AS29" s="699"/>
      <c r="AT29" s="699"/>
      <c r="AU29" s="1090">
        <f>BS55</f>
        <v>-0.71678082191781733</v>
      </c>
      <c r="AV29" s="1090"/>
      <c r="AW29" s="1090"/>
      <c r="AX29" s="870" t="str">
        <f>BD10</f>
        <v>gal/conn/day</v>
      </c>
      <c r="AY29" s="699"/>
      <c r="AZ29" s="247"/>
      <c r="BA29" s="247"/>
      <c r="BB29" s="336"/>
      <c r="BC29" s="109"/>
      <c r="BD29" s="877" t="b">
        <f>IF('Interactive Data Grading'!D465=VPC!C28,TRUE,FALSE)</f>
        <v>0</v>
      </c>
      <c r="BE29" s="58" t="s">
        <v>142</v>
      </c>
      <c r="BO29" s="714" t="s">
        <v>1026</v>
      </c>
      <c r="BP29" s="714"/>
      <c r="BQ29" s="714"/>
      <c r="BR29" s="703" t="s">
        <v>1049</v>
      </c>
      <c r="BS29" s="730">
        <f>IF($BO$2&gt;0,"",IFERROR(N50/Worksheet!H62,""))</f>
        <v>-0.10984325625000138</v>
      </c>
      <c r="BT29" s="700"/>
      <c r="BU29" s="803" t="s">
        <v>1045</v>
      </c>
      <c r="BV29" s="718"/>
      <c r="BW29" s="718"/>
      <c r="BX29" s="663"/>
    </row>
    <row r="30" spans="1:78" ht="12.95" customHeight="1">
      <c r="A30" s="109"/>
      <c r="B30" s="603"/>
      <c r="C30" s="158"/>
      <c r="D30" s="158"/>
      <c r="E30" s="851"/>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8"/>
      <c r="AG30" s="618"/>
      <c r="AH30" s="679"/>
      <c r="AI30" s="679"/>
      <c r="AJ30" s="684"/>
      <c r="AK30" s="247"/>
      <c r="AL30" s="247"/>
      <c r="AM30" s="58"/>
      <c r="AN30" s="247"/>
      <c r="AO30" s="247"/>
      <c r="AP30" s="247"/>
      <c r="AQ30" s="247"/>
      <c r="AR30" s="247"/>
      <c r="AS30" s="247"/>
      <c r="AT30" s="247"/>
      <c r="AU30" s="682"/>
      <c r="AV30" s="680"/>
      <c r="AW30" s="58"/>
      <c r="AX30" s="58"/>
      <c r="AY30" s="247"/>
      <c r="AZ30" s="247"/>
      <c r="BA30" s="247"/>
      <c r="BB30" s="336"/>
      <c r="BC30" s="109"/>
      <c r="BE30" s="58" t="s">
        <v>139</v>
      </c>
      <c r="BN30" s="733" t="s">
        <v>1044</v>
      </c>
      <c r="BO30" s="715" t="s">
        <v>1043</v>
      </c>
      <c r="BP30" s="717">
        <f>SUM(BP31:BP34)</f>
        <v>35.54734395994759</v>
      </c>
      <c r="BQ30" s="899">
        <f>IF($BD$7="ML/Yr",BW30,BU30)</f>
        <v>1.9039650877460725</v>
      </c>
      <c r="BR30" s="703" t="s">
        <v>1048</v>
      </c>
      <c r="BS30" s="738">
        <f>IF(BS29="","",IF(BS29&lt;BQ30,0,IF(BS29&gt;BQ34,BQ34,BS29)))</f>
        <v>0</v>
      </c>
      <c r="BT30" s="715" t="s">
        <v>1043</v>
      </c>
      <c r="BU30" s="729">
        <v>1.9039650877460725</v>
      </c>
      <c r="BV30" s="718"/>
      <c r="BW30" s="903">
        <f>IF($Z$6="",BU30/0.737,BU30/$Z$6)</f>
        <v>2.5833990335767605</v>
      </c>
      <c r="BX30" s="663"/>
    </row>
    <row r="31" spans="1:78" ht="12.95" customHeight="1">
      <c r="A31" s="109"/>
      <c r="B31" s="603"/>
      <c r="C31" s="158"/>
      <c r="D31" s="158"/>
      <c r="E31" s="851"/>
      <c r="F31" s="158"/>
      <c r="G31" s="158"/>
      <c r="H31" s="158"/>
      <c r="I31" s="158"/>
      <c r="J31" s="158"/>
      <c r="K31" s="158"/>
      <c r="L31" s="158"/>
      <c r="M31" s="158"/>
      <c r="N31" s="158"/>
      <c r="O31" s="158"/>
      <c r="P31" s="158"/>
      <c r="Q31" s="158"/>
      <c r="R31" s="158"/>
      <c r="S31" s="158"/>
      <c r="T31" s="158"/>
      <c r="U31" s="158"/>
      <c r="V31" s="158"/>
      <c r="W31" s="247"/>
      <c r="X31" s="910" t="s">
        <v>599</v>
      </c>
      <c r="Y31" s="58"/>
      <c r="Z31" s="247"/>
      <c r="AA31" s="247"/>
      <c r="AB31" s="58"/>
      <c r="AC31" s="58"/>
      <c r="AD31" s="247"/>
      <c r="AE31" s="247"/>
      <c r="AF31" s="247"/>
      <c r="AG31" s="247"/>
      <c r="AH31" s="618"/>
      <c r="AI31" s="618"/>
      <c r="AJ31" s="679"/>
      <c r="AK31" s="679"/>
      <c r="AL31" s="684"/>
      <c r="AM31" s="247"/>
      <c r="AN31" s="247"/>
      <c r="AO31" s="247"/>
      <c r="AP31" s="247"/>
      <c r="AQ31" s="247"/>
      <c r="AR31" s="247"/>
      <c r="AS31" s="247"/>
      <c r="AT31" s="247"/>
      <c r="AU31" s="247"/>
      <c r="AV31" s="247"/>
      <c r="AW31" s="682"/>
      <c r="AX31" s="247"/>
      <c r="AY31" s="247"/>
      <c r="AZ31" s="247"/>
      <c r="BA31" s="247"/>
      <c r="BB31" s="336"/>
      <c r="BC31" s="109"/>
      <c r="BE31" s="227" t="s">
        <v>302</v>
      </c>
      <c r="BN31" s="658"/>
      <c r="BO31" s="715" t="s">
        <v>1021</v>
      </c>
      <c r="BP31" s="717">
        <f>BQ31</f>
        <v>3.7255465834551216</v>
      </c>
      <c r="BQ31" s="899">
        <f t="shared" ref="BQ31:BQ34" si="2">IF($BD$7="ML/Yr",BW31,BU31)</f>
        <v>3.7255465834551216</v>
      </c>
      <c r="BR31" s="715" t="s">
        <v>1047</v>
      </c>
      <c r="BS31" s="719">
        <f>SUM(BP30:BP34)/125</f>
        <v>0.56875750335916142</v>
      </c>
      <c r="BT31" s="715" t="s">
        <v>1021</v>
      </c>
      <c r="BU31" s="729">
        <v>3.7255465834551216</v>
      </c>
      <c r="BV31" s="718"/>
      <c r="BW31" s="903">
        <f>IF($Z$6="",BU31/0.737,BU31/$Z$6)</f>
        <v>5.0550157170354435</v>
      </c>
      <c r="BX31" s="58" t="s">
        <v>1030</v>
      </c>
    </row>
    <row r="32" spans="1:78" ht="12.95" customHeight="1">
      <c r="A32" s="109"/>
      <c r="B32" s="603"/>
      <c r="C32" s="158"/>
      <c r="D32" s="158"/>
      <c r="E32" s="851"/>
      <c r="F32" s="158"/>
      <c r="G32" s="158"/>
      <c r="H32" s="158"/>
      <c r="I32" s="158"/>
      <c r="J32" s="158"/>
      <c r="K32" s="158"/>
      <c r="L32" s="158"/>
      <c r="M32" s="158"/>
      <c r="N32" s="158"/>
      <c r="O32" s="158"/>
      <c r="P32" s="158"/>
      <c r="Q32" s="158"/>
      <c r="R32" s="158"/>
      <c r="S32" s="158"/>
      <c r="T32" s="158"/>
      <c r="U32" s="158"/>
      <c r="V32" s="158"/>
      <c r="W32" s="247"/>
      <c r="X32" s="1091">
        <f>IF(input_AOP="","",input_AOP)</f>
        <v>41</v>
      </c>
      <c r="Y32" s="1091"/>
      <c r="Z32" s="921" t="str">
        <f>Worksheet!J68</f>
        <v>psi</v>
      </c>
      <c r="AA32" s="58"/>
      <c r="AB32" s="58"/>
      <c r="AC32" s="911"/>
      <c r="AD32" s="911"/>
      <c r="AE32" s="911"/>
      <c r="AF32" s="247"/>
      <c r="AG32" s="247"/>
      <c r="AH32" s="618"/>
      <c r="AI32" s="618"/>
      <c r="AJ32" s="679"/>
      <c r="AK32" s="679"/>
      <c r="AL32" s="684"/>
      <c r="AM32" s="247"/>
      <c r="AN32" s="247"/>
      <c r="AO32" s="247"/>
      <c r="AP32" s="247"/>
      <c r="AQ32" s="247"/>
      <c r="AR32" s="247"/>
      <c r="AS32" s="247"/>
      <c r="AT32" s="247"/>
      <c r="AU32" s="247"/>
      <c r="AV32" s="247"/>
      <c r="AW32" s="682"/>
      <c r="AX32" s="687" t="str">
        <f>IF(LEN(Worksheet!C70)&gt;0,"Pressure too low to calculate UARL","")</f>
        <v/>
      </c>
      <c r="AY32" s="247"/>
      <c r="AZ32" s="247"/>
      <c r="BA32" s="247"/>
      <c r="BB32" s="336"/>
      <c r="BC32" s="109"/>
      <c r="BN32" s="658"/>
      <c r="BO32" s="715" t="s">
        <v>1041</v>
      </c>
      <c r="BP32" s="717">
        <f>BQ32-BQ31</f>
        <v>4.2242209408171547</v>
      </c>
      <c r="BQ32" s="899">
        <f t="shared" si="2"/>
        <v>7.9497675242722758</v>
      </c>
      <c r="BR32" s="715" t="s">
        <v>781</v>
      </c>
      <c r="BS32" s="719">
        <f>SUM(BP30:BP34)-SUM(BS30,BS31)</f>
        <v>70.525930416536013</v>
      </c>
      <c r="BT32" s="715" t="s">
        <v>1041</v>
      </c>
      <c r="BU32" s="729">
        <v>7.9497675242722758</v>
      </c>
      <c r="BV32" s="718"/>
      <c r="BW32" s="903">
        <f>IF($Z$6="",BU32/0.737,BU32/$Z$6)</f>
        <v>10.786658784629953</v>
      </c>
      <c r="BX32" s="58" t="s">
        <v>1207</v>
      </c>
    </row>
    <row r="33" spans="1:78" ht="12.95" customHeight="1">
      <c r="A33" s="109"/>
      <c r="B33" s="603"/>
      <c r="C33" s="158"/>
      <c r="D33" s="158"/>
      <c r="E33" s="851"/>
      <c r="F33" s="158"/>
      <c r="G33" s="158"/>
      <c r="H33" s="158"/>
      <c r="I33" s="158"/>
      <c r="J33" s="158"/>
      <c r="K33" s="158"/>
      <c r="L33" s="158"/>
      <c r="M33" s="158"/>
      <c r="N33" s="158"/>
      <c r="O33" s="158"/>
      <c r="P33" s="158"/>
      <c r="Q33" s="158"/>
      <c r="R33" s="158"/>
      <c r="S33" s="158"/>
      <c r="T33" s="158"/>
      <c r="U33" s="158"/>
      <c r="V33" s="158"/>
      <c r="W33" s="247"/>
      <c r="X33" s="247"/>
      <c r="Y33" s="247"/>
      <c r="Z33" s="247"/>
      <c r="AA33" s="58"/>
      <c r="AB33" s="1092" t="str">
        <f>IF(BQ83=0,"",IF(BQ83&lt;BQ78,"AOP is below 10th %ile",IF(BQ83&gt;BQ82,"AOP is above 90th %ile","")))</f>
        <v>AOP is below 10th %ile</v>
      </c>
      <c r="AC33" s="1092"/>
      <c r="AD33" s="1092"/>
      <c r="AE33" s="911"/>
      <c r="AF33" s="247"/>
      <c r="AG33" s="247"/>
      <c r="AH33" s="618"/>
      <c r="AI33" s="618"/>
      <c r="AJ33" s="679"/>
      <c r="AK33" s="679"/>
      <c r="AL33" s="684"/>
      <c r="AM33" s="247"/>
      <c r="AN33" s="247"/>
      <c r="AO33" s="247"/>
      <c r="AP33" s="247"/>
      <c r="AQ33" s="247"/>
      <c r="AR33" s="247"/>
      <c r="AS33" s="247"/>
      <c r="AT33" s="247"/>
      <c r="AU33" s="247"/>
      <c r="AV33" s="247"/>
      <c r="AW33" s="682"/>
      <c r="AX33" s="687"/>
      <c r="AY33" s="247"/>
      <c r="AZ33" s="247"/>
      <c r="BA33" s="247"/>
      <c r="BB33" s="336"/>
      <c r="BC33" s="109"/>
      <c r="BD33" s="228"/>
      <c r="BF33" s="229"/>
      <c r="BN33" s="658"/>
      <c r="BO33" s="715" t="s">
        <v>1022</v>
      </c>
      <c r="BP33" s="717">
        <f>BQ33-BQ32</f>
        <v>8.3367570590545697</v>
      </c>
      <c r="BQ33" s="899">
        <f t="shared" si="2"/>
        <v>16.286524583326845</v>
      </c>
      <c r="BR33" s="715"/>
      <c r="BS33" s="715"/>
      <c r="BT33" s="715" t="s">
        <v>1022</v>
      </c>
      <c r="BU33" s="729">
        <v>16.286524583326845</v>
      </c>
      <c r="BV33" s="718"/>
      <c r="BW33" s="903">
        <f>IF($Z$6="",BU33/0.737,BU33/$Z$6)</f>
        <v>22.098405133414985</v>
      </c>
    </row>
    <row r="34" spans="1:78" ht="12.95" customHeight="1">
      <c r="A34" s="109"/>
      <c r="B34" s="603"/>
      <c r="C34" s="158"/>
      <c r="D34" s="158"/>
      <c r="E34" s="851"/>
      <c r="F34" s="158"/>
      <c r="G34" s="158"/>
      <c r="H34" s="158"/>
      <c r="I34" s="158"/>
      <c r="J34" s="158"/>
      <c r="K34" s="158"/>
      <c r="L34" s="158"/>
      <c r="M34" s="158"/>
      <c r="N34" s="158"/>
      <c r="O34" s="158"/>
      <c r="P34" s="158"/>
      <c r="Q34" s="158"/>
      <c r="R34" s="158"/>
      <c r="S34" s="158"/>
      <c r="T34" s="158"/>
      <c r="U34" s="158"/>
      <c r="V34" s="158"/>
      <c r="W34" s="247"/>
      <c r="X34" s="247"/>
      <c r="Y34" s="247"/>
      <c r="Z34" s="247"/>
      <c r="AA34" s="911"/>
      <c r="AB34" s="1092"/>
      <c r="AC34" s="1092"/>
      <c r="AD34" s="1092"/>
      <c r="AE34" s="247"/>
      <c r="AF34" s="247"/>
      <c r="AG34" s="247"/>
      <c r="AH34" s="618"/>
      <c r="AI34" s="618"/>
      <c r="AJ34" s="679"/>
      <c r="AK34" s="679"/>
      <c r="AL34" s="684"/>
      <c r="AM34" s="247"/>
      <c r="AN34" s="247"/>
      <c r="AO34" s="247"/>
      <c r="AP34" s="247"/>
      <c r="AQ34" s="247"/>
      <c r="AR34" s="247"/>
      <c r="AS34" s="247"/>
      <c r="AT34" s="247"/>
      <c r="AU34" s="247"/>
      <c r="AV34" s="247"/>
      <c r="AW34" s="682"/>
      <c r="AX34" s="682"/>
      <c r="AY34" s="247"/>
      <c r="AZ34" s="247"/>
      <c r="BA34" s="247"/>
      <c r="BB34" s="336"/>
      <c r="BC34" s="109"/>
      <c r="BD34" s="228"/>
      <c r="BN34" s="658"/>
      <c r="BO34" s="715" t="s">
        <v>1023</v>
      </c>
      <c r="BP34" s="717">
        <f>BQ34-BQ33</f>
        <v>19.260819376620745</v>
      </c>
      <c r="BQ34" s="899">
        <f t="shared" si="2"/>
        <v>35.54734395994759</v>
      </c>
      <c r="BR34" s="715"/>
      <c r="BS34" s="715"/>
      <c r="BT34" s="715" t="s">
        <v>1023</v>
      </c>
      <c r="BU34" s="729">
        <v>35.54734395994759</v>
      </c>
      <c r="BV34" s="718"/>
      <c r="BW34" s="903">
        <f>IF($Z$6="",BU34/0.737,BU34/$Z$6)</f>
        <v>48.232488412411925</v>
      </c>
      <c r="BX34" s="737" t="s">
        <v>1046</v>
      </c>
    </row>
    <row r="35" spans="1:78" ht="12.95" customHeight="1">
      <c r="A35" s="109"/>
      <c r="B35" s="603"/>
      <c r="C35" s="158"/>
      <c r="D35" s="158"/>
      <c r="E35" s="851"/>
      <c r="F35" s="158"/>
      <c r="G35" s="158"/>
      <c r="H35" s="158"/>
      <c r="I35" s="158"/>
      <c r="J35" s="158"/>
      <c r="K35" s="158"/>
      <c r="L35" s="158"/>
      <c r="M35" s="158"/>
      <c r="N35" s="158"/>
      <c r="O35" s="158"/>
      <c r="P35" s="158"/>
      <c r="Q35" s="158"/>
      <c r="R35" s="158"/>
      <c r="S35" s="158"/>
      <c r="T35" s="158"/>
      <c r="U35" s="158"/>
      <c r="V35" s="158"/>
      <c r="W35" s="247"/>
      <c r="X35" s="247"/>
      <c r="Y35" s="247"/>
      <c r="Z35" s="247"/>
      <c r="AA35" s="247"/>
      <c r="AB35" s="911"/>
      <c r="AC35" s="911"/>
      <c r="AD35" s="911"/>
      <c r="AE35" s="247"/>
      <c r="AF35" s="247"/>
      <c r="AG35" s="247"/>
      <c r="AH35" s="618"/>
      <c r="AI35" s="618"/>
      <c r="AJ35" s="679"/>
      <c r="AK35" s="679"/>
      <c r="AL35" s="684"/>
      <c r="AM35" s="247"/>
      <c r="AN35" s="247"/>
      <c r="AO35" s="247"/>
      <c r="AP35" s="247"/>
      <c r="AQ35" s="247"/>
      <c r="AR35" s="247"/>
      <c r="AS35" s="247"/>
      <c r="AT35" s="247"/>
      <c r="AU35" s="247"/>
      <c r="AV35" s="247"/>
      <c r="AW35" s="682"/>
      <c r="AX35" s="247"/>
      <c r="AY35" s="247"/>
      <c r="AZ35" s="247"/>
      <c r="BA35" s="247"/>
      <c r="BB35" s="336"/>
      <c r="BC35" s="109"/>
      <c r="BD35" s="230"/>
      <c r="BF35" s="229"/>
      <c r="BO35" s="700"/>
      <c r="BP35" s="735" t="s">
        <v>1042</v>
      </c>
      <c r="BQ35" s="736" t="s">
        <v>1045</v>
      </c>
      <c r="BR35" s="700"/>
      <c r="BS35" s="700"/>
      <c r="BT35" s="715"/>
      <c r="BU35" s="716"/>
      <c r="BV35" s="718"/>
      <c r="BW35" s="718"/>
      <c r="BX35" s="663"/>
    </row>
    <row r="36" spans="1:78" ht="12.95" customHeight="1">
      <c r="A36" s="109"/>
      <c r="B36" s="603"/>
      <c r="C36" s="158"/>
      <c r="D36" s="158"/>
      <c r="E36" s="851"/>
      <c r="F36" s="158"/>
      <c r="G36" s="158"/>
      <c r="H36" s="158"/>
      <c r="I36" s="158"/>
      <c r="J36" s="158"/>
      <c r="K36" s="158"/>
      <c r="L36" s="158"/>
      <c r="M36" s="158"/>
      <c r="N36" s="158"/>
      <c r="O36" s="158"/>
      <c r="P36" s="158"/>
      <c r="Q36" s="158"/>
      <c r="R36" s="158"/>
      <c r="S36" s="158"/>
      <c r="T36" s="158"/>
      <c r="U36" s="158"/>
      <c r="V36" s="158"/>
      <c r="W36" s="247"/>
      <c r="X36" s="247"/>
      <c r="Y36" s="247"/>
      <c r="Z36" s="247"/>
      <c r="AA36" s="58"/>
      <c r="AB36" s="911"/>
      <c r="AC36" s="911"/>
      <c r="AD36" s="247"/>
      <c r="AE36" s="247"/>
      <c r="AF36" s="247"/>
      <c r="AG36" s="247"/>
      <c r="AH36" s="618"/>
      <c r="AI36" s="58"/>
      <c r="AJ36" s="679"/>
      <c r="AK36" s="679"/>
      <c r="AL36" s="684"/>
      <c r="AM36" s="247"/>
      <c r="AN36" s="247"/>
      <c r="AO36" s="247"/>
      <c r="AP36" s="247"/>
      <c r="AQ36" s="247"/>
      <c r="AR36" s="247"/>
      <c r="AS36" s="247"/>
      <c r="AT36" s="247"/>
      <c r="AU36" s="247"/>
      <c r="AV36" s="247"/>
      <c r="AW36" s="682"/>
      <c r="AX36" s="247"/>
      <c r="AY36" s="247"/>
      <c r="AZ36" s="247"/>
      <c r="BA36" s="247"/>
      <c r="BB36" s="336"/>
      <c r="BC36" s="109"/>
      <c r="BD36" s="230"/>
      <c r="BF36" s="229"/>
      <c r="BO36" s="714" t="s">
        <v>1020</v>
      </c>
      <c r="BP36" s="714"/>
      <c r="BQ36" s="714"/>
      <c r="BR36" s="703" t="s">
        <v>1049</v>
      </c>
      <c r="BS36" s="731">
        <f>IF($BO$2&gt;0,"",IFERROR((BS55+BS43),""))</f>
        <v>1.0665362035224961</v>
      </c>
      <c r="BT36" s="715"/>
      <c r="BU36" s="803" t="s">
        <v>1045</v>
      </c>
      <c r="BV36" s="716"/>
      <c r="BW36" s="716"/>
      <c r="BX36" s="663"/>
      <c r="BY36" s="58" t="s">
        <v>1160</v>
      </c>
      <c r="BZ36" s="58" t="str">
        <f>IF(OR(Worksheet!S89=0,Worksheet!S89="",BO2&gt;0),"",Worksheet!S89)</f>
        <v/>
      </c>
    </row>
    <row r="37" spans="1:78" ht="12.95" customHeight="1">
      <c r="A37" s="109"/>
      <c r="B37" s="603"/>
      <c r="C37" s="158"/>
      <c r="D37" s="158"/>
      <c r="E37" s="851"/>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1"/>
      <c r="AD37" s="911"/>
      <c r="AE37" s="247"/>
      <c r="AF37" s="247"/>
      <c r="AG37" s="247"/>
      <c r="AH37" s="58"/>
      <c r="AI37" s="1079" t="str">
        <f>IF(BS62&lt;0,"negative result check inputs",IF($BS$63=0,"result is below 10th %ile",IF($BS$62&gt;$BS$63,"result is above 90th %ile","")))</f>
        <v>negative result check inputs</v>
      </c>
      <c r="AJ37" s="1079"/>
      <c r="AK37" s="1079"/>
      <c r="AL37" s="1079"/>
      <c r="AM37" s="247"/>
      <c r="AN37" s="247"/>
      <c r="AO37" s="247"/>
      <c r="AP37" s="247"/>
      <c r="AQ37" s="247"/>
      <c r="AR37" s="247"/>
      <c r="AS37" s="247"/>
      <c r="AT37" s="1079" t="str">
        <f>IF(BS69&lt;0,"negative result check inputs",IF($BS$70=0,"result is below 10th %ile",IF($BS$69&gt;$BS$70,"result is above 90th %ile","")))</f>
        <v>negative result check inputs</v>
      </c>
      <c r="AU37" s="1079"/>
      <c r="AV37" s="1079"/>
      <c r="AW37" s="1079"/>
      <c r="AX37" s="247"/>
      <c r="AY37" s="247"/>
      <c r="AZ37" s="247"/>
      <c r="BA37" s="247"/>
      <c r="BB37" s="336"/>
      <c r="BC37" s="109"/>
      <c r="BD37" s="230"/>
      <c r="BF37" s="229"/>
      <c r="BN37" s="733" t="s">
        <v>1044</v>
      </c>
      <c r="BO37" s="715" t="s">
        <v>1043</v>
      </c>
      <c r="BP37" s="716">
        <f>SUM(BP38:BP41)</f>
        <v>125.15100211248117</v>
      </c>
      <c r="BQ37" s="737">
        <f>IF($BD$7="ML/Yr",BW37,BU37)</f>
        <v>21.095211492757553</v>
      </c>
      <c r="BR37" s="703" t="s">
        <v>1048</v>
      </c>
      <c r="BS37" s="739">
        <f>IF(BS36="","",IF(BS36&lt;BQ37,0,IF(BS36&gt;BQ41,BQ41,BS36)))</f>
        <v>0</v>
      </c>
      <c r="BT37" s="715" t="s">
        <v>1043</v>
      </c>
      <c r="BU37" s="727">
        <v>21.095211492757553</v>
      </c>
      <c r="BV37" s="716"/>
      <c r="BW37" s="721">
        <f>BU37*3.78541</f>
        <v>79.854024536799372</v>
      </c>
      <c r="BX37" s="664"/>
      <c r="BY37" s="58" t="s">
        <v>1161</v>
      </c>
      <c r="BZ37" s="58" t="str">
        <f>IF(BZ36="","",IF(BZ36&lt;BQ37,0,IF(BZ36&gt;BQ41,BQ41,BZ36)))</f>
        <v/>
      </c>
    </row>
    <row r="38" spans="1:78" ht="12.95" customHeight="1">
      <c r="A38" s="109"/>
      <c r="B38" s="603"/>
      <c r="C38" s="158"/>
      <c r="D38" s="158"/>
      <c r="E38" s="851"/>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1"/>
      <c r="AD38" s="911"/>
      <c r="AE38" s="247"/>
      <c r="AF38" s="247"/>
      <c r="AG38" s="247"/>
      <c r="AH38" s="742"/>
      <c r="AI38" s="1079"/>
      <c r="AJ38" s="1079"/>
      <c r="AK38" s="1079"/>
      <c r="AL38" s="1079"/>
      <c r="AM38" s="247"/>
      <c r="AN38" s="247"/>
      <c r="AO38" s="247"/>
      <c r="AP38" s="247"/>
      <c r="AQ38" s="247"/>
      <c r="AR38" s="247"/>
      <c r="AS38" s="247"/>
      <c r="AT38" s="1079"/>
      <c r="AU38" s="1079"/>
      <c r="AV38" s="1079"/>
      <c r="AW38" s="1079"/>
      <c r="AX38" s="247"/>
      <c r="AY38" s="247"/>
      <c r="AZ38" s="247"/>
      <c r="BA38" s="247"/>
      <c r="BB38" s="336"/>
      <c r="BC38" s="109"/>
      <c r="BD38" s="230"/>
      <c r="BF38" s="229"/>
      <c r="BO38" s="715" t="s">
        <v>1021</v>
      </c>
      <c r="BP38" s="712">
        <f>BQ38</f>
        <v>29.480551398162277</v>
      </c>
      <c r="BQ38" s="737">
        <f t="shared" ref="BQ38:BQ41" si="3">IF($BD$7="ML/Yr",BW38,BU38)</f>
        <v>29.480551398162277</v>
      </c>
      <c r="BR38" s="715" t="s">
        <v>1047</v>
      </c>
      <c r="BS38" s="719">
        <f>SUM(BP37:BP41)/125</f>
        <v>2.0024160337996988</v>
      </c>
      <c r="BT38" s="715" t="s">
        <v>1021</v>
      </c>
      <c r="BU38" s="728">
        <v>29.480551398162277</v>
      </c>
      <c r="BV38" s="716"/>
      <c r="BW38" s="721">
        <f>BU38*3.78541</f>
        <v>111.59597406811747</v>
      </c>
      <c r="BX38" s="58" t="s">
        <v>1029</v>
      </c>
      <c r="BY38" s="715" t="s">
        <v>1047</v>
      </c>
      <c r="BZ38" s="719" t="str">
        <f>IF(BZ37="","",SUM(BP37:BP41)/250)</f>
        <v/>
      </c>
    </row>
    <row r="39" spans="1:78" ht="12.95" customHeight="1">
      <c r="A39" s="109"/>
      <c r="B39" s="603"/>
      <c r="C39" s="158"/>
      <c r="D39" s="158"/>
      <c r="E39" s="851"/>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8"/>
      <c r="AI39" s="618"/>
      <c r="AJ39" s="679"/>
      <c r="AK39" s="679"/>
      <c r="AL39" s="684"/>
      <c r="AM39" s="247"/>
      <c r="AN39" s="247"/>
      <c r="AO39" s="247"/>
      <c r="AP39" s="247"/>
      <c r="AQ39" s="247"/>
      <c r="AR39" s="247"/>
      <c r="AS39" s="247"/>
      <c r="AT39" s="247"/>
      <c r="AU39" s="247"/>
      <c r="AV39" s="247"/>
      <c r="AW39" s="682"/>
      <c r="AX39" s="247"/>
      <c r="AY39" s="247"/>
      <c r="AZ39" s="247"/>
      <c r="BA39" s="247"/>
      <c r="BB39" s="336"/>
      <c r="BC39" s="109"/>
      <c r="BD39" s="230"/>
      <c r="BF39" s="229"/>
      <c r="BO39" s="715" t="s">
        <v>1041</v>
      </c>
      <c r="BP39" s="712">
        <f>BQ39-BQ38</f>
        <v>15.908823434416718</v>
      </c>
      <c r="BQ39" s="737">
        <f t="shared" si="3"/>
        <v>45.389374832578994</v>
      </c>
      <c r="BR39" s="715" t="s">
        <v>781</v>
      </c>
      <c r="BS39" s="719">
        <f>SUM(BP37:BP41)-SUM(BS37,BS38)</f>
        <v>248.29958819116263</v>
      </c>
      <c r="BT39" s="715" t="s">
        <v>1041</v>
      </c>
      <c r="BU39" s="728">
        <v>45.389374832578994</v>
      </c>
      <c r="BV39" s="716"/>
      <c r="BW39" s="721">
        <f t="shared" ref="BW39:BW41" si="4">BU39*3.78541</f>
        <v>171.81739338499287</v>
      </c>
      <c r="BX39" s="58" t="s">
        <v>1035</v>
      </c>
      <c r="BY39" s="715" t="s">
        <v>781</v>
      </c>
      <c r="BZ39" s="719" t="str">
        <f>IF(BZ38="","",SUM(BP37:BP41)-SUM(BZ37,BZ38))</f>
        <v/>
      </c>
    </row>
    <row r="40" spans="1:78" ht="12.95" customHeight="1">
      <c r="A40" s="109"/>
      <c r="B40" s="603"/>
      <c r="C40" s="58"/>
      <c r="D40" s="247"/>
      <c r="E40" s="851"/>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3" t="s">
        <v>33</v>
      </c>
      <c r="AK40" s="702"/>
      <c r="AL40" s="704"/>
      <c r="AM40" s="701"/>
      <c r="AN40" s="701"/>
      <c r="AO40" s="701"/>
      <c r="AP40" s="701"/>
      <c r="AQ40" s="701"/>
      <c r="AR40" s="701"/>
      <c r="AS40" s="701"/>
      <c r="AT40" s="701"/>
      <c r="AU40" s="793" t="s">
        <v>1182</v>
      </c>
      <c r="AV40" s="701"/>
      <c r="AW40" s="247"/>
      <c r="AX40" s="247"/>
      <c r="AY40" s="247"/>
      <c r="AZ40" s="247"/>
      <c r="BA40" s="247"/>
      <c r="BB40" s="336"/>
      <c r="BC40" s="109"/>
      <c r="BD40" s="230"/>
      <c r="BE40" s="230"/>
      <c r="BF40" s="230"/>
      <c r="BG40" s="230"/>
      <c r="BO40" s="715" t="s">
        <v>1022</v>
      </c>
      <c r="BP40" s="712">
        <f>BQ40-BQ39</f>
        <v>30.842317024915928</v>
      </c>
      <c r="BQ40" s="737">
        <f t="shared" si="3"/>
        <v>76.231691857494923</v>
      </c>
      <c r="BR40" s="715"/>
      <c r="BS40" s="715"/>
      <c r="BT40" s="715" t="s">
        <v>1022</v>
      </c>
      <c r="BU40" s="728">
        <v>76.231691857494923</v>
      </c>
      <c r="BV40" s="716"/>
      <c r="BW40" s="721">
        <f t="shared" si="4"/>
        <v>288.56820867427984</v>
      </c>
      <c r="BX40" s="58" t="s">
        <v>1036</v>
      </c>
    </row>
    <row r="41" spans="1:78" ht="12.95" customHeight="1">
      <c r="A41" s="109"/>
      <c r="B41" s="603"/>
      <c r="C41" s="58"/>
      <c r="D41" s="247"/>
      <c r="E41" s="851"/>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89">
        <f>BS62</f>
        <v>-4.5520655697940157E-2</v>
      </c>
      <c r="AI41" s="1089"/>
      <c r="AJ41" s="1089"/>
      <c r="AK41" s="869" t="s">
        <v>1050</v>
      </c>
      <c r="AL41" s="798"/>
      <c r="AM41" s="799"/>
      <c r="AN41" s="795"/>
      <c r="AO41" s="795"/>
      <c r="AP41" s="795"/>
      <c r="AQ41" s="795"/>
      <c r="AR41" s="795"/>
      <c r="AS41" s="1088">
        <f>BS69</f>
        <v>-30.40888335408922</v>
      </c>
      <c r="AT41" s="1088"/>
      <c r="AU41" s="1088"/>
      <c r="AV41" s="869" t="str">
        <f>BD11</f>
        <v>gal/mile/day</v>
      </c>
      <c r="AW41" s="247"/>
      <c r="AX41" s="247"/>
      <c r="AY41" s="247"/>
      <c r="AZ41" s="247"/>
      <c r="BA41" s="247"/>
      <c r="BB41" s="336"/>
      <c r="BC41" s="109"/>
      <c r="BD41" s="230"/>
      <c r="BE41" s="230"/>
      <c r="BF41" s="230"/>
      <c r="BG41" s="230"/>
      <c r="BO41" s="715" t="s">
        <v>1023</v>
      </c>
      <c r="BP41" s="712">
        <f>BQ41-BQ40</f>
        <v>48.919310254986243</v>
      </c>
      <c r="BQ41" s="737">
        <f t="shared" si="3"/>
        <v>125.15100211248117</v>
      </c>
      <c r="BR41" s="715"/>
      <c r="BS41" s="715"/>
      <c r="BT41" s="715" t="s">
        <v>1023</v>
      </c>
      <c r="BU41" s="728">
        <v>125.15100211248117</v>
      </c>
      <c r="BV41" s="716"/>
      <c r="BW41" s="721">
        <f t="shared" si="4"/>
        <v>473.74785490660736</v>
      </c>
      <c r="BX41" s="58" t="s">
        <v>1038</v>
      </c>
    </row>
    <row r="42" spans="1:78" ht="15" customHeight="1">
      <c r="A42" s="109"/>
      <c r="B42" s="603"/>
      <c r="C42" s="58"/>
      <c r="D42" s="247"/>
      <c r="E42" s="851"/>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5"/>
      <c r="BP42" s="735" t="s">
        <v>1042</v>
      </c>
      <c r="BQ42" s="736" t="s">
        <v>1045</v>
      </c>
      <c r="BR42" s="715"/>
      <c r="BS42" s="715"/>
      <c r="BT42" s="715"/>
      <c r="BU42" s="716"/>
      <c r="BV42" s="716"/>
      <c r="BW42" s="716"/>
      <c r="BX42" s="725" t="s">
        <v>1037</v>
      </c>
    </row>
    <row r="43" spans="1:78" ht="15" customHeight="1">
      <c r="A43" s="109"/>
      <c r="B43" s="603"/>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85" t="s">
        <v>1200</v>
      </c>
      <c r="AA43" s="1085"/>
      <c r="AB43" s="1085"/>
      <c r="AC43" s="1085"/>
      <c r="AD43" s="1085"/>
      <c r="AE43" s="1085"/>
      <c r="AF43" s="1085"/>
      <c r="AG43" s="1085"/>
      <c r="AH43" s="1085"/>
      <c r="AI43" s="1085"/>
      <c r="AJ43" s="1085"/>
      <c r="AK43" s="1086">
        <f>IF(OR(ISBLANK('Start Page'!$AB$22),LEN(Worksheet!C70)&gt;0),"",VLOOKUP(BD7,BD18:BE20,2,FALSE))</f>
        <v>0.16092694377272726</v>
      </c>
      <c r="AL43" s="1086"/>
      <c r="AM43" s="1086"/>
      <c r="AN43" s="1086"/>
      <c r="AO43" s="915" t="str">
        <f>BD7</f>
        <v>MG/Yr</v>
      </c>
      <c r="AP43" s="699"/>
      <c r="AQ43" s="699"/>
      <c r="AR43" s="699"/>
      <c r="AS43" s="1086">
        <f>IF(BG19=1,BF19,IFERROR(AK43*1000000/Worksheet!H62/365,""))</f>
        <v>15.746276298701298</v>
      </c>
      <c r="AT43" s="1086"/>
      <c r="AU43" s="1086"/>
      <c r="AV43" s="1086"/>
      <c r="AW43" s="696" t="str">
        <f>BD10</f>
        <v>gal/conn/day</v>
      </c>
      <c r="AX43" s="699"/>
      <c r="AY43" s="699"/>
      <c r="AZ43" s="699"/>
      <c r="BA43" s="247"/>
      <c r="BB43" s="336"/>
      <c r="BC43" s="109"/>
      <c r="BD43" s="228"/>
      <c r="BO43" s="714" t="s">
        <v>957</v>
      </c>
      <c r="BP43" s="714"/>
      <c r="BQ43" s="714"/>
      <c r="BR43" s="703" t="s">
        <v>1049</v>
      </c>
      <c r="BS43" s="731">
        <f>IF($BO$2&gt;0,"",IF(ISERROR(1/Worksheet!H62),"",IF('Start Page'!$AB$22="Acre-feet",Worksheet!H46*325851/1000000,Worksheet!H46)*1000000/365/Worksheet!H62))</f>
        <v>1.7833170254403135</v>
      </c>
      <c r="BT43" s="715"/>
      <c r="BU43" s="803" t="s">
        <v>1045</v>
      </c>
      <c r="BV43" s="716"/>
      <c r="BW43" s="716"/>
      <c r="BX43" s="737" t="s">
        <v>1046</v>
      </c>
      <c r="BY43" s="58" t="s">
        <v>1160</v>
      </c>
      <c r="BZ43" s="58" t="str">
        <f>IF(OR(Worksheet!S90=0,Worksheet!S90="",BO2&gt;0),"",Worksheet!S90)</f>
        <v/>
      </c>
    </row>
    <row r="44" spans="1:78" ht="15" customHeight="1">
      <c r="A44" s="109"/>
      <c r="B44" s="603"/>
      <c r="C44" s="662"/>
      <c r="D44" s="662"/>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8"/>
      <c r="AG44" s="688"/>
      <c r="AH44" s="689"/>
      <c r="AI44" s="689"/>
      <c r="AJ44" s="688"/>
      <c r="AK44" s="688"/>
      <c r="AL44" s="688"/>
      <c r="AM44" s="688"/>
      <c r="AN44" s="688"/>
      <c r="AO44" s="688"/>
      <c r="AP44" s="688"/>
      <c r="AQ44" s="688"/>
      <c r="AR44" s="688"/>
      <c r="AS44" s="688"/>
      <c r="AT44" s="688"/>
      <c r="AU44" s="688"/>
      <c r="AV44" s="247"/>
      <c r="AW44" s="247"/>
      <c r="AX44" s="247"/>
      <c r="AY44" s="58"/>
      <c r="AZ44" s="58"/>
      <c r="BA44" s="58"/>
      <c r="BB44" s="340"/>
      <c r="BC44" s="109"/>
      <c r="BN44" s="733" t="s">
        <v>1044</v>
      </c>
      <c r="BO44" s="715" t="s">
        <v>1043</v>
      </c>
      <c r="BP44" s="716">
        <f>SUM(BP45:BP48)</f>
        <v>16.320999291962284</v>
      </c>
      <c r="BQ44" s="737">
        <f>IF($BD$7="ML/Yr",BW44,BU44)</f>
        <v>1.1863793690124249</v>
      </c>
      <c r="BR44" s="703" t="s">
        <v>1048</v>
      </c>
      <c r="BS44" s="739">
        <f>IF(BS43="","",IF(BS43&lt;BQ44,0,IF(BS43&gt;BQ48,BQ48,BS43)))</f>
        <v>1.7833170254403135</v>
      </c>
      <c r="BT44" s="715" t="s">
        <v>1043</v>
      </c>
      <c r="BU44" s="728">
        <v>1.1863793690124249</v>
      </c>
      <c r="BV44" s="716"/>
      <c r="BW44" s="721">
        <f>BU44*3.78541</f>
        <v>4.4909323272533239</v>
      </c>
      <c r="BX44" s="664"/>
      <c r="BY44" s="58" t="s">
        <v>1161</v>
      </c>
      <c r="BZ44" s="58" t="str">
        <f>IF(BZ43="","",IF(BZ43&lt;BQ44,0,IF(BZ43&gt;BQ48,BQ48,BZ43)))</f>
        <v/>
      </c>
    </row>
    <row r="45" spans="1:78" ht="15" customHeight="1">
      <c r="A45" s="109"/>
      <c r="B45" s="603"/>
      <c r="C45" s="656"/>
      <c r="D45" s="656"/>
      <c r="E45" s="225" t="s">
        <v>8</v>
      </c>
      <c r="F45" s="58"/>
      <c r="G45" s="58"/>
      <c r="H45" s="58"/>
      <c r="I45" s="58"/>
      <c r="J45" s="58"/>
      <c r="K45" s="58"/>
      <c r="L45" s="58"/>
      <c r="M45" s="912"/>
      <c r="N45" s="912"/>
      <c r="O45" s="225" t="s">
        <v>1260</v>
      </c>
      <c r="P45" s="247"/>
      <c r="Q45" s="247"/>
      <c r="R45" s="247"/>
      <c r="S45" s="247"/>
      <c r="T45" s="247"/>
      <c r="U45" s="247"/>
      <c r="V45" s="247"/>
      <c r="W45" s="247"/>
      <c r="X45" s="247"/>
      <c r="Y45" s="247"/>
      <c r="Z45" s="247"/>
      <c r="AA45" s="247"/>
      <c r="AB45" s="247"/>
      <c r="AC45" s="247"/>
      <c r="AD45" s="247"/>
      <c r="AE45" s="247"/>
      <c r="AF45" s="688"/>
      <c r="AG45" s="688"/>
      <c r="AH45" s="689"/>
      <c r="AI45" s="689"/>
      <c r="AJ45" s="688"/>
      <c r="AK45" s="688"/>
      <c r="AL45" s="688"/>
      <c r="AM45" s="688"/>
      <c r="AN45" s="688"/>
      <c r="AO45" s="688"/>
      <c r="AP45" s="688"/>
      <c r="AQ45" s="688"/>
      <c r="AR45" s="688"/>
      <c r="AS45" s="688"/>
      <c r="AT45" s="688"/>
      <c r="AU45" s="688"/>
      <c r="AV45" s="247"/>
      <c r="AW45" s="247"/>
      <c r="AX45" s="247"/>
      <c r="AY45" s="247"/>
      <c r="AZ45" s="247"/>
      <c r="BA45" s="247"/>
      <c r="BB45" s="340"/>
      <c r="BC45" s="109"/>
      <c r="BO45" s="715" t="s">
        <v>1021</v>
      </c>
      <c r="BP45" s="712">
        <f>BQ45</f>
        <v>2.7528558495753783</v>
      </c>
      <c r="BQ45" s="737">
        <f t="shared" ref="BQ45:BQ48" si="5">IF($BD$7="ML/Yr",BW45,BU45)</f>
        <v>2.7528558495753783</v>
      </c>
      <c r="BR45" s="715" t="s">
        <v>1047</v>
      </c>
      <c r="BS45" s="719">
        <f>SUM(BP44:BP48)/125</f>
        <v>0.26113598867139654</v>
      </c>
      <c r="BT45" s="715" t="s">
        <v>1021</v>
      </c>
      <c r="BU45" s="728">
        <v>2.7528558495753783</v>
      </c>
      <c r="BV45" s="716"/>
      <c r="BW45" s="721">
        <f t="shared" ref="BW45:BW48" si="6">BU45*3.78541</f>
        <v>10.420688061541133</v>
      </c>
      <c r="BX45" s="58" t="s">
        <v>1029</v>
      </c>
      <c r="BY45" s="715" t="s">
        <v>1047</v>
      </c>
      <c r="BZ45" s="719" t="str">
        <f>IF(BZ44="","",SUM(BP44:BP48)/250)</f>
        <v/>
      </c>
    </row>
    <row r="46" spans="1:78" ht="12.95" customHeight="1">
      <c r="A46" s="109"/>
      <c r="B46" s="603"/>
      <c r="C46" s="58"/>
      <c r="D46" s="247"/>
      <c r="E46" s="851"/>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8"/>
      <c r="AG46" s="688"/>
      <c r="AH46" s="689"/>
      <c r="AI46" s="689"/>
      <c r="AJ46" s="688"/>
      <c r="AK46" s="688"/>
      <c r="AL46" s="688"/>
      <c r="AM46" s="688"/>
      <c r="AN46" s="688"/>
      <c r="AO46" s="688"/>
      <c r="AP46" s="688"/>
      <c r="AQ46" s="688"/>
      <c r="AR46" s="688"/>
      <c r="AS46" s="688"/>
      <c r="AT46" s="688"/>
      <c r="AU46" s="688"/>
      <c r="AV46" s="247"/>
      <c r="AW46" s="247"/>
      <c r="AX46" s="247"/>
      <c r="AY46" s="247"/>
      <c r="AZ46" s="247"/>
      <c r="BA46" s="247"/>
      <c r="BB46" s="336"/>
      <c r="BC46" s="109"/>
      <c r="BO46" s="715" t="s">
        <v>1041</v>
      </c>
      <c r="BP46" s="712">
        <f>BQ46-BQ45</f>
        <v>2.5474471374368308</v>
      </c>
      <c r="BQ46" s="737">
        <f t="shared" si="5"/>
        <v>5.3003029870122091</v>
      </c>
      <c r="BR46" s="715" t="s">
        <v>781</v>
      </c>
      <c r="BS46" s="719">
        <f>SUM(BP44:BP48)-SUM(BS44,BS45)</f>
        <v>30.597545569812858</v>
      </c>
      <c r="BT46" s="715" t="s">
        <v>1041</v>
      </c>
      <c r="BU46" s="728">
        <v>5.3003029870122091</v>
      </c>
      <c r="BV46" s="716"/>
      <c r="BW46" s="721">
        <f t="shared" si="6"/>
        <v>20.063819930065886</v>
      </c>
      <c r="BX46" s="58" t="s">
        <v>1035</v>
      </c>
      <c r="BY46" s="715" t="s">
        <v>781</v>
      </c>
      <c r="BZ46" s="719" t="str">
        <f>IF(BZ45="","",SUM(BP44:BP48)-SUM(BZ44,BZ45))</f>
        <v/>
      </c>
    </row>
    <row r="47" spans="1:78" ht="12.95" customHeight="1">
      <c r="A47" s="109"/>
      <c r="B47" s="603"/>
      <c r="C47" s="58"/>
      <c r="D47" s="247"/>
      <c r="E47" s="851"/>
      <c r="F47" s="247"/>
      <c r="G47" s="247"/>
      <c r="H47" s="247"/>
      <c r="I47" s="1097" t="s">
        <v>686</v>
      </c>
      <c r="J47" s="1097"/>
      <c r="K47" s="1097"/>
      <c r="L47" s="1097"/>
      <c r="M47" s="696"/>
      <c r="N47" s="1097" t="s">
        <v>687</v>
      </c>
      <c r="O47" s="1097"/>
      <c r="P47" s="1097"/>
      <c r="Q47" s="1097"/>
      <c r="R47" s="1093" t="s">
        <v>958</v>
      </c>
      <c r="S47" s="1093"/>
      <c r="T47" s="1093"/>
      <c r="U47" s="1093"/>
      <c r="V47" s="1093"/>
      <c r="W47" s="247"/>
      <c r="X47" s="247"/>
      <c r="Y47" s="247"/>
      <c r="Z47" s="247"/>
      <c r="AA47" s="247"/>
      <c r="AB47" s="247"/>
      <c r="AC47" s="247"/>
      <c r="AD47" s="247"/>
      <c r="AE47" s="247"/>
      <c r="AF47" s="688"/>
      <c r="AG47" s="688"/>
      <c r="AH47" s="689"/>
      <c r="AI47" s="689"/>
      <c r="AJ47" s="688"/>
      <c r="AK47" s="688"/>
      <c r="AL47" s="688"/>
      <c r="AM47" s="688"/>
      <c r="AN47" s="688"/>
      <c r="AO47" s="688"/>
      <c r="AP47" s="688"/>
      <c r="AQ47" s="688"/>
      <c r="AR47" s="688"/>
      <c r="AS47" s="688"/>
      <c r="AT47" s="688"/>
      <c r="AU47" s="688"/>
      <c r="AV47" s="247"/>
      <c r="AW47" s="247"/>
      <c r="AX47" s="247"/>
      <c r="AY47" s="247"/>
      <c r="AZ47" s="247"/>
      <c r="BA47" s="247"/>
      <c r="BB47" s="336"/>
      <c r="BC47" s="109"/>
      <c r="BO47" s="715" t="s">
        <v>1022</v>
      </c>
      <c r="BP47" s="712">
        <f>BQ47-BQ46</f>
        <v>4.0544051080008483</v>
      </c>
      <c r="BQ47" s="737">
        <f t="shared" si="5"/>
        <v>9.3547080950130574</v>
      </c>
      <c r="BR47" s="715"/>
      <c r="BS47" s="715"/>
      <c r="BT47" s="715" t="s">
        <v>1022</v>
      </c>
      <c r="BU47" s="728">
        <v>9.3547080950130574</v>
      </c>
      <c r="BV47" s="716"/>
      <c r="BW47" s="721">
        <f t="shared" si="6"/>
        <v>35.411405569943376</v>
      </c>
      <c r="BX47" s="58" t="s">
        <v>1036</v>
      </c>
    </row>
    <row r="48" spans="1:78" ht="15" customHeight="1">
      <c r="A48" s="109"/>
      <c r="B48" s="603"/>
      <c r="C48" s="158"/>
      <c r="D48" s="158"/>
      <c r="E48" s="851"/>
      <c r="F48" s="158"/>
      <c r="G48" s="158"/>
      <c r="H48" s="158"/>
      <c r="I48" s="1097" t="str">
        <f>BD7</f>
        <v>MG/Yr</v>
      </c>
      <c r="J48" s="1097"/>
      <c r="K48" s="1097"/>
      <c r="L48" s="1097"/>
      <c r="M48" s="696"/>
      <c r="N48" s="1097" t="s">
        <v>685</v>
      </c>
      <c r="O48" s="1097"/>
      <c r="P48" s="1097"/>
      <c r="Q48" s="1097"/>
      <c r="R48" s="1093"/>
      <c r="S48" s="1093"/>
      <c r="T48" s="1093"/>
      <c r="U48" s="1093"/>
      <c r="V48" s="109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2"/>
      <c r="AV48" s="247"/>
      <c r="AW48" s="247"/>
      <c r="AX48" s="247"/>
      <c r="AY48" s="247"/>
      <c r="AZ48" s="247"/>
      <c r="BA48" s="247"/>
      <c r="BB48" s="336"/>
      <c r="BC48" s="109"/>
      <c r="BD48" s="230"/>
      <c r="BE48" s="230"/>
      <c r="BF48" s="230"/>
      <c r="BG48" s="230"/>
      <c r="BO48" s="715" t="s">
        <v>1023</v>
      </c>
      <c r="BP48" s="712">
        <f>BQ48-BQ47</f>
        <v>6.9662911969492267</v>
      </c>
      <c r="BQ48" s="737">
        <f t="shared" si="5"/>
        <v>16.320999291962284</v>
      </c>
      <c r="BR48" s="715"/>
      <c r="BS48" s="715"/>
      <c r="BT48" s="715" t="s">
        <v>1023</v>
      </c>
      <c r="BU48" s="728">
        <v>16.320999291962284</v>
      </c>
      <c r="BV48" s="716"/>
      <c r="BW48" s="721">
        <f t="shared" si="6"/>
        <v>61.781673929786955</v>
      </c>
      <c r="BX48" s="58" t="s">
        <v>1038</v>
      </c>
    </row>
    <row r="49" spans="1:78" ht="15" customHeight="1">
      <c r="A49" s="109"/>
      <c r="B49" s="603"/>
      <c r="C49" s="158"/>
      <c r="D49" s="158"/>
      <c r="E49" s="851"/>
      <c r="F49" s="158"/>
      <c r="G49" s="158"/>
      <c r="H49" s="232" t="s">
        <v>52</v>
      </c>
      <c r="I49" s="1095">
        <f>IF(ISBLANK('Start Page'!$AB$22),"",Worksheet!H46)</f>
        <v>1.8225500000000002E-2</v>
      </c>
      <c r="J49" s="1095"/>
      <c r="K49" s="1095"/>
      <c r="L49" s="1095"/>
      <c r="M49" s="682"/>
      <c r="N49" s="1096">
        <f>IF(OR(ISBLANK('Start Page'!$AB$22),ISBLANK(Worksheet!J76)),"",(SUM(Worksheet!H43+Worksheet!H39+Worksheet!X50)*Worksheet!H76)*INDEX(Sheet1!B2:D4,MATCH('Start Page'!AB22,Sheet1!A2:A4,0),MATCH(Worksheet!J76,Sheet1!B1:D1,0))+Worksheet!Y50*Worksheet!H77)</f>
        <v>149.81361000000004</v>
      </c>
      <c r="O49" s="1096"/>
      <c r="P49" s="1096"/>
      <c r="Q49" s="1096"/>
      <c r="R49" s="1087" t="s">
        <v>914</v>
      </c>
      <c r="S49" s="1087"/>
      <c r="T49" s="1087"/>
      <c r="U49" s="1087"/>
      <c r="V49" s="1087"/>
      <c r="W49" s="698"/>
      <c r="X49" s="247"/>
      <c r="Y49" s="247"/>
      <c r="Z49" s="247"/>
      <c r="AA49" s="247"/>
      <c r="AB49" s="247"/>
      <c r="AC49" s="247"/>
      <c r="AD49" s="247"/>
      <c r="AE49" s="247"/>
      <c r="AF49" s="247"/>
      <c r="AG49" s="247"/>
      <c r="AH49" s="247"/>
      <c r="AI49" s="247"/>
      <c r="AJ49" s="247"/>
      <c r="AK49" s="247"/>
      <c r="AL49" s="247"/>
      <c r="AM49" s="688"/>
      <c r="AN49" s="688"/>
      <c r="AO49" s="688"/>
      <c r="AP49" s="688"/>
      <c r="AQ49" s="688"/>
      <c r="AR49" s="688"/>
      <c r="AS49" s="688"/>
      <c r="AT49" s="688"/>
      <c r="AU49" s="688"/>
      <c r="AV49" s="247"/>
      <c r="AW49" s="247"/>
      <c r="AX49" s="247"/>
      <c r="AY49" s="247"/>
      <c r="AZ49" s="247"/>
      <c r="BA49" s="247"/>
      <c r="BB49" s="336"/>
      <c r="BC49" s="109"/>
      <c r="BD49" s="228"/>
      <c r="BO49" s="715"/>
      <c r="BP49" s="715"/>
      <c r="BQ49" s="715"/>
      <c r="BR49" s="715"/>
      <c r="BS49" s="715"/>
      <c r="BT49" s="715"/>
      <c r="BU49" s="716"/>
      <c r="BV49" s="716"/>
      <c r="BW49" s="716"/>
      <c r="BX49" s="725" t="s">
        <v>1037</v>
      </c>
    </row>
    <row r="50" spans="1:78" ht="15" customHeight="1">
      <c r="A50" s="109"/>
      <c r="B50" s="603"/>
      <c r="C50" s="158"/>
      <c r="D50" s="158"/>
      <c r="E50" s="851"/>
      <c r="F50" s="158"/>
      <c r="G50" s="158"/>
      <c r="H50" s="232" t="s">
        <v>53</v>
      </c>
      <c r="I50" s="1095">
        <f>IF(ISBLANK('Start Page'!$AB$22),"",Worksheet!H51)</f>
        <v>-7.3255000000000924E-3</v>
      </c>
      <c r="J50" s="1095"/>
      <c r="K50" s="1095"/>
      <c r="L50" s="1095"/>
      <c r="M50" s="682"/>
      <c r="N50" s="1096">
        <f>IFERROR(IF(Worksheet!H41="Select under/over","",IF(ISBLANK('Start Page'!AB22),"",Worksheet!H51*(IF(BD29=FALSE,Worksheet!H77,IF(BD29=TRUE,Worksheet!H76*INDEX(Sheet1!B2:D4,MATCH('Start Page'!AB22,Sheet1!A2:A4,0),MATCH(Worksheet!J76,Sheet1!B1:D1,0)),""))))),"")</f>
        <v>-3.0756111750000388</v>
      </c>
      <c r="O50" s="1096"/>
      <c r="P50" s="1096"/>
      <c r="Q50" s="1096"/>
      <c r="R50" s="1087" t="str">
        <f>IF(BD29=FALSE,"VPC",R49)</f>
        <v>VPC</v>
      </c>
      <c r="S50" s="1087"/>
      <c r="T50" s="1087"/>
      <c r="U50" s="1087"/>
      <c r="V50" s="1087"/>
      <c r="W50" s="247"/>
      <c r="X50" s="247"/>
      <c r="Y50" s="247"/>
      <c r="Z50" s="247"/>
      <c r="AA50" s="247"/>
      <c r="AB50" s="247"/>
      <c r="AC50" s="247"/>
      <c r="AD50" s="247"/>
      <c r="AE50" s="247"/>
      <c r="AF50" s="247"/>
      <c r="AG50" s="247"/>
      <c r="AH50" s="247"/>
      <c r="AI50" s="247"/>
      <c r="AJ50" s="247"/>
      <c r="AK50" s="247"/>
      <c r="AL50" s="247"/>
      <c r="AM50" s="688"/>
      <c r="AN50" s="688"/>
      <c r="AO50" s="688"/>
      <c r="AP50" s="688"/>
      <c r="AQ50" s="688"/>
      <c r="AR50" s="688"/>
      <c r="AS50" s="688"/>
      <c r="AT50" s="688"/>
      <c r="AU50" s="688"/>
      <c r="AV50" s="247"/>
      <c r="AW50" s="247"/>
      <c r="AX50" s="247"/>
      <c r="AY50" s="247"/>
      <c r="AZ50" s="247"/>
      <c r="BA50" s="247"/>
      <c r="BB50" s="340"/>
      <c r="BC50" s="109"/>
      <c r="BU50" s="58"/>
      <c r="BV50" s="716"/>
      <c r="BW50" s="58"/>
      <c r="BX50" s="737" t="s">
        <v>1046</v>
      </c>
    </row>
    <row r="51" spans="1:78" ht="15" customHeight="1">
      <c r="A51" s="109"/>
      <c r="B51" s="603"/>
      <c r="C51" s="158"/>
      <c r="D51" s="158"/>
      <c r="E51" s="851"/>
      <c r="F51" s="158"/>
      <c r="G51" s="158"/>
      <c r="H51" s="232" t="s">
        <v>1261</v>
      </c>
      <c r="I51" s="1095">
        <f>IF(ISBLANK('Start Page'!$AB$22),"",SUM(Worksheet!H25:H26))</f>
        <v>1.2E-2</v>
      </c>
      <c r="J51" s="1095"/>
      <c r="K51" s="1095"/>
      <c r="L51" s="1095"/>
      <c r="M51" s="682"/>
      <c r="N51" s="1096">
        <f>IFERROR(IF(SUM(Sheet1!D90:D91)=0,"",SUM(Sheet1!D90:D91)),"")</f>
        <v>5.0382000000000007</v>
      </c>
      <c r="O51" s="1096"/>
      <c r="P51" s="1096"/>
      <c r="Q51" s="1096"/>
      <c r="R51" s="1087" t="str">
        <f>IF(BD29=FALSE,"VPC",R49)</f>
        <v>VPC</v>
      </c>
      <c r="S51" s="1087"/>
      <c r="T51" s="1087"/>
      <c r="U51" s="1087"/>
      <c r="V51" s="1087"/>
      <c r="W51" s="247"/>
      <c r="X51" s="247"/>
      <c r="Y51" s="247"/>
      <c r="Z51" s="247"/>
      <c r="AA51" s="247"/>
      <c r="AB51" s="247"/>
      <c r="AC51" s="247"/>
      <c r="AD51" s="247"/>
      <c r="AE51" s="247"/>
      <c r="AF51" s="247"/>
      <c r="AG51" s="247"/>
      <c r="AH51" s="247"/>
      <c r="AI51" s="247"/>
      <c r="AJ51" s="247"/>
      <c r="AK51" s="247"/>
      <c r="AL51" s="247"/>
      <c r="AM51" s="688"/>
      <c r="AN51" s="688"/>
      <c r="AO51" s="688"/>
      <c r="AP51" s="688"/>
      <c r="AQ51" s="688"/>
      <c r="AR51" s="688"/>
      <c r="AS51" s="688"/>
      <c r="AT51" s="688"/>
      <c r="AU51" s="688"/>
      <c r="AV51" s="247"/>
      <c r="AW51" s="247"/>
      <c r="AX51" s="247"/>
      <c r="AY51" s="247"/>
      <c r="AZ51" s="247"/>
      <c r="BA51" s="247"/>
      <c r="BB51" s="340"/>
      <c r="BC51" s="109"/>
      <c r="BU51" s="58"/>
      <c r="BV51" s="716"/>
      <c r="BW51" s="58"/>
      <c r="BX51" s="664"/>
    </row>
    <row r="52" spans="1:78" ht="15" customHeight="1">
      <c r="A52" s="109"/>
      <c r="B52" s="603"/>
      <c r="C52" s="158"/>
      <c r="D52" s="158"/>
      <c r="E52" s="851"/>
      <c r="F52" s="158"/>
      <c r="G52" s="158"/>
      <c r="H52" s="232" t="s">
        <v>684</v>
      </c>
      <c r="I52" s="1095">
        <f>IF(SUM(I49:I51)=0,"",SUM(I49:I51))</f>
        <v>2.289999999999991E-2</v>
      </c>
      <c r="J52" s="1095"/>
      <c r="K52" s="1095"/>
      <c r="L52" s="1095"/>
      <c r="M52" s="682"/>
      <c r="N52" s="1096">
        <f>IF(SUM(N49:N51)=0,"",SUM(N49:N51))</f>
        <v>151.77619882499999</v>
      </c>
      <c r="O52" s="1096"/>
      <c r="P52" s="1096"/>
      <c r="Q52" s="1096"/>
      <c r="R52" s="1087" t="str">
        <f>IF(BD29=FALSE,"Blended",R49)</f>
        <v>Blended</v>
      </c>
      <c r="S52" s="1087"/>
      <c r="T52" s="1087"/>
      <c r="U52" s="1087"/>
      <c r="V52" s="1087"/>
      <c r="W52" s="247"/>
      <c r="X52" s="247"/>
      <c r="Y52" s="247"/>
      <c r="Z52" s="247"/>
      <c r="AA52" s="247"/>
      <c r="AB52" s="247"/>
      <c r="AC52" s="247"/>
      <c r="AD52" s="247"/>
      <c r="AE52" s="247"/>
      <c r="AF52" s="247"/>
      <c r="AG52" s="247"/>
      <c r="AH52" s="247"/>
      <c r="AI52" s="247"/>
      <c r="AJ52" s="247"/>
      <c r="AK52" s="247"/>
      <c r="AL52" s="247"/>
      <c r="AM52" s="688"/>
      <c r="AN52" s="688"/>
      <c r="AO52" s="688"/>
      <c r="AP52" s="688"/>
      <c r="AQ52" s="688"/>
      <c r="AR52" s="688"/>
      <c r="AS52" s="688"/>
      <c r="AT52" s="688"/>
      <c r="AU52" s="688"/>
      <c r="AV52" s="247"/>
      <c r="AW52" s="247"/>
      <c r="AX52" s="247"/>
      <c r="AY52" s="247"/>
      <c r="AZ52" s="247"/>
      <c r="BA52" s="247"/>
      <c r="BB52" s="336"/>
      <c r="BC52" s="109"/>
      <c r="BU52" s="58"/>
      <c r="BV52" s="716"/>
      <c r="BW52" s="58"/>
      <c r="BX52" s="664"/>
    </row>
    <row r="53" spans="1:78" ht="12.95" customHeight="1" thickBot="1">
      <c r="A53" s="109"/>
      <c r="B53" s="337"/>
      <c r="C53" s="338"/>
      <c r="D53" s="690"/>
      <c r="E53" s="853"/>
      <c r="F53" s="690"/>
      <c r="G53" s="690"/>
      <c r="H53" s="690"/>
      <c r="I53" s="690"/>
      <c r="J53" s="690"/>
      <c r="K53" s="690"/>
      <c r="L53" s="690"/>
      <c r="M53" s="690"/>
      <c r="N53" s="690"/>
      <c r="O53" s="690"/>
      <c r="P53" s="690"/>
      <c r="Q53" s="690"/>
      <c r="R53" s="690"/>
      <c r="S53" s="690"/>
      <c r="T53" s="690"/>
      <c r="U53" s="690"/>
      <c r="V53" s="690"/>
      <c r="W53" s="690"/>
      <c r="X53" s="690"/>
      <c r="Y53" s="690"/>
      <c r="Z53" s="690"/>
      <c r="AA53" s="690"/>
      <c r="AB53" s="690"/>
      <c r="AC53" s="690"/>
      <c r="AD53" s="690"/>
      <c r="AE53" s="690"/>
      <c r="AF53" s="691"/>
      <c r="AG53" s="692"/>
      <c r="AH53" s="693"/>
      <c r="AI53" s="693"/>
      <c r="AJ53" s="692"/>
      <c r="AK53" s="690"/>
      <c r="AL53" s="690"/>
      <c r="AM53" s="690"/>
      <c r="AN53" s="690"/>
      <c r="AO53" s="690"/>
      <c r="AP53" s="690"/>
      <c r="AQ53" s="690"/>
      <c r="AR53" s="690"/>
      <c r="AS53" s="690"/>
      <c r="AT53" s="690"/>
      <c r="AU53" s="690"/>
      <c r="AV53" s="690"/>
      <c r="AW53" s="694"/>
      <c r="AX53" s="695"/>
      <c r="AY53" s="690"/>
      <c r="AZ53" s="690"/>
      <c r="BA53" s="690"/>
      <c r="BB53" s="339"/>
      <c r="BC53" s="109"/>
      <c r="BP53" s="735" t="s">
        <v>1042</v>
      </c>
      <c r="BQ53" s="736" t="s">
        <v>1045</v>
      </c>
      <c r="BU53" s="58"/>
      <c r="BV53" s="716"/>
      <c r="BW53" s="58"/>
      <c r="BX53" s="664"/>
    </row>
    <row r="54" spans="1:78" ht="6.75" customHeight="1" thickTop="1">
      <c r="A54" s="109">
        <v>0</v>
      </c>
      <c r="B54" s="109"/>
      <c r="C54" s="109"/>
      <c r="D54" s="109"/>
      <c r="E54" s="848"/>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5"/>
      <c r="BQ54" s="736"/>
      <c r="BU54" s="58"/>
      <c r="BV54" s="716"/>
      <c r="BW54" s="58"/>
      <c r="BX54" s="664"/>
    </row>
    <row r="55" spans="1:78" ht="12.95" customHeight="1">
      <c r="A55" s="58"/>
      <c r="B55" s="58"/>
      <c r="C55" s="58"/>
      <c r="D55" s="58"/>
      <c r="E55" s="854"/>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4" t="s">
        <v>1196</v>
      </c>
      <c r="BP55" s="714"/>
      <c r="BQ55" s="714"/>
      <c r="BR55" s="703" t="s">
        <v>1049</v>
      </c>
      <c r="BS55" s="731">
        <f>IF($BO$2&gt;0,"",IF(Worksheet!H51="","",IF(ISERROR(1/Worksheet!H62),"",IF('Start Page'!$AB$22="Megalitres (thousand cubic metres)",Worksheet!H51*1000000/365/Worksheet!H62,IF('Start Page'!$AB$22="Million gallons (US)",Worksheet!H51*1000000,Worksheet!H51*325851)/365/Worksheet!H62))))</f>
        <v>-0.71678082191781733</v>
      </c>
      <c r="BT55" s="715"/>
      <c r="BU55" s="803" t="s">
        <v>1045</v>
      </c>
      <c r="BV55" s="716"/>
      <c r="BW55" s="716"/>
      <c r="BX55" s="664"/>
      <c r="BY55" s="58" t="s">
        <v>1160</v>
      </c>
      <c r="BZ55" s="58" t="str">
        <f>IF(OR(Worksheet!S91=0,Worksheet!S91="",BO2&gt;0),"",Worksheet!S91)</f>
        <v/>
      </c>
    </row>
    <row r="56" spans="1:78" ht="12.95" customHeight="1">
      <c r="A56" s="58"/>
      <c r="B56" s="58"/>
      <c r="C56" s="58"/>
      <c r="D56" s="58"/>
      <c r="E56" s="854"/>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3" t="s">
        <v>1044</v>
      </c>
      <c r="BO56" s="715" t="s">
        <v>1043</v>
      </c>
      <c r="BP56" s="716">
        <f>SUM(BP57:BP60)</f>
        <v>115.43298001472428</v>
      </c>
      <c r="BQ56" s="737">
        <f>IF($BD$7="ML/Yr",BW56,BU56)</f>
        <v>16.277522142556361</v>
      </c>
      <c r="BR56" s="703" t="s">
        <v>1048</v>
      </c>
      <c r="BS56" s="739">
        <f>IF(BS55="","",IF(BS55&lt;BQ56,0,IF(BS55&gt;BQ60,BQ60,BS55)))</f>
        <v>0</v>
      </c>
      <c r="BT56" s="715" t="s">
        <v>1043</v>
      </c>
      <c r="BU56" s="727">
        <v>16.277522142556361</v>
      </c>
      <c r="BV56" s="716"/>
      <c r="BW56" s="721">
        <f t="shared" ref="BW56:BW60" si="7">BU56*3.78541</f>
        <v>61.617095093654278</v>
      </c>
      <c r="BX56" s="664"/>
      <c r="BY56" s="58" t="s">
        <v>1161</v>
      </c>
      <c r="BZ56" s="58" t="str">
        <f>IF(BZ55="","",IF(BZ55&lt;BQ56,0,IF(BZ55&gt;BQ60,BQ60,BZ55)))</f>
        <v/>
      </c>
    </row>
    <row r="57" spans="1:78" ht="12.95" customHeight="1">
      <c r="A57" s="58"/>
      <c r="B57" s="58"/>
      <c r="C57" s="58"/>
      <c r="D57" s="58"/>
      <c r="E57" s="854"/>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5" t="s">
        <v>1021</v>
      </c>
      <c r="BP57" s="712">
        <f>BQ57</f>
        <v>22.721688432860574</v>
      </c>
      <c r="BQ57" s="737">
        <f t="shared" ref="BQ57:BQ60" si="8">IF($BD$7="ML/Yr",BW57,BU57)</f>
        <v>22.721688432860574</v>
      </c>
      <c r="BR57" s="715" t="s">
        <v>1047</v>
      </c>
      <c r="BS57" s="719">
        <f>SUM(BP56:BP60)/125</f>
        <v>1.8469276802355887</v>
      </c>
      <c r="BT57" s="715" t="s">
        <v>1021</v>
      </c>
      <c r="BU57" s="727">
        <v>22.721688432860574</v>
      </c>
      <c r="BV57" s="716"/>
      <c r="BW57" s="721">
        <f t="shared" si="7"/>
        <v>86.010906610634748</v>
      </c>
      <c r="BX57" s="58" t="s">
        <v>1029</v>
      </c>
      <c r="BY57" s="715" t="s">
        <v>1047</v>
      </c>
      <c r="BZ57" s="719" t="str">
        <f>IF(BZ56="","",SUM(BP56:BP60)/250)</f>
        <v/>
      </c>
    </row>
    <row r="58" spans="1:78" ht="12.95" customHeight="1">
      <c r="A58" s="58"/>
      <c r="B58" s="58"/>
      <c r="C58" s="58"/>
      <c r="D58" s="58"/>
      <c r="E58" s="854"/>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5" t="s">
        <v>1041</v>
      </c>
      <c r="BP58" s="712">
        <f>BQ58-BQ57</f>
        <v>14.053484230273789</v>
      </c>
      <c r="BQ58" s="737">
        <f t="shared" si="8"/>
        <v>36.775172663134363</v>
      </c>
      <c r="BR58" s="715" t="s">
        <v>781</v>
      </c>
      <c r="BS58" s="719">
        <f>SUM(BP56:BP60)-SUM(BS56,BS57)</f>
        <v>229.01903234921301</v>
      </c>
      <c r="BT58" s="715" t="s">
        <v>1041</v>
      </c>
      <c r="BU58" s="727">
        <v>36.775172663134363</v>
      </c>
      <c r="BV58" s="716"/>
      <c r="BW58" s="721">
        <f t="shared" si="7"/>
        <v>139.20910635075546</v>
      </c>
      <c r="BX58" s="58" t="s">
        <v>1035</v>
      </c>
      <c r="BY58" s="715" t="s">
        <v>781</v>
      </c>
      <c r="BZ58" s="719" t="str">
        <f>IF(BZ57="","",SUM(BP56:BP60)-SUM(BZ56,BZ57))</f>
        <v/>
      </c>
    </row>
    <row r="59" spans="1:78" ht="12.95" customHeight="1">
      <c r="A59" s="58"/>
      <c r="B59" s="58"/>
      <c r="C59" s="58"/>
      <c r="D59" s="58"/>
      <c r="E59" s="854"/>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5" t="s">
        <v>1022</v>
      </c>
      <c r="BP59" s="712">
        <f>BQ59-BQ58</f>
        <v>29.603369869319486</v>
      </c>
      <c r="BQ59" s="737">
        <f t="shared" si="8"/>
        <v>66.378542532453849</v>
      </c>
      <c r="BR59" s="715"/>
      <c r="BS59" s="715"/>
      <c r="BT59" s="715" t="s">
        <v>1022</v>
      </c>
      <c r="BU59" s="727">
        <v>66.378542532453849</v>
      </c>
      <c r="BV59" s="716"/>
      <c r="BW59" s="721">
        <f t="shared" si="7"/>
        <v>251.26999868777614</v>
      </c>
      <c r="BX59" s="58" t="s">
        <v>1036</v>
      </c>
    </row>
    <row r="60" spans="1:78" ht="12.95" customHeight="1">
      <c r="A60" s="58"/>
      <c r="B60" s="58"/>
      <c r="C60" s="58"/>
      <c r="D60" s="58"/>
      <c r="E60" s="854"/>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5" t="s">
        <v>1023</v>
      </c>
      <c r="BP60" s="712">
        <f>BQ60-BQ59</f>
        <v>49.05443748227043</v>
      </c>
      <c r="BQ60" s="737">
        <f t="shared" si="8"/>
        <v>115.43298001472428</v>
      </c>
      <c r="BR60" s="715"/>
      <c r="BS60" s="715"/>
      <c r="BT60" s="715" t="s">
        <v>1023</v>
      </c>
      <c r="BU60" s="727">
        <v>115.43298001472428</v>
      </c>
      <c r="BV60" s="716"/>
      <c r="BW60" s="721">
        <f t="shared" si="7"/>
        <v>436.96115687753746</v>
      </c>
      <c r="BX60" s="58" t="s">
        <v>1038</v>
      </c>
    </row>
    <row r="61" spans="1:78" ht="12.95" customHeight="1">
      <c r="A61" s="58"/>
      <c r="B61" s="58"/>
      <c r="C61" s="58"/>
      <c r="D61" s="58"/>
      <c r="E61" s="854"/>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0"/>
      <c r="BP61" s="735" t="s">
        <v>1042</v>
      </c>
      <c r="BQ61" s="736" t="s">
        <v>1045</v>
      </c>
      <c r="BR61" s="700"/>
      <c r="BS61" s="700"/>
      <c r="BT61" s="700"/>
      <c r="BU61" s="718"/>
      <c r="BV61" s="716"/>
      <c r="BW61" s="718"/>
      <c r="BX61" s="725" t="s">
        <v>1037</v>
      </c>
    </row>
    <row r="62" spans="1:78" ht="12.95" customHeight="1">
      <c r="A62" s="58"/>
      <c r="B62" s="58"/>
      <c r="C62" s="58"/>
      <c r="D62" s="58"/>
      <c r="E62" s="854"/>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4" t="s">
        <v>1027</v>
      </c>
      <c r="BP62" s="714"/>
      <c r="BQ62" s="714"/>
      <c r="BR62" s="703" t="s">
        <v>1049</v>
      </c>
      <c r="BS62" s="731">
        <f>IF($BO$2&gt;0,"",IFERROR(IF(ISERROR(1/AK43),"",I50/AK43),""))</f>
        <v>-4.5520655697940157E-2</v>
      </c>
      <c r="BT62" s="700"/>
      <c r="BU62" s="803" t="s">
        <v>1045</v>
      </c>
      <c r="BV62" s="718"/>
      <c r="BW62" s="718"/>
      <c r="BX62" s="737" t="s">
        <v>1046</v>
      </c>
    </row>
    <row r="63" spans="1:78" ht="15.75">
      <c r="A63" s="58"/>
      <c r="B63" s="58"/>
      <c r="C63" s="58"/>
      <c r="D63" s="58"/>
      <c r="E63" s="854"/>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3" t="s">
        <v>1044</v>
      </c>
      <c r="BO63" s="715" t="s">
        <v>1043</v>
      </c>
      <c r="BP63" s="716">
        <f>SUM(BP64:BP67)</f>
        <v>5.6785169995812712</v>
      </c>
      <c r="BQ63" s="716">
        <f>BU63</f>
        <v>0.88524096981003719</v>
      </c>
      <c r="BR63" s="703" t="s">
        <v>1048</v>
      </c>
      <c r="BS63" s="739">
        <f>IF(BS62="","",IF(BS62&lt;BQ63,0,IF(BS62&gt;BQ67,BQ67,BS62)))</f>
        <v>0</v>
      </c>
      <c r="BT63" s="715" t="s">
        <v>1043</v>
      </c>
      <c r="BU63" s="727">
        <v>0.88524096981003719</v>
      </c>
      <c r="BV63" s="718"/>
      <c r="BW63" s="718"/>
      <c r="BX63" s="664"/>
    </row>
    <row r="64" spans="1:78" ht="15.75">
      <c r="A64" s="58"/>
      <c r="B64" s="58"/>
      <c r="C64" s="58"/>
      <c r="D64" s="58"/>
      <c r="E64" s="854"/>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5" t="s">
        <v>1021</v>
      </c>
      <c r="BP64" s="716">
        <f>BQ64</f>
        <v>1.1802115431372406</v>
      </c>
      <c r="BQ64" s="716">
        <f t="shared" ref="BQ64:BQ67" si="9">BU64</f>
        <v>1.1802115431372406</v>
      </c>
      <c r="BR64" s="715" t="s">
        <v>1047</v>
      </c>
      <c r="BS64" s="719">
        <f>SUM(BP63:BP67)/125</f>
        <v>9.0856271993300333E-2</v>
      </c>
      <c r="BT64" s="715" t="s">
        <v>1021</v>
      </c>
      <c r="BU64" s="727">
        <v>1.1802115431372406</v>
      </c>
      <c r="BV64" s="718"/>
      <c r="BW64" s="718"/>
      <c r="BX64" s="58" t="s">
        <v>1031</v>
      </c>
      <c r="BY64" s="715"/>
      <c r="BZ64" s="719"/>
    </row>
    <row r="65" spans="1:78" ht="15.75">
      <c r="A65" s="58"/>
      <c r="B65" s="58"/>
      <c r="C65" s="58"/>
      <c r="D65" s="58"/>
      <c r="E65" s="854"/>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7"/>
      <c r="BF65" s="707"/>
      <c r="BG65" s="707"/>
      <c r="BH65" s="707"/>
      <c r="BI65" s="707"/>
      <c r="BJ65" s="707"/>
      <c r="BK65" s="707"/>
      <c r="BL65" s="707"/>
      <c r="BM65" s="158"/>
      <c r="BO65" s="715" t="s">
        <v>1041</v>
      </c>
      <c r="BP65" s="716">
        <f>BQ65-BQ64</f>
        <v>0.66786196495481698</v>
      </c>
      <c r="BQ65" s="716">
        <f t="shared" si="9"/>
        <v>1.8480735080920576</v>
      </c>
      <c r="BR65" s="715" t="s">
        <v>781</v>
      </c>
      <c r="BS65" s="719">
        <f>SUM(BP63:BP67)-SUM(BS63,BS64)</f>
        <v>11.266177727169243</v>
      </c>
      <c r="BT65" s="715" t="s">
        <v>1041</v>
      </c>
      <c r="BU65" s="727">
        <v>1.8480735080920576</v>
      </c>
      <c r="BV65" s="718"/>
      <c r="BW65" s="718"/>
      <c r="BY65" s="715"/>
      <c r="BZ65" s="719"/>
    </row>
    <row r="66" spans="1:78" ht="15.75">
      <c r="A66" s="58"/>
      <c r="B66" s="58"/>
      <c r="C66" s="58"/>
      <c r="D66" s="58"/>
      <c r="E66" s="854"/>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5" t="s">
        <v>1022</v>
      </c>
      <c r="BP66" s="716">
        <f>BQ66-BQ65</f>
        <v>1.3196245561942783</v>
      </c>
      <c r="BQ66" s="716">
        <f t="shared" si="9"/>
        <v>3.1676980642863359</v>
      </c>
      <c r="BR66" s="715"/>
      <c r="BS66" s="715"/>
      <c r="BT66" s="715" t="s">
        <v>1022</v>
      </c>
      <c r="BU66" s="727">
        <v>3.1676980642863359</v>
      </c>
      <c r="BV66" s="718"/>
      <c r="BW66" s="718"/>
    </row>
    <row r="67" spans="1:78" ht="15.75">
      <c r="A67" s="58"/>
      <c r="B67" s="58"/>
      <c r="C67" s="58"/>
      <c r="D67" s="58"/>
      <c r="E67" s="854"/>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5" t="s">
        <v>1023</v>
      </c>
      <c r="BP67" s="716">
        <f>BQ67-BQ66</f>
        <v>2.5108189352949353</v>
      </c>
      <c r="BQ67" s="716">
        <f t="shared" si="9"/>
        <v>5.6785169995812712</v>
      </c>
      <c r="BR67" s="715"/>
      <c r="BS67" s="715"/>
      <c r="BT67" s="715" t="s">
        <v>1023</v>
      </c>
      <c r="BU67" s="727">
        <v>5.6785169995812712</v>
      </c>
      <c r="BV67" s="718"/>
      <c r="BW67" s="718"/>
    </row>
    <row r="68" spans="1:78" ht="15.75" customHeight="1">
      <c r="A68" s="58"/>
      <c r="B68" s="58"/>
      <c r="C68" s="58"/>
      <c r="D68" s="58"/>
      <c r="E68" s="854"/>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0"/>
      <c r="BP68" s="735" t="s">
        <v>1042</v>
      </c>
      <c r="BQ68" s="736" t="s">
        <v>1045</v>
      </c>
      <c r="BR68" s="700"/>
      <c r="BS68" s="700"/>
      <c r="BT68" s="700"/>
      <c r="BU68" s="718"/>
      <c r="BV68" s="718"/>
      <c r="BW68" s="718"/>
      <c r="BX68" s="664"/>
    </row>
    <row r="69" spans="1:78" ht="14.1" customHeight="1">
      <c r="A69" s="58"/>
      <c r="B69" s="58"/>
      <c r="C69" s="58"/>
      <c r="D69" s="58"/>
      <c r="E69" s="854"/>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4" t="s">
        <v>1197</v>
      </c>
      <c r="BP69" s="714"/>
      <c r="BQ69" s="714"/>
      <c r="BR69" s="703" t="s">
        <v>1049</v>
      </c>
      <c r="BS69" s="732">
        <f>IF($BO$2&gt;0,"",IF(Worksheet!H51="","",IF(ISERROR(1/Worksheet!H61),"",IF('Start Page'!$AB$22="Acre-feet",Worksheet!H51*325851/1000000,Worksheet!H51)*1000000/365/Worksheet!H61)))</f>
        <v>-30.40888335408922</v>
      </c>
      <c r="BT69" s="700"/>
      <c r="BU69" s="803" t="s">
        <v>1045</v>
      </c>
      <c r="BV69" s="718"/>
      <c r="BW69" s="718"/>
      <c r="BX69" s="664"/>
      <c r="BY69" s="58" t="s">
        <v>1160</v>
      </c>
      <c r="BZ69" s="858" t="str">
        <f>IF(OR(Worksheet!S92=0,Worksheet!S92="",BO2&gt;0),"",Worksheet!S92)</f>
        <v/>
      </c>
    </row>
    <row r="70" spans="1:78" ht="14.1" customHeight="1">
      <c r="A70" s="58"/>
      <c r="B70" s="58"/>
      <c r="C70" s="58"/>
      <c r="D70" s="58"/>
      <c r="E70" s="854"/>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3" t="s">
        <v>1044</v>
      </c>
      <c r="BO70" s="715" t="s">
        <v>1043</v>
      </c>
      <c r="BP70" s="724">
        <f>SUM(BP71:BP74)</f>
        <v>6074.127474647431</v>
      </c>
      <c r="BQ70" s="737">
        <f>IF($BD$7="ML/Yr",BW70,BU70)</f>
        <v>879.72156275907298</v>
      </c>
      <c r="BR70" s="703" t="s">
        <v>1048</v>
      </c>
      <c r="BS70" s="740">
        <f>IF(BS69="","",IF(BS69&lt;BQ70,0,IF(BS69&gt;BQ74,BQ74,BS69)))</f>
        <v>0</v>
      </c>
      <c r="BT70" s="715" t="s">
        <v>1043</v>
      </c>
      <c r="BU70" s="726">
        <v>879.72156275907298</v>
      </c>
      <c r="BV70" s="718"/>
      <c r="BW70" s="722">
        <f>BU70*3.78541/1.60934</f>
        <v>2069.2375762013139</v>
      </c>
      <c r="BX70" s="664"/>
      <c r="BY70" s="58" t="s">
        <v>1161</v>
      </c>
      <c r="BZ70" s="58" t="str">
        <f>IF(BZ69="","",IF(BZ69&lt;BQ70,0,IF(BZ69&gt;BQ74,BQ74,BZ69)))</f>
        <v/>
      </c>
    </row>
    <row r="71" spans="1:78" ht="14.1" customHeight="1">
      <c r="A71" s="58"/>
      <c r="B71" s="58"/>
      <c r="C71" s="58"/>
      <c r="D71" s="58"/>
      <c r="E71" s="854"/>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5" t="s">
        <v>1021</v>
      </c>
      <c r="BP71" s="740">
        <f>BQ71</f>
        <v>1289.3731309804823</v>
      </c>
      <c r="BQ71" s="737">
        <f t="shared" ref="BQ71:BQ74" si="10">IF($BD$7="ML/Yr",BW71,BU71)</f>
        <v>1289.3731309804823</v>
      </c>
      <c r="BR71" s="715" t="s">
        <v>1047</v>
      </c>
      <c r="BS71" s="719">
        <f>SUM(BP70:BP74)/125</f>
        <v>97.186039594358903</v>
      </c>
      <c r="BT71" s="715" t="s">
        <v>1021</v>
      </c>
      <c r="BU71" s="726">
        <v>1289.3731309804823</v>
      </c>
      <c r="BV71" s="718"/>
      <c r="BW71" s="722">
        <f>BU71*3.78541/1.60934</f>
        <v>3032.799746321366</v>
      </c>
      <c r="BX71" s="58" t="s">
        <v>1032</v>
      </c>
      <c r="BY71" s="715" t="s">
        <v>1047</v>
      </c>
      <c r="BZ71" s="719" t="str">
        <f>IF(BZ70="","",SUM(BP70:BP74)/250)</f>
        <v/>
      </c>
    </row>
    <row r="72" spans="1:78" ht="14.1" customHeight="1">
      <c r="A72" s="58"/>
      <c r="B72" s="58"/>
      <c r="C72" s="58"/>
      <c r="D72" s="58"/>
      <c r="E72" s="854"/>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5" t="s">
        <v>1041</v>
      </c>
      <c r="BP72" s="740">
        <f>BQ72-BQ71</f>
        <v>759.55275547112319</v>
      </c>
      <c r="BQ72" s="737">
        <f t="shared" si="10"/>
        <v>2048.9258864516055</v>
      </c>
      <c r="BR72" s="715" t="s">
        <v>781</v>
      </c>
      <c r="BS72" s="724">
        <f>SUM(BP70:BP74)-SUM(BS70,BS71)</f>
        <v>12051.068909700503</v>
      </c>
      <c r="BT72" s="715" t="s">
        <v>1041</v>
      </c>
      <c r="BU72" s="726">
        <v>2048.9258864516055</v>
      </c>
      <c r="BV72" s="718"/>
      <c r="BW72" s="722">
        <f t="shared" ref="BW72:BW74" si="11">BU72*3.78541/1.60934</f>
        <v>4819.3821938389483</v>
      </c>
      <c r="BX72" s="58" t="s">
        <v>1035</v>
      </c>
      <c r="BY72" s="715" t="s">
        <v>781</v>
      </c>
      <c r="BZ72" s="719" t="str">
        <f>IF(BZ71="","",SUM(BP70:BP74)-SUM(BZ70,BZ71))</f>
        <v/>
      </c>
    </row>
    <row r="73" spans="1:78" ht="14.1" customHeight="1">
      <c r="A73" s="58"/>
      <c r="B73" s="58"/>
      <c r="C73" s="58"/>
      <c r="D73" s="58"/>
      <c r="E73" s="854"/>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5" t="s">
        <v>1022</v>
      </c>
      <c r="BP73" s="740">
        <f>BQ73-BQ72</f>
        <v>1590.6845140948462</v>
      </c>
      <c r="BQ73" s="737">
        <f t="shared" si="10"/>
        <v>3639.6104005464517</v>
      </c>
      <c r="BR73" s="715"/>
      <c r="BS73" s="715"/>
      <c r="BT73" s="715" t="s">
        <v>1022</v>
      </c>
      <c r="BU73" s="726">
        <v>3639.6104005464517</v>
      </c>
      <c r="BV73" s="718"/>
      <c r="BW73" s="722">
        <f t="shared" si="11"/>
        <v>8560.9116820140825</v>
      </c>
      <c r="BX73" s="58" t="s">
        <v>1036</v>
      </c>
    </row>
    <row r="74" spans="1:78" ht="14.1" customHeight="1">
      <c r="A74" s="58"/>
      <c r="B74" s="58"/>
      <c r="C74" s="58"/>
      <c r="D74" s="58"/>
      <c r="E74" s="854"/>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5" t="s">
        <v>1023</v>
      </c>
      <c r="BP74" s="740">
        <f>BQ74-BQ73</f>
        <v>2434.5170741009792</v>
      </c>
      <c r="BQ74" s="737">
        <f t="shared" si="10"/>
        <v>6074.127474647431</v>
      </c>
      <c r="BR74" s="715"/>
      <c r="BS74" s="715"/>
      <c r="BT74" s="715" t="s">
        <v>1023</v>
      </c>
      <c r="BU74" s="726">
        <v>6074.127474647431</v>
      </c>
      <c r="BV74" s="718"/>
      <c r="BW74" s="722">
        <f t="shared" si="11"/>
        <v>14287.262408071094</v>
      </c>
      <c r="BX74" s="58" t="s">
        <v>1039</v>
      </c>
    </row>
    <row r="75" spans="1:78" ht="14.1" customHeight="1">
      <c r="A75" s="58"/>
      <c r="B75" s="58"/>
      <c r="C75" s="58"/>
      <c r="D75" s="58"/>
      <c r="E75" s="854"/>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0"/>
      <c r="BU75" s="718"/>
      <c r="BV75" s="718"/>
      <c r="BW75" s="718"/>
      <c r="BX75" s="725" t="s">
        <v>1040</v>
      </c>
    </row>
    <row r="76" spans="1:78" ht="14.1" customHeight="1">
      <c r="A76" s="58"/>
      <c r="B76" s="58"/>
      <c r="C76" s="58"/>
      <c r="D76" s="58"/>
      <c r="E76" s="854"/>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0"/>
      <c r="BP76" s="735" t="s">
        <v>1042</v>
      </c>
      <c r="BQ76" s="736" t="s">
        <v>1045</v>
      </c>
      <c r="BR76" s="700"/>
      <c r="BS76" s="700"/>
      <c r="BT76" s="700"/>
      <c r="BU76" s="718"/>
      <c r="BV76" s="718"/>
      <c r="BW76" s="718"/>
      <c r="BX76" s="737" t="s">
        <v>1046</v>
      </c>
    </row>
    <row r="77" spans="1:78" ht="14.1" customHeight="1">
      <c r="A77" s="58"/>
      <c r="B77" s="58"/>
      <c r="C77" s="58"/>
      <c r="D77" s="58"/>
      <c r="E77" s="854"/>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4" t="s">
        <v>1227</v>
      </c>
      <c r="BP77" s="714"/>
      <c r="BT77" s="700"/>
      <c r="BU77" s="803" t="s">
        <v>1045</v>
      </c>
      <c r="BV77" s="718"/>
      <c r="BW77" s="718"/>
      <c r="BX77" s="664"/>
    </row>
    <row r="78" spans="1:78" ht="14.1" customHeight="1">
      <c r="A78" s="58"/>
      <c r="B78" s="58"/>
      <c r="C78" s="58"/>
      <c r="D78" s="58"/>
      <c r="E78" s="854"/>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3" t="s">
        <v>1044</v>
      </c>
      <c r="BO78" s="715" t="s">
        <v>1043</v>
      </c>
      <c r="BP78" s="724">
        <v>0</v>
      </c>
      <c r="BQ78" s="908">
        <f>IF($BD$7="ML/Yr",BW78,BU78)</f>
        <v>52.334191473572488</v>
      </c>
      <c r="BS78" s="740"/>
      <c r="BT78" s="715" t="s">
        <v>1043</v>
      </c>
      <c r="BU78" s="726">
        <v>52.334191473572488</v>
      </c>
      <c r="BV78" s="718"/>
      <c r="BW78" s="722">
        <f>BU78*0.70324961490205</f>
        <v>36.804000000000002</v>
      </c>
    </row>
    <row r="79" spans="1:78" ht="14.1" customHeight="1">
      <c r="A79" s="58"/>
      <c r="B79" s="58"/>
      <c r="C79" s="58"/>
      <c r="D79" s="58"/>
      <c r="E79" s="854"/>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5" t="s">
        <v>1021</v>
      </c>
      <c r="BP79" s="740">
        <f>BQ79-BQ78</f>
        <v>7.6622700288460379</v>
      </c>
      <c r="BQ79" s="908">
        <f>IF($BD$7="ML/Yr",BW79,BU79)</f>
        <v>59.996461502418526</v>
      </c>
      <c r="BS79" s="719"/>
      <c r="BT79" s="715" t="s">
        <v>1021</v>
      </c>
      <c r="BU79" s="726">
        <v>59.996461502418526</v>
      </c>
      <c r="BV79" s="718"/>
      <c r="BW79" s="722">
        <f t="shared" ref="BW79:BW82" si="12">BU79*0.70324961490205</f>
        <v>42.192488447061493</v>
      </c>
      <c r="BX79" s="58" t="s">
        <v>1224</v>
      </c>
    </row>
    <row r="80" spans="1:78" ht="14.1" customHeight="1">
      <c r="A80" s="58"/>
      <c r="B80" s="58"/>
      <c r="C80" s="58"/>
      <c r="D80" s="58"/>
      <c r="E80" s="854"/>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5" t="s">
        <v>1041</v>
      </c>
      <c r="BP80" s="740">
        <f>BQ80-BQ79</f>
        <v>10.003538497581474</v>
      </c>
      <c r="BQ80" s="908">
        <f>IF($BD$7="ML/Yr",BW80,BU80)</f>
        <v>70</v>
      </c>
      <c r="BS80" s="724"/>
      <c r="BT80" s="715" t="s">
        <v>1041</v>
      </c>
      <c r="BU80" s="726">
        <v>70</v>
      </c>
      <c r="BV80" s="718"/>
      <c r="BW80" s="722">
        <f t="shared" si="12"/>
        <v>49.227473043143497</v>
      </c>
      <c r="BX80" s="58" t="s">
        <v>1036</v>
      </c>
    </row>
    <row r="81" spans="1:76" ht="14.1" customHeight="1">
      <c r="A81" s="58"/>
      <c r="B81" s="58"/>
      <c r="C81" s="58"/>
      <c r="D81" s="58"/>
      <c r="E81" s="854"/>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5" t="s">
        <v>1022</v>
      </c>
      <c r="BP81" s="740">
        <f>BQ81-BQ80</f>
        <v>11.988291197308087</v>
      </c>
      <c r="BQ81" s="908">
        <f>IF($BD$7="ML/Yr",BW81,BU81)</f>
        <v>81.988291197308087</v>
      </c>
      <c r="BS81" s="715"/>
      <c r="BT81" s="715" t="s">
        <v>1022</v>
      </c>
      <c r="BU81" s="726">
        <v>81.988291197308087</v>
      </c>
      <c r="BV81" s="718"/>
      <c r="BW81" s="722">
        <f t="shared" si="12"/>
        <v>57.658234210984041</v>
      </c>
      <c r="BX81" s="58" t="s">
        <v>1225</v>
      </c>
    </row>
    <row r="82" spans="1:76" ht="14.1" customHeight="1">
      <c r="A82" s="58"/>
      <c r="B82" s="58"/>
      <c r="C82" s="58"/>
      <c r="D82" s="58"/>
      <c r="E82" s="854"/>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5" t="s">
        <v>1023</v>
      </c>
      <c r="BP82" s="740">
        <f>BQ82-BQ81</f>
        <v>15.011708802691913</v>
      </c>
      <c r="BQ82" s="908">
        <f>IF($BD$7="ML/Yr",BW82,BU82)</f>
        <v>97</v>
      </c>
      <c r="BS82" s="715"/>
      <c r="BT82" s="715" t="s">
        <v>1023</v>
      </c>
      <c r="BU82" s="726">
        <v>97</v>
      </c>
      <c r="BV82" s="718"/>
      <c r="BW82" s="722">
        <f t="shared" si="12"/>
        <v>68.215212645498852</v>
      </c>
      <c r="BX82" s="725" t="s">
        <v>1226</v>
      </c>
    </row>
    <row r="83" spans="1:76" ht="14.1" customHeight="1">
      <c r="A83" s="58"/>
      <c r="B83" s="58"/>
      <c r="C83" s="58"/>
      <c r="D83" s="58"/>
      <c r="E83" s="854"/>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09" t="s">
        <v>917</v>
      </c>
      <c r="BP83" s="740">
        <f>input_AOP-BQ78</f>
        <v>-11.334191473572488</v>
      </c>
      <c r="BQ83" s="732">
        <f>BP83+BQ78</f>
        <v>41</v>
      </c>
      <c r="BX83" s="737" t="s">
        <v>1046</v>
      </c>
    </row>
    <row r="84" spans="1:76" ht="14.1" customHeight="1">
      <c r="A84" s="58"/>
      <c r="B84" s="58"/>
      <c r="C84" s="58"/>
      <c r="D84" s="58"/>
      <c r="E84" s="854"/>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4"/>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4"/>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4"/>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4"/>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4"/>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4"/>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4"/>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4"/>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4"/>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4"/>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4"/>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4"/>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4"/>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4"/>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4"/>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4"/>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4"/>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4"/>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4"/>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4"/>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4"/>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4"/>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4"/>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4"/>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4"/>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4"/>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4"/>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4"/>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4"/>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4"/>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4"/>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4"/>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4"/>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4"/>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4"/>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4"/>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4"/>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4"/>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4"/>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4"/>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4"/>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4"/>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4"/>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4"/>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4"/>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4"/>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4"/>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4"/>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4"/>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4"/>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4"/>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4"/>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4"/>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4"/>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4"/>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4"/>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4"/>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4"/>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43" activePane="bottomLeft" state="frozen"/>
      <selection activeCell="F138" sqref="F138"/>
      <selection pane="bottomLeft" activeCell="G46" sqref="G46:G48"/>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05" t="s">
        <v>885</v>
      </c>
      <c r="C2" s="1105"/>
      <c r="D2" s="1105"/>
      <c r="E2" s="1105"/>
      <c r="F2" s="1105"/>
      <c r="G2" s="1105"/>
      <c r="H2" s="1105"/>
    </row>
    <row r="3" spans="2:21" ht="6.6" customHeight="1">
      <c r="F3" s="612"/>
      <c r="G3" s="612"/>
      <c r="H3" s="612"/>
    </row>
    <row r="4" spans="2:21" ht="13.35" customHeight="1">
      <c r="F4" s="257" t="s">
        <v>66</v>
      </c>
      <c r="G4" s="888" t="str">
        <f>IF(ISBLANK('Start Page'!AB9),"&lt;&lt; Please enter system details on the Start Page &gt;&gt;",'Start Page'!AB9&amp;IF(ISBLANK('Start Page'!AM28),"","  ("&amp;'Start Page'!AM28&amp;")"))</f>
        <v>VEOLIA - Brown Manor</v>
      </c>
      <c r="H4" s="889">
        <f>IF(ISBLANK('Start Page'!AB19),"",'Start Page'!AB19)</f>
        <v>2022</v>
      </c>
    </row>
    <row r="5" spans="2:21" ht="13.35" customHeight="1">
      <c r="F5" s="257" t="s">
        <v>716</v>
      </c>
      <c r="G5" s="889">
        <f>IF(ISBLANK('Start Page'!AB18),"",'Start Page'!AB18)</f>
        <v>2022</v>
      </c>
      <c r="H5" s="889" t="str">
        <f>IF(ISBLANK('Start Page'!AB20),"",TEXT('Start Page'!AB20,"mmm dd yyyy")&amp;" - "&amp;TEXT('Start Page'!AB21,"mmm dd yyyy"))</f>
        <v>Jan 01 2022 - Dec 31 2022</v>
      </c>
    </row>
    <row r="6" spans="2:21" ht="7.35" customHeight="1">
      <c r="F6" s="613"/>
      <c r="G6" s="613"/>
      <c r="H6" s="613"/>
    </row>
    <row r="7" spans="2:21" ht="56.45" customHeight="1">
      <c r="F7" s="508" t="s">
        <v>886</v>
      </c>
      <c r="G7" s="1104"/>
      <c r="H7" s="1104"/>
    </row>
    <row r="8" spans="2:21" ht="5.45" customHeight="1">
      <c r="F8" s="343"/>
      <c r="G8" s="343"/>
      <c r="H8" s="343"/>
    </row>
    <row r="9" spans="2:21" ht="16.350000000000001" customHeight="1">
      <c r="F9" s="509" t="s">
        <v>141</v>
      </c>
      <c r="G9" s="509" t="s">
        <v>887</v>
      </c>
      <c r="H9" s="509" t="s">
        <v>888</v>
      </c>
    </row>
    <row r="10" spans="2:21" ht="28.9" customHeight="1">
      <c r="B10" s="537"/>
      <c r="C10" s="518"/>
      <c r="D10" s="537"/>
      <c r="F10" s="1098" t="s">
        <v>1139</v>
      </c>
      <c r="G10" s="1101" t="s">
        <v>1282</v>
      </c>
      <c r="H10" s="1101"/>
    </row>
    <row r="11" spans="2:21" ht="28.9" customHeight="1">
      <c r="B11" s="844" t="s">
        <v>1156</v>
      </c>
      <c r="C11" s="518"/>
      <c r="D11" s="844" t="s">
        <v>1157</v>
      </c>
      <c r="F11" s="1099"/>
      <c r="G11" s="1102"/>
      <c r="H11" s="1102"/>
      <c r="J11" s="344"/>
      <c r="K11" s="344"/>
      <c r="L11" s="344"/>
      <c r="M11" s="344"/>
      <c r="N11" s="344"/>
      <c r="O11" s="344"/>
      <c r="P11" s="344"/>
      <c r="Q11" s="344"/>
      <c r="R11" s="344"/>
      <c r="S11" s="344"/>
      <c r="T11" s="344"/>
      <c r="U11" s="345"/>
    </row>
    <row r="12" spans="2:21" ht="28.9" customHeight="1">
      <c r="B12" s="537"/>
      <c r="C12" s="518"/>
      <c r="D12" s="537"/>
      <c r="F12" s="1100"/>
      <c r="G12" s="1103"/>
      <c r="H12" s="1103"/>
      <c r="J12" s="837"/>
      <c r="K12" s="837"/>
      <c r="L12" s="837"/>
      <c r="M12" s="837"/>
      <c r="N12" s="837"/>
      <c r="O12" s="837"/>
      <c r="P12" s="837"/>
      <c r="Q12" s="837"/>
      <c r="R12" s="837"/>
      <c r="S12" s="837"/>
      <c r="T12" s="837"/>
      <c r="U12" s="837"/>
    </row>
    <row r="13" spans="2:21" ht="28.9" customHeight="1">
      <c r="B13" s="537"/>
      <c r="C13" s="518"/>
      <c r="D13" s="537"/>
      <c r="F13" s="1098" t="s">
        <v>1140</v>
      </c>
      <c r="G13" s="1101"/>
      <c r="H13" s="1101"/>
      <c r="J13" s="837"/>
      <c r="K13" s="837"/>
      <c r="L13" s="837"/>
      <c r="M13" s="837"/>
      <c r="N13" s="837"/>
      <c r="O13" s="837"/>
      <c r="P13" s="837"/>
      <c r="Q13" s="837"/>
      <c r="R13" s="837"/>
      <c r="S13" s="837"/>
      <c r="T13" s="837"/>
      <c r="U13" s="837"/>
    </row>
    <row r="14" spans="2:21" ht="28.9" customHeight="1">
      <c r="B14" s="844" t="s">
        <v>1156</v>
      </c>
      <c r="C14" s="518"/>
      <c r="D14" s="844" t="s">
        <v>1157</v>
      </c>
      <c r="F14" s="1099"/>
      <c r="G14" s="1102"/>
      <c r="H14" s="1102"/>
    </row>
    <row r="15" spans="2:21" ht="28.9" customHeight="1">
      <c r="B15" s="845"/>
      <c r="C15" s="518"/>
      <c r="D15" s="845"/>
      <c r="F15" s="1100"/>
      <c r="G15" s="1103"/>
      <c r="H15" s="1103"/>
    </row>
    <row r="16" spans="2:21" ht="28.9" customHeight="1">
      <c r="B16" s="537"/>
      <c r="C16" s="518"/>
      <c r="D16" s="537"/>
      <c r="F16" s="1098" t="s">
        <v>1141</v>
      </c>
      <c r="G16" s="1106"/>
      <c r="H16" s="1106"/>
    </row>
    <row r="17" spans="2:8" ht="28.9" customHeight="1">
      <c r="B17" s="844" t="s">
        <v>1156</v>
      </c>
      <c r="C17" s="518"/>
      <c r="D17" s="844" t="s">
        <v>1157</v>
      </c>
      <c r="F17" s="1099"/>
      <c r="G17" s="1107"/>
      <c r="H17" s="1107"/>
    </row>
    <row r="18" spans="2:8" ht="28.9" customHeight="1">
      <c r="B18" s="537"/>
      <c r="C18" s="518"/>
      <c r="D18" s="537"/>
      <c r="F18" s="1100"/>
      <c r="G18" s="1108"/>
      <c r="H18" s="1108"/>
    </row>
    <row r="19" spans="2:8" ht="28.9" customHeight="1">
      <c r="B19" s="537"/>
      <c r="C19" s="518"/>
      <c r="D19" s="537"/>
      <c r="F19" s="1098" t="s">
        <v>1142</v>
      </c>
      <c r="G19" s="1106"/>
      <c r="H19" s="1106"/>
    </row>
    <row r="20" spans="2:8" ht="28.9" customHeight="1">
      <c r="B20" s="844" t="s">
        <v>1156</v>
      </c>
      <c r="C20" s="518"/>
      <c r="D20" s="844" t="s">
        <v>1157</v>
      </c>
      <c r="F20" s="1099"/>
      <c r="G20" s="1107"/>
      <c r="H20" s="1107"/>
    </row>
    <row r="21" spans="2:8" ht="28.9" customHeight="1">
      <c r="B21" s="537"/>
      <c r="C21" s="518"/>
      <c r="D21" s="537"/>
      <c r="F21" s="1100"/>
      <c r="G21" s="1108"/>
      <c r="H21" s="1108"/>
    </row>
    <row r="22" spans="2:8" ht="28.9" customHeight="1">
      <c r="B22" s="537"/>
      <c r="C22" s="518"/>
      <c r="D22" s="537"/>
      <c r="F22" s="1098" t="s">
        <v>1133</v>
      </c>
      <c r="G22" s="1106"/>
      <c r="H22" s="1106"/>
    </row>
    <row r="23" spans="2:8" ht="28.9" customHeight="1">
      <c r="B23" s="844" t="s">
        <v>1156</v>
      </c>
      <c r="C23" s="518"/>
      <c r="D23" s="844" t="s">
        <v>1157</v>
      </c>
      <c r="F23" s="1099"/>
      <c r="G23" s="1107"/>
      <c r="H23" s="1107"/>
    </row>
    <row r="24" spans="2:8" ht="28.9" customHeight="1">
      <c r="B24" s="537"/>
      <c r="C24" s="518"/>
      <c r="D24" s="537"/>
      <c r="F24" s="1100"/>
      <c r="G24" s="1108"/>
      <c r="H24" s="1108"/>
    </row>
    <row r="25" spans="2:8" ht="28.9" customHeight="1">
      <c r="B25" s="537"/>
      <c r="C25" s="518"/>
      <c r="D25" s="537"/>
      <c r="F25" s="1098" t="s">
        <v>1143</v>
      </c>
      <c r="G25" s="1109"/>
      <c r="H25" s="1109"/>
    </row>
    <row r="26" spans="2:8" ht="28.9" customHeight="1">
      <c r="B26" s="844" t="s">
        <v>1156</v>
      </c>
      <c r="C26" s="518"/>
      <c r="D26" s="844" t="s">
        <v>1157</v>
      </c>
      <c r="F26" s="1099"/>
      <c r="G26" s="1110"/>
      <c r="H26" s="1110"/>
    </row>
    <row r="27" spans="2:8" ht="28.9" customHeight="1">
      <c r="B27" s="537"/>
      <c r="C27" s="518"/>
      <c r="D27" s="537"/>
      <c r="F27" s="1100"/>
      <c r="G27" s="1111"/>
      <c r="H27" s="1111"/>
    </row>
    <row r="28" spans="2:8" ht="28.9" customHeight="1">
      <c r="B28" s="537"/>
      <c r="C28" s="518"/>
      <c r="D28" s="537"/>
      <c r="F28" s="1098" t="s">
        <v>1144</v>
      </c>
      <c r="G28" s="1106"/>
      <c r="H28" s="1106"/>
    </row>
    <row r="29" spans="2:8" ht="28.9" customHeight="1">
      <c r="B29" s="844" t="s">
        <v>1156</v>
      </c>
      <c r="C29" s="518"/>
      <c r="D29" s="844" t="s">
        <v>1157</v>
      </c>
      <c r="F29" s="1099"/>
      <c r="G29" s="1107"/>
      <c r="H29" s="1107"/>
    </row>
    <row r="30" spans="2:8" ht="28.9" customHeight="1">
      <c r="B30" s="537"/>
      <c r="C30" s="518"/>
      <c r="D30" s="537"/>
      <c r="F30" s="1100"/>
      <c r="G30" s="1108"/>
      <c r="H30" s="1108"/>
    </row>
    <row r="31" spans="2:8" ht="28.9" customHeight="1">
      <c r="B31" s="537"/>
      <c r="C31" s="518"/>
      <c r="D31" s="537"/>
      <c r="F31" s="1098" t="s">
        <v>1145</v>
      </c>
      <c r="G31" s="1106"/>
      <c r="H31" s="1106"/>
    </row>
    <row r="32" spans="2:8" ht="28.9" customHeight="1">
      <c r="B32" s="844" t="s">
        <v>1156</v>
      </c>
      <c r="C32" s="518"/>
      <c r="D32" s="844" t="s">
        <v>1157</v>
      </c>
      <c r="F32" s="1099"/>
      <c r="G32" s="1107"/>
      <c r="H32" s="1107"/>
    </row>
    <row r="33" spans="2:8" ht="28.9" customHeight="1">
      <c r="B33" s="537"/>
      <c r="C33" s="518"/>
      <c r="D33" s="537"/>
      <c r="F33" s="1100"/>
      <c r="G33" s="1108"/>
      <c r="H33" s="1108"/>
    </row>
    <row r="34" spans="2:8" ht="28.9" customHeight="1">
      <c r="B34" s="537"/>
      <c r="C34" s="518"/>
      <c r="D34" s="537"/>
      <c r="F34" s="1098" t="s">
        <v>1146</v>
      </c>
      <c r="G34" s="1109"/>
      <c r="H34" s="1109"/>
    </row>
    <row r="35" spans="2:8" ht="28.9" customHeight="1">
      <c r="B35" s="844" t="s">
        <v>1156</v>
      </c>
      <c r="C35" s="518"/>
      <c r="D35" s="844" t="s">
        <v>1157</v>
      </c>
      <c r="F35" s="1099"/>
      <c r="G35" s="1110"/>
      <c r="H35" s="1110"/>
    </row>
    <row r="36" spans="2:8" ht="28.9" customHeight="1">
      <c r="B36" s="537"/>
      <c r="C36" s="518"/>
      <c r="D36" s="537"/>
      <c r="F36" s="1100"/>
      <c r="G36" s="1111"/>
      <c r="H36" s="1111"/>
    </row>
    <row r="37" spans="2:8" ht="28.9" customHeight="1">
      <c r="B37" s="537"/>
      <c r="C37" s="518"/>
      <c r="D37" s="537"/>
      <c r="F37" s="1098" t="s">
        <v>1147</v>
      </c>
      <c r="G37" s="1109"/>
      <c r="H37" s="1109"/>
    </row>
    <row r="38" spans="2:8" ht="28.9" customHeight="1">
      <c r="B38" s="844" t="s">
        <v>1156</v>
      </c>
      <c r="C38" s="518"/>
      <c r="D38" s="844" t="s">
        <v>1157</v>
      </c>
      <c r="F38" s="1099"/>
      <c r="G38" s="1110"/>
      <c r="H38" s="1110"/>
    </row>
    <row r="39" spans="2:8" ht="28.9" customHeight="1">
      <c r="B39" s="537"/>
      <c r="C39" s="518"/>
      <c r="D39" s="537"/>
      <c r="F39" s="1100"/>
      <c r="G39" s="1111"/>
      <c r="H39" s="1111"/>
    </row>
    <row r="40" spans="2:8" ht="28.9" customHeight="1">
      <c r="B40" s="537"/>
      <c r="C40" s="518"/>
      <c r="D40" s="537"/>
      <c r="F40" s="1098" t="s">
        <v>1148</v>
      </c>
      <c r="G40" s="1109"/>
      <c r="H40" s="1109"/>
    </row>
    <row r="41" spans="2:8" ht="28.9" customHeight="1">
      <c r="B41" s="844" t="s">
        <v>1156</v>
      </c>
      <c r="C41" s="518"/>
      <c r="D41" s="844" t="s">
        <v>1157</v>
      </c>
      <c r="F41" s="1099"/>
      <c r="G41" s="1110"/>
      <c r="H41" s="1110"/>
    </row>
    <row r="42" spans="2:8" ht="28.9" customHeight="1">
      <c r="B42" s="537"/>
      <c r="C42" s="518"/>
      <c r="D42" s="537"/>
      <c r="F42" s="1100"/>
      <c r="G42" s="1111"/>
      <c r="H42" s="1111"/>
    </row>
    <row r="43" spans="2:8" ht="28.9" customHeight="1">
      <c r="B43" s="537"/>
      <c r="C43" s="518"/>
      <c r="D43" s="537"/>
      <c r="F43" s="1098" t="s">
        <v>1149</v>
      </c>
      <c r="G43" s="1109" t="s">
        <v>1281</v>
      </c>
      <c r="H43" s="1109"/>
    </row>
    <row r="44" spans="2:8" ht="28.9" customHeight="1">
      <c r="B44" s="844" t="s">
        <v>1156</v>
      </c>
      <c r="C44" s="518"/>
      <c r="D44" s="844" t="s">
        <v>1157</v>
      </c>
      <c r="F44" s="1099"/>
      <c r="G44" s="1110"/>
      <c r="H44" s="1110"/>
    </row>
    <row r="45" spans="2:8" ht="28.9" customHeight="1">
      <c r="B45" s="537"/>
      <c r="C45" s="518"/>
      <c r="D45" s="537"/>
      <c r="F45" s="1100"/>
      <c r="G45" s="1111"/>
      <c r="H45" s="1111"/>
    </row>
    <row r="46" spans="2:8" ht="28.9" customHeight="1">
      <c r="B46" s="537"/>
      <c r="C46" s="518"/>
      <c r="D46" s="537"/>
      <c r="F46" s="1098" t="s">
        <v>1150</v>
      </c>
      <c r="G46" s="1109" t="s">
        <v>1280</v>
      </c>
      <c r="H46" s="1109"/>
    </row>
    <row r="47" spans="2:8" ht="28.9" customHeight="1">
      <c r="B47" s="844" t="s">
        <v>1156</v>
      </c>
      <c r="C47" s="518"/>
      <c r="D47" s="844" t="s">
        <v>1157</v>
      </c>
      <c r="F47" s="1099"/>
      <c r="G47" s="1110"/>
      <c r="H47" s="1110"/>
    </row>
    <row r="48" spans="2:8" ht="28.9" customHeight="1">
      <c r="B48" s="537"/>
      <c r="C48" s="518"/>
      <c r="D48" s="537"/>
      <c r="F48" s="1100"/>
      <c r="G48" s="1111"/>
      <c r="H48" s="1111"/>
    </row>
    <row r="49" spans="2:8" ht="28.9" customHeight="1">
      <c r="B49" s="537"/>
      <c r="C49" s="518"/>
      <c r="D49" s="537"/>
      <c r="F49" s="1098" t="s">
        <v>1127</v>
      </c>
      <c r="G49" s="1109"/>
      <c r="H49" s="1109"/>
    </row>
    <row r="50" spans="2:8" ht="28.9" customHeight="1">
      <c r="B50" s="844" t="s">
        <v>1156</v>
      </c>
      <c r="C50" s="518"/>
      <c r="D50" s="844" t="s">
        <v>1157</v>
      </c>
      <c r="F50" s="1099"/>
      <c r="G50" s="1110"/>
      <c r="H50" s="1110"/>
    </row>
    <row r="51" spans="2:8" ht="28.9" customHeight="1">
      <c r="B51" s="537"/>
      <c r="C51" s="518"/>
      <c r="D51" s="537"/>
      <c r="F51" s="1100"/>
      <c r="G51" s="1111"/>
      <c r="H51" s="1111"/>
    </row>
    <row r="52" spans="2:8" ht="28.9" customHeight="1">
      <c r="B52" s="537"/>
      <c r="C52" s="518"/>
      <c r="D52" s="537"/>
      <c r="F52" s="1098" t="s">
        <v>1151</v>
      </c>
      <c r="G52" s="1109"/>
      <c r="H52" s="1109"/>
    </row>
    <row r="53" spans="2:8" ht="28.9" customHeight="1">
      <c r="B53" s="844" t="s">
        <v>1156</v>
      </c>
      <c r="C53" s="518"/>
      <c r="D53" s="844" t="s">
        <v>1157</v>
      </c>
      <c r="F53" s="1099"/>
      <c r="G53" s="1110"/>
      <c r="H53" s="1110"/>
    </row>
    <row r="54" spans="2:8" ht="28.9" customHeight="1">
      <c r="B54" s="537"/>
      <c r="C54" s="518"/>
      <c r="D54" s="537"/>
      <c r="F54" s="1100"/>
      <c r="G54" s="1111"/>
      <c r="H54" s="1111"/>
    </row>
    <row r="55" spans="2:8" ht="28.9" customHeight="1">
      <c r="B55" s="537"/>
      <c r="C55" s="518"/>
      <c r="D55" s="537"/>
      <c r="F55" s="1098" t="s">
        <v>1152</v>
      </c>
      <c r="G55" s="1109"/>
      <c r="H55" s="1109"/>
    </row>
    <row r="56" spans="2:8" ht="28.9" customHeight="1">
      <c r="B56" s="844" t="s">
        <v>1156</v>
      </c>
      <c r="C56" s="518"/>
      <c r="D56" s="844" t="s">
        <v>1157</v>
      </c>
      <c r="F56" s="1099"/>
      <c r="G56" s="1110"/>
      <c r="H56" s="1110"/>
    </row>
    <row r="57" spans="2:8" ht="28.9" customHeight="1">
      <c r="B57" s="537"/>
      <c r="C57" s="518"/>
      <c r="D57" s="537"/>
      <c r="F57" s="1100"/>
      <c r="G57" s="1111"/>
      <c r="H57" s="1111"/>
    </row>
    <row r="58" spans="2:8" ht="28.9" customHeight="1">
      <c r="B58" s="537"/>
      <c r="C58" s="518"/>
      <c r="D58" s="537"/>
      <c r="F58" s="1098" t="s">
        <v>1153</v>
      </c>
      <c r="G58" s="1109"/>
      <c r="H58" s="1109"/>
    </row>
    <row r="59" spans="2:8" ht="28.9" customHeight="1">
      <c r="B59" s="844" t="s">
        <v>1156</v>
      </c>
      <c r="C59" s="518"/>
      <c r="D59" s="844" t="s">
        <v>1157</v>
      </c>
      <c r="F59" s="1099"/>
      <c r="G59" s="1110"/>
      <c r="H59" s="1110"/>
    </row>
    <row r="60" spans="2:8" ht="28.9" customHeight="1">
      <c r="B60" s="537"/>
      <c r="C60" s="518"/>
      <c r="D60" s="537"/>
      <c r="F60" s="1100"/>
      <c r="G60" s="1111"/>
      <c r="H60" s="1111"/>
    </row>
    <row r="61" spans="2:8" ht="28.9" customHeight="1">
      <c r="B61" s="537"/>
      <c r="C61" s="518"/>
      <c r="D61" s="537"/>
      <c r="F61" s="1098" t="s">
        <v>1154</v>
      </c>
      <c r="G61" s="1109"/>
      <c r="H61" s="1109"/>
    </row>
    <row r="62" spans="2:8" ht="28.9" customHeight="1">
      <c r="B62" s="844" t="s">
        <v>1156</v>
      </c>
      <c r="C62" s="518"/>
      <c r="D62" s="844" t="s">
        <v>1157</v>
      </c>
      <c r="F62" s="1099"/>
      <c r="G62" s="1110"/>
      <c r="H62" s="1110"/>
    </row>
    <row r="63" spans="2:8" ht="28.9" customHeight="1">
      <c r="B63" s="537"/>
      <c r="C63" s="518"/>
      <c r="D63" s="537"/>
      <c r="F63" s="1100"/>
      <c r="G63" s="1111"/>
      <c r="H63" s="1111"/>
    </row>
    <row r="64" spans="2:8" ht="28.9" customHeight="1">
      <c r="B64" s="537"/>
      <c r="C64" s="518"/>
      <c r="D64" s="537"/>
      <c r="F64" s="1098" t="s">
        <v>1155</v>
      </c>
      <c r="G64" s="1109"/>
      <c r="H64" s="1109"/>
    </row>
    <row r="65" spans="2:8" ht="28.9" customHeight="1">
      <c r="B65" s="844" t="s">
        <v>1156</v>
      </c>
      <c r="C65" s="518"/>
      <c r="D65" s="844" t="s">
        <v>1157</v>
      </c>
      <c r="F65" s="1099"/>
      <c r="G65" s="1110"/>
      <c r="H65" s="1110"/>
    </row>
    <row r="66" spans="2:8" ht="28.9" customHeight="1">
      <c r="B66" s="537"/>
      <c r="C66" s="518"/>
      <c r="D66" s="537"/>
      <c r="F66" s="1100"/>
      <c r="G66" s="1111"/>
      <c r="H66" s="1111"/>
    </row>
    <row r="67" spans="2:8">
      <c r="B67" s="838"/>
      <c r="C67" s="839"/>
      <c r="D67" s="838"/>
    </row>
    <row r="68" spans="2:8">
      <c r="B68" s="838"/>
      <c r="C68" s="839"/>
      <c r="D68" s="838"/>
    </row>
    <row r="69" spans="2:8">
      <c r="B69" s="838"/>
      <c r="C69" s="839"/>
      <c r="D69" s="838"/>
    </row>
    <row r="70" spans="2:8">
      <c r="B70" s="838"/>
      <c r="C70" s="839"/>
      <c r="D70" s="838"/>
    </row>
    <row r="71" spans="2:8">
      <c r="B71" s="838"/>
      <c r="C71" s="839"/>
      <c r="D71" s="838"/>
    </row>
    <row r="72" spans="2:8">
      <c r="B72" s="838"/>
      <c r="C72" s="839"/>
      <c r="D72" s="838"/>
    </row>
    <row r="73" spans="2:8">
      <c r="B73" s="838"/>
      <c r="C73" s="839"/>
      <c r="D73" s="838"/>
    </row>
    <row r="74" spans="2:8">
      <c r="B74" s="838"/>
      <c r="C74" s="839"/>
      <c r="D74" s="838"/>
    </row>
    <row r="75" spans="2:8">
      <c r="B75" s="838"/>
      <c r="C75" s="839"/>
      <c r="D75" s="838"/>
    </row>
    <row r="76" spans="2:8">
      <c r="B76" s="838"/>
      <c r="C76" s="839"/>
      <c r="D76" s="838"/>
    </row>
    <row r="77" spans="2:8">
      <c r="B77" s="838"/>
      <c r="C77" s="839"/>
      <c r="D77" s="838"/>
    </row>
    <row r="78" spans="2:8">
      <c r="B78" s="838"/>
      <c r="C78" s="839"/>
      <c r="D78" s="838"/>
    </row>
    <row r="79" spans="2:8">
      <c r="B79" s="838"/>
      <c r="C79" s="839"/>
      <c r="D79" s="838"/>
    </row>
    <row r="80" spans="2:8">
      <c r="B80" s="838"/>
      <c r="C80" s="839"/>
      <c r="D80" s="838"/>
    </row>
    <row r="81" spans="2:4">
      <c r="B81" s="838"/>
      <c r="C81" s="839"/>
      <c r="D81" s="838"/>
    </row>
    <row r="82" spans="2:4">
      <c r="B82" s="838"/>
      <c r="C82" s="839"/>
      <c r="D82" s="838"/>
    </row>
    <row r="83" spans="2:4">
      <c r="B83" s="838"/>
      <c r="C83" s="839"/>
      <c r="D83" s="838"/>
    </row>
    <row r="84" spans="2:4">
      <c r="B84" s="838"/>
      <c r="C84" s="839"/>
      <c r="D84" s="838"/>
    </row>
    <row r="85" spans="2:4">
      <c r="B85" s="838"/>
      <c r="C85" s="839"/>
      <c r="D85" s="838"/>
    </row>
    <row r="86" spans="2:4">
      <c r="B86" s="838"/>
      <c r="C86" s="839"/>
      <c r="D86" s="838"/>
    </row>
    <row r="87" spans="2:4">
      <c r="B87" s="838"/>
      <c r="C87" s="839"/>
      <c r="D87" s="838"/>
    </row>
    <row r="88" spans="2:4">
      <c r="B88" s="838"/>
      <c r="C88" s="839"/>
      <c r="D88" s="838"/>
    </row>
    <row r="89" spans="2:4">
      <c r="B89" s="838"/>
      <c r="C89" s="839"/>
      <c r="D89" s="838"/>
    </row>
    <row r="90" spans="2:4">
      <c r="B90" s="838"/>
      <c r="C90" s="839"/>
      <c r="D90" s="838"/>
    </row>
    <row r="91" spans="2:4">
      <c r="B91" s="838"/>
      <c r="C91" s="839"/>
      <c r="D91" s="838"/>
    </row>
    <row r="92" spans="2:4">
      <c r="B92" s="838"/>
      <c r="C92" s="839"/>
      <c r="D92" s="838"/>
    </row>
    <row r="93" spans="2:4">
      <c r="B93" s="838"/>
      <c r="C93" s="839"/>
      <c r="D93" s="838"/>
    </row>
    <row r="94" spans="2:4">
      <c r="B94" s="838"/>
      <c r="C94" s="839"/>
      <c r="D94" s="838"/>
    </row>
    <row r="95" spans="2:4">
      <c r="B95" s="838"/>
      <c r="C95" s="839"/>
      <c r="D95" s="838"/>
    </row>
    <row r="96" spans="2:4">
      <c r="B96" s="838"/>
      <c r="C96" s="839"/>
      <c r="D96" s="838"/>
    </row>
    <row r="97" spans="2:4">
      <c r="B97" s="838"/>
      <c r="C97" s="839"/>
      <c r="D97" s="838"/>
    </row>
    <row r="98" spans="2:4">
      <c r="B98" s="838"/>
      <c r="C98" s="839"/>
      <c r="D98" s="838"/>
    </row>
    <row r="99" spans="2:4">
      <c r="B99" s="838"/>
      <c r="C99" s="839"/>
      <c r="D99" s="838"/>
    </row>
    <row r="100" spans="2:4">
      <c r="B100" s="838"/>
      <c r="C100" s="839"/>
      <c r="D100" s="838"/>
    </row>
    <row r="101" spans="2:4">
      <c r="B101" s="838"/>
      <c r="C101" s="839"/>
      <c r="D101" s="838"/>
    </row>
    <row r="102" spans="2:4">
      <c r="B102" s="838"/>
      <c r="C102" s="839"/>
      <c r="D102" s="838"/>
    </row>
    <row r="103" spans="2:4">
      <c r="B103" s="838"/>
      <c r="C103" s="839"/>
      <c r="D103" s="838"/>
    </row>
    <row r="104" spans="2:4">
      <c r="B104" s="838"/>
      <c r="C104" s="839"/>
      <c r="D104" s="838"/>
    </row>
    <row r="105" spans="2:4">
      <c r="B105" s="838"/>
      <c r="C105" s="839"/>
      <c r="D105" s="838"/>
    </row>
    <row r="106" spans="2:4">
      <c r="B106" s="838"/>
      <c r="C106" s="839"/>
      <c r="D106" s="838"/>
    </row>
    <row r="107" spans="2:4">
      <c r="B107" s="838"/>
      <c r="C107" s="839"/>
      <c r="D107" s="838"/>
    </row>
    <row r="108" spans="2:4">
      <c r="B108" s="838"/>
      <c r="C108" s="839"/>
      <c r="D108" s="838"/>
    </row>
    <row r="109" spans="2:4">
      <c r="B109" s="838"/>
      <c r="C109" s="839"/>
      <c r="D109" s="838"/>
    </row>
    <row r="110" spans="2:4">
      <c r="B110" s="838"/>
      <c r="C110" s="839"/>
      <c r="D110" s="838"/>
    </row>
    <row r="111" spans="2:4">
      <c r="B111" s="838"/>
      <c r="C111" s="839"/>
      <c r="D111" s="838"/>
    </row>
    <row r="112" spans="2:4">
      <c r="B112" s="838"/>
      <c r="C112" s="839"/>
      <c r="D112" s="838"/>
    </row>
    <row r="113" spans="2:4">
      <c r="B113" s="838"/>
      <c r="C113" s="839"/>
      <c r="D113" s="838"/>
    </row>
    <row r="114" spans="2:4">
      <c r="B114" s="838"/>
      <c r="C114" s="839"/>
      <c r="D114" s="838"/>
    </row>
    <row r="115" spans="2:4">
      <c r="B115" s="838"/>
      <c r="C115" s="839"/>
      <c r="D115" s="838"/>
    </row>
    <row r="116" spans="2:4">
      <c r="B116" s="838"/>
      <c r="C116" s="839"/>
      <c r="D116" s="838"/>
    </row>
    <row r="117" spans="2:4">
      <c r="B117" s="838"/>
      <c r="C117" s="839"/>
      <c r="D117" s="838"/>
    </row>
    <row r="118" spans="2:4">
      <c r="B118" s="838"/>
      <c r="C118" s="839"/>
      <c r="D118" s="838"/>
    </row>
    <row r="119" spans="2:4">
      <c r="B119" s="838"/>
      <c r="C119" s="839"/>
      <c r="D119" s="838"/>
    </row>
    <row r="120" spans="2:4">
      <c r="B120" s="838"/>
      <c r="C120" s="839"/>
      <c r="D120" s="838"/>
    </row>
    <row r="121" spans="2:4">
      <c r="B121" s="838"/>
      <c r="C121" s="839"/>
      <c r="D121" s="838"/>
    </row>
    <row r="122" spans="2:4">
      <c r="B122" s="838"/>
      <c r="C122" s="839"/>
      <c r="D122" s="838"/>
    </row>
    <row r="123" spans="2:4">
      <c r="B123" s="838"/>
      <c r="C123" s="839"/>
      <c r="D123" s="838"/>
    </row>
    <row r="124" spans="2:4">
      <c r="B124" s="838"/>
      <c r="C124" s="839"/>
      <c r="D124" s="838"/>
    </row>
    <row r="125" spans="2:4">
      <c r="B125" s="838"/>
      <c r="C125" s="839"/>
      <c r="D125" s="838"/>
    </row>
    <row r="126" spans="2:4">
      <c r="B126" s="838"/>
      <c r="C126" s="839"/>
      <c r="D126" s="838"/>
    </row>
    <row r="127" spans="2:4">
      <c r="B127" s="838"/>
      <c r="C127" s="839"/>
      <c r="D127" s="838"/>
    </row>
    <row r="128" spans="2:4">
      <c r="B128" s="838"/>
      <c r="C128" s="839"/>
      <c r="D128" s="838"/>
    </row>
    <row r="129" spans="2:4">
      <c r="B129" s="838"/>
      <c r="C129" s="839"/>
      <c r="D129" s="838"/>
    </row>
    <row r="130" spans="2:4">
      <c r="B130" s="838"/>
      <c r="C130" s="839"/>
      <c r="D130" s="838"/>
    </row>
    <row r="131" spans="2:4">
      <c r="B131" s="838"/>
      <c r="C131" s="839"/>
      <c r="D131" s="838"/>
    </row>
    <row r="132" spans="2:4">
      <c r="B132" s="838"/>
      <c r="C132" s="839"/>
      <c r="D132" s="838"/>
    </row>
    <row r="133" spans="2:4">
      <c r="B133" s="838"/>
      <c r="C133" s="839"/>
      <c r="D133" s="838"/>
    </row>
    <row r="134" spans="2:4">
      <c r="B134" s="838"/>
      <c r="C134" s="839"/>
      <c r="D134" s="838"/>
    </row>
    <row r="135" spans="2:4">
      <c r="B135" s="838"/>
      <c r="C135" s="839"/>
      <c r="D135" s="838"/>
    </row>
    <row r="136" spans="2:4">
      <c r="B136" s="838"/>
      <c r="C136" s="839"/>
      <c r="D136" s="838"/>
    </row>
    <row r="137" spans="2:4">
      <c r="B137" s="838"/>
      <c r="C137" s="839"/>
      <c r="D137" s="838"/>
    </row>
    <row r="138" spans="2:4">
      <c r="B138" s="838"/>
      <c r="C138" s="839"/>
      <c r="D138" s="838"/>
    </row>
    <row r="815" spans="9:9">
      <c r="I815">
        <v>7</v>
      </c>
    </row>
  </sheetData>
  <sheetProtection password="832B" sheet="1" objects="1" scenarios="1" formatCells="0"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MG/Yr</v>
      </c>
    </row>
    <row r="79" spans="1:6" ht="16.5">
      <c r="B79" s="52"/>
      <c r="C79" s="52"/>
      <c r="D79" s="52"/>
      <c r="E79" s="9" t="str">
        <f>IFERROR("Total Cost of NRW = $"&amp;TEXT(SUM(D90,D91,D94,D95,D96,D98),"#,###")&amp;"/Yr","")</f>
        <v>Total Cost of NRW = $152/Yr</v>
      </c>
      <c r="F79" s="52"/>
    </row>
    <row r="80" spans="1:6">
      <c r="A80"/>
      <c r="B80"/>
      <c r="C80" s="53" t="str">
        <f>"Volume ("&amp;Worksheet!J15&amp;")"</f>
        <v>Volume (MG/Yr)</v>
      </c>
      <c r="D80" s="53" t="s">
        <v>149</v>
      </c>
      <c r="E80" s="94" t="s">
        <v>1087</v>
      </c>
      <c r="F80"/>
    </row>
    <row r="81" spans="1:6">
      <c r="A81" s="46" t="s">
        <v>129</v>
      </c>
      <c r="B81" s="46"/>
      <c r="C81" s="122">
        <f>IF(Dashboard!BO$2&gt;0,"",Worksheet!H15)</f>
        <v>1.268</v>
      </c>
      <c r="D81" s="123">
        <f>IF(Dashboard!BO$2&gt;0,"",C81*(Worksheet!$H$77))</f>
        <v>532.36980000000005</v>
      </c>
      <c r="E81" s="604">
        <f>D81</f>
        <v>532.36980000000005</v>
      </c>
      <c r="F81" s="84" t="s">
        <v>1086</v>
      </c>
    </row>
    <row r="82" spans="1:6">
      <c r="A82" s="46" t="str">
        <f>A81&amp;" MA"</f>
        <v>Vol. from own sources: MA</v>
      </c>
      <c r="B82" s="46"/>
      <c r="C82" s="122">
        <f>IF(Dashboard!BO$2&gt;0,"",Worksheet!X15)</f>
        <v>0</v>
      </c>
      <c r="D82" s="123">
        <f>IF(Dashboard!BO$2&gt;0,"",C82*(Worksheet!$H$77))</f>
        <v>0</v>
      </c>
      <c r="E82" s="604">
        <f t="shared" ref="E82:E99" si="0">D82</f>
        <v>0</v>
      </c>
      <c r="F82"/>
    </row>
    <row r="83" spans="1:6">
      <c r="A83" t="s">
        <v>0</v>
      </c>
      <c r="B83"/>
      <c r="C83" s="122">
        <f>IF(Dashboard!BO$2&gt;0,"",Worksheet!H16)</f>
        <v>0</v>
      </c>
      <c r="D83" s="123">
        <f>IF(Dashboard!BO$2&gt;0,"",C83*(Worksheet!$H$77))</f>
        <v>0</v>
      </c>
      <c r="E83" s="604">
        <f t="shared" si="0"/>
        <v>0</v>
      </c>
      <c r="F83"/>
    </row>
    <row r="84" spans="1:6">
      <c r="A84" t="str">
        <f>A83&amp;" MA"</f>
        <v>Water imported: MA</v>
      </c>
      <c r="B84"/>
      <c r="C84" s="122">
        <f>IF(Dashboard!BO$2&gt;0,"",Worksheet!X16)</f>
        <v>0</v>
      </c>
      <c r="D84" s="123">
        <f>IF(Dashboard!BO$2&gt;0,"",C84*(Worksheet!$H$77))</f>
        <v>0</v>
      </c>
      <c r="E84" s="604">
        <f t="shared" si="0"/>
        <v>0</v>
      </c>
      <c r="F84"/>
    </row>
    <row r="85" spans="1:6">
      <c r="A85" t="s">
        <v>1</v>
      </c>
      <c r="B85"/>
      <c r="C85" s="122">
        <f>IF(Dashboard!BO$2&gt;0,"",Worksheet!H17)</f>
        <v>0</v>
      </c>
      <c r="D85" s="123">
        <f>IF(Dashboard!BO$2&gt;0,"",C85*(Worksheet!$H$77))</f>
        <v>0</v>
      </c>
      <c r="E85" s="604">
        <f t="shared" si="0"/>
        <v>0</v>
      </c>
      <c r="F85"/>
    </row>
    <row r="86" spans="1:6">
      <c r="A86" t="str">
        <f>A85&amp;" MA"</f>
        <v>Water exported: MA</v>
      </c>
      <c r="B86"/>
      <c r="C86" s="122">
        <f>IF(Dashboard!BO$2&gt;0,"",Worksheet!X17)</f>
        <v>0</v>
      </c>
      <c r="D86" s="123">
        <f>IF(Dashboard!BO$2&gt;0,"",C86*(Worksheet!$H$77))</f>
        <v>0</v>
      </c>
      <c r="E86" s="604">
        <f t="shared" si="0"/>
        <v>0</v>
      </c>
      <c r="F86"/>
    </row>
    <row r="87" spans="1:6">
      <c r="A87" t="s">
        <v>111</v>
      </c>
      <c r="B87"/>
      <c r="C87" s="122">
        <f>IF(Dashboard!BO$2&gt;0,"",Worksheet!H19)</f>
        <v>1.268</v>
      </c>
      <c r="D87" s="123">
        <f>IF(Dashboard!BO$2&gt;0,"",C87*(Worksheet!$H$77))</f>
        <v>532.36980000000005</v>
      </c>
      <c r="E87" s="604">
        <f t="shared" si="0"/>
        <v>532.36980000000005</v>
      </c>
      <c r="F87"/>
    </row>
    <row r="88" spans="1:6">
      <c r="A88" t="s">
        <v>55</v>
      </c>
      <c r="B88"/>
      <c r="C88" s="122">
        <f>IF(Dashboard!BO$2&gt;0,"",Worksheet!H23)</f>
        <v>1.2451000000000001</v>
      </c>
      <c r="D88" s="123">
        <f>IF(Dashboard!BO$2&gt;0,"",C88*(Worksheet!$H$76*1000))</f>
        <v>10234.722000000002</v>
      </c>
      <c r="E88" s="604">
        <f t="shared" si="0"/>
        <v>10234.722000000002</v>
      </c>
      <c r="F88"/>
    </row>
    <row r="89" spans="1:6">
      <c r="A89" t="s">
        <v>56</v>
      </c>
      <c r="B89"/>
      <c r="C89" s="122">
        <f>IF(Dashboard!BO$2&gt;0,"",Worksheet!H24)</f>
        <v>0</v>
      </c>
      <c r="D89" s="123">
        <f>IF(Dashboard!BO$2&gt;0,"",C89*(Worksheet!$H$76*1000))</f>
        <v>0</v>
      </c>
      <c r="E89" s="604">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5">
        <f t="shared" si="0"/>
        <v>0</v>
      </c>
      <c r="F90"/>
    </row>
    <row r="91" spans="1:6">
      <c r="A91" s="223" t="str">
        <f>"Unbilled Unmetered (UUAC) valued at "&amp;A76&amp;""</f>
        <v xml:space="preserve">Unbilled Unmetered (UUAC) valued at </v>
      </c>
      <c r="B91"/>
      <c r="C91" s="126">
        <f>IF(Dashboard!BO$2&gt;0,"",Worksheet!H26)</f>
        <v>1.2E-2</v>
      </c>
      <c r="D91" s="127">
        <f>IF(Dashboard!BO$2&gt;0,"",IF(ISBLANK('Start Page'!AB22),"",IF(AND(ISBLANK(Worksheet!H77),Worksheet!Z77&lt;&gt;1),"",Worksheet!H26*(IF(Dashboard!BD29=FALSE,Worksheet!H77,IF(Dashboard!BD29=TRUE,Worksheet!H76*INDEX(Sheet1!B2:D4,MATCH('Start Page'!AB22,Sheet1!A2:A4,0),MATCH(Worksheet!J76,Sheet1!B1:D1,0)),""))))))</f>
        <v>5.0382000000000007</v>
      </c>
      <c r="E91" s="605">
        <f t="shared" si="0"/>
        <v>5.0382000000000007</v>
      </c>
      <c r="F91"/>
    </row>
    <row r="92" spans="1:6">
      <c r="A92" s="158" t="s">
        <v>2</v>
      </c>
      <c r="B92" s="125" t="s">
        <v>241</v>
      </c>
      <c r="C92" s="122">
        <f>IF(Dashboard!BO$2&gt;0,"",Worksheet!H30)</f>
        <v>1.2571000000000001</v>
      </c>
      <c r="D92" s="123">
        <f>IF(Dashboard!BO$2&gt;0,"",C92*(Worksheet!$H$76*1000))</f>
        <v>10333.362000000001</v>
      </c>
      <c r="E92" s="604">
        <f t="shared" si="0"/>
        <v>10333.362000000001</v>
      </c>
      <c r="F92"/>
    </row>
    <row r="93" spans="1:6">
      <c r="A93" t="s">
        <v>51</v>
      </c>
      <c r="B93"/>
      <c r="C93" s="122">
        <f>IF(Dashboard!BO$2&gt;0,"",Worksheet!H35)</f>
        <v>1.089999999999991E-2</v>
      </c>
      <c r="D93" s="123"/>
      <c r="E93" s="604">
        <f t="shared" si="0"/>
        <v>0</v>
      </c>
      <c r="F93"/>
    </row>
    <row r="94" spans="1:6">
      <c r="A94" s="223" t="s">
        <v>680</v>
      </c>
      <c r="B94" s="46"/>
      <c r="C94" s="126">
        <f>IF(Dashboard!BO$2&gt;0,"",Worksheet!H43)</f>
        <v>3.1127500000000005E-3</v>
      </c>
      <c r="D94" s="127">
        <f>IF(Dashboard!BO$2&gt;0,"",IF(ISBLANK('Start Page'!AB22),"",IF(AND(ISBLANK(Worksheet!H77),Worksheet!Z77&lt;&gt;1),"",C94*Worksheet!H76*INDEX(Sheet1!B2:D4,MATCH('Start Page'!AB22,Sheet1!A2:A4,0),MATCH(Worksheet!J76,Sheet1!B1:D1,0)))))</f>
        <v>25.586805000000009</v>
      </c>
      <c r="E94" s="605">
        <f t="shared" si="0"/>
        <v>25.586805000000009</v>
      </c>
      <c r="F94" s="128"/>
    </row>
    <row r="95" spans="1:6">
      <c r="A95" s="223" t="s">
        <v>681</v>
      </c>
      <c r="B95" s="46"/>
      <c r="C95" s="126">
        <f>IF(Dashboard!BO$2&gt;0,"",Worksheet!H41)</f>
        <v>1.2E-2</v>
      </c>
      <c r="D95" s="127">
        <f>IF(Dashboard!BO$2&gt;0,"",IF(ISBLANK('Start Page'!AB22),"",IF(AND(ISBLANK(Worksheet!H77),Worksheet!Z77&lt;&gt;1),"",C95*Worksheet!H76*INDEX(Sheet1!B2:D4,MATCH('Start Page'!AB22,Sheet1!A2:A4,0),MATCH(Worksheet!J76,Sheet1!B1:D1,0)))))</f>
        <v>98.64</v>
      </c>
      <c r="E95" s="605">
        <f t="shared" si="0"/>
        <v>98.64</v>
      </c>
      <c r="F95" s="128"/>
    </row>
    <row r="96" spans="1:6">
      <c r="A96" s="223" t="s">
        <v>682</v>
      </c>
      <c r="B96" s="46"/>
      <c r="C96" s="126">
        <f>IF(Dashboard!BO$2&gt;0,"",Worksheet!H39)</f>
        <v>3.1127500000000005E-3</v>
      </c>
      <c r="D96" s="127">
        <f>IF(Dashboard!BO$2&gt;0,"",IF(ISBLANK('Start Page'!AB22),"",IF(AND(ISBLANK(Worksheet!H77),Worksheet!Z77&lt;&gt;1),"",C96*Worksheet!H76*INDEX(Sheet1!B2:D4,MATCH('Start Page'!AB22,Sheet1!A2:A4,0),MATCH(Worksheet!J76,Sheet1!B1:D1,0)))))</f>
        <v>25.586805000000009</v>
      </c>
      <c r="E96" s="605">
        <f t="shared" si="0"/>
        <v>25.586805000000009</v>
      </c>
      <c r="F96" s="128"/>
    </row>
    <row r="97" spans="1:7">
      <c r="A97" t="s">
        <v>42</v>
      </c>
      <c r="B97"/>
      <c r="C97" s="122">
        <f>IF(Dashboard!BO$2&gt;0,"",Worksheet!H46)</f>
        <v>1.8225500000000002E-2</v>
      </c>
      <c r="D97" s="123">
        <f>IF(Dashboard!BO$2&gt;0,"",SUM(D94:D96))</f>
        <v>149.81361000000001</v>
      </c>
      <c r="E97" s="604">
        <f t="shared" si="0"/>
        <v>149.81361000000001</v>
      </c>
      <c r="F97"/>
    </row>
    <row r="98" spans="1:7">
      <c r="A98" s="54" t="str">
        <f>"Real Losses valued at "&amp;A76&amp;""</f>
        <v xml:space="preserve">Real Losses valued at </v>
      </c>
      <c r="B98" s="46"/>
      <c r="C98" s="126">
        <f>IF(Dashboard!BO$2&gt;0,"",Worksheet!H51)</f>
        <v>-7.3255000000000924E-3</v>
      </c>
      <c r="D98" s="127">
        <f>IF(Dashboard!BO$2&gt;0,"",Dashboard!N50)</f>
        <v>-3.0756111750000388</v>
      </c>
      <c r="E98" s="605">
        <f t="shared" si="0"/>
        <v>-3.0756111750000388</v>
      </c>
      <c r="F98" s="604"/>
    </row>
    <row r="99" spans="1:7">
      <c r="A99" t="s">
        <v>74</v>
      </c>
      <c r="B99"/>
      <c r="C99" s="122">
        <f>IF(Dashboard!BO$2&gt;0,"",Worksheet!H57)</f>
        <v>2.289999999999991E-2</v>
      </c>
      <c r="D99" s="124">
        <f>IF(Dashboard!BO$2&gt;0,"",D97+D98+D90+D91)</f>
        <v>151.77619882499997</v>
      </c>
      <c r="E99" s="604">
        <f t="shared" si="0"/>
        <v>151.77619882499997</v>
      </c>
      <c r="F99"/>
      <c r="G99" s="129"/>
    </row>
    <row r="121" spans="12:15" ht="75.599999999999994" customHeight="1">
      <c r="L121" s="925" t="s">
        <v>1249</v>
      </c>
      <c r="M121" s="923"/>
      <c r="N121" s="925" t="str">
        <f>Dashboard!BO3</f>
        <v>ok</v>
      </c>
      <c r="O121" s="923"/>
    </row>
    <row r="122" spans="12:15" ht="75.599999999999994" customHeight="1">
      <c r="L122" s="925" t="s">
        <v>1250</v>
      </c>
      <c r="M122" s="923"/>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5" t="s">
        <v>785</v>
      </c>
      <c r="C5" s="474"/>
      <c r="D5" s="474"/>
      <c r="E5" s="787" t="s">
        <v>66</v>
      </c>
      <c r="F5" s="1126" t="str">
        <f>IF(ISBLANK('Start Page'!AB9),"&lt;&lt; Please enter system details on the Start Page &gt;&gt;",'Start Page'!AB9&amp;IF(ISBLANK('Start Page'!AM28),"","  ("&amp;'Start Page'!AM28&amp;")"))</f>
        <v>VEOLIA - Brown Manor</v>
      </c>
      <c r="G5" s="1127"/>
      <c r="H5" s="476"/>
      <c r="I5" s="5"/>
    </row>
    <row r="6" spans="2:16" ht="18" customHeight="1">
      <c r="B6" s="473"/>
      <c r="C6" s="482"/>
      <c r="D6" s="474"/>
      <c r="E6" s="787" t="s">
        <v>716</v>
      </c>
      <c r="F6" s="788">
        <f>IF(ISBLANK('Start Page'!AB18),"",'Start Page'!AB18)</f>
        <v>2022</v>
      </c>
      <c r="G6" s="789" t="str">
        <f>IF(ISBLANK('Start Page'!AB20),"",TEXT('Start Page'!AB20,"mmm dd yyyy")&amp;" - "&amp;TEXT('Start Page'!AB21,"mmm dd yyyy"))</f>
        <v>Jan 01 2022 - Dec 31 2022</v>
      </c>
      <c r="H6" s="477"/>
      <c r="I6" s="5"/>
    </row>
    <row r="7" spans="2:16" ht="18" customHeight="1">
      <c r="B7" s="473"/>
      <c r="C7" s="474"/>
      <c r="D7" s="474"/>
      <c r="E7" s="787" t="s">
        <v>683</v>
      </c>
      <c r="F7" s="788" t="str">
        <f>Dashboard!BR4</f>
        <v>Tier III (51-70)</v>
      </c>
      <c r="G7" s="790"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6"/>
      <c r="L11" s="121"/>
      <c r="M11" s="121"/>
      <c r="N11" s="121"/>
      <c r="O11" s="121"/>
      <c r="P11" s="121"/>
    </row>
    <row r="12" spans="2:16" ht="15.75" customHeight="1">
      <c r="B12" s="1113" t="s">
        <v>689</v>
      </c>
      <c r="C12" s="359"/>
      <c r="D12" s="360"/>
      <c r="E12" s="1122" t="s">
        <v>2</v>
      </c>
      <c r="F12" s="1122"/>
      <c r="G12" s="361">
        <f>Worksheet!H23</f>
        <v>1.2451000000000001</v>
      </c>
      <c r="H12" s="362"/>
      <c r="I12" s="5"/>
      <c r="K12" s="897"/>
    </row>
    <row r="13" spans="2:16" ht="22.5" customHeight="1">
      <c r="B13" s="1113"/>
      <c r="C13" s="363"/>
      <c r="D13" s="360"/>
      <c r="E13" s="1122"/>
      <c r="F13" s="365">
        <f>Worksheet!H23+Worksheet!H24</f>
        <v>1.2451000000000001</v>
      </c>
      <c r="G13" s="366" t="s">
        <v>1092</v>
      </c>
      <c r="H13" s="367">
        <f>SUM(G12+G14)</f>
        <v>1.2451000000000001</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1.2571000000000001</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1.268</v>
      </c>
      <c r="C17" s="378"/>
      <c r="D17" s="379"/>
      <c r="E17" s="250"/>
      <c r="F17" s="380">
        <f>Worksheet!H25+Worksheet!H26</f>
        <v>1.2E-2</v>
      </c>
      <c r="G17" s="364" t="s">
        <v>1094</v>
      </c>
      <c r="H17" s="362"/>
      <c r="I17" s="5"/>
      <c r="K17" s="46"/>
      <c r="L17" s="121"/>
      <c r="M17" s="121"/>
      <c r="N17" s="121"/>
      <c r="O17" s="121"/>
      <c r="P17" s="121"/>
    </row>
    <row r="18" spans="2:16" ht="15.75" customHeight="1">
      <c r="B18" s="375"/>
      <c r="C18" s="1134" t="s">
        <v>765</v>
      </c>
      <c r="D18" s="360"/>
      <c r="E18" s="381"/>
      <c r="F18" s="370"/>
      <c r="G18" s="382">
        <f>Worksheet!H26</f>
        <v>1.2E-2</v>
      </c>
      <c r="H18" s="362"/>
      <c r="I18" s="5"/>
      <c r="K18" s="46"/>
    </row>
    <row r="19" spans="2:16" ht="22.5" customHeight="1">
      <c r="B19" s="375"/>
      <c r="C19" s="1134"/>
      <c r="D19" s="383" t="s">
        <v>118</v>
      </c>
      <c r="E19" s="356"/>
      <c r="F19" s="384"/>
      <c r="G19" s="599" t="s">
        <v>697</v>
      </c>
      <c r="H19" s="385">
        <f>Worksheet!H25+Worksheet!H26+Worksheet!H46+Worksheet!H51</f>
        <v>2.289999999999991E-2</v>
      </c>
      <c r="I19" s="5"/>
      <c r="K19" s="46"/>
      <c r="L19" s="121"/>
      <c r="M19" s="121"/>
      <c r="N19" s="121"/>
      <c r="O19" s="121"/>
      <c r="P19" s="121"/>
    </row>
    <row r="20" spans="2:16" ht="15.75" customHeight="1">
      <c r="B20" s="375"/>
      <c r="C20" s="386">
        <f>B17+B27</f>
        <v>1.268</v>
      </c>
      <c r="D20" s="360"/>
      <c r="E20" s="250"/>
      <c r="F20" s="387" t="s">
        <v>52</v>
      </c>
      <c r="G20" s="376">
        <f>Worksheet!H39</f>
        <v>3.1127500000000005E-3</v>
      </c>
      <c r="H20" s="362"/>
      <c r="I20" s="5"/>
      <c r="K20" s="46"/>
    </row>
    <row r="21" spans="2:16" ht="14.25" customHeight="1">
      <c r="B21" s="388"/>
      <c r="C21" s="389"/>
      <c r="D21" s="386">
        <f>Worksheet!H19</f>
        <v>1.268</v>
      </c>
      <c r="E21" s="390"/>
      <c r="F21" s="380">
        <f>Worksheet!H46</f>
        <v>1.8225500000000002E-2</v>
      </c>
      <c r="G21" s="364" t="s">
        <v>696</v>
      </c>
      <c r="H21" s="362"/>
      <c r="I21" s="5"/>
      <c r="K21" s="46"/>
      <c r="L21" s="121"/>
      <c r="M21" s="121"/>
      <c r="N21" s="121"/>
      <c r="O21" s="121"/>
      <c r="P21" s="121"/>
    </row>
    <row r="22" spans="2:16" ht="15.75" customHeight="1">
      <c r="B22" s="375"/>
      <c r="C22" s="359"/>
      <c r="D22" s="360"/>
      <c r="E22" s="250"/>
      <c r="F22" s="390"/>
      <c r="G22" s="391">
        <f>Worksheet!H41</f>
        <v>1.2E-2</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3.1127500000000005E-3</v>
      </c>
      <c r="H24" s="362"/>
      <c r="I24" s="5"/>
      <c r="K24" s="46"/>
    </row>
    <row r="25" spans="2:16" ht="26.25" customHeight="1">
      <c r="B25" s="1112" t="s">
        <v>1089</v>
      </c>
      <c r="C25" s="363"/>
      <c r="D25" s="360"/>
      <c r="E25" s="393">
        <f>Worksheet!H53</f>
        <v>1.089999999999991E-2</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0</v>
      </c>
      <c r="C27" s="378"/>
      <c r="D27" s="360"/>
      <c r="E27" s="250"/>
      <c r="F27" s="380">
        <f>Worksheet!H51</f>
        <v>-7.3255000000000924E-3</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35" t="s">
        <v>786</v>
      </c>
      <c r="C2" s="1136"/>
      <c r="D2" s="1136"/>
      <c r="E2" s="1136"/>
      <c r="F2" s="1136"/>
      <c r="G2" s="1136"/>
      <c r="H2" s="1136"/>
      <c r="I2" s="1136"/>
      <c r="J2" s="1136"/>
      <c r="K2" s="1136"/>
      <c r="L2" s="1136"/>
      <c r="M2" s="1136"/>
      <c r="N2" s="1136"/>
      <c r="O2" s="1136"/>
      <c r="P2" s="1136"/>
      <c r="Q2" s="1136"/>
      <c r="R2" s="1136"/>
      <c r="S2" s="1137"/>
      <c r="T2" s="111"/>
    </row>
    <row r="3" spans="1:20" ht="5.45" customHeight="1">
      <c r="A3" s="118"/>
      <c r="B3" s="403"/>
      <c r="S3" s="404"/>
      <c r="T3" s="111"/>
    </row>
    <row r="4" spans="1:20" ht="17.100000000000001" customHeight="1">
      <c r="A4" s="118"/>
      <c r="B4" s="403"/>
      <c r="E4" s="52"/>
      <c r="F4" s="346" t="s">
        <v>66</v>
      </c>
      <c r="G4" s="1165" t="str">
        <f>IF(ISBLANK('Start Page'!AB9),"&lt;&lt; Please enter system details on the Start Page &gt;&gt;",'Start Page'!AB9&amp;IF(ISBLANK('Start Page'!AM28),"","  ("&amp;'Start Page'!AM28&amp;")"))</f>
        <v>VEOLIA - Brown Manor</v>
      </c>
      <c r="H4" s="1166"/>
      <c r="I4" s="1166"/>
      <c r="J4" s="1166"/>
      <c r="K4" s="1166"/>
      <c r="L4" s="1166"/>
      <c r="M4" s="1166"/>
      <c r="N4" s="1166"/>
      <c r="O4" s="1167"/>
      <c r="S4" s="404"/>
      <c r="T4" s="111"/>
    </row>
    <row r="5" spans="1:20" ht="17.100000000000001" customHeight="1">
      <c r="A5" s="118"/>
      <c r="B5" s="403"/>
      <c r="E5"/>
      <c r="F5" s="346" t="s">
        <v>716</v>
      </c>
      <c r="G5" s="405">
        <f>IF(ISBLANK('Start Page'!AB18),"",'Start Page'!AB18)</f>
        <v>2022</v>
      </c>
      <c r="H5" s="1179" t="str">
        <f>IF(ISBLANK('Start Page'!AB20),"",TEXT('Start Page'!AB20,"mmm dd yyyy")&amp;" - "&amp;TEXT('Start Page'!AB21,"mmm dd yyyy"))</f>
        <v>Jan 01 2022 - Dec 31 2022</v>
      </c>
      <c r="I5" s="1180"/>
      <c r="J5" s="1181"/>
      <c r="K5" s="893"/>
      <c r="L5" s="893"/>
      <c r="M5" s="893"/>
      <c r="N5" s="893"/>
      <c r="O5" s="893"/>
      <c r="S5" s="404"/>
      <c r="T5" s="111"/>
    </row>
    <row r="6" spans="1:20" ht="17.100000000000001" customHeight="1">
      <c r="A6" s="118"/>
      <c r="B6" s="403"/>
      <c r="E6"/>
      <c r="F6" s="346" t="s">
        <v>683</v>
      </c>
      <c r="G6" s="1176" t="str">
        <f>IF(OR(ISBLANK('Start Page'!AB22:AL22),'M36 Refs'!AN118&gt;0),"Additional data entry required",Dashboard!BR4)</f>
        <v>Tier III (51-70)</v>
      </c>
      <c r="H6" s="1177"/>
      <c r="I6" s="1178"/>
      <c r="J6" s="893"/>
      <c r="K6" s="893"/>
      <c r="L6" s="893"/>
      <c r="M6" s="893"/>
      <c r="N6" s="893"/>
      <c r="O6" s="893"/>
      <c r="S6" s="404"/>
      <c r="T6" s="111"/>
    </row>
    <row r="7" spans="1:20" ht="6" customHeight="1" thickBot="1">
      <c r="A7" s="118"/>
      <c r="B7" s="403"/>
      <c r="S7" s="404"/>
      <c r="T7" s="111"/>
    </row>
    <row r="8" spans="1:20" ht="26.1" customHeight="1" thickBot="1">
      <c r="A8" s="118"/>
      <c r="B8" s="403"/>
      <c r="C8" s="1168" t="s">
        <v>64</v>
      </c>
      <c r="D8" s="1169"/>
      <c r="E8" s="1169"/>
      <c r="F8" s="1169"/>
      <c r="G8" s="1169"/>
      <c r="H8" s="1169"/>
      <c r="I8" s="1169"/>
      <c r="J8" s="1169"/>
      <c r="K8" s="1169"/>
      <c r="L8" s="1169"/>
      <c r="M8" s="1169"/>
      <c r="N8" s="1169"/>
      <c r="O8" s="1169"/>
      <c r="P8" s="1169"/>
      <c r="Q8" s="1169"/>
      <c r="R8" s="1170"/>
      <c r="S8" s="404"/>
      <c r="T8" s="111"/>
    </row>
    <row r="9" spans="1:20" ht="18.75" customHeight="1" thickTop="1">
      <c r="A9" s="118"/>
      <c r="B9" s="403"/>
      <c r="C9" s="406"/>
      <c r="D9" s="1172" t="s">
        <v>717</v>
      </c>
      <c r="E9" s="1173"/>
      <c r="F9" s="1173"/>
      <c r="G9" s="1173"/>
      <c r="H9" s="1173"/>
      <c r="I9" s="1173"/>
      <c r="J9" s="1173"/>
      <c r="K9" s="1173"/>
      <c r="L9" s="1173"/>
      <c r="M9" s="1173"/>
      <c r="N9" s="1173"/>
      <c r="O9" s="1173"/>
      <c r="P9" s="1173"/>
      <c r="Q9" s="1173"/>
      <c r="R9" s="1174"/>
      <c r="S9" s="404"/>
      <c r="T9" s="111"/>
    </row>
    <row r="10" spans="1:20" ht="34.5" customHeight="1" thickBot="1">
      <c r="A10" s="118"/>
      <c r="B10" s="403"/>
      <c r="C10" s="407" t="s">
        <v>65</v>
      </c>
      <c r="D10" s="1175" t="s">
        <v>784</v>
      </c>
      <c r="E10" s="1152"/>
      <c r="F10" s="1153"/>
      <c r="G10" s="1151" t="s">
        <v>263</v>
      </c>
      <c r="H10" s="1152"/>
      <c r="I10" s="1153"/>
      <c r="J10" s="1151" t="s">
        <v>264</v>
      </c>
      <c r="K10" s="1152"/>
      <c r="L10" s="1153"/>
      <c r="M10" s="1151" t="s">
        <v>265</v>
      </c>
      <c r="N10" s="1152"/>
      <c r="O10" s="1153"/>
      <c r="P10" s="1151" t="s">
        <v>266</v>
      </c>
      <c r="Q10" s="1152"/>
      <c r="R10" s="1154"/>
      <c r="S10" s="404"/>
      <c r="T10" s="111"/>
    </row>
    <row r="11" spans="1:20" ht="62.1" customHeight="1" thickTop="1">
      <c r="A11" s="118"/>
      <c r="B11" s="403"/>
      <c r="C11" s="408" t="s">
        <v>70</v>
      </c>
      <c r="D11" s="1160" t="s">
        <v>1117</v>
      </c>
      <c r="E11" s="1156"/>
      <c r="F11" s="1157"/>
      <c r="G11" s="1155" t="s">
        <v>1116</v>
      </c>
      <c r="H11" s="1156"/>
      <c r="I11" s="1157"/>
      <c r="J11" s="1155" t="s">
        <v>71</v>
      </c>
      <c r="K11" s="1156"/>
      <c r="L11" s="1171"/>
      <c r="M11" s="1155" t="s">
        <v>18</v>
      </c>
      <c r="N11" s="1156"/>
      <c r="O11" s="1171"/>
      <c r="P11" s="1155" t="s">
        <v>19</v>
      </c>
      <c r="Q11" s="1156"/>
      <c r="R11" s="1171"/>
      <c r="S11" s="404"/>
      <c r="T11" s="111"/>
    </row>
    <row r="12" spans="1:20" ht="78" customHeight="1">
      <c r="A12" s="118"/>
      <c r="B12" s="403"/>
      <c r="C12" s="409" t="s">
        <v>20</v>
      </c>
      <c r="D12" s="1148" t="s">
        <v>1118</v>
      </c>
      <c r="E12" s="1149"/>
      <c r="F12" s="1150"/>
      <c r="G12" s="1158" t="s">
        <v>1115</v>
      </c>
      <c r="H12" s="1149"/>
      <c r="I12" s="1150"/>
      <c r="J12" s="1158" t="s">
        <v>21</v>
      </c>
      <c r="K12" s="1149"/>
      <c r="L12" s="1159"/>
      <c r="M12" s="1158" t="s">
        <v>22</v>
      </c>
      <c r="N12" s="1149"/>
      <c r="O12" s="1159"/>
      <c r="P12" s="1158" t="s">
        <v>127</v>
      </c>
      <c r="Q12" s="1149"/>
      <c r="R12" s="1159"/>
      <c r="S12" s="404"/>
      <c r="T12" s="111"/>
    </row>
    <row r="13" spans="1:20" ht="105.75" customHeight="1">
      <c r="A13" s="118"/>
      <c r="B13" s="403"/>
      <c r="C13" s="409" t="s">
        <v>128</v>
      </c>
      <c r="D13" s="1161"/>
      <c r="E13" s="1162"/>
      <c r="F13" s="1163"/>
      <c r="G13" s="1158" t="s">
        <v>1113</v>
      </c>
      <c r="H13" s="1149"/>
      <c r="I13" s="1150"/>
      <c r="J13" s="1158" t="s">
        <v>1114</v>
      </c>
      <c r="K13" s="1149"/>
      <c r="L13" s="1159"/>
      <c r="M13" s="1158" t="s">
        <v>69</v>
      </c>
      <c r="N13" s="1149"/>
      <c r="O13" s="1159"/>
      <c r="P13" s="1158" t="s">
        <v>34</v>
      </c>
      <c r="Q13" s="1149"/>
      <c r="R13" s="1159"/>
      <c r="S13" s="404"/>
      <c r="T13" s="111"/>
    </row>
    <row r="14" spans="1:20" ht="68.25" customHeight="1">
      <c r="A14" s="118"/>
      <c r="B14" s="403"/>
      <c r="C14" s="409" t="s">
        <v>35</v>
      </c>
      <c r="D14" s="1161"/>
      <c r="E14" s="1162"/>
      <c r="F14" s="1163"/>
      <c r="G14" s="1164"/>
      <c r="H14" s="1162"/>
      <c r="I14" s="1163"/>
      <c r="J14" s="1158" t="s">
        <v>36</v>
      </c>
      <c r="K14" s="1149"/>
      <c r="L14" s="1159"/>
      <c r="M14" s="1158" t="s">
        <v>37</v>
      </c>
      <c r="N14" s="1149"/>
      <c r="O14" s="1159"/>
      <c r="P14" s="1158" t="s">
        <v>38</v>
      </c>
      <c r="Q14" s="1149"/>
      <c r="R14" s="1159"/>
      <c r="S14" s="404"/>
      <c r="T14" s="111"/>
    </row>
    <row r="15" spans="1:20" ht="84" customHeight="1" thickBot="1">
      <c r="A15" s="118"/>
      <c r="B15" s="403"/>
      <c r="C15" s="410" t="s">
        <v>39</v>
      </c>
      <c r="D15" s="1141"/>
      <c r="E15" s="1142"/>
      <c r="F15" s="1143"/>
      <c r="G15" s="1144"/>
      <c r="H15" s="1142"/>
      <c r="I15" s="1143"/>
      <c r="J15" s="1145" t="s">
        <v>1099</v>
      </c>
      <c r="K15" s="1146"/>
      <c r="L15" s="1147"/>
      <c r="M15" s="1145" t="s">
        <v>1100</v>
      </c>
      <c r="N15" s="1146"/>
      <c r="O15" s="1147"/>
      <c r="P15" s="1145" t="s">
        <v>1101</v>
      </c>
      <c r="Q15" s="1146"/>
      <c r="R15" s="1147"/>
      <c r="S15" s="404"/>
      <c r="T15" s="111"/>
    </row>
    <row r="16" spans="1:20" ht="21" customHeight="1" thickTop="1" thickBot="1">
      <c r="A16" s="118"/>
      <c r="B16" s="403"/>
      <c r="C16" s="1138" t="s">
        <v>126</v>
      </c>
      <c r="D16" s="1139"/>
      <c r="E16" s="1139"/>
      <c r="F16" s="1139"/>
      <c r="G16" s="1139"/>
      <c r="H16" s="1139"/>
      <c r="I16" s="1139"/>
      <c r="J16" s="1139"/>
      <c r="K16" s="1139"/>
      <c r="L16" s="1139"/>
      <c r="M16" s="1139"/>
      <c r="N16" s="1139"/>
      <c r="O16" s="1139"/>
      <c r="P16" s="1139"/>
      <c r="Q16" s="1139"/>
      <c r="R16" s="114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8"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0" t="s">
        <v>1061</v>
      </c>
      <c r="B1" s="751" t="s">
        <v>1062</v>
      </c>
    </row>
    <row r="2" spans="1:2" ht="105">
      <c r="A2" s="748" t="s">
        <v>1052</v>
      </c>
      <c r="B2" s="743" t="s">
        <v>1051</v>
      </c>
    </row>
    <row r="3" spans="1:2" ht="28.35" customHeight="1">
      <c r="B3" s="744"/>
    </row>
    <row r="4" spans="1:2" ht="60">
      <c r="A4" s="748" t="s">
        <v>1054</v>
      </c>
      <c r="B4" s="743" t="s">
        <v>1053</v>
      </c>
    </row>
    <row r="5" spans="1:2" ht="13.5">
      <c r="B5" s="745"/>
    </row>
    <row r="6" spans="1:2" ht="75">
      <c r="A6" s="748" t="s">
        <v>1056</v>
      </c>
      <c r="B6" s="746" t="s">
        <v>1055</v>
      </c>
    </row>
    <row r="7" spans="1:2" ht="13.5">
      <c r="B7" s="745"/>
    </row>
    <row r="8" spans="1:2" ht="150">
      <c r="A8" s="748" t="s">
        <v>1058</v>
      </c>
      <c r="B8" s="743" t="s">
        <v>1057</v>
      </c>
    </row>
    <row r="9" spans="1:2" ht="13.5">
      <c r="B9" s="745"/>
    </row>
    <row r="10" spans="1:2" ht="255">
      <c r="A10" s="749" t="s">
        <v>1059</v>
      </c>
      <c r="B10" s="747" t="s">
        <v>1060</v>
      </c>
    </row>
    <row r="12" spans="1:2" ht="150">
      <c r="A12" s="748" t="s">
        <v>1064</v>
      </c>
      <c r="B12" s="743" t="s">
        <v>1063</v>
      </c>
    </row>
    <row r="13" spans="1:2">
      <c r="B13" s="744"/>
    </row>
    <row r="14" spans="1:2" ht="45">
      <c r="A14" s="748" t="s">
        <v>1066</v>
      </c>
      <c r="B14" s="746" t="s">
        <v>1065</v>
      </c>
    </row>
    <row r="15" spans="1:2" ht="13.5">
      <c r="B15" s="745"/>
    </row>
    <row r="16" spans="1:2" ht="60">
      <c r="A16" s="748" t="s">
        <v>1068</v>
      </c>
      <c r="B16" s="746" t="s">
        <v>1067</v>
      </c>
    </row>
    <row r="17" spans="1:2" ht="13.5">
      <c r="B17" s="745"/>
    </row>
    <row r="18" spans="1:2" ht="120">
      <c r="A18" s="748" t="s">
        <v>1070</v>
      </c>
      <c r="B18" s="746" t="s">
        <v>1069</v>
      </c>
    </row>
    <row r="19" spans="1:2" ht="13.5">
      <c r="B19" s="745"/>
    </row>
    <row r="20" spans="1:2" ht="75">
      <c r="A20" s="748" t="s">
        <v>1072</v>
      </c>
      <c r="B20" s="743" t="s">
        <v>1071</v>
      </c>
    </row>
    <row r="21" spans="1:2" ht="13.5">
      <c r="B21" s="745"/>
    </row>
    <row r="22" spans="1:2" ht="90">
      <c r="A22" s="748" t="s">
        <v>1074</v>
      </c>
      <c r="B22" s="743" t="s">
        <v>1073</v>
      </c>
    </row>
    <row r="23" spans="1:2" ht="13.5">
      <c r="B23" s="745"/>
    </row>
    <row r="24" spans="1:2" ht="90">
      <c r="A24" s="748" t="s">
        <v>1076</v>
      </c>
      <c r="B24" s="743" t="s">
        <v>1075</v>
      </c>
    </row>
    <row r="25" spans="1:2" ht="13.5">
      <c r="B25" s="745"/>
    </row>
    <row r="26" spans="1:2" ht="60">
      <c r="A26" s="748" t="s">
        <v>1078</v>
      </c>
      <c r="B26" s="743"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35</v>
      </c>
      <c r="AF98" s="40">
        <f t="shared" ref="AF98:AF103" si="0">AE98</f>
        <v>35</v>
      </c>
      <c r="AG98" s="40">
        <f>IF(AE98&lt;&gt;0,AF98/10,0)</f>
        <v>3.5</v>
      </c>
      <c r="AH98" s="40">
        <f>IFERROR(AD98*AG98,0)</f>
        <v>24.5</v>
      </c>
      <c r="AI98" s="40">
        <f t="shared" ref="AI98:AI117" si="1">IF(AG98=0,0,AF98-AH98)</f>
        <v>10.5</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13</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14</v>
      </c>
      <c r="AK100" s="46" t="str">
        <f t="shared" si="5"/>
        <v>Water Imported (WI)</v>
      </c>
      <c r="AL100">
        <f t="shared" si="6"/>
        <v>0</v>
      </c>
      <c r="AM100">
        <f t="shared" si="7"/>
        <v>0</v>
      </c>
      <c r="AN100">
        <f t="shared" si="2"/>
        <v>0</v>
      </c>
    </row>
    <row r="101" spans="28:40">
      <c r="AC101" s="220" t="s">
        <v>704</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0</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4</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3</v>
      </c>
      <c r="AE108" s="70">
        <v>3.5</v>
      </c>
      <c r="AF108" s="71">
        <f t="shared" si="8"/>
        <v>4.2924528301886795</v>
      </c>
      <c r="AG108" s="71">
        <f t="shared" si="3"/>
        <v>0.42924528301886794</v>
      </c>
      <c r="AH108" s="71">
        <f t="shared" si="9"/>
        <v>1.2877358490566038</v>
      </c>
      <c r="AI108" s="71">
        <f t="shared" si="1"/>
        <v>3.0047169811320757</v>
      </c>
      <c r="AJ108" s="72">
        <f t="array" aca="1" ref="AJ108" ca="1">SUM(1*(AI108&lt;$AI$98:$AI$117))+1+IF(ROW(AI108)-ROW($AI$98)=0,0,SUM(1*(AI108=OFFSET($AI$98,0,0,INDEX(ROW(AI108)-ROW($AI$98)+1,1)-1,1))))</f>
        <v>6</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5</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62.150943396226417</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7"/>
      <c r="H11" s="757"/>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8" t="s">
        <v>304</v>
      </c>
      <c r="E16" s="758"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1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12" t="s">
        <v>165</v>
      </c>
      <c r="C2" s="1213"/>
      <c r="D2" s="1213"/>
      <c r="E2" s="1213"/>
      <c r="F2" s="1213"/>
      <c r="G2" s="1213"/>
      <c r="H2" s="1213"/>
      <c r="I2" s="1213"/>
      <c r="J2" s="1213"/>
      <c r="K2" s="1213"/>
      <c r="L2" s="1213"/>
      <c r="M2" s="1214"/>
      <c r="N2" s="115"/>
    </row>
    <row r="3" spans="1:14" ht="4.3499999999999996" customHeight="1" thickBot="1">
      <c r="A3" s="113"/>
      <c r="B3" s="1212"/>
      <c r="C3" s="1213"/>
      <c r="D3" s="1213"/>
      <c r="E3" s="1213"/>
      <c r="F3" s="1213"/>
      <c r="G3" s="1213"/>
      <c r="H3" s="1213"/>
      <c r="I3" s="1213"/>
      <c r="J3" s="1213"/>
      <c r="K3" s="1213"/>
      <c r="L3" s="1213"/>
      <c r="M3" s="1214"/>
      <c r="N3" s="115"/>
    </row>
    <row r="4" spans="1:14" ht="15" customHeight="1" thickBot="1">
      <c r="A4" s="113"/>
      <c r="B4" s="417"/>
      <c r="C4" s="418" t="s">
        <v>122</v>
      </c>
      <c r="D4" s="1215" t="s">
        <v>123</v>
      </c>
      <c r="E4" s="1216"/>
      <c r="F4" s="1216"/>
      <c r="G4" s="1216"/>
      <c r="H4" s="1216"/>
      <c r="I4" s="1216"/>
      <c r="J4" s="1216"/>
      <c r="K4" s="1216"/>
      <c r="L4" s="1217"/>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82" t="s">
        <v>959</v>
      </c>
      <c r="E6" s="1183"/>
      <c r="F6" s="1183"/>
      <c r="G6" s="1183"/>
      <c r="H6" s="1183"/>
      <c r="I6" s="1183"/>
      <c r="J6" s="1183"/>
      <c r="K6" s="1183"/>
      <c r="L6" s="1184"/>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82" t="s">
        <v>1218</v>
      </c>
      <c r="E8" s="1183"/>
      <c r="F8" s="1183"/>
      <c r="G8" s="1183"/>
      <c r="H8" s="1183"/>
      <c r="I8" s="1183"/>
      <c r="J8" s="1183"/>
      <c r="K8" s="1183"/>
      <c r="L8" s="118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87" t="s">
        <v>1219</v>
      </c>
      <c r="E10" s="1218"/>
      <c r="F10" s="1218"/>
      <c r="G10" s="1218"/>
      <c r="H10" s="1218"/>
      <c r="I10" s="1218"/>
      <c r="J10" s="1218"/>
      <c r="K10" s="1218"/>
      <c r="L10" s="121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87" t="s">
        <v>1220</v>
      </c>
      <c r="E12" s="1188"/>
      <c r="F12" s="1188"/>
      <c r="G12" s="1188"/>
      <c r="H12" s="1188"/>
      <c r="I12" s="1188"/>
      <c r="J12" s="1188"/>
      <c r="K12" s="1188"/>
      <c r="L12" s="118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07" t="s">
        <v>121</v>
      </c>
      <c r="E14" s="1188"/>
      <c r="F14" s="1188"/>
      <c r="G14" s="1188"/>
      <c r="H14" s="1188"/>
      <c r="I14" s="1188"/>
      <c r="J14" s="1188"/>
      <c r="K14" s="1188"/>
      <c r="L14" s="118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207" t="s">
        <v>154</v>
      </c>
      <c r="E16" s="1188"/>
      <c r="F16" s="1188"/>
      <c r="G16" s="1188"/>
      <c r="H16" s="1188"/>
      <c r="I16" s="1188"/>
      <c r="J16" s="1188"/>
      <c r="K16" s="1188"/>
      <c r="L16" s="118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207" t="s">
        <v>155</v>
      </c>
      <c r="E18" s="1188"/>
      <c r="F18" s="1188"/>
      <c r="G18" s="1188"/>
      <c r="H18" s="1188"/>
      <c r="I18" s="1188"/>
      <c r="J18" s="1188"/>
      <c r="K18" s="1188"/>
      <c r="L18" s="118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87" t="s">
        <v>763</v>
      </c>
      <c r="E20" s="1188"/>
      <c r="F20" s="1188"/>
      <c r="G20" s="1188"/>
      <c r="H20" s="1188"/>
      <c r="I20" s="1188"/>
      <c r="J20" s="1188"/>
      <c r="K20" s="1188"/>
      <c r="L20" s="118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87" t="s">
        <v>984</v>
      </c>
      <c r="E22" s="1188"/>
      <c r="F22" s="1188"/>
      <c r="G22" s="1188"/>
      <c r="H22" s="1188"/>
      <c r="I22" s="1188"/>
      <c r="J22" s="1188"/>
      <c r="K22" s="1188"/>
      <c r="L22" s="118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87" t="s">
        <v>1217</v>
      </c>
      <c r="E24" s="1188"/>
      <c r="F24" s="1188"/>
      <c r="G24" s="1188"/>
      <c r="H24" s="1188"/>
      <c r="I24" s="1188"/>
      <c r="J24" s="1188"/>
      <c r="K24" s="1188"/>
      <c r="L24" s="118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207" t="s">
        <v>156</v>
      </c>
      <c r="E26" s="1188"/>
      <c r="F26" s="1188"/>
      <c r="G26" s="1188"/>
      <c r="H26" s="1188"/>
      <c r="I26" s="1188"/>
      <c r="J26" s="1188"/>
      <c r="K26" s="1188"/>
      <c r="L26" s="118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09" t="s">
        <v>157</v>
      </c>
      <c r="E28" s="1183"/>
      <c r="F28" s="1183"/>
      <c r="G28" s="1183"/>
      <c r="H28" s="1183"/>
      <c r="I28" s="1183"/>
      <c r="J28" s="1183"/>
      <c r="K28" s="1183"/>
      <c r="L28" s="118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87" t="s">
        <v>1204</v>
      </c>
      <c r="E30" s="1188"/>
      <c r="F30" s="1188"/>
      <c r="G30" s="1188"/>
      <c r="H30" s="1188"/>
      <c r="I30" s="1188"/>
      <c r="J30" s="1188"/>
      <c r="K30" s="1188"/>
      <c r="L30" s="118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07" t="s">
        <v>158</v>
      </c>
      <c r="E32" s="1188"/>
      <c r="F32" s="1188"/>
      <c r="G32" s="1188"/>
      <c r="H32" s="1188"/>
      <c r="I32" s="1188"/>
      <c r="J32" s="1188"/>
      <c r="K32" s="1188"/>
      <c r="L32" s="118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07" t="s">
        <v>159</v>
      </c>
      <c r="E34" s="1188"/>
      <c r="F34" s="1188"/>
      <c r="G34" s="1188"/>
      <c r="H34" s="1188"/>
      <c r="I34" s="1188"/>
      <c r="J34" s="1188"/>
      <c r="K34" s="1188"/>
      <c r="L34" s="118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209" t="s">
        <v>160</v>
      </c>
      <c r="E36" s="1188"/>
      <c r="F36" s="1188"/>
      <c r="G36" s="1188"/>
      <c r="H36" s="1188"/>
      <c r="I36" s="1188"/>
      <c r="J36" s="1188"/>
      <c r="K36" s="1188"/>
      <c r="L36" s="118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87" t="s">
        <v>1205</v>
      </c>
      <c r="E38" s="1188"/>
      <c r="F38" s="1188"/>
      <c r="G38" s="1188"/>
      <c r="H38" s="1188"/>
      <c r="I38" s="1188"/>
      <c r="J38" s="1188"/>
      <c r="K38" s="1188"/>
      <c r="L38" s="118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87" t="s">
        <v>907</v>
      </c>
      <c r="E40" s="1188"/>
      <c r="F40" s="1188"/>
      <c r="G40" s="1188"/>
      <c r="H40" s="1188"/>
      <c r="I40" s="1188"/>
      <c r="J40" s="1188"/>
      <c r="K40" s="1188"/>
      <c r="L40" s="118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87" t="s">
        <v>674</v>
      </c>
      <c r="E42" s="1188"/>
      <c r="F42" s="1188"/>
      <c r="G42" s="1188"/>
      <c r="H42" s="1188"/>
      <c r="I42" s="1188"/>
      <c r="J42" s="1188"/>
      <c r="K42" s="1188"/>
      <c r="L42" s="118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196" t="s">
        <v>32</v>
      </c>
      <c r="D44" s="1198" t="s">
        <v>1221</v>
      </c>
      <c r="E44" s="1199"/>
      <c r="F44" s="1199"/>
      <c r="G44" s="1199"/>
      <c r="H44" s="1199"/>
      <c r="I44" s="1199"/>
      <c r="J44" s="1199"/>
      <c r="K44" s="1199"/>
      <c r="L44" s="1200"/>
      <c r="M44" s="419"/>
      <c r="N44" s="115"/>
    </row>
    <row r="45" spans="1:14" ht="13.5" thickBot="1">
      <c r="A45" s="113"/>
      <c r="B45" s="417"/>
      <c r="C45" s="1197"/>
      <c r="D45" s="1201"/>
      <c r="E45" s="1202"/>
      <c r="F45" s="1202"/>
      <c r="G45" s="1202"/>
      <c r="H45" s="1202"/>
      <c r="I45" s="1202"/>
      <c r="J45" s="1202"/>
      <c r="K45" s="1202"/>
      <c r="L45" s="120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87" t="s">
        <v>1222</v>
      </c>
      <c r="E47" s="1188"/>
      <c r="F47" s="1188"/>
      <c r="G47" s="1188"/>
      <c r="H47" s="1188"/>
      <c r="I47" s="1188"/>
      <c r="J47" s="1188"/>
      <c r="K47" s="1188"/>
      <c r="L47" s="118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207" t="s">
        <v>162</v>
      </c>
      <c r="E49" s="1188"/>
      <c r="F49" s="1188"/>
      <c r="G49" s="1188"/>
      <c r="H49" s="1188"/>
      <c r="I49" s="1188"/>
      <c r="J49" s="1188"/>
      <c r="K49" s="1188"/>
      <c r="L49" s="118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87" t="s">
        <v>1223</v>
      </c>
      <c r="E51" s="1188"/>
      <c r="F51" s="1188"/>
      <c r="G51" s="1188"/>
      <c r="H51" s="1188"/>
      <c r="I51" s="1188"/>
      <c r="J51" s="1188"/>
      <c r="K51" s="1188"/>
      <c r="L51" s="118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196" t="s">
        <v>26</v>
      </c>
      <c r="D53" s="1198" t="s">
        <v>986</v>
      </c>
      <c r="E53" s="1199"/>
      <c r="F53" s="1199"/>
      <c r="G53" s="1199"/>
      <c r="H53" s="1199"/>
      <c r="I53" s="1199"/>
      <c r="J53" s="1199"/>
      <c r="K53" s="1199"/>
      <c r="L53" s="1200"/>
      <c r="M53" s="419"/>
      <c r="N53" s="115"/>
    </row>
    <row r="54" spans="1:14" ht="18" customHeight="1">
      <c r="A54" s="113"/>
      <c r="B54" s="417"/>
      <c r="C54" s="1205"/>
      <c r="D54" s="431"/>
      <c r="E54" s="1204" t="s">
        <v>108</v>
      </c>
      <c r="F54" s="1204"/>
      <c r="G54" s="432" t="s">
        <v>106</v>
      </c>
      <c r="H54" s="432"/>
      <c r="I54" s="1208" t="s">
        <v>107</v>
      </c>
      <c r="J54" s="1208"/>
      <c r="K54" s="430"/>
      <c r="L54" s="433"/>
      <c r="M54" s="419"/>
      <c r="N54" s="115"/>
    </row>
    <row r="55" spans="1:14" ht="18.75" customHeight="1">
      <c r="A55" s="113"/>
      <c r="B55" s="417"/>
      <c r="C55" s="1205"/>
      <c r="D55" s="431"/>
      <c r="E55" s="1185">
        <v>100</v>
      </c>
      <c r="F55" s="1186"/>
      <c r="G55" s="616" t="s">
        <v>102</v>
      </c>
      <c r="H55" s="35" t="s">
        <v>105</v>
      </c>
      <c r="I55" s="615">
        <f>E55*INDEX(Sheet1!N2:P4,MATCH(G55,Sheet1!M2:M4,0),MATCH(J55,Sheet1!N1:P1,0))</f>
        <v>306.88832897372282</v>
      </c>
      <c r="J55" s="616" t="s">
        <v>24</v>
      </c>
      <c r="K55" s="430"/>
      <c r="L55" s="433"/>
      <c r="M55" s="419"/>
      <c r="N55" s="115"/>
    </row>
    <row r="56" spans="1:14" ht="18" customHeight="1">
      <c r="A56" s="113"/>
      <c r="B56" s="417"/>
      <c r="C56" s="1205"/>
      <c r="D56" s="431"/>
      <c r="E56" s="421"/>
      <c r="F56" s="421"/>
      <c r="G56" s="1206" t="str">
        <f>"(conversion factor = "&amp;ROUND(INDEX(Sheet1!N2:P4,MATCH(G55,Sheet1!M2:M4,0),MATCH(J55,Sheet1!N1:P1,0)),4)&amp;")"</f>
        <v>(conversion factor = 3.0689)</v>
      </c>
      <c r="H56" s="1206"/>
      <c r="I56" s="1206"/>
      <c r="J56" s="1206"/>
      <c r="K56" s="430"/>
      <c r="L56" s="433"/>
      <c r="M56" s="419"/>
      <c r="N56" s="115"/>
    </row>
    <row r="57" spans="1:14" ht="3.75" customHeight="1" thickBot="1">
      <c r="A57" s="113"/>
      <c r="B57" s="417"/>
      <c r="C57" s="119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87" t="s">
        <v>1112</v>
      </c>
      <c r="E59" s="1188"/>
      <c r="F59" s="1188"/>
      <c r="G59" s="1188"/>
      <c r="H59" s="1188"/>
      <c r="I59" s="1188"/>
      <c r="J59" s="1188"/>
      <c r="K59" s="1188"/>
      <c r="L59" s="118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87" t="s">
        <v>770</v>
      </c>
      <c r="E61" s="1188"/>
      <c r="F61" s="1188"/>
      <c r="G61" s="1188"/>
      <c r="H61" s="1188"/>
      <c r="I61" s="1188"/>
      <c r="J61" s="1188"/>
      <c r="K61" s="1188"/>
      <c r="L61" s="118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87" t="s">
        <v>1232</v>
      </c>
      <c r="E63" s="1188"/>
      <c r="F63" s="1188"/>
      <c r="G63" s="1188"/>
      <c r="H63" s="1188"/>
      <c r="I63" s="1188"/>
      <c r="J63" s="1188"/>
      <c r="K63" s="1188"/>
      <c r="L63" s="118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87" t="s">
        <v>767</v>
      </c>
      <c r="E65" s="1188"/>
      <c r="F65" s="1188"/>
      <c r="G65" s="1188"/>
      <c r="H65" s="1188"/>
      <c r="I65" s="1188"/>
      <c r="J65" s="1188"/>
      <c r="K65" s="1188"/>
      <c r="L65" s="118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87" t="s">
        <v>1231</v>
      </c>
      <c r="E67" s="1188"/>
      <c r="F67" s="1188"/>
      <c r="G67" s="1188"/>
      <c r="H67" s="1188"/>
      <c r="I67" s="1188"/>
      <c r="J67" s="1188"/>
      <c r="K67" s="1188"/>
      <c r="L67" s="1189"/>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87" t="s">
        <v>766</v>
      </c>
      <c r="E69" s="1188"/>
      <c r="F69" s="1188"/>
      <c r="G69" s="1188"/>
      <c r="H69" s="1188"/>
      <c r="I69" s="1188"/>
      <c r="J69" s="1188"/>
      <c r="K69" s="1188"/>
      <c r="L69" s="1189"/>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87" t="s">
        <v>1230</v>
      </c>
      <c r="E71" s="1188"/>
      <c r="F71" s="1188"/>
      <c r="G71" s="1188"/>
      <c r="H71" s="1188"/>
      <c r="I71" s="1188"/>
      <c r="J71" s="1188"/>
      <c r="K71" s="1188"/>
      <c r="L71" s="1189"/>
      <c r="M71" s="419"/>
      <c r="N71" s="115"/>
    </row>
    <row r="72" spans="1:14" ht="4.3499999999999996" customHeight="1" thickBot="1">
      <c r="A72" s="113"/>
      <c r="B72" s="417"/>
      <c r="C72" s="769"/>
      <c r="D72" s="765"/>
      <c r="E72" s="430"/>
      <c r="F72" s="430"/>
      <c r="G72" s="430"/>
      <c r="H72" s="430"/>
      <c r="I72" s="430"/>
      <c r="J72" s="430"/>
      <c r="K72" s="430"/>
      <c r="L72" s="430"/>
      <c r="M72" s="419"/>
      <c r="N72" s="115"/>
    </row>
    <row r="73" spans="1:14" ht="409.5" customHeight="1">
      <c r="A73" s="113"/>
      <c r="B73" s="417"/>
      <c r="C73" s="1210" t="s">
        <v>1229</v>
      </c>
      <c r="D73" s="1190" t="s">
        <v>1252</v>
      </c>
      <c r="E73" s="1191"/>
      <c r="F73" s="1191"/>
      <c r="G73" s="1191"/>
      <c r="H73" s="1191"/>
      <c r="I73" s="1191"/>
      <c r="J73" s="1191"/>
      <c r="K73" s="1191"/>
      <c r="L73" s="1192"/>
      <c r="M73" s="419"/>
      <c r="N73" s="115"/>
    </row>
    <row r="74" spans="1:14" ht="302.45" customHeight="1" thickBot="1">
      <c r="A74" s="113"/>
      <c r="B74" s="417"/>
      <c r="C74" s="1211"/>
      <c r="D74" s="1193"/>
      <c r="E74" s="1194"/>
      <c r="F74" s="1194"/>
      <c r="G74" s="1194"/>
      <c r="H74" s="1194"/>
      <c r="I74" s="1194"/>
      <c r="J74" s="1194"/>
      <c r="K74" s="1194"/>
      <c r="L74" s="119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82" t="s">
        <v>985</v>
      </c>
      <c r="E76" s="1183"/>
      <c r="F76" s="1183"/>
      <c r="G76" s="1183"/>
      <c r="H76" s="1183"/>
      <c r="I76" s="1183"/>
      <c r="J76" s="1183"/>
      <c r="K76" s="1183"/>
      <c r="L76" s="1184"/>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35" t="s">
        <v>787</v>
      </c>
      <c r="C2" s="1136"/>
      <c r="D2" s="1136"/>
      <c r="E2" s="1136"/>
      <c r="F2" s="1136"/>
      <c r="G2" s="1136"/>
      <c r="H2" s="1136"/>
      <c r="I2" s="1136"/>
      <c r="J2" s="1136"/>
      <c r="K2" s="1136"/>
      <c r="L2" s="1136"/>
      <c r="M2" s="1136"/>
      <c r="N2" s="1136"/>
      <c r="O2" s="1136"/>
      <c r="P2" s="1136"/>
      <c r="Q2" s="1136"/>
      <c r="R2" s="1136"/>
      <c r="S2" s="1137"/>
      <c r="T2" s="111"/>
    </row>
    <row r="3" spans="1:22" ht="8.25" customHeight="1" thickBot="1">
      <c r="A3" s="118"/>
      <c r="B3" s="403"/>
      <c r="C3" s="452"/>
      <c r="D3" s="452"/>
      <c r="E3" s="452"/>
      <c r="F3" s="452"/>
      <c r="S3" s="404"/>
      <c r="T3" s="111"/>
    </row>
    <row r="4" spans="1:22" s="46" customFormat="1" ht="79.5" customHeight="1" thickBot="1">
      <c r="A4" s="91"/>
      <c r="B4" s="438"/>
      <c r="C4" s="1244" t="s">
        <v>1195</v>
      </c>
      <c r="D4" s="1245"/>
      <c r="E4" s="1245"/>
      <c r="F4" s="1245"/>
      <c r="G4" s="1245"/>
      <c r="H4" s="1245"/>
      <c r="I4" s="1245"/>
      <c r="J4" s="1245"/>
      <c r="K4" s="1245"/>
      <c r="L4" s="1245"/>
      <c r="M4" s="1245"/>
      <c r="N4" s="1245"/>
      <c r="O4" s="1245"/>
      <c r="P4" s="1245"/>
      <c r="Q4" s="1245"/>
      <c r="R4" s="1246"/>
      <c r="S4" s="419"/>
      <c r="T4" s="91"/>
      <c r="U4" s="4"/>
      <c r="V4" s="4"/>
    </row>
    <row r="5" spans="1:22" s="46" customFormat="1" ht="7.5" customHeight="1" thickBot="1">
      <c r="A5" s="91"/>
      <c r="B5" s="438"/>
      <c r="C5" s="453"/>
      <c r="S5" s="419"/>
      <c r="T5" s="91"/>
      <c r="U5" s="4"/>
      <c r="V5" s="4"/>
    </row>
    <row r="6" spans="1:22" s="46" customFormat="1" ht="62.1" customHeight="1" thickBot="1">
      <c r="A6" s="91"/>
      <c r="B6" s="438"/>
      <c r="C6" s="1247" t="s">
        <v>237</v>
      </c>
      <c r="D6" s="1248"/>
      <c r="E6" s="1248"/>
      <c r="F6" s="1248"/>
      <c r="G6" s="1248"/>
      <c r="H6" s="1248"/>
      <c r="I6" s="1248"/>
      <c r="J6" s="1248"/>
      <c r="K6" s="1248"/>
      <c r="L6" s="1248"/>
      <c r="M6" s="1248"/>
      <c r="N6" s="1248"/>
      <c r="O6" s="1248"/>
      <c r="P6" s="1248"/>
      <c r="Q6" s="1248"/>
      <c r="R6" s="124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8" t="s">
        <v>30</v>
      </c>
      <c r="D8" s="879" t="s">
        <v>1212</v>
      </c>
      <c r="E8" s="454"/>
      <c r="F8" s="454" t="s">
        <v>1169</v>
      </c>
      <c r="G8" s="141"/>
      <c r="H8" s="879" t="s">
        <v>1167</v>
      </c>
      <c r="I8" s="141"/>
      <c r="J8" s="141"/>
      <c r="K8" s="141"/>
      <c r="L8" s="141"/>
      <c r="M8" s="141"/>
      <c r="N8" s="141"/>
      <c r="O8" s="141"/>
      <c r="P8" s="141"/>
      <c r="Q8" s="141"/>
      <c r="R8" s="154"/>
      <c r="S8" s="419"/>
      <c r="T8" s="91"/>
      <c r="U8" s="4"/>
      <c r="V8" s="4"/>
    </row>
    <row r="9" spans="1:22" s="46" customFormat="1" ht="15">
      <c r="A9" s="91"/>
      <c r="B9" s="438"/>
      <c r="C9" s="880"/>
      <c r="D9" s="247" t="s">
        <v>1170</v>
      </c>
      <c r="E9" s="247"/>
      <c r="H9" s="247" t="s">
        <v>1168</v>
      </c>
      <c r="I9" s="247"/>
      <c r="R9" s="146"/>
      <c r="S9" s="419"/>
      <c r="T9" s="91"/>
      <c r="U9" s="4"/>
      <c r="V9" s="4"/>
    </row>
    <row r="10" spans="1:22" s="46" customFormat="1" ht="15">
      <c r="A10" s="91"/>
      <c r="B10" s="438"/>
      <c r="C10" s="880"/>
      <c r="D10" s="247" t="s">
        <v>1171</v>
      </c>
      <c r="E10" s="247"/>
      <c r="H10" s="247" t="s">
        <v>1172</v>
      </c>
      <c r="I10" s="247"/>
      <c r="R10" s="146"/>
      <c r="S10" s="419"/>
      <c r="T10" s="91"/>
      <c r="U10" s="4"/>
      <c r="V10" s="4"/>
    </row>
    <row r="11" spans="1:22" s="46" customFormat="1" ht="15">
      <c r="A11" s="91"/>
      <c r="B11" s="438"/>
      <c r="C11" s="880"/>
      <c r="D11" s="247" t="s">
        <v>1211</v>
      </c>
      <c r="E11" s="247"/>
      <c r="H11" s="247" t="s">
        <v>1173</v>
      </c>
      <c r="I11" s="247"/>
      <c r="R11" s="146"/>
      <c r="S11" s="419"/>
      <c r="T11" s="91"/>
      <c r="U11" s="4"/>
      <c r="V11" s="4"/>
    </row>
    <row r="12" spans="1:22" s="46" customFormat="1" ht="15">
      <c r="A12" s="91"/>
      <c r="B12" s="438"/>
      <c r="C12" s="880"/>
      <c r="D12" s="247" t="s">
        <v>1210</v>
      </c>
      <c r="E12" s="247"/>
      <c r="H12" s="247" t="s">
        <v>1168</v>
      </c>
      <c r="I12" s="247"/>
      <c r="R12" s="146"/>
      <c r="S12" s="419"/>
      <c r="T12" s="91"/>
      <c r="U12" s="4"/>
      <c r="V12" s="4"/>
    </row>
    <row r="13" spans="1:22" s="46" customFormat="1" ht="6.6" customHeight="1">
      <c r="A13" s="91"/>
      <c r="B13" s="438"/>
      <c r="C13" s="455"/>
      <c r="D13" s="682"/>
      <c r="E13" s="682"/>
      <c r="F13" s="682"/>
      <c r="G13" s="682"/>
      <c r="H13" s="682"/>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26" t="s">
        <v>1174</v>
      </c>
      <c r="E15" s="1226"/>
      <c r="F15" s="1226"/>
      <c r="G15" s="1226"/>
      <c r="H15" s="1226"/>
      <c r="I15" s="1226"/>
      <c r="J15" s="1226"/>
      <c r="K15" s="1226"/>
      <c r="L15" s="1226"/>
      <c r="M15" s="1226"/>
      <c r="N15" s="1226"/>
      <c r="O15" s="1226"/>
      <c r="P15" s="1226"/>
      <c r="Q15" s="1226"/>
      <c r="R15" s="146"/>
      <c r="S15" s="419"/>
      <c r="T15" s="91"/>
      <c r="U15" s="4"/>
      <c r="V15" s="4"/>
    </row>
    <row r="16" spans="1:22" s="46" customFormat="1" ht="12.75" hidden="1" customHeight="1">
      <c r="A16" s="91"/>
      <c r="B16" s="438"/>
      <c r="C16" s="455"/>
      <c r="D16" s="1226"/>
      <c r="E16" s="1226"/>
      <c r="F16" s="1226"/>
      <c r="G16" s="1226"/>
      <c r="H16" s="1226"/>
      <c r="I16" s="1226"/>
      <c r="J16" s="1226"/>
      <c r="K16" s="1226"/>
      <c r="L16" s="1226"/>
      <c r="M16" s="1226"/>
      <c r="N16" s="1226"/>
      <c r="O16" s="1226"/>
      <c r="P16" s="1226"/>
      <c r="Q16" s="1226"/>
      <c r="R16" s="146"/>
      <c r="S16" s="419"/>
      <c r="T16" s="91"/>
      <c r="U16" s="4"/>
      <c r="V16" s="4"/>
    </row>
    <row r="17" spans="1:22" s="46" customFormat="1" ht="23.45" customHeight="1" thickBot="1">
      <c r="A17" s="91"/>
      <c r="B17" s="438"/>
      <c r="C17" s="456"/>
      <c r="D17" s="1227"/>
      <c r="E17" s="1227"/>
      <c r="F17" s="1227"/>
      <c r="G17" s="1227"/>
      <c r="H17" s="1227"/>
      <c r="I17" s="1227"/>
      <c r="J17" s="1227"/>
      <c r="K17" s="1227"/>
      <c r="L17" s="1227"/>
      <c r="M17" s="1227"/>
      <c r="N17" s="1227"/>
      <c r="O17" s="1227"/>
      <c r="P17" s="1227"/>
      <c r="Q17" s="122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5" t="s">
        <v>29</v>
      </c>
      <c r="D19" s="1242"/>
      <c r="E19" s="1242"/>
      <c r="F19" s="1242"/>
      <c r="G19" s="1242"/>
      <c r="H19" s="1242"/>
      <c r="I19" s="1242"/>
      <c r="J19" s="1242"/>
      <c r="K19" s="1242"/>
      <c r="L19" s="1242"/>
      <c r="M19" s="1242"/>
      <c r="N19" s="1242"/>
      <c r="O19" s="1242"/>
      <c r="P19" s="1242"/>
      <c r="Q19" s="1242"/>
      <c r="R19" s="1243"/>
      <c r="S19" s="419"/>
      <c r="T19" s="91"/>
      <c r="U19" s="4"/>
      <c r="V19" s="4"/>
    </row>
    <row r="20" spans="1:22" s="107" customFormat="1" ht="36.6" customHeight="1">
      <c r="A20" s="930"/>
      <c r="B20" s="931"/>
      <c r="C20" s="1228" t="s">
        <v>1265</v>
      </c>
      <c r="D20" s="1229"/>
      <c r="E20" s="1229"/>
      <c r="F20" s="1229"/>
      <c r="G20" s="1229"/>
      <c r="H20" s="1229"/>
      <c r="I20" s="1229"/>
      <c r="J20" s="1229"/>
      <c r="K20" s="1229"/>
      <c r="L20" s="1229"/>
      <c r="M20" s="1229"/>
      <c r="N20" s="1229"/>
      <c r="O20" s="1229"/>
      <c r="P20" s="1229"/>
      <c r="Q20" s="1229"/>
      <c r="R20" s="1230"/>
      <c r="S20" s="427"/>
      <c r="T20" s="930"/>
      <c r="U20" s="932"/>
      <c r="V20" s="932"/>
    </row>
    <row r="21" spans="1:22" s="107" customFormat="1" ht="15" customHeight="1">
      <c r="A21" s="930"/>
      <c r="B21" s="931"/>
      <c r="C21" s="1228" t="s">
        <v>1176</v>
      </c>
      <c r="D21" s="1229"/>
      <c r="E21" s="1229"/>
      <c r="F21" s="1229"/>
      <c r="G21" s="1229"/>
      <c r="H21" s="1229"/>
      <c r="I21" s="1229"/>
      <c r="J21" s="1229"/>
      <c r="K21" s="1229"/>
      <c r="L21" s="1229"/>
      <c r="M21" s="1229"/>
      <c r="N21" s="1229"/>
      <c r="O21" s="1229"/>
      <c r="P21" s="1229"/>
      <c r="Q21" s="1229"/>
      <c r="R21" s="1230"/>
      <c r="S21" s="427"/>
      <c r="T21" s="930"/>
      <c r="U21" s="932"/>
      <c r="V21" s="932"/>
    </row>
    <row r="22" spans="1:22" s="107" customFormat="1" ht="15" customHeight="1">
      <c r="A22" s="930"/>
      <c r="B22" s="931"/>
      <c r="C22" s="1228" t="s">
        <v>1177</v>
      </c>
      <c r="D22" s="1229"/>
      <c r="E22" s="1229"/>
      <c r="F22" s="1229"/>
      <c r="G22" s="1229"/>
      <c r="H22" s="1229"/>
      <c r="I22" s="1229"/>
      <c r="J22" s="1229"/>
      <c r="K22" s="1229"/>
      <c r="L22" s="1229"/>
      <c r="M22" s="1229"/>
      <c r="N22" s="1229"/>
      <c r="O22" s="1229"/>
      <c r="P22" s="1229"/>
      <c r="Q22" s="1229"/>
      <c r="R22" s="1230"/>
      <c r="S22" s="427"/>
      <c r="T22" s="930"/>
      <c r="U22" s="932"/>
      <c r="V22" s="932"/>
    </row>
    <row r="23" spans="1:22" s="107" customFormat="1" ht="15" customHeight="1">
      <c r="A23" s="930"/>
      <c r="B23" s="931"/>
      <c r="C23" s="1228" t="s">
        <v>1263</v>
      </c>
      <c r="D23" s="1229"/>
      <c r="E23" s="1229"/>
      <c r="F23" s="1229"/>
      <c r="G23" s="1229"/>
      <c r="H23" s="1229"/>
      <c r="I23" s="1229"/>
      <c r="J23" s="1229"/>
      <c r="K23" s="1229"/>
      <c r="L23" s="1229"/>
      <c r="M23" s="1229"/>
      <c r="N23" s="1229"/>
      <c r="O23" s="1229"/>
      <c r="P23" s="1229"/>
      <c r="Q23" s="1229"/>
      <c r="R23" s="1230"/>
      <c r="S23" s="427"/>
      <c r="T23" s="930"/>
      <c r="U23" s="932"/>
      <c r="V23" s="932"/>
    </row>
    <row r="24" spans="1:22" s="107" customFormat="1" ht="15" customHeight="1">
      <c r="A24" s="930"/>
      <c r="B24" s="931"/>
      <c r="C24" s="1228" t="s">
        <v>1264</v>
      </c>
      <c r="D24" s="1229"/>
      <c r="E24" s="1229"/>
      <c r="F24" s="1229"/>
      <c r="G24" s="1229"/>
      <c r="H24" s="1229"/>
      <c r="I24" s="1229"/>
      <c r="J24" s="1229"/>
      <c r="K24" s="1229"/>
      <c r="L24" s="1229"/>
      <c r="M24" s="1229"/>
      <c r="N24" s="1229"/>
      <c r="O24" s="1229"/>
      <c r="P24" s="1229"/>
      <c r="Q24" s="1229"/>
      <c r="R24" s="1230"/>
      <c r="S24" s="427"/>
      <c r="T24" s="930"/>
      <c r="U24" s="932"/>
      <c r="V24" s="932"/>
    </row>
    <row r="25" spans="1:22" s="107" customFormat="1" ht="15" customHeight="1">
      <c r="A25" s="930"/>
      <c r="B25" s="931"/>
      <c r="C25" s="1228" t="s">
        <v>1178</v>
      </c>
      <c r="D25" s="1229"/>
      <c r="E25" s="1229"/>
      <c r="F25" s="1229"/>
      <c r="G25" s="1229"/>
      <c r="H25" s="1229"/>
      <c r="I25" s="1229"/>
      <c r="J25" s="1229"/>
      <c r="K25" s="1229"/>
      <c r="L25" s="1229"/>
      <c r="M25" s="1229"/>
      <c r="N25" s="1229"/>
      <c r="O25" s="1229"/>
      <c r="P25" s="1229"/>
      <c r="Q25" s="1229"/>
      <c r="R25" s="1230"/>
      <c r="S25" s="427"/>
      <c r="T25" s="930"/>
      <c r="U25" s="932"/>
      <c r="V25" s="932"/>
    </row>
    <row r="26" spans="1:22" s="107" customFormat="1" ht="15" customHeight="1">
      <c r="A26" s="930"/>
      <c r="B26" s="931"/>
      <c r="C26" s="1228" t="s">
        <v>1179</v>
      </c>
      <c r="D26" s="1229"/>
      <c r="E26" s="1229"/>
      <c r="F26" s="1229"/>
      <c r="G26" s="1229"/>
      <c r="H26" s="1229"/>
      <c r="I26" s="1229"/>
      <c r="J26" s="1229"/>
      <c r="K26" s="1229"/>
      <c r="L26" s="1229"/>
      <c r="M26" s="1229"/>
      <c r="N26" s="1229"/>
      <c r="O26" s="1229"/>
      <c r="P26" s="1229"/>
      <c r="Q26" s="1229"/>
      <c r="R26" s="1230"/>
      <c r="S26" s="427"/>
      <c r="T26" s="930"/>
      <c r="U26" s="932"/>
      <c r="V26" s="932"/>
    </row>
    <row r="27" spans="1:22" s="107" customFormat="1" ht="15" customHeight="1">
      <c r="A27" s="930"/>
      <c r="B27" s="931"/>
      <c r="C27" s="1228" t="s">
        <v>1242</v>
      </c>
      <c r="D27" s="1229"/>
      <c r="E27" s="1229"/>
      <c r="F27" s="1229"/>
      <c r="G27" s="1229"/>
      <c r="H27" s="1229"/>
      <c r="I27" s="1229"/>
      <c r="J27" s="1229"/>
      <c r="K27" s="1229"/>
      <c r="L27" s="1229"/>
      <c r="M27" s="1229"/>
      <c r="N27" s="1229"/>
      <c r="O27" s="1229"/>
      <c r="P27" s="1229"/>
      <c r="Q27" s="1229"/>
      <c r="R27" s="1230"/>
      <c r="S27" s="427"/>
      <c r="T27" s="930"/>
      <c r="U27" s="932"/>
      <c r="V27" s="932"/>
    </row>
    <row r="28" spans="1:22" s="107" customFormat="1" ht="15" customHeight="1">
      <c r="A28" s="930"/>
      <c r="B28" s="931"/>
      <c r="C28" s="1228" t="s">
        <v>1243</v>
      </c>
      <c r="D28" s="1229"/>
      <c r="E28" s="1229"/>
      <c r="F28" s="1229"/>
      <c r="G28" s="1229"/>
      <c r="H28" s="1229"/>
      <c r="I28" s="1229"/>
      <c r="J28" s="1229"/>
      <c r="K28" s="1229"/>
      <c r="L28" s="1229"/>
      <c r="M28" s="1229"/>
      <c r="N28" s="1229"/>
      <c r="O28" s="1229"/>
      <c r="P28" s="1229"/>
      <c r="Q28" s="1229"/>
      <c r="R28" s="1230"/>
      <c r="S28" s="427"/>
      <c r="T28" s="930"/>
      <c r="U28" s="932"/>
      <c r="V28" s="932"/>
    </row>
    <row r="29" spans="1:22" s="107" customFormat="1" ht="15" customHeight="1">
      <c r="A29" s="930"/>
      <c r="B29" s="931"/>
      <c r="C29" s="1228" t="s">
        <v>1180</v>
      </c>
      <c r="D29" s="1229"/>
      <c r="E29" s="1229"/>
      <c r="F29" s="1229"/>
      <c r="G29" s="1229"/>
      <c r="H29" s="1229"/>
      <c r="I29" s="1229"/>
      <c r="J29" s="1229"/>
      <c r="K29" s="1229"/>
      <c r="L29" s="1229"/>
      <c r="M29" s="1229"/>
      <c r="N29" s="1229"/>
      <c r="O29" s="1229"/>
      <c r="P29" s="1229"/>
      <c r="Q29" s="1229"/>
      <c r="R29" s="1230"/>
      <c r="S29" s="427"/>
      <c r="T29" s="930"/>
      <c r="U29" s="932"/>
      <c r="V29" s="932"/>
    </row>
    <row r="30" spans="1:22" s="107" customFormat="1" ht="27.6" customHeight="1" thickBot="1">
      <c r="A30" s="930"/>
      <c r="B30" s="931"/>
      <c r="C30" s="1250" t="s">
        <v>1266</v>
      </c>
      <c r="D30" s="1251"/>
      <c r="E30" s="1251"/>
      <c r="F30" s="1251"/>
      <c r="G30" s="1251"/>
      <c r="H30" s="1251"/>
      <c r="I30" s="1251"/>
      <c r="J30" s="1251"/>
      <c r="K30" s="1251"/>
      <c r="L30" s="1251"/>
      <c r="M30" s="1251"/>
      <c r="N30" s="1251"/>
      <c r="O30" s="1251"/>
      <c r="P30" s="1251"/>
      <c r="Q30" s="1251"/>
      <c r="R30" s="1252"/>
      <c r="S30" s="427"/>
      <c r="T30" s="930"/>
      <c r="U30" s="932"/>
      <c r="V30" s="932"/>
    </row>
    <row r="31" spans="1:22" s="46" customFormat="1" ht="8.25" customHeight="1" thickBot="1">
      <c r="A31" s="91"/>
      <c r="B31" s="438"/>
      <c r="S31" s="419"/>
      <c r="T31" s="91"/>
      <c r="U31" s="4"/>
      <c r="V31" s="4"/>
    </row>
    <row r="32" spans="1:22" s="46" customFormat="1" ht="24" customHeight="1">
      <c r="A32" s="91"/>
      <c r="B32" s="438"/>
      <c r="C32" s="866"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5" t="s">
        <v>256</v>
      </c>
      <c r="G33" s="1236"/>
      <c r="H33" s="1236"/>
      <c r="I33" s="1236"/>
      <c r="J33" s="1236"/>
      <c r="K33" s="1236"/>
      <c r="L33" s="1236"/>
      <c r="M33" s="1236"/>
      <c r="N33" s="1236"/>
      <c r="O33" s="1236"/>
      <c r="P33" s="1236"/>
      <c r="Q33" s="1236"/>
      <c r="R33" s="1237"/>
      <c r="S33" s="419"/>
      <c r="T33" s="91"/>
      <c r="U33" s="4"/>
      <c r="V33" s="4"/>
    </row>
    <row r="34" spans="1:22" s="46" customFormat="1" ht="35.1" customHeight="1">
      <c r="A34" s="91"/>
      <c r="B34" s="438"/>
      <c r="C34" s="462" t="s">
        <v>243</v>
      </c>
      <c r="D34" s="463" t="s">
        <v>254</v>
      </c>
      <c r="E34" s="464">
        <v>5</v>
      </c>
      <c r="F34" s="1238" t="s">
        <v>248</v>
      </c>
      <c r="G34" s="1239"/>
      <c r="H34" s="1239"/>
      <c r="I34" s="1239"/>
      <c r="J34" s="1239"/>
      <c r="K34" s="1239"/>
      <c r="L34" s="1239"/>
      <c r="M34" s="1239"/>
      <c r="N34" s="1239"/>
      <c r="O34" s="1239"/>
      <c r="P34" s="1239"/>
      <c r="Q34" s="1239"/>
      <c r="R34" s="1240"/>
      <c r="S34" s="419"/>
      <c r="T34" s="91"/>
      <c r="U34" s="4"/>
      <c r="V34" s="4"/>
    </row>
    <row r="35" spans="1:22" s="46" customFormat="1" ht="47.45" customHeight="1">
      <c r="A35" s="91"/>
      <c r="B35" s="438"/>
      <c r="C35" s="462" t="s">
        <v>244</v>
      </c>
      <c r="D35" s="464">
        <v>2006</v>
      </c>
      <c r="E35" s="464">
        <v>5</v>
      </c>
      <c r="F35" s="1238" t="s">
        <v>249</v>
      </c>
      <c r="G35" s="1239"/>
      <c r="H35" s="1239"/>
      <c r="I35" s="1239"/>
      <c r="J35" s="1239"/>
      <c r="K35" s="1239"/>
      <c r="L35" s="1239"/>
      <c r="M35" s="1239"/>
      <c r="N35" s="1239"/>
      <c r="O35" s="1239"/>
      <c r="P35" s="1239"/>
      <c r="Q35" s="1239"/>
      <c r="R35" s="1240"/>
      <c r="S35" s="419"/>
      <c r="T35" s="91"/>
      <c r="U35" s="4"/>
      <c r="V35" s="4"/>
    </row>
    <row r="36" spans="1:22" s="46" customFormat="1" ht="59.45" customHeight="1">
      <c r="A36" s="91"/>
      <c r="B36" s="438"/>
      <c r="C36" s="462" t="s">
        <v>245</v>
      </c>
      <c r="D36" s="464">
        <v>2007</v>
      </c>
      <c r="E36" s="464">
        <v>7</v>
      </c>
      <c r="F36" s="1238" t="s">
        <v>250</v>
      </c>
      <c r="G36" s="1239"/>
      <c r="H36" s="1239"/>
      <c r="I36" s="1239"/>
      <c r="J36" s="1239"/>
      <c r="K36" s="1239"/>
      <c r="L36" s="1239"/>
      <c r="M36" s="1239"/>
      <c r="N36" s="1239"/>
      <c r="O36" s="1239"/>
      <c r="P36" s="1239"/>
      <c r="Q36" s="1239"/>
      <c r="R36" s="1240"/>
      <c r="S36" s="419"/>
      <c r="T36" s="91"/>
      <c r="U36" s="4"/>
      <c r="V36" s="4"/>
    </row>
    <row r="37" spans="1:22" s="46" customFormat="1" ht="137.44999999999999" customHeight="1">
      <c r="A37" s="91"/>
      <c r="B37" s="438"/>
      <c r="C37" s="462" t="s">
        <v>246</v>
      </c>
      <c r="D37" s="464">
        <v>2010</v>
      </c>
      <c r="E37" s="464">
        <v>10</v>
      </c>
      <c r="F37" s="1241" t="s">
        <v>257</v>
      </c>
      <c r="G37" s="1239"/>
      <c r="H37" s="1239"/>
      <c r="I37" s="1239"/>
      <c r="J37" s="1239"/>
      <c r="K37" s="1239"/>
      <c r="L37" s="1239"/>
      <c r="M37" s="1239"/>
      <c r="N37" s="1239"/>
      <c r="O37" s="1239"/>
      <c r="P37" s="1239"/>
      <c r="Q37" s="1239"/>
      <c r="R37" s="1240"/>
      <c r="S37" s="419"/>
      <c r="T37" s="91"/>
      <c r="U37" s="4"/>
      <c r="V37" s="4"/>
    </row>
    <row r="38" spans="1:22" s="46" customFormat="1" ht="110.45" customHeight="1" thickBot="1">
      <c r="A38" s="91"/>
      <c r="B38" s="438"/>
      <c r="C38" s="465" t="s">
        <v>247</v>
      </c>
      <c r="D38" s="466">
        <v>2014</v>
      </c>
      <c r="E38" s="466">
        <v>12</v>
      </c>
      <c r="F38" s="1234" t="s">
        <v>255</v>
      </c>
      <c r="G38" s="1232"/>
      <c r="H38" s="1232"/>
      <c r="I38" s="1232"/>
      <c r="J38" s="1232"/>
      <c r="K38" s="1232"/>
      <c r="L38" s="1232"/>
      <c r="M38" s="1232"/>
      <c r="N38" s="1232"/>
      <c r="O38" s="1232"/>
      <c r="P38" s="1232"/>
      <c r="Q38" s="1232"/>
      <c r="R38" s="1233"/>
      <c r="S38" s="419"/>
      <c r="T38" s="91"/>
      <c r="U38" s="4"/>
      <c r="V38" s="4"/>
    </row>
    <row r="39" spans="1:22" s="46" customFormat="1" ht="180.6" customHeight="1" thickBot="1">
      <c r="A39" s="91"/>
      <c r="B39" s="438"/>
      <c r="C39" s="465" t="s">
        <v>662</v>
      </c>
      <c r="D39" s="466">
        <v>2020</v>
      </c>
      <c r="E39" s="467">
        <v>11</v>
      </c>
      <c r="F39" s="1231" t="s">
        <v>1175</v>
      </c>
      <c r="G39" s="1232"/>
      <c r="H39" s="1232"/>
      <c r="I39" s="1232"/>
      <c r="J39" s="1232"/>
      <c r="K39" s="1232"/>
      <c r="L39" s="1232"/>
      <c r="M39" s="1232"/>
      <c r="N39" s="1232"/>
      <c r="O39" s="1232"/>
      <c r="P39" s="1232"/>
      <c r="Q39" s="1232"/>
      <c r="R39" s="1233"/>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2" t="s">
        <v>362</v>
      </c>
      <c r="D3" s="552" t="s">
        <v>363</v>
      </c>
      <c r="E3" s="552" t="s">
        <v>364</v>
      </c>
      <c r="F3" s="552" t="s">
        <v>365</v>
      </c>
    </row>
    <row r="4" spans="2:7" ht="25.5">
      <c r="B4" s="174" t="s">
        <v>276</v>
      </c>
      <c r="C4" s="174" t="s">
        <v>366</v>
      </c>
      <c r="D4" s="174" t="s">
        <v>728</v>
      </c>
      <c r="E4" s="174" t="s">
        <v>333</v>
      </c>
      <c r="F4" s="174" t="s">
        <v>367</v>
      </c>
    </row>
    <row r="5" spans="2:7" ht="38.25">
      <c r="B5" s="174" t="s">
        <v>286</v>
      </c>
      <c r="C5" s="174" t="s">
        <v>368</v>
      </c>
      <c r="D5" s="552" t="s">
        <v>1079</v>
      </c>
      <c r="E5" s="552"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2"/>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7"/>
      <c r="H11" s="757"/>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8" t="s">
        <v>304</v>
      </c>
      <c r="E16" s="758"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1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2" t="s">
        <v>1079</v>
      </c>
      <c r="E5" s="552" t="s">
        <v>726</v>
      </c>
      <c r="F5" s="552"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2"/>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59"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0" t="s">
        <v>411</v>
      </c>
      <c r="D4" s="760" t="s">
        <v>412</v>
      </c>
      <c r="E4" s="760" t="s">
        <v>413</v>
      </c>
      <c r="F4" s="760" t="s">
        <v>414</v>
      </c>
      <c r="G4" s="760"/>
      <c r="H4" s="760" t="s">
        <v>415</v>
      </c>
      <c r="I4" s="760"/>
    </row>
    <row r="5" spans="1:10" ht="76.5">
      <c r="B5" s="761" t="s">
        <v>286</v>
      </c>
      <c r="C5" s="762" t="s">
        <v>729</v>
      </c>
      <c r="D5" s="763" t="s">
        <v>823</v>
      </c>
      <c r="E5" s="762" t="s">
        <v>533</v>
      </c>
      <c r="F5" s="762" t="s">
        <v>824</v>
      </c>
      <c r="G5" s="763" t="s">
        <v>416</v>
      </c>
      <c r="H5" s="763" t="s">
        <v>825</v>
      </c>
      <c r="I5" s="763" t="s">
        <v>826</v>
      </c>
    </row>
    <row r="6" spans="1:10">
      <c r="B6" s="179">
        <v>1</v>
      </c>
      <c r="C6" s="764" t="s">
        <v>432</v>
      </c>
      <c r="D6" s="764"/>
      <c r="E6" s="764"/>
      <c r="F6" s="765" t="s">
        <v>827</v>
      </c>
      <c r="G6" s="765" t="s">
        <v>827</v>
      </c>
      <c r="H6" s="764"/>
      <c r="I6" s="764"/>
      <c r="J6">
        <v>1</v>
      </c>
    </row>
    <row r="7" spans="1:10">
      <c r="B7" s="179">
        <v>2</v>
      </c>
      <c r="C7" s="765"/>
      <c r="D7" s="764"/>
      <c r="E7" s="764"/>
      <c r="F7" s="764"/>
      <c r="G7" s="764"/>
      <c r="H7" s="764"/>
      <c r="I7" s="764"/>
      <c r="J7">
        <v>2</v>
      </c>
    </row>
    <row r="8" spans="1:10">
      <c r="B8" s="179">
        <v>3</v>
      </c>
      <c r="C8" s="764" t="s">
        <v>433</v>
      </c>
      <c r="D8" s="764"/>
      <c r="E8" s="764"/>
      <c r="F8" s="764"/>
      <c r="G8" s="764"/>
      <c r="H8" s="764"/>
      <c r="I8" s="764"/>
      <c r="J8">
        <v>3</v>
      </c>
    </row>
    <row r="9" spans="1:10" ht="25.5" customHeight="1">
      <c r="B9" s="179">
        <v>4</v>
      </c>
      <c r="C9" s="765"/>
      <c r="D9" s="764"/>
      <c r="E9" s="764"/>
      <c r="F9" s="765"/>
      <c r="G9" s="765"/>
      <c r="H9" s="764"/>
      <c r="I9" s="765"/>
      <c r="J9">
        <v>4</v>
      </c>
    </row>
    <row r="10" spans="1:10" ht="25.5">
      <c r="B10" s="179">
        <v>5</v>
      </c>
      <c r="C10" s="764" t="s">
        <v>434</v>
      </c>
      <c r="D10" s="764"/>
      <c r="E10" s="764"/>
      <c r="F10" s="764" t="s">
        <v>424</v>
      </c>
      <c r="G10" s="764"/>
      <c r="H10" s="765"/>
      <c r="I10" s="765" t="s">
        <v>336</v>
      </c>
      <c r="J10">
        <v>5</v>
      </c>
    </row>
    <row r="11" spans="1:10">
      <c r="B11" s="179">
        <v>6</v>
      </c>
      <c r="C11" s="765"/>
      <c r="D11" s="764" t="s">
        <v>417</v>
      </c>
      <c r="E11" s="764"/>
      <c r="F11" s="765"/>
      <c r="G11" s="766"/>
      <c r="H11" s="764"/>
      <c r="I11" s="764"/>
      <c r="J11">
        <v>6</v>
      </c>
    </row>
    <row r="12" spans="1:10">
      <c r="B12" s="179">
        <v>7</v>
      </c>
      <c r="C12" s="764" t="s">
        <v>447</v>
      </c>
      <c r="D12" s="764" t="s">
        <v>419</v>
      </c>
      <c r="E12" s="764"/>
      <c r="G12" s="765" t="s">
        <v>979</v>
      </c>
      <c r="H12" s="764"/>
      <c r="I12" s="764"/>
      <c r="J12">
        <v>7</v>
      </c>
    </row>
    <row r="13" spans="1:10" ht="25.5">
      <c r="B13" s="179">
        <v>8</v>
      </c>
      <c r="C13" s="764"/>
      <c r="D13" s="764" t="s">
        <v>420</v>
      </c>
      <c r="E13" s="764" t="s">
        <v>269</v>
      </c>
      <c r="F13" s="764" t="s">
        <v>271</v>
      </c>
      <c r="G13" s="767"/>
      <c r="H13" s="764" t="s">
        <v>895</v>
      </c>
      <c r="J13">
        <v>8</v>
      </c>
    </row>
    <row r="14" spans="1:10" ht="38.25">
      <c r="B14" s="179">
        <v>9</v>
      </c>
      <c r="C14" s="764"/>
      <c r="D14" s="764" t="s">
        <v>270</v>
      </c>
      <c r="E14" s="764"/>
      <c r="F14" s="764" t="s">
        <v>425</v>
      </c>
      <c r="G14" s="768" t="s">
        <v>978</v>
      </c>
      <c r="H14" s="765" t="s">
        <v>423</v>
      </c>
      <c r="I14" s="765" t="s">
        <v>896</v>
      </c>
      <c r="J14">
        <v>9</v>
      </c>
    </row>
    <row r="15" spans="1:10" ht="63.75">
      <c r="B15" s="179">
        <v>10</v>
      </c>
      <c r="C15" s="765" t="s">
        <v>661</v>
      </c>
      <c r="D15" s="764" t="s">
        <v>421</v>
      </c>
      <c r="E15" s="764" t="s">
        <v>262</v>
      </c>
      <c r="F15" s="765" t="s">
        <v>426</v>
      </c>
      <c r="G15" s="768" t="s">
        <v>981</v>
      </c>
      <c r="H15" s="764" t="s">
        <v>422</v>
      </c>
      <c r="I15" s="765"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1" t="s">
        <v>318</v>
      </c>
      <c r="C3" s="621" t="s">
        <v>437</v>
      </c>
      <c r="D3" s="621" t="s">
        <v>438</v>
      </c>
      <c r="E3" s="621" t="s">
        <v>439</v>
      </c>
      <c r="F3" s="184"/>
      <c r="G3" s="184"/>
      <c r="H3" s="184"/>
      <c r="I3" s="184"/>
    </row>
    <row r="4" spans="2:9" ht="25.5">
      <c r="B4" s="200" t="s">
        <v>276</v>
      </c>
      <c r="C4" s="769" t="s">
        <v>428</v>
      </c>
      <c r="D4" s="769" t="s">
        <v>429</v>
      </c>
      <c r="E4" s="769" t="s">
        <v>430</v>
      </c>
      <c r="F4" s="185"/>
      <c r="H4" s="185"/>
    </row>
    <row r="5" spans="2:9" ht="51">
      <c r="B5" s="200" t="s">
        <v>286</v>
      </c>
      <c r="C5" s="584" t="s">
        <v>431</v>
      </c>
      <c r="D5" s="584" t="s">
        <v>829</v>
      </c>
      <c r="E5" s="584" t="s">
        <v>830</v>
      </c>
      <c r="F5" s="184"/>
      <c r="G5" s="184"/>
      <c r="H5" s="184"/>
      <c r="I5" s="184"/>
    </row>
    <row r="6" spans="2:9">
      <c r="B6" s="429">
        <v>1</v>
      </c>
      <c r="C6" s="765"/>
      <c r="D6" s="765" t="s">
        <v>499</v>
      </c>
      <c r="E6" s="765"/>
      <c r="F6" s="179">
        <v>1</v>
      </c>
      <c r="H6" s="185"/>
    </row>
    <row r="7" spans="2:9" ht="89.25">
      <c r="B7" s="429">
        <v>2</v>
      </c>
      <c r="C7" s="765"/>
      <c r="D7" s="765" t="s">
        <v>974</v>
      </c>
      <c r="E7" s="765" t="s">
        <v>271</v>
      </c>
      <c r="F7" s="179">
        <v>2</v>
      </c>
      <c r="G7" s="184"/>
      <c r="H7" s="184"/>
      <c r="I7" s="184"/>
    </row>
    <row r="8" spans="2:9">
      <c r="B8" s="429">
        <v>3</v>
      </c>
      <c r="C8" s="765"/>
      <c r="D8" s="621"/>
      <c r="E8" s="765"/>
      <c r="F8" s="179">
        <v>3</v>
      </c>
      <c r="H8" s="185"/>
    </row>
    <row r="9" spans="2:9">
      <c r="B9" s="429">
        <v>4</v>
      </c>
      <c r="C9" s="765"/>
      <c r="D9" s="765"/>
      <c r="E9" s="765" t="s">
        <v>435</v>
      </c>
      <c r="F9" s="179">
        <v>4</v>
      </c>
      <c r="G9" s="184"/>
      <c r="H9" s="184"/>
      <c r="I9" s="184"/>
    </row>
    <row r="10" spans="2:9" ht="76.5">
      <c r="B10" s="429">
        <v>5</v>
      </c>
      <c r="C10" s="765" t="s">
        <v>432</v>
      </c>
      <c r="D10" s="765" t="s">
        <v>732</v>
      </c>
      <c r="E10" s="772"/>
      <c r="F10" s="179">
        <v>5</v>
      </c>
      <c r="H10" s="185"/>
    </row>
    <row r="11" spans="2:9">
      <c r="B11" s="429">
        <v>6</v>
      </c>
      <c r="C11" s="765" t="s">
        <v>433</v>
      </c>
      <c r="D11" s="621"/>
      <c r="E11" s="765" t="s">
        <v>419</v>
      </c>
      <c r="F11" s="179">
        <v>6</v>
      </c>
      <c r="G11" s="184"/>
      <c r="H11" s="184"/>
      <c r="I11" s="184"/>
    </row>
    <row r="12" spans="2:9">
      <c r="B12" s="429">
        <v>7</v>
      </c>
      <c r="C12" s="765"/>
      <c r="D12" s="765"/>
      <c r="E12" s="772"/>
      <c r="F12" s="179">
        <v>7</v>
      </c>
      <c r="H12" s="185"/>
    </row>
    <row r="13" spans="2:9">
      <c r="B13" s="429">
        <v>8</v>
      </c>
      <c r="C13" s="765" t="s">
        <v>434</v>
      </c>
      <c r="D13" s="765"/>
      <c r="E13" s="765" t="s">
        <v>436</v>
      </c>
      <c r="F13" s="179">
        <v>8</v>
      </c>
      <c r="G13" s="184"/>
      <c r="H13" s="184"/>
      <c r="I13" s="184"/>
    </row>
    <row r="14" spans="2:9">
      <c r="B14" s="429">
        <v>9</v>
      </c>
      <c r="C14" s="765" t="s">
        <v>447</v>
      </c>
      <c r="D14" s="765"/>
      <c r="E14" s="765"/>
      <c r="F14" s="179">
        <v>9</v>
      </c>
      <c r="H14" s="185"/>
    </row>
    <row r="15" spans="2:9" ht="76.5">
      <c r="B15" s="429">
        <v>10</v>
      </c>
      <c r="C15" s="765" t="s">
        <v>661</v>
      </c>
      <c r="D15" s="765" t="s">
        <v>731</v>
      </c>
      <c r="E15" s="765"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69" t="s">
        <v>449</v>
      </c>
      <c r="D4" s="769" t="s">
        <v>450</v>
      </c>
      <c r="E4" s="200" t="s">
        <v>412</v>
      </c>
      <c r="F4" s="108" t="s">
        <v>451</v>
      </c>
      <c r="G4" s="194"/>
    </row>
    <row r="5" spans="2:8" ht="76.5">
      <c r="B5" s="185" t="s">
        <v>452</v>
      </c>
      <c r="C5" s="770" t="s">
        <v>453</v>
      </c>
      <c r="D5" s="770" t="s">
        <v>454</v>
      </c>
      <c r="E5" s="184" t="s">
        <v>831</v>
      </c>
      <c r="F5" s="184" t="s">
        <v>455</v>
      </c>
      <c r="G5" s="193"/>
      <c r="H5" s="193"/>
    </row>
    <row r="6" spans="2:8">
      <c r="B6" s="195">
        <v>1</v>
      </c>
      <c r="C6" s="764"/>
      <c r="D6" s="764"/>
      <c r="F6" s="174"/>
      <c r="G6" s="195">
        <v>1</v>
      </c>
    </row>
    <row r="7" spans="2:8">
      <c r="B7" s="195">
        <v>2</v>
      </c>
      <c r="C7" s="764" t="s">
        <v>269</v>
      </c>
      <c r="D7" s="764" t="s">
        <v>460</v>
      </c>
      <c r="E7" s="765"/>
      <c r="F7" s="184" t="s">
        <v>461</v>
      </c>
      <c r="G7" s="195">
        <v>2</v>
      </c>
      <c r="H7" s="193"/>
    </row>
    <row r="8" spans="2:8">
      <c r="B8" s="195">
        <v>3</v>
      </c>
      <c r="C8" s="184"/>
      <c r="D8" s="764"/>
      <c r="E8" s="765"/>
      <c r="F8" s="174"/>
      <c r="G8" s="195">
        <v>3</v>
      </c>
    </row>
    <row r="9" spans="2:8" ht="51">
      <c r="B9" s="195">
        <v>4</v>
      </c>
      <c r="C9" s="764" t="s">
        <v>734</v>
      </c>
      <c r="D9" s="764"/>
      <c r="G9" s="195">
        <v>4</v>
      </c>
      <c r="H9" s="193"/>
    </row>
    <row r="10" spans="2:8">
      <c r="B10" s="195">
        <v>5</v>
      </c>
      <c r="C10" s="767"/>
      <c r="D10" s="772"/>
      <c r="E10" s="765" t="s">
        <v>733</v>
      </c>
      <c r="F10" s="184" t="s">
        <v>733</v>
      </c>
      <c r="G10" s="195">
        <v>5</v>
      </c>
    </row>
    <row r="11" spans="2:8" ht="25.5">
      <c r="B11" s="195">
        <v>6</v>
      </c>
      <c r="C11" s="184"/>
      <c r="D11" s="764" t="s">
        <v>735</v>
      </c>
      <c r="G11" s="195">
        <v>6</v>
      </c>
      <c r="H11" s="193"/>
    </row>
    <row r="12" spans="2:8">
      <c r="B12" s="195">
        <v>7</v>
      </c>
      <c r="C12" s="767"/>
      <c r="D12" s="773"/>
      <c r="E12" s="765" t="s">
        <v>271</v>
      </c>
      <c r="F12" s="184" t="s">
        <v>271</v>
      </c>
      <c r="G12" s="195">
        <v>7</v>
      </c>
    </row>
    <row r="13" spans="2:8" ht="38.25">
      <c r="B13" s="195">
        <v>8</v>
      </c>
      <c r="C13" s="764"/>
      <c r="D13" s="764"/>
      <c r="E13" s="765" t="s">
        <v>419</v>
      </c>
      <c r="F13" s="621" t="s">
        <v>736</v>
      </c>
      <c r="G13" s="195">
        <v>8</v>
      </c>
      <c r="H13" s="193"/>
    </row>
    <row r="14" spans="2:8">
      <c r="B14" s="195">
        <v>9</v>
      </c>
      <c r="C14" s="764"/>
      <c r="D14" s="764"/>
      <c r="E14" s="765" t="s">
        <v>420</v>
      </c>
      <c r="F14" s="174"/>
      <c r="G14" s="195">
        <v>9</v>
      </c>
    </row>
    <row r="15" spans="2:8" ht="25.5">
      <c r="B15" s="195">
        <v>10</v>
      </c>
      <c r="C15" s="764" t="s">
        <v>737</v>
      </c>
      <c r="D15" s="764" t="s">
        <v>738</v>
      </c>
      <c r="E15" s="765" t="s">
        <v>832</v>
      </c>
      <c r="F15" s="621"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0" ma:contentTypeDescription="Create a new document." ma:contentTypeScope="" ma:versionID="bfad9e7fa064123ac9c4abc772239ad2">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59f0ac01d70fae4dbcef0629bba34d7a"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D6EF31-FCB6-44C0-92E1-66E420FB322F}">
  <ds:schemaRefs>
    <ds:schemaRef ds:uri="http://purl.org/dc/terms/"/>
    <ds:schemaRef ds:uri="http://schemas.microsoft.com/office/infopath/2007/PartnerControls"/>
    <ds:schemaRef ds:uri="http://purl.org/dc/dcmitype/"/>
    <ds:schemaRef ds:uri="df5a1bbb-24dc-472d-b5b2-ad007ec20f6c"/>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6b11e1cc-f8f4-4753-8eb9-82c6086f7ab0"/>
    <ds:schemaRef ds:uri="http://www.w3.org/XML/1998/namespace"/>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742AB66B-B448-4177-B08D-4D94B2284E1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2023-02-13T19:08:49Z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